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0700" windowHeight="11580" tabRatio="834" firstSheet="1" activeTab="6"/>
  </bookViews>
  <sheets>
    <sheet name="дендрология" sheetId="28" state="hidden" r:id="rId1"/>
    <sheet name="График работ" sheetId="52" r:id="rId2"/>
    <sheet name="УНЦС" sheetId="54" r:id="rId3"/>
    <sheet name="Ориентировочная сумма КВЛ" sheetId="49" r:id="rId4"/>
    <sheet name="Пояснительная" sheetId="48" r:id="rId5"/>
    <sheet name="Протокол" sheetId="51" r:id="rId6"/>
    <sheet name="НМЦ" sheetId="47" r:id="rId7"/>
    <sheet name="НМЦК" sheetId="50" r:id="rId8"/>
    <sheet name="Cводная смета ПИР" sheetId="13" r:id="rId9"/>
    <sheet name="ПД " sheetId="45" r:id="rId10"/>
    <sheet name="Экспертиза ПД и ИЗ" sheetId="3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dck" localSheetId="2">[1]топография!#REF!</definedName>
    <definedName name="dck">[1]топография!#REF!</definedName>
    <definedName name="Itog" localSheetId="2">#REF!</definedName>
    <definedName name="Itog">#REF!</definedName>
    <definedName name="KPlan" localSheetId="2">#REF!</definedName>
    <definedName name="KPlan">#REF!</definedName>
    <definedName name="SM_STO" localSheetId="2">#REF!</definedName>
    <definedName name="SM_STO">#REF!</definedName>
    <definedName name="SM_STO1" localSheetId="2">#REF!</definedName>
    <definedName name="SM_STO1">#REF!</definedName>
    <definedName name="SM_STO2" localSheetId="2">#REF!</definedName>
    <definedName name="SM_STO2">#REF!</definedName>
    <definedName name="SM_STO3" localSheetId="2">#REF!</definedName>
    <definedName name="SM_STO3">#REF!</definedName>
    <definedName name="SUM_" localSheetId="2">#REF!</definedName>
    <definedName name="SUM_">#REF!</definedName>
    <definedName name="SUM_1" localSheetId="2">#REF!</definedName>
    <definedName name="SUM_1">#REF!</definedName>
    <definedName name="SUM_3" localSheetId="2">#REF!</definedName>
    <definedName name="SUM_3">#REF!</definedName>
    <definedName name="wrn.1." hidden="1">{#N/A,#N/A,FALSE,"Шаблон_Спец1"}</definedName>
    <definedName name="ZAK1" localSheetId="2">#REF!</definedName>
    <definedName name="ZAK1">#REF!</definedName>
    <definedName name="ZAK2" localSheetId="2">#REF!</definedName>
    <definedName name="ZAK2">#REF!</definedName>
    <definedName name="а36" localSheetId="2">#REF!</definedName>
    <definedName name="а36">#REF!</definedName>
    <definedName name="аа" localSheetId="2">[1]топография!#REF!</definedName>
    <definedName name="аа">[1]топография!#REF!</definedName>
    <definedName name="АКСТ">'[2]Лист опроса'!$B$22</definedName>
    <definedName name="аолрмб">[3]Вспомогательный!$D$77</definedName>
    <definedName name="вв" localSheetId="2">[1]топография!#REF!</definedName>
    <definedName name="вв">[1]топография!#REF!</definedName>
    <definedName name="д1" localSheetId="2">#REF!</definedName>
    <definedName name="д1">#REF!</definedName>
    <definedName name="д10" localSheetId="2">#REF!</definedName>
    <definedName name="д10">#REF!</definedName>
    <definedName name="д2" localSheetId="2">#REF!</definedName>
    <definedName name="д2">#REF!</definedName>
    <definedName name="д3" localSheetId="2">#REF!</definedName>
    <definedName name="д3">#REF!</definedName>
    <definedName name="д4" localSheetId="2">#REF!</definedName>
    <definedName name="д4">#REF!</definedName>
    <definedName name="д5" localSheetId="2">#REF!</definedName>
    <definedName name="д5">#REF!</definedName>
    <definedName name="д6" localSheetId="2">#REF!</definedName>
    <definedName name="д6">#REF!</definedName>
    <definedName name="д7" localSheetId="2">#REF!</definedName>
    <definedName name="д7">#REF!</definedName>
    <definedName name="д8" localSheetId="2">#REF!</definedName>
    <definedName name="д8">#REF!</definedName>
    <definedName name="д9" localSheetId="2">#REF!</definedName>
    <definedName name="д9">#REF!</definedName>
    <definedName name="дж">[3]Вспомогательный!$D$36</definedName>
    <definedName name="дж1">[3]Вспомогательный!$D$38</definedName>
    <definedName name="ДЛО" localSheetId="2">#REF!</definedName>
    <definedName name="ДЛО">#REF!</definedName>
    <definedName name="дп" localSheetId="2">#REF!</definedName>
    <definedName name="дп">#REF!</definedName>
    <definedName name="ДСК" localSheetId="2">[4]топография!#REF!</definedName>
    <definedName name="ДСК">[4]топография!#REF!</definedName>
    <definedName name="дэ" localSheetId="2">#REF!</definedName>
    <definedName name="дэ">#REF!</definedName>
    <definedName name="жж">[3]Вспомогательный!$D$80</definedName>
    <definedName name="ии" localSheetId="2">#REF!</definedName>
    <definedName name="ии">#REF!</definedName>
    <definedName name="инфл" localSheetId="2">#REF!</definedName>
    <definedName name="инфл">#REF!</definedName>
    <definedName name="ип" localSheetId="2">#REF!</definedName>
    <definedName name="ип">#REF!</definedName>
    <definedName name="к1" localSheetId="2">#REF!</definedName>
    <definedName name="к1">#REF!</definedName>
    <definedName name="к10" localSheetId="2">#REF!</definedName>
    <definedName name="к10">#REF!</definedName>
    <definedName name="к101" localSheetId="2">#REF!</definedName>
    <definedName name="к101">#REF!</definedName>
    <definedName name="К105" localSheetId="2">#REF!</definedName>
    <definedName name="К105">#REF!</definedName>
    <definedName name="к11" localSheetId="2">#REF!</definedName>
    <definedName name="к11">#REF!</definedName>
    <definedName name="к12" localSheetId="2">#REF!</definedName>
    <definedName name="к12">#REF!</definedName>
    <definedName name="к13" localSheetId="2">#REF!</definedName>
    <definedName name="к13">#REF!</definedName>
    <definedName name="к14" localSheetId="2">#REF!</definedName>
    <definedName name="к14">#REF!</definedName>
    <definedName name="к15" localSheetId="2">#REF!</definedName>
    <definedName name="к15">#REF!</definedName>
    <definedName name="к16" localSheetId="2">#REF!</definedName>
    <definedName name="к16">#REF!</definedName>
    <definedName name="к17" localSheetId="2">#REF!</definedName>
    <definedName name="к17">#REF!</definedName>
    <definedName name="к18" localSheetId="2">#REF!</definedName>
    <definedName name="к18">#REF!</definedName>
    <definedName name="к19" localSheetId="2">#REF!</definedName>
    <definedName name="к19">#REF!</definedName>
    <definedName name="к2" localSheetId="2">#REF!</definedName>
    <definedName name="к2">#REF!</definedName>
    <definedName name="к20" localSheetId="2">#REF!</definedName>
    <definedName name="к20">#REF!</definedName>
    <definedName name="к21" localSheetId="2">#REF!</definedName>
    <definedName name="к21">#REF!</definedName>
    <definedName name="к22" localSheetId="2">#REF!</definedName>
    <definedName name="к22">#REF!</definedName>
    <definedName name="к23" localSheetId="2">#REF!</definedName>
    <definedName name="к23">#REF!</definedName>
    <definedName name="к231" localSheetId="2">#REF!</definedName>
    <definedName name="к231">#REF!</definedName>
    <definedName name="к24" localSheetId="2">#REF!</definedName>
    <definedName name="к24">#REF!</definedName>
    <definedName name="к25" localSheetId="2">#REF!</definedName>
    <definedName name="к25">#REF!</definedName>
    <definedName name="к26" localSheetId="2">#REF!</definedName>
    <definedName name="к26">#REF!</definedName>
    <definedName name="к27" localSheetId="2">#REF!</definedName>
    <definedName name="к27">#REF!</definedName>
    <definedName name="к28" localSheetId="2">#REF!</definedName>
    <definedName name="к28">#REF!</definedName>
    <definedName name="к29" localSheetId="2">#REF!</definedName>
    <definedName name="к29">#REF!</definedName>
    <definedName name="к2п" localSheetId="2">#REF!</definedName>
    <definedName name="к2п">#REF!</definedName>
    <definedName name="к3" localSheetId="2">#REF!</definedName>
    <definedName name="к3">#REF!</definedName>
    <definedName name="к30" localSheetId="2">#REF!</definedName>
    <definedName name="к30">#REF!</definedName>
    <definedName name="к3п" localSheetId="2">#REF!</definedName>
    <definedName name="к3п">#REF!</definedName>
    <definedName name="к5" localSheetId="2">#REF!</definedName>
    <definedName name="к5">#REF!</definedName>
    <definedName name="к6" localSheetId="2">#REF!</definedName>
    <definedName name="к6">#REF!</definedName>
    <definedName name="к7" localSheetId="2">#REF!</definedName>
    <definedName name="к7">#REF!</definedName>
    <definedName name="к8" localSheetId="2">#REF!</definedName>
    <definedName name="к8">#REF!</definedName>
    <definedName name="к9" localSheetId="2">#REF!</definedName>
    <definedName name="к9">#REF!</definedName>
    <definedName name="ккее" localSheetId="2">#REF!</definedName>
    <definedName name="ккее">#REF!</definedName>
    <definedName name="конкурс" localSheetId="2">#REF!</definedName>
    <definedName name="конкурс">#REF!</definedName>
    <definedName name="кп" localSheetId="2">#REF!</definedName>
    <definedName name="кп">#REF!</definedName>
    <definedName name="Крек">'[2]Лист опроса'!$B$17</definedName>
    <definedName name="Крп">'[2]Лист опроса'!$B$19</definedName>
    <definedName name="курорты" localSheetId="2">#REF!</definedName>
    <definedName name="курорты">#REF!</definedName>
    <definedName name="Кэл">'[2]Лист опроса'!$B$20</definedName>
    <definedName name="лл">[3]Вспомогательный!$D$78</definedName>
    <definedName name="мж1">'[5]СметаСводная 1 оч'!$D$6</definedName>
    <definedName name="ндс" localSheetId="2">#REF!</definedName>
    <definedName name="ндс">#REF!</definedName>
    <definedName name="Нсапк">'[2]Лист опроса'!$B$34</definedName>
    <definedName name="Нсстр">'[2]Лист опроса'!$B$32</definedName>
    <definedName name="_xlnm.Print_Area" localSheetId="8">'Cводная смета ПИР'!$A$1:$G$26</definedName>
    <definedName name="_xlnm.Print_Area" localSheetId="1">'График работ'!#REF!</definedName>
    <definedName name="_xlnm.Print_Area" localSheetId="6">НМЦ!$A$1:$E$22</definedName>
    <definedName name="_xlnm.Print_Area" localSheetId="7">НМЦК!$A$1:$G$43</definedName>
    <definedName name="_xlnm.Print_Area" localSheetId="9">'ПД '!$A$1:$J$26</definedName>
    <definedName name="_xlnm.Print_Area" localSheetId="4">Пояснительная!$A$1:$C$15</definedName>
    <definedName name="_xlnm.Print_Area" localSheetId="5">Протокол!$A$1:$N$21</definedName>
    <definedName name="_xlnm.Print_Area" localSheetId="10">'Экспертиза ПД и ИЗ'!$A$1:$H$22</definedName>
    <definedName name="ООО_НИИПРИИ___Севзапинжтехнология" localSheetId="2">#REF!</definedName>
    <definedName name="ООО_НИИПРИИ___Севзапинжтехнология">#REF!</definedName>
    <definedName name="пионер" localSheetId="2">#REF!</definedName>
    <definedName name="пионер">#REF!</definedName>
    <definedName name="Пкр">'[2]Лист опроса'!$B$41</definedName>
    <definedName name="План">'[6]Смета 7'!$F$1</definedName>
    <definedName name="пппп" localSheetId="2">#REF!</definedName>
    <definedName name="пппп">#REF!</definedName>
    <definedName name="пробная" localSheetId="2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2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т">'[2]Лист опроса'!$B$6</definedName>
    <definedName name="Расчёт1">'[7]Смета 7'!$F$1</definedName>
    <definedName name="рек" localSheetId="2">#REF!</definedName>
    <definedName name="рек">#REF!</definedName>
    <definedName name="рига">'[8]СметаСводная снег'!$E$7</definedName>
    <definedName name="С" hidden="1">{#N/A,#N/A,FALSE,"Шаблон_Спец1"}</definedName>
    <definedName name="с1" localSheetId="2">#REF!</definedName>
    <definedName name="с1">#REF!</definedName>
    <definedName name="с10" localSheetId="2">#REF!</definedName>
    <definedName name="с10">#REF!</definedName>
    <definedName name="с2" localSheetId="2">#REF!</definedName>
    <definedName name="с2">#REF!</definedName>
    <definedName name="с3" localSheetId="2">#REF!</definedName>
    <definedName name="с3">#REF!</definedName>
    <definedName name="с4" localSheetId="2">#REF!</definedName>
    <definedName name="с4">#REF!</definedName>
    <definedName name="с5" localSheetId="2">#REF!</definedName>
    <definedName name="с5">#REF!</definedName>
    <definedName name="с6" localSheetId="2">#REF!</definedName>
    <definedName name="с6">#REF!</definedName>
    <definedName name="с7" localSheetId="2">#REF!</definedName>
    <definedName name="с7">#REF!</definedName>
    <definedName name="с8" localSheetId="2">#REF!</definedName>
    <definedName name="с8">#REF!</definedName>
    <definedName name="с9" localSheetId="2">#REF!</definedName>
    <definedName name="с9">#REF!</definedName>
    <definedName name="СВсм">[3]Вспомогательный!$D$36</definedName>
    <definedName name="сев" localSheetId="2">#REF!</definedName>
    <definedName name="сев">#REF!</definedName>
    <definedName name="см_конк" localSheetId="2">#REF!</definedName>
    <definedName name="см_конк">#REF!</definedName>
    <definedName name="См6">'[9]Смета 7'!$F$1</definedName>
    <definedName name="Смета_2">'[7]Смета 7'!$F$1</definedName>
    <definedName name="Смета11">'[10]Смета 7'!$F$1</definedName>
    <definedName name="Смета21">'[11]Смета 7'!$F$1</definedName>
    <definedName name="Смета3">[3]Вспомогательный!$D$78</definedName>
    <definedName name="сп1" localSheetId="2">#REF!</definedName>
    <definedName name="сп1">#REF!</definedName>
    <definedName name="сп2" localSheetId="2">#REF!</definedName>
    <definedName name="сп2">#REF!</definedName>
    <definedName name="Станц10">'[2]Лист опроса'!$B$23</definedName>
    <definedName name="Стр10">'[2]Лист опроса'!$B$24</definedName>
    <definedName name="СтрАУ">'[2]Лист опроса'!$B$12</definedName>
    <definedName name="СтрДУ">'[2]Лист опроса'!$B$11</definedName>
    <definedName name="Стрелки">'[2]Лист опроса'!$B$10</definedName>
  </definedNames>
  <calcPr calcId="162913" fullPrecision="0"/>
</workbook>
</file>

<file path=xl/calcChain.xml><?xml version="1.0" encoding="utf-8"?>
<calcChain xmlns="http://schemas.openxmlformats.org/spreadsheetml/2006/main">
  <c r="G37" i="54" l="1"/>
  <c r="G36" i="54"/>
  <c r="G43" i="54" s="1"/>
  <c r="G44" i="54" s="1"/>
  <c r="L6" i="49" s="1"/>
  <c r="M6" i="49" s="1"/>
  <c r="J15" i="45"/>
  <c r="G26" i="54" l="1"/>
  <c r="G33" i="54" s="1"/>
  <c r="G14" i="54"/>
  <c r="G13" i="54"/>
  <c r="G4" i="54"/>
  <c r="G10" i="54" s="1"/>
  <c r="G11" i="54" s="1"/>
  <c r="L7" i="49" s="1"/>
  <c r="M7" i="49" s="1"/>
  <c r="J20" i="45"/>
  <c r="J11" i="45"/>
  <c r="J10" i="45"/>
  <c r="L25" i="45" s="1"/>
  <c r="J24" i="45" l="1"/>
  <c r="L26" i="45"/>
  <c r="G15" i="54"/>
  <c r="G23" i="54" s="1"/>
  <c r="G24" i="54" s="1"/>
  <c r="L5" i="49" s="1"/>
  <c r="L9" i="49" s="1"/>
  <c r="G34" i="54"/>
  <c r="L8" i="49" s="1"/>
  <c r="M8" i="49" s="1"/>
  <c r="O24" i="45"/>
  <c r="E15" i="50" l="1"/>
  <c r="D15" i="50"/>
  <c r="J25" i="45" l="1"/>
  <c r="J26" i="45" s="1"/>
  <c r="F15" i="50"/>
  <c r="G15" i="50" l="1"/>
  <c r="C14" i="47"/>
  <c r="E36" i="50"/>
  <c r="E37" i="50" s="1"/>
  <c r="E35" i="50"/>
  <c r="E38" i="50" l="1"/>
  <c r="A3" i="47"/>
  <c r="M5" i="49" l="1"/>
  <c r="M9" i="49" s="1"/>
  <c r="B26" i="50" l="1"/>
  <c r="B31" i="50" s="1"/>
  <c r="B32" i="50" l="1"/>
  <c r="E13" i="50" l="1"/>
  <c r="E42" i="50" l="1"/>
  <c r="E43" i="50" s="1"/>
  <c r="C4" i="51" l="1"/>
  <c r="E14" i="50" l="1"/>
  <c r="D66" i="13" l="1"/>
  <c r="D63" i="13"/>
  <c r="E63" i="13" s="1"/>
  <c r="D60" i="13"/>
  <c r="E60" i="13" s="1"/>
  <c r="D68" i="13" l="1"/>
  <c r="E68" i="13" s="1"/>
  <c r="E72" i="13" s="1"/>
  <c r="E66" i="13"/>
  <c r="E69" i="13" l="1"/>
  <c r="C5" i="13" l="1"/>
  <c r="C4" i="35"/>
  <c r="D14" i="35" l="1"/>
  <c r="E47" i="13"/>
  <c r="D42" i="13" l="1"/>
  <c r="E42" i="13" s="1"/>
  <c r="D39" i="13"/>
  <c r="D36" i="13"/>
  <c r="E36" i="13" s="1"/>
  <c r="D44" i="13" l="1"/>
  <c r="E44" i="13" s="1"/>
  <c r="E45" i="13" s="1"/>
  <c r="E39" i="13"/>
  <c r="E48" i="13" l="1"/>
  <c r="D14" i="47" l="1"/>
  <c r="E14" i="47" l="1"/>
  <c r="F13" i="13" l="1"/>
  <c r="A3" i="48" l="1"/>
  <c r="G13" i="13" l="1"/>
  <c r="G14" i="13" s="1"/>
  <c r="L15" i="28"/>
  <c r="L14" i="28"/>
  <c r="L13" i="28"/>
  <c r="L12" i="28"/>
  <c r="B13" i="50" l="1"/>
  <c r="E71" i="13"/>
  <c r="E73" i="13" s="1"/>
  <c r="E74" i="13" s="1"/>
  <c r="F74" i="13" s="1"/>
  <c r="L16" i="28"/>
  <c r="D18" i="28" s="1"/>
  <c r="L18" i="28" s="1"/>
  <c r="D13" i="50" l="1"/>
  <c r="E75" i="13"/>
  <c r="F13" i="50"/>
  <c r="D16" i="35"/>
  <c r="D18" i="35" s="1"/>
  <c r="D19" i="35" s="1"/>
  <c r="D17" i="28"/>
  <c r="L17" i="28" s="1"/>
  <c r="D27" i="28" s="1"/>
  <c r="L27" i="28" s="1"/>
  <c r="D19" i="28"/>
  <c r="L19" i="28" s="1"/>
  <c r="C13" i="47" l="1"/>
  <c r="L21" i="28"/>
  <c r="D24" i="28" s="1"/>
  <c r="G13" i="50"/>
  <c r="E49" i="13"/>
  <c r="E50" i="13" s="1"/>
  <c r="D23" i="28" l="1"/>
  <c r="L23" i="28" s="1"/>
  <c r="I13" i="50"/>
  <c r="H13" i="50"/>
  <c r="E51" i="13"/>
  <c r="F50" i="13"/>
  <c r="L24" i="28"/>
  <c r="D13" i="47" l="1"/>
  <c r="D25" i="28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  <c r="H20" i="35" l="1"/>
  <c r="H21" i="35" l="1"/>
  <c r="G16" i="13" s="1"/>
  <c r="G17" i="13" s="1"/>
  <c r="G18" i="13" s="1"/>
  <c r="B14" i="50" l="1"/>
  <c r="E13" i="47"/>
  <c r="B16" i="50" l="1"/>
  <c r="B17" i="50" s="1"/>
  <c r="B18" i="50" s="1"/>
  <c r="B19" i="50" s="1"/>
  <c r="D14" i="50"/>
  <c r="D16" i="50" s="1"/>
  <c r="D17" i="50" l="1"/>
  <c r="D18" i="50" s="1"/>
  <c r="D19" i="50" s="1"/>
  <c r="F14" i="50"/>
  <c r="F16" i="50" s="1"/>
  <c r="G14" i="50" l="1"/>
  <c r="C20" i="47"/>
  <c r="D20" i="47" s="1"/>
  <c r="E20" i="47" s="1"/>
  <c r="C15" i="47"/>
  <c r="C16" i="47" s="1"/>
  <c r="F17" i="50" l="1"/>
  <c r="F18" i="50" s="1"/>
  <c r="F19" i="50" s="1"/>
  <c r="G16" i="50"/>
  <c r="G17" i="50" s="1"/>
  <c r="D15" i="47"/>
  <c r="D16" i="47" s="1"/>
  <c r="C17" i="47" l="1"/>
  <c r="D17" i="47" s="1"/>
  <c r="E17" i="47" s="1"/>
  <c r="G18" i="50"/>
  <c r="G19" i="50" s="1"/>
  <c r="E15" i="47"/>
  <c r="E16" i="47" s="1"/>
  <c r="B14" i="48" l="1"/>
  <c r="G6" i="51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<sst xmlns="http://schemas.openxmlformats.org/spreadsheetml/2006/main" count="490" uniqueCount="371">
  <si>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</si>
  <si>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</si>
  <si>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</si>
  <si>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</si>
  <si>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</si>
  <si>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</si>
  <si>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</si>
  <si>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</si>
  <si>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</si>
  <si>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</si>
  <si>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</si>
  <si>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</si>
  <si>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</si>
  <si>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</si>
  <si>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</si>
  <si>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</si>
  <si>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</si>
  <si>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</si>
  <si>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</si>
  <si>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</si>
  <si>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</si>
  <si>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</si>
  <si>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</si>
  <si>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</si>
  <si>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</si>
  <si>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</si>
  <si>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</si>
  <si>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</si>
  <si>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</si>
  <si>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</si>
  <si>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</si>
  <si>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</si>
  <si>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</si>
  <si>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</si>
  <si>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</si>
  <si>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</si>
  <si>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</si>
  <si>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</si>
  <si>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</si>
  <si>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</si>
  <si>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</si>
  <si>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</si>
  <si>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</si>
  <si>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</si>
  <si>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</si>
  <si>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</si>
  <si>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</si>
  <si>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</si>
  <si>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</si>
  <si>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</si>
  <si>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</si>
  <si>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</si>
  <si>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</si>
  <si>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</si>
  <si>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</si>
  <si>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</si>
  <si>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</si>
  <si>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</si>
  <si>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</si>
  <si>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</si>
  <si>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</si>
  <si>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</si>
  <si>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</si>
  <si>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</si>
  <si>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</si>
  <si>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</si>
  <si>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</si>
  <si>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</si>
  <si>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</si>
  <si>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</si>
  <si>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</si>
  <si>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</si>
  <si>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</si>
  <si>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</si>
  <si>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</si>
  <si>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</si>
  <si>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</si>
  <si>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</si>
  <si>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</si>
  <si>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</si>
  <si>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</si>
  <si>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</si>
  <si>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</si>
  <si>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</si>
  <si>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</si>
  <si>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</si>
  <si>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</si>
  <si>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</si>
  <si>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</si>
  <si>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</si>
  <si>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</si>
  <si>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>Форма 2П</t>
  </si>
  <si>
    <t>Вид проектных или изыскательских работ</t>
  </si>
  <si>
    <t xml:space="preserve">  </t>
  </si>
  <si>
    <t>АО "КСК"</t>
  </si>
  <si>
    <t>Итого: ИЗ+ПД</t>
  </si>
  <si>
    <t>Примечание</t>
  </si>
  <si>
    <t>м</t>
  </si>
  <si>
    <t>Итого в ценах 2001 г.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</si>
  <si>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</si>
  <si>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</si>
  <si>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</si>
  <si>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</si>
  <si>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 xml:space="preserve">Продолжительность работ в соответствие с Графиком - </t>
  </si>
  <si>
    <t>№ п.п.</t>
  </si>
  <si>
    <t>Перечень видов работ</t>
  </si>
  <si>
    <t>без НДС</t>
  </si>
  <si>
    <t>с учетом НДС</t>
  </si>
  <si>
    <t>В том числе инфляционная составляющая за период выполнения работ</t>
  </si>
  <si>
    <t>Разработка проектной документации стадии " Проектная документация"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</si>
  <si>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</si>
  <si>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</si>
  <si>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</si>
  <si>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</si>
  <si>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К=0,4 Проектная документация</t>
  </si>
  <si>
    <t>Смета № 1-пд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</si>
  <si>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</si>
  <si>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</si>
  <si>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</si>
  <si>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Заместитель директора Департамента развития инфраструктуры АО "КСК"</t>
  </si>
  <si>
    <t>Описание метода расчета стоимости проектных работ</t>
  </si>
  <si>
    <t>ВСЕГО:</t>
  </si>
  <si>
    <t xml:space="preserve">РАСЧЕТ СТОИМОСТИ РАБОТ  С УЧЕТОМ ИНДЕКСА ДЕФЛЯТОРА </t>
  </si>
  <si>
    <t>К=0,68 коэффициент относительной стоимости, для начисления усл. К-тов (здания и сооруж-6%, технологические и конструктивные решения=52%, электр.-10%)</t>
  </si>
  <si>
    <t>п.м.</t>
  </si>
  <si>
    <t>К=0,76 коэффициент относительной стоимости, для начисления сейсмичности (здания и сооруж-6%, технологические и конструктивные решения=70%)</t>
  </si>
  <si>
    <t>К=1,1 ценообразующий п.2.3.3 полиэтилен</t>
  </si>
  <si>
    <t>К=0,5 Проектная документация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</si>
  <si>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</si>
  <si>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РАСЧЕТ ИНДЕКСА-ДЕФЛЯТОРА ДЛЯ ИЗЫСКАНИЙ </t>
  </si>
  <si>
    <t xml:space="preserve">ИД1- индекс -дефлятор Минэкономразвития РФ на капвложения </t>
  </si>
  <si>
    <t>Т1 - Продолжительность периода  от момента формирования текущих цен  до начала выполнения работ, мес</t>
  </si>
  <si>
    <t>Рост цен                                  Р1= (ИД1-100)/100*Т1/12</t>
  </si>
  <si>
    <t>Индекс роста цен                                              ИРт1=(1+Р1)</t>
  </si>
  <si>
    <t xml:space="preserve">ИД2- индекс -дефлятор Минэкономразвития РФ на капвложения </t>
  </si>
  <si>
    <t>Т2 - Продолжительность периода  от начала выполнения работ до конца года, мес</t>
  </si>
  <si>
    <t>Рост цен                               Р2= (ИД2-100)/100*Т2/12</t>
  </si>
  <si>
    <t>Индекс роста цен                                     ИРт2=(1+Р2)</t>
  </si>
  <si>
    <t>2019  год</t>
  </si>
  <si>
    <t xml:space="preserve">ИД3- индекс -дефлятор Минэкономразвития РФ на капвложения </t>
  </si>
  <si>
    <t>Рост цен                               Р3= (ИД3-100)/100*Т3/12</t>
  </si>
  <si>
    <t>Индекс роста цен                                     ИРт3=(1+Р3)</t>
  </si>
  <si>
    <t>Итого индекс роста цен</t>
  </si>
  <si>
    <t>ИРТ1*ИРТ4</t>
  </si>
  <si>
    <t>РАСЧЕТ СТОИМОСТИ РАБОТ</t>
  </si>
  <si>
    <t>Стоимость работ</t>
  </si>
  <si>
    <t>Дефлятор</t>
  </si>
  <si>
    <t>Стоимость работ  с учетом дефлятора</t>
  </si>
  <si>
    <t>С учетом авансирования- 30%</t>
  </si>
  <si>
    <t xml:space="preserve"> Н(м)ЦД(1-1)А=СС1+(Н(м)ЦД1-1-СС1)*(1-А/100)                     </t>
  </si>
  <si>
    <t>Инфляционная составляющая</t>
  </si>
  <si>
    <t xml:space="preserve">Экспертиза проектной документации  и результатов инженерных изысканий. </t>
  </si>
  <si>
    <t>на выполнение проектно-изыскательских работ по объекту</t>
  </si>
  <si>
    <t>НДС-20 %</t>
  </si>
  <si>
    <t>м2</t>
  </si>
  <si>
    <t>Государственная экспертиза проектной документации и результатов инженерных изысканий</t>
  </si>
  <si>
    <t>2020  год</t>
  </si>
  <si>
    <t>Т3 - Продолжительность периода  от начала года до окончания работ, мес</t>
  </si>
  <si>
    <t>Рост цен за период выполнения работ</t>
  </si>
  <si>
    <t>ИРт4=(1+0,5*Р4)</t>
  </si>
  <si>
    <t>Р4= (Р2+Р3)</t>
  </si>
  <si>
    <t>2 месяца</t>
  </si>
  <si>
    <t>16 декабря 2019.  </t>
  </si>
  <si>
    <t>13 февраля 2020 г.</t>
  </si>
  <si>
    <t>РАСЧЕТ ИНДЕКСА-ДЕФЛЯТОРА ДЛЯ ПРОЕКТНОЙ ДОКУМЕНТАЦИИ</t>
  </si>
  <si>
    <t>(включая период прохождения экспертизы ПД)</t>
  </si>
  <si>
    <t>12 июня 2020 г.</t>
  </si>
  <si>
    <t>5,9 месяцев</t>
  </si>
  <si>
    <t>№</t>
  </si>
  <si>
    <t>Наименование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</si>
  <si>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</si>
  <si>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</si>
  <si>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</si>
  <si>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</si>
  <si>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</si>
  <si>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</si>
  <si>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</si>
  <si>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ИТОГО:</t>
  </si>
  <si>
    <t>Основной показатель</t>
  </si>
  <si>
    <t>Единица измерения основного показателя</t>
  </si>
  <si>
    <t>Стоимость единицы показателя, тыс. руб. без НДС</t>
  </si>
  <si>
    <t>Стоимость инж.изыск. в уровне цен 01.01.2001 г. без НДС</t>
  </si>
  <si>
    <t>Стоимость проектных работ в уровне цен 01.01.2001 г. без НДС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</si>
  <si>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</si>
  <si>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</si>
  <si>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</si>
  <si>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</si>
  <si>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</si>
  <si>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</si>
  <si>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</si>
  <si>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</si>
  <si>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</si>
  <si>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</si>
  <si>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</si>
  <si>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</si>
  <si>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</si>
  <si>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</si>
  <si>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</si>
  <si>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</si>
  <si>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мес.</t>
  </si>
  <si>
    <t>с учетом времени на прохождение госэкспертизы</t>
  </si>
  <si>
    <t>Начало работ</t>
  </si>
  <si>
    <t>Окончание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</si>
  <si>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</si>
  <si>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</si>
  <si>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</si>
  <si>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</si>
  <si>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</si>
  <si>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</si>
  <si>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</si>
  <si>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</si>
  <si>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</si>
  <si>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</si>
  <si>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</si>
  <si>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</si>
  <si>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</si>
  <si>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</si>
  <si>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том числе непредвиденные расходы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</si>
  <si>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1 октября 2019 г. № 33198-ПБ/Д03и.</t>
  </si>
  <si>
    <t>В расчете учтен резерв средств на непредвиденные затраты в размере 2%</t>
  </si>
  <si>
    <t>Налог на добавленную стоимость - 20 %</t>
  </si>
  <si>
    <t>2016г.</t>
  </si>
  <si>
    <t>2017г.</t>
  </si>
  <si>
    <t>1. Письмо Министерства экономического развития РФ от 20 июня 2016 г. N Д28и-1655 "О разъяснениях, связанных с применением постановления Правительства Российской Федерации от 14 марта 2016 г. N 191"</t>
  </si>
  <si>
    <t>2. Письмо Минэкономразвития России (Министерства экономического развития РФ) от 03 октября 2018 г. №28438-АТ/Д03и</t>
  </si>
  <si>
    <t>3. Письмо Министерства экономического развития РФ от 1 октября 2019 г. N 33198-ПБ/Д03и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</si>
  <si>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2018г.</t>
  </si>
  <si>
    <t>2019г.</t>
  </si>
  <si>
    <t>2020г.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</si>
  <si>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</si>
  <si>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</si>
  <si>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</si>
  <si>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2021г.</t>
  </si>
  <si>
    <t>РД</t>
  </si>
  <si>
    <t>Наименование объекта строительства</t>
  </si>
  <si>
    <t>Обоснование</t>
  </si>
  <si>
    <t>Кол.</t>
  </si>
  <si>
    <t>Стоимость в  тыс. руб.</t>
  </si>
  <si>
    <t xml:space="preserve">Регионально-климатический коэффициент </t>
  </si>
  <si>
    <t>Стоимость единицы изм. по состоянию на 01.01.2020 г., тыс. руб.*</t>
  </si>
  <si>
    <t>Поправочные коэффициенты</t>
  </si>
  <si>
    <t>Коэффициент на сейсмичность</t>
  </si>
  <si>
    <t>Зональный коэффициент</t>
  </si>
  <si>
    <t>Расчет по УНЦС</t>
  </si>
  <si>
    <t>1 км</t>
  </si>
  <si>
    <t>ТЧ сборника п.26
Таблица № 6</t>
  </si>
  <si>
    <t>ТЧ сборника п.29</t>
  </si>
  <si>
    <t>НЦС 81-02-14-2020
Таблица 14-07-005-07
Наружные инженерные сети канализации из полиэтиленовых труб, разработка сухого грунта в oтвал, без креплений (группа грунтов 4)
диаметром 400 мм 
глубиной 2 м (прим.)</t>
  </si>
  <si>
    <t>ТЧ сборника п.27 
Таблица № 7
I температурная зона</t>
  </si>
  <si>
    <t>(1,00295^6,7+1,00295^11)/2</t>
  </si>
  <si>
    <t>НЦС 81-02-14-2020
Таблица 14-07-005-01
Наружные инженерные сети канализации из полиэтиленовых труб, разработка сухого грунта в oтвал, без креплений (группа грунтов 4)
диаметром 160 мм 
глубиной 2 м (прим.)</t>
  </si>
  <si>
    <t>Доля работ, выполняемых в 2020 году</t>
  </si>
  <si>
    <t>Доля работ, выполняемых в 2021 году</t>
  </si>
  <si>
    <t>Продолжительность работ в 2020 году</t>
  </si>
  <si>
    <t>Продолжительность работ в 2021 году</t>
  </si>
  <si>
    <t>Индекс Минэкономразвития РФ на 2021 г. (Письмо Минэкономразвития России от 1 октября 2019 г. 
№ 33198-ПБ/Д03и)</t>
  </si>
  <si>
    <t xml:space="preserve">Продолжительность выполнения инженерных изысканий и проектной документации </t>
  </si>
  <si>
    <t>шт</t>
  </si>
  <si>
    <t>ТЧ сборника п.28</t>
  </si>
  <si>
    <t>100м2</t>
  </si>
  <si>
    <t>ТЧ сборника п.25
Таблица № 7</t>
  </si>
  <si>
    <t>ТЧ сборника п.26
Таблица № 8</t>
  </si>
  <si>
    <t>Продолжительность работ в соответствие с Графиком</t>
  </si>
  <si>
    <t xml:space="preserve"> Стоимость проектирования  объекта в прогнозных ценах периода проектирования (руб.)</t>
  </si>
  <si>
    <t>К= 1,3 ' Усложняющий к-т на сейсмичность - 9 баллов ( МУ 2010)</t>
  </si>
  <si>
    <t>Кабардино-Балкарская Республика, всесезонный туристско-рекреационный комплекс «Эльбрус»</t>
  </si>
  <si>
    <t>Коэффициент перехода от базового района к уровню цен Кабардино-Балкарская Республика</t>
  </si>
  <si>
    <t>1,036*1,037*1,037</t>
  </si>
  <si>
    <t>2022г.</t>
  </si>
  <si>
    <t>Индекс пересчета в уровень цен 
IVкв. 2022 г.</t>
  </si>
  <si>
    <t>Сети хоз бытовой канализации 200 м</t>
  </si>
  <si>
    <t>Пересчет в уровень цен на 2022 г. по индексам Минэкономразвития РФ</t>
  </si>
  <si>
    <t>ежемесячный индекс прогноз на 2020 год</t>
  </si>
  <si>
    <t>ежемесячный индекс прогноз на 2021 год</t>
  </si>
  <si>
    <t>Итого индекс прогнозной инфляции</t>
  </si>
  <si>
    <t>Затраты на экологтческую экспертизу</t>
  </si>
  <si>
    <t>Экологическая экспертиза</t>
  </si>
  <si>
    <t>- затраты на экологическую экспертизу;</t>
  </si>
  <si>
    <t>Индекс пересчета в текущие цены 2020 г</t>
  </si>
  <si>
    <t>1м2</t>
  </si>
  <si>
    <t>Оценка воздействия объекта капитального строительства на окружающую среду (ОВОС)</t>
  </si>
  <si>
    <t>- затраты на проектные работы стадии "Проектная документация"</t>
  </si>
  <si>
    <t>- затраты на оплату услуг Государственной экспертизы</t>
  </si>
  <si>
    <t>- индексы фактической инфляции для пересчета сметной стоимости из уровня цен составления сметной документации в уровень цен на дату определения НМЦК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</si>
  <si>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договора.</t>
  </si>
  <si>
    <t>СБЦ  "Коммунальные инженерные сети и сооружения", Таб. 5, п.3 (От 100 до 1000 м)</t>
  </si>
  <si>
    <t>СБЦ  "Коммунальные инженерные сети и сооружения", Таб. 2, п.3 (От 250 до 1000 м)</t>
  </si>
  <si>
    <t>Разворотное кольцо
350м
(прим. 2 примыкания)</t>
  </si>
  <si>
    <t>СБЦ "Автомобильные дороги общего пользования", 2007
табл.3 п.1
Категория сложности проектирования - 3 (горная местность)
А=334,88
Ксейсм= 1,24 (п.3.12 СБЦ)
К1=0,35 коэффициент относительной стоимости, для начисления сейсмичности (земляное полотно - 23%, водопропускные трубы и водоотвод - 3%, дорожная одежда - 9%)
К2=0,75 - примыкание к дороге с устройством переходно-скоростных полос (п.2 примечаний к табл.3)
к=1,08 - при проектировании с пешеходными дорожками (п.10 примечаний к табл.3)
'К=0,4 - стадия ПД</t>
  </si>
  <si>
    <t>334,88*1,08*(0,35*1,24+0,65)
*0,75*1000*0,4*2</t>
  </si>
  <si>
    <t>Сети освещения
350м</t>
  </si>
  <si>
    <t>(25,97+0,063*350)*1000
*(0,68*1,3+0,32)*0,4</t>
  </si>
  <si>
    <t>К=0,85 относительной стоимости для начисления усложн. к-тов (АС - 56,5%; ТХ-5,5%; ВК-11%; ЭС-11%; Связь - 1%)</t>
  </si>
  <si>
    <t>СБЦП "Предприятия автомобильного транспорта (2006)" 
Табл.1 п.46 Открытые стоянки автотранспорта площадью до 2000 м2</t>
  </si>
  <si>
    <t>Открытая парковка
ориент. площадьюе менее 1000м2</t>
  </si>
  <si>
    <t>1 м2</t>
  </si>
  <si>
    <t>(6+0,044*(0,4*1000+0,6*500))
*(0,85*1,3+0,15)*0,4*1000</t>
  </si>
  <si>
    <t>НЦС 81-02-16-2020
Таблица 16-06-002-02
Площадки, дорожки, троryары шириной от 0,9 м до 2,5 м
с покрытием из асфальтобетонной смеси 2-х слойные</t>
  </si>
  <si>
    <t>Кольцевой разворот</t>
  </si>
  <si>
    <t>1км</t>
  </si>
  <si>
    <t>Освещение дороги</t>
  </si>
  <si>
    <t>Таблица 1 п.1
на обочине по одной стороне (однонаправленные)</t>
  </si>
  <si>
    <t>Коэффициенты на строительство в высокогорных условиях</t>
  </si>
  <si>
    <t>ТЧ сборника п.21
Таблица № 4</t>
  </si>
  <si>
    <t>Пря укреплении насыпи геосинтетическими материалам</t>
  </si>
  <si>
    <t>ТЧ сборника п.27</t>
  </si>
  <si>
    <t>ТЧ сборника п.31
Таблица № 9</t>
  </si>
  <si>
    <t>ТЧ сборника п.32
Таблица № 10</t>
  </si>
  <si>
    <t>Кольцевой разворот с освещением</t>
  </si>
  <si>
    <t>Парковочная площадка</t>
  </si>
  <si>
    <t>НЦС 81-02-08-2020
Таблица 08-07-001-02
Площадка отдыха с устройством ограждения и
искусственного освещения от 20 до 50 машино-мест</t>
  </si>
  <si>
    <t>Парковочная площадка (ориент. 35машино-мест)</t>
  </si>
  <si>
    <t>Наименование работ</t>
  </si>
  <si>
    <t>Сроки выполнения работ</t>
  </si>
  <si>
    <t>Дата начала</t>
  </si>
  <si>
    <t>Дата окончания</t>
  </si>
  <si>
    <t>Длительность (кал. дней)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</si>
  <si>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</si>
  <si>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</si>
  <si>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</si>
  <si>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</si>
  <si>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</si>
  <si>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</si>
  <si>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</si>
  <si>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</si>
  <si>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</si>
  <si>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</si>
  <si>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</si>
  <si>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</si>
  <si>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Разработка проектной, в том числе сметной, документации</t>
  </si>
  <si>
    <t>Экологическая экспертиза, в том числе общественные слушания</t>
  </si>
  <si>
    <t>Государственная экспертиза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</si>
  <si>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утвержденного Приказом акционерного общества "Курорты Северного Кавказа" от 11.10.2019 г. № Пр-19-150; Заданием на проектирование объекта капитального строительства.</t>
  </si>
  <si>
    <t xml:space="preserve">СБЦП 81-2001-03 "Объекты жилищно-гражданского строительства". 2010 г. 
Цена определяется в размере 4% от общей стоимости проектирования - ТЧ п.1.6 </t>
  </si>
  <si>
    <t>Х+120</t>
  </si>
  <si>
    <t>1. ПРОЕКТНЫЕ РАБОТЫ СТАДИИ ПД</t>
  </si>
  <si>
    <t>1.1.</t>
  </si>
  <si>
    <t>2.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</si>
  <si>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>2.1</t>
  </si>
  <si>
    <t>Всесезонный туристско-рекреационный комплекс «Эльбрус», Кабардино-Балкарская Республика. 
Благоустройство центральной части Поляны Азау 3 этап</t>
  </si>
  <si>
    <t xml:space="preserve">более 0,25 млн </t>
  </si>
  <si>
    <t>Тротуары
(350м шириной 2м)</t>
  </si>
  <si>
    <t>НЦС 81-02-08-2020
Таблица 08-04-001-01
Обычная автомобильная дорога, категория IV, дорожная
одежда капитального типа с асфальтобетонным покрытием</t>
  </si>
  <si>
    <t>Тротуар (вдоль дороги)</t>
  </si>
  <si>
    <t>Предполагаемая (предельная) стоимость строительства объекта: Всесезонный туристско-рекреационный комплекс «Эльбрус», Кабардино-Балкарская Республика. 
Благоустройство центральной части Поляны Азау 3 этап</t>
  </si>
  <si>
    <t>Х+106</t>
  </si>
  <si>
    <t>Х+166</t>
  </si>
  <si>
    <t>Х+180</t>
  </si>
  <si>
    <t>Х+153</t>
  </si>
  <si>
    <t>Х+213</t>
  </si>
  <si>
    <t>Календарный план 
выполнения проектно-изыскательских работ по объекту:
«Благоустройство центральной части Поляны Азау» 3 этап</t>
  </si>
  <si>
    <t>3. Продолжительность проектирования 3,5 месяца (в том числе с учетом получения положительного заключения государственной экспертизы).</t>
  </si>
  <si>
    <t>3,5 месяца</t>
  </si>
  <si>
    <t>Расчетная стоимость строительства 
«Благоустройство центральной части Поляны Азау» 3 этап.</t>
  </si>
  <si>
    <t>К= 1,3 ' Усложняющий к-т на сейсмичность - 9 баллов ( МУ 2010 п.3.7)</t>
  </si>
  <si>
    <t xml:space="preserve">Сети ливневой канализации
диам. до 400мм (полиэтилен)
350м </t>
  </si>
  <si>
    <t>(55,04+0,213*350)*1,1
*(0,76*1,3+0,24)*0,5*1000</t>
  </si>
  <si>
    <t>Сети ливневой канализации диам.400мм полиэтилен</t>
  </si>
  <si>
    <t>Сети ливневой канализации</t>
  </si>
  <si>
    <t>Для опредления цены проектных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</si>
  <si>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Итого в ценах IV квартала  2020 г.</t>
  </si>
  <si>
    <t>Пересчет в цены IV квартала 2020 г. по письму Минстроя РФ от 02.11.2020 N 44016-ИФ/09 
К = 4,47 (к уровню цен по состоянию на 01.01.2001)</t>
  </si>
  <si>
    <t>Стоимость инж.изыск.в ценах 4 кв.2020</t>
  </si>
  <si>
    <t>Коэф.4 кв.2020</t>
  </si>
  <si>
    <t>Стоимость проектных работ в ценах 4 кв.2020</t>
  </si>
  <si>
    <t>Применены индексы на IV квартал 2020 года по письму Минстроя РФ от 02.11.2020 N 44016-ИФ/09</t>
  </si>
  <si>
    <r>
      <t xml:space="preserve">Индекс-дефлятор на 2021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IV квартал 2020 года согласно письму Минстроя РФ от 02.11.2020 N 44016-ИФ/09</t>
    </r>
  </si>
  <si>
    <t>Стоимость работ в ценах на дату формирования начальной (максимальной) цены контракта - ноябрь 2020г.</t>
  </si>
  <si>
    <t>Стоимость работ в ценах  сметной документации
IV квартал 2020 г.</t>
  </si>
  <si>
    <t>Индекс пересчета в текущие цены на IV квартал 2020 г. принят согласно Письму Минстроя России от 02.11.2020 
N 44016-ИФ/09</t>
  </si>
  <si>
    <t>(Три миллиона двести три тысячи пятьсот два рубля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</si>
</sst>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_-* #,##0.00_р_._-;\-* #,##0.00_р_._-;_-* &quot;-&quot;_р_._-;_-@_-"/>
    <numFmt numFmtId="170" formatCode="#,##0_ ;\-#,##0\ "/>
    <numFmt numFmtId="171" formatCode="0.0%"/>
    <numFmt numFmtId="172" formatCode="_-* #,##0&quot;р.&quot;_-;\-* #,##0&quot;р.&quot;_-;_-* &quot;-&quot;&quot;р.&quot;_-;_-@_-"/>
    <numFmt numFmtId="173" formatCode="_-* #,##0.00&quot;р.&quot;_-;\-* #,##0.00&quot;р.&quot;_-;_-* &quot;-&quot;??&quot;р.&quot;_-;_-@_-"/>
    <numFmt numFmtId="174" formatCode="_(* #,##0.00_);_(* \(#,##0.00\);_(* &quot;-&quot;??_);_(@_)"/>
    <numFmt numFmtId="175" formatCode="#,##0.000"/>
    <numFmt numFmtId="176" formatCode="0.000"/>
    <numFmt numFmtId="177" formatCode="0.0"/>
    <numFmt numFmtId="178" formatCode="0.00000"/>
    <numFmt numFmtId="179" formatCode="#,##0.00000"/>
    <numFmt numFmtId="180" formatCode="0.000000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3.5"/>
      <color rgb="FF000000"/>
      <name val="Arial"/>
      <family val="2"/>
      <charset val="204"/>
    </font>
    <font>
      <i/>
      <u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26">
    <xf numFmtId="0" fontId="0" fillId="0" borderId="0"/>
    <xf numFmtId="0" fontId="21" fillId="0" borderId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3" borderId="0">
      <alignment horizontal="left" vertical="center"/>
    </xf>
    <xf numFmtId="0" fontId="24" fillId="3" borderId="0">
      <alignment horizontal="center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right" vertical="center"/>
    </xf>
    <xf numFmtId="0" fontId="24" fillId="3" borderId="0">
      <alignment horizontal="center" vertical="center"/>
    </xf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167" fontId="27" fillId="0" borderId="0" applyFont="0" applyFill="0" applyBorder="0" applyAlignment="0" applyProtection="0"/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8" fillId="4" borderId="0">
      <alignment horizontal="righ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5" borderId="0">
      <alignment horizontal="center" vertical="center"/>
    </xf>
    <xf numFmtId="0" fontId="28" fillId="4" borderId="0">
      <alignment horizontal="left" vertical="center"/>
    </xf>
    <xf numFmtId="0" fontId="28" fillId="0" borderId="0">
      <alignment horizontal="left" vertical="top"/>
    </xf>
    <xf numFmtId="0" fontId="24" fillId="5" borderId="0">
      <alignment horizontal="center" vertical="center"/>
    </xf>
    <xf numFmtId="0" fontId="28" fillId="4" borderId="0">
      <alignment horizontal="center" vertical="center"/>
    </xf>
    <xf numFmtId="0" fontId="28" fillId="0" borderId="0">
      <alignment horizontal="center" vertical="center"/>
    </xf>
    <xf numFmtId="0" fontId="29" fillId="4" borderId="0">
      <alignment horizontal="left" vertical="center"/>
    </xf>
    <xf numFmtId="0" fontId="28" fillId="0" borderId="0">
      <alignment horizontal="center" vertical="center"/>
    </xf>
    <xf numFmtId="0" fontId="28" fillId="4" borderId="0">
      <alignment horizontal="center" vertical="center"/>
    </xf>
    <xf numFmtId="0" fontId="28" fillId="4" borderId="0">
      <alignment horizontal="left" vertical="center"/>
    </xf>
    <xf numFmtId="0" fontId="28" fillId="4" borderId="0">
      <alignment horizontal="right" vertical="center"/>
    </xf>
    <xf numFmtId="0" fontId="28" fillId="4" borderId="0">
      <alignment horizontal="center" vertical="center"/>
    </xf>
    <xf numFmtId="0" fontId="28" fillId="4" borderId="0">
      <alignment horizontal="left" vertical="top"/>
    </xf>
    <xf numFmtId="0" fontId="28" fillId="4" borderId="0">
      <alignment horizontal="righ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4" fillId="3" borderId="0">
      <alignment horizontal="center" vertical="center"/>
    </xf>
    <xf numFmtId="0" fontId="24" fillId="3" borderId="0">
      <alignment horizontal="center" vertical="center"/>
    </xf>
    <xf numFmtId="0" fontId="24" fillId="3" borderId="0">
      <alignment horizontal="center" vertical="center"/>
    </xf>
    <xf numFmtId="0" fontId="30" fillId="4" borderId="0">
      <alignment horizontal="left" vertical="top"/>
    </xf>
    <xf numFmtId="0" fontId="28" fillId="4" borderId="0">
      <alignment horizontal="left" vertical="center"/>
    </xf>
    <xf numFmtId="0" fontId="30" fillId="4" borderId="0">
      <alignment horizontal="left" vertical="top"/>
    </xf>
    <xf numFmtId="0" fontId="30" fillId="4" borderId="0">
      <alignment horizontal="center" vertical="center"/>
    </xf>
    <xf numFmtId="0" fontId="31" fillId="4" borderId="0">
      <alignment horizontal="center" vertical="center"/>
    </xf>
    <xf numFmtId="0" fontId="31" fillId="0" borderId="0">
      <alignment horizontal="center" vertical="center"/>
    </xf>
    <xf numFmtId="0" fontId="28" fillId="4" borderId="0">
      <alignment horizontal="center" vertical="center"/>
    </xf>
    <xf numFmtId="0" fontId="28" fillId="0" borderId="0">
      <alignment horizontal="center" vertical="top"/>
    </xf>
    <xf numFmtId="0" fontId="28" fillId="4" borderId="0">
      <alignment horizontal="center" vertical="center"/>
    </xf>
    <xf numFmtId="0" fontId="32" fillId="0" borderId="0">
      <alignment horizontal="left" vertical="top"/>
    </xf>
    <xf numFmtId="0" fontId="28" fillId="4" borderId="0">
      <alignment horizontal="center" vertical="center"/>
    </xf>
    <xf numFmtId="0" fontId="28" fillId="0" borderId="0">
      <alignment horizontal="left" vertical="top"/>
    </xf>
    <xf numFmtId="0" fontId="28" fillId="4" borderId="0">
      <alignment horizontal="left" vertical="center"/>
    </xf>
    <xf numFmtId="0" fontId="32" fillId="0" borderId="0">
      <alignment horizontal="left" vertical="center"/>
    </xf>
    <xf numFmtId="0" fontId="24" fillId="5" borderId="0">
      <alignment horizontal="left" vertical="center"/>
    </xf>
    <xf numFmtId="0" fontId="28" fillId="4" borderId="0">
      <alignment horizontal="left" vertical="center"/>
    </xf>
    <xf numFmtId="0" fontId="32" fillId="0" borderId="0">
      <alignment horizontal="left" vertical="top"/>
    </xf>
    <xf numFmtId="0" fontId="24" fillId="5" borderId="0">
      <alignment horizontal="lef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22" fillId="0" borderId="0"/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5" borderId="0">
      <alignment horizontal="center" vertical="center"/>
    </xf>
    <xf numFmtId="0" fontId="24" fillId="3" borderId="0">
      <alignment horizontal="center" vertical="center"/>
    </xf>
    <xf numFmtId="0" fontId="24" fillId="3" borderId="0">
      <alignment horizontal="center" vertical="center"/>
    </xf>
    <xf numFmtId="0" fontId="24" fillId="5" borderId="0">
      <alignment horizontal="left" vertical="center"/>
    </xf>
    <xf numFmtId="0" fontId="27" fillId="0" borderId="0"/>
    <xf numFmtId="0" fontId="26" fillId="0" borderId="0"/>
    <xf numFmtId="9" fontId="27" fillId="0" borderId="0" applyFont="0" applyFill="0" applyBorder="0" applyAlignment="0" applyProtection="0"/>
    <xf numFmtId="0" fontId="20" fillId="0" borderId="0"/>
    <xf numFmtId="0" fontId="34" fillId="0" borderId="0">
      <alignment horizontal="right" vertical="center"/>
    </xf>
    <xf numFmtId="0" fontId="35" fillId="0" borderId="0">
      <alignment horizontal="left" vertical="center"/>
    </xf>
    <xf numFmtId="0" fontId="36" fillId="0" borderId="0">
      <alignment horizontal="left" vertical="center"/>
    </xf>
    <xf numFmtId="0" fontId="36" fillId="0" borderId="0">
      <alignment horizontal="left" vertical="top"/>
    </xf>
    <xf numFmtId="0" fontId="37" fillId="0" borderId="0">
      <alignment horizontal="center" vertical="center"/>
    </xf>
    <xf numFmtId="0" fontId="36" fillId="0" borderId="0">
      <alignment horizontal="center" vertical="top"/>
    </xf>
    <xf numFmtId="0" fontId="34" fillId="0" borderId="0">
      <alignment horizontal="left" vertical="top"/>
    </xf>
    <xf numFmtId="0" fontId="34" fillId="0" borderId="0">
      <alignment horizontal="left" vertical="center"/>
    </xf>
    <xf numFmtId="0" fontId="36" fillId="0" borderId="4">
      <alignment horizontal="center" vertical="center"/>
    </xf>
    <xf numFmtId="0" fontId="34" fillId="0" borderId="4">
      <alignment horizontal="center" vertical="center"/>
    </xf>
    <xf numFmtId="0" fontId="36" fillId="0" borderId="4">
      <alignment horizontal="left" vertical="center"/>
    </xf>
    <xf numFmtId="0" fontId="36" fillId="0" borderId="4">
      <alignment horizontal="right" vertical="center"/>
    </xf>
    <xf numFmtId="0" fontId="36" fillId="0" borderId="4">
      <alignment horizontal="left" vertical="top"/>
    </xf>
    <xf numFmtId="166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9" fillId="0" borderId="0"/>
    <xf numFmtId="0" fontId="36" fillId="0" borderId="0">
      <alignment horizontal="left" vertical="top"/>
    </xf>
    <xf numFmtId="0" fontId="36" fillId="0" borderId="4">
      <alignment horizontal="right" vertical="top"/>
    </xf>
    <xf numFmtId="0" fontId="36" fillId="0" borderId="4">
      <alignment horizontal="left" vertical="top"/>
    </xf>
    <xf numFmtId="0" fontId="36" fillId="0" borderId="10">
      <alignment horizontal="left" vertical="top"/>
    </xf>
    <xf numFmtId="0" fontId="36" fillId="0" borderId="2">
      <alignment horizontal="left" vertical="top"/>
    </xf>
    <xf numFmtId="0" fontId="34" fillId="0" borderId="0">
      <alignment horizontal="left" vertical="top"/>
    </xf>
    <xf numFmtId="0" fontId="36" fillId="0" borderId="0">
      <alignment horizontal="center" vertical="top"/>
    </xf>
    <xf numFmtId="0" fontId="37" fillId="0" borderId="0">
      <alignment horizontal="center" vertical="center"/>
    </xf>
    <xf numFmtId="0" fontId="18" fillId="0" borderId="0"/>
    <xf numFmtId="0" fontId="21" fillId="0" borderId="0"/>
    <xf numFmtId="0" fontId="28" fillId="4" borderId="0">
      <alignment horizontal="left" vertical="center"/>
    </xf>
    <xf numFmtId="0" fontId="27" fillId="3" borderId="0">
      <alignment horizontal="center" vertical="center"/>
    </xf>
    <xf numFmtId="0" fontId="33" fillId="0" borderId="0"/>
    <xf numFmtId="0" fontId="33" fillId="0" borderId="0"/>
    <xf numFmtId="0" fontId="28" fillId="4" borderId="0">
      <alignment horizontal="left" vertical="center"/>
    </xf>
    <xf numFmtId="0" fontId="18" fillId="0" borderId="0"/>
    <xf numFmtId="0" fontId="22" fillId="0" borderId="0"/>
    <xf numFmtId="0" fontId="48" fillId="0" borderId="0"/>
    <xf numFmtId="166" fontId="2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5" fillId="0" borderId="0"/>
    <xf numFmtId="0" fontId="34" fillId="0" borderId="0">
      <alignment horizontal="right" vertical="center"/>
    </xf>
    <xf numFmtId="0" fontId="34" fillId="0" borderId="0">
      <alignment horizontal="right" vertical="center"/>
    </xf>
    <xf numFmtId="0" fontId="14" fillId="0" borderId="0"/>
    <xf numFmtId="0" fontId="13" fillId="0" borderId="0"/>
    <xf numFmtId="0" fontId="12" fillId="0" borderId="0"/>
    <xf numFmtId="0" fontId="37" fillId="0" borderId="0">
      <alignment horizontal="center" vertical="center"/>
    </xf>
    <xf numFmtId="0" fontId="36" fillId="0" borderId="0">
      <alignment horizontal="center" vertical="top"/>
    </xf>
    <xf numFmtId="0" fontId="34" fillId="0" borderId="0">
      <alignment horizontal="left" vertical="top"/>
    </xf>
    <xf numFmtId="0" fontId="36" fillId="0" borderId="0">
      <alignment horizontal="left" vertical="top"/>
    </xf>
    <xf numFmtId="0" fontId="36" fillId="0" borderId="4">
      <alignment horizontal="center" vertical="center"/>
    </xf>
    <xf numFmtId="0" fontId="34" fillId="0" borderId="4">
      <alignment horizontal="center" vertical="center"/>
    </xf>
    <xf numFmtId="0" fontId="36" fillId="0" borderId="4">
      <alignment horizontal="left" vertical="center"/>
    </xf>
    <xf numFmtId="0" fontId="36" fillId="0" borderId="2">
      <alignment horizontal="left" vertical="top"/>
    </xf>
    <xf numFmtId="0" fontId="36" fillId="0" borderId="4">
      <alignment horizontal="right" vertical="center"/>
    </xf>
    <xf numFmtId="0" fontId="36" fillId="0" borderId="4">
      <alignment horizontal="right" vertical="top"/>
    </xf>
    <xf numFmtId="0" fontId="36" fillId="0" borderId="0">
      <alignment horizontal="left" vertical="center"/>
    </xf>
    <xf numFmtId="0" fontId="10" fillId="0" borderId="0"/>
    <xf numFmtId="0" fontId="9" fillId="0" borderId="0"/>
    <xf numFmtId="0" fontId="8" fillId="0" borderId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1" fillId="0" borderId="0"/>
    <xf numFmtId="167" fontId="3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8" fillId="0" borderId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8" fillId="0" borderId="0"/>
    <xf numFmtId="0" fontId="34" fillId="0" borderId="0">
      <alignment horizontal="right" vertical="center"/>
    </xf>
    <xf numFmtId="0" fontId="34" fillId="0" borderId="0">
      <alignment horizontal="right" vertical="center"/>
    </xf>
    <xf numFmtId="0" fontId="36" fillId="0" borderId="4">
      <alignment horizontal="right" vertical="top"/>
    </xf>
    <xf numFmtId="0" fontId="36" fillId="0" borderId="4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8" fillId="0" borderId="0"/>
    <xf numFmtId="167" fontId="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171" fontId="21" fillId="0" borderId="0" applyFont="0" applyFill="0" applyBorder="0" applyAlignment="0" applyProtection="0"/>
    <xf numFmtId="0" fontId="26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4" borderId="0" applyNumberFormat="0" applyBorder="0" applyAlignment="0" applyProtection="0"/>
    <xf numFmtId="0" fontId="58" fillId="8" borderId="0" applyNumberFormat="0" applyBorder="0" applyAlignment="0" applyProtection="0"/>
    <xf numFmtId="0" fontId="59" fillId="25" borderId="17" applyNumberFormat="0" applyAlignment="0" applyProtection="0"/>
    <xf numFmtId="0" fontId="60" fillId="26" borderId="18" applyNumberFormat="0" applyAlignment="0" applyProtection="0"/>
    <xf numFmtId="0" fontId="61" fillId="0" borderId="0" applyNumberFormat="0" applyFill="0" applyBorder="0" applyAlignment="0" applyProtection="0"/>
    <xf numFmtId="0" fontId="62" fillId="9" borderId="0" applyNumberFormat="0" applyBorder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12" borderId="17" applyNumberFormat="0" applyAlignment="0" applyProtection="0"/>
    <xf numFmtId="0" fontId="67" fillId="0" borderId="22" applyNumberFormat="0" applyFill="0" applyAlignment="0" applyProtection="0"/>
    <xf numFmtId="0" fontId="68" fillId="27" borderId="0" applyNumberFormat="0" applyBorder="0" applyAlignment="0" applyProtection="0"/>
    <xf numFmtId="0" fontId="69" fillId="0" borderId="0" applyNumberFormat="0" applyFill="0" applyBorder="0" applyAlignment="0" applyProtection="0"/>
    <xf numFmtId="0" fontId="21" fillId="28" borderId="23" applyNumberFormat="0" applyFont="0" applyAlignment="0" applyProtection="0"/>
    <xf numFmtId="0" fontId="70" fillId="25" borderId="24" applyNumberFormat="0" applyAlignment="0" applyProtection="0"/>
    <xf numFmtId="0" fontId="28" fillId="4" borderId="0">
      <alignment horizontal="left" vertical="center"/>
    </xf>
    <xf numFmtId="0" fontId="28" fillId="0" borderId="0">
      <alignment horizontal="center" vertical="center"/>
    </xf>
    <xf numFmtId="0" fontId="32" fillId="0" borderId="0">
      <alignment horizontal="center" vertical="center"/>
    </xf>
    <xf numFmtId="0" fontId="28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28" fillId="0" borderId="0">
      <alignment horizontal="left" vertical="top"/>
    </xf>
    <xf numFmtId="0" fontId="28" fillId="0" borderId="0">
      <alignment horizontal="right" vertical="center"/>
    </xf>
    <xf numFmtId="0" fontId="28" fillId="0" borderId="0">
      <alignment horizontal="left" vertical="center"/>
    </xf>
    <xf numFmtId="0" fontId="24" fillId="3" borderId="0">
      <alignment horizontal="center" vertical="center"/>
    </xf>
    <xf numFmtId="0" fontId="28" fillId="0" borderId="0">
      <alignment horizontal="right" vertical="top"/>
    </xf>
    <xf numFmtId="0" fontId="28" fillId="0" borderId="0">
      <alignment horizontal="left" vertical="top"/>
    </xf>
    <xf numFmtId="0" fontId="71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172" fontId="2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0"/>
    <xf numFmtId="0" fontId="6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22" fillId="0" borderId="0"/>
    <xf numFmtId="173" fontId="21" fillId="0" borderId="0" applyFont="0" applyFill="0" applyBorder="0" applyAlignment="0" applyProtection="0"/>
    <xf numFmtId="0" fontId="2" fillId="0" borderId="0"/>
  </cellStyleXfs>
  <cellXfs count="567">
    <xf numFmtId="0" fontId="0" fillId="0" borderId="0" xfId="0"/>
    <xf numFmtId="0" fontId="25" fillId="2" borderId="0" xfId="63" applyFont="1" applyFill="1"/>
    <xf numFmtId="0" fontId="25" fillId="2" borderId="0" xfId="63" applyFont="1" applyFill="1" applyAlignment="1">
      <alignment vertical="center"/>
    </xf>
    <xf numFmtId="0" fontId="25" fillId="2" borderId="4" xfId="1" applyFont="1" applyFill="1" applyBorder="1" applyAlignment="1">
      <alignment horizontal="left" vertical="center" wrapText="1" shrinkToFit="1"/>
    </xf>
    <xf numFmtId="0" fontId="39" fillId="2" borderId="4" xfId="1" applyFont="1" applyFill="1" applyBorder="1" applyAlignment="1">
      <alignment horizontal="center" vertical="center" wrapText="1"/>
    </xf>
    <xf numFmtId="0" fontId="39" fillId="2" borderId="11" xfId="1" applyFont="1" applyFill="1" applyBorder="1" applyAlignment="1">
      <alignment horizontal="center" vertical="center" wrapText="1"/>
    </xf>
    <xf numFmtId="0" fontId="21" fillId="0" borderId="0" xfId="1" applyFont="1" applyFill="1"/>
    <xf numFmtId="0" fontId="43" fillId="2" borderId="4" xfId="1" applyFont="1" applyFill="1" applyBorder="1" applyAlignment="1">
      <alignment horizontal="left" vertical="center" wrapText="1"/>
    </xf>
    <xf numFmtId="0" fontId="39" fillId="0" borderId="0" xfId="1" applyFont="1"/>
    <xf numFmtId="0" fontId="40" fillId="3" borderId="0" xfId="1" applyFont="1" applyFill="1"/>
    <xf numFmtId="166" fontId="21" fillId="0" borderId="0" xfId="1" applyNumberFormat="1" applyFont="1"/>
    <xf numFmtId="0" fontId="21" fillId="0" borderId="0" xfId="1" applyFont="1" applyAlignment="1">
      <alignment horizontal="center" vertical="center"/>
    </xf>
    <xf numFmtId="9" fontId="39" fillId="2" borderId="11" xfId="1" applyNumberFormat="1" applyFont="1" applyFill="1" applyBorder="1" applyAlignment="1">
      <alignment horizontal="center" vertical="center" wrapText="1"/>
    </xf>
    <xf numFmtId="4" fontId="41" fillId="2" borderId="4" xfId="1" applyNumberFormat="1" applyFont="1" applyFill="1" applyBorder="1" applyAlignment="1">
      <alignment horizontal="center" vertical="center" wrapText="1"/>
    </xf>
    <xf numFmtId="0" fontId="21" fillId="0" borderId="0" xfId="1" applyFont="1"/>
    <xf numFmtId="0" fontId="23" fillId="2" borderId="0" xfId="63" applyFont="1" applyFill="1" applyAlignment="1">
      <alignment horizontal="left" vertical="center" wrapText="1"/>
    </xf>
    <xf numFmtId="0" fontId="39" fillId="0" borderId="0" xfId="1" applyFont="1" applyFill="1" applyAlignment="1">
      <alignment horizontal="center" vertical="center"/>
    </xf>
    <xf numFmtId="0" fontId="39" fillId="0" borderId="0" xfId="1" applyFont="1" applyFill="1"/>
    <xf numFmtId="0" fontId="38" fillId="0" borderId="0" xfId="1" applyFont="1" applyFill="1" applyAlignment="1">
      <alignment horizontal="center" vertical="center"/>
    </xf>
    <xf numFmtId="0" fontId="39" fillId="0" borderId="0" xfId="1" applyFont="1" applyFill="1" applyAlignment="1">
      <alignment horizontal="left" vertical="top"/>
    </xf>
    <xf numFmtId="0" fontId="41" fillId="0" borderId="0" xfId="1" applyFont="1" applyBorder="1" applyAlignment="1">
      <alignment horizontal="left" vertical="top"/>
    </xf>
    <xf numFmtId="0" fontId="39" fillId="0" borderId="0" xfId="1" applyFont="1" applyBorder="1" applyAlignment="1"/>
    <xf numFmtId="0" fontId="39" fillId="0" borderId="0" xfId="1" applyFont="1" applyBorder="1" applyAlignment="1">
      <alignment horizontal="center" vertical="center"/>
    </xf>
    <xf numFmtId="0" fontId="21" fillId="0" borderId="0" xfId="1" applyFont="1" applyBorder="1" applyAlignment="1"/>
    <xf numFmtId="0" fontId="38" fillId="0" borderId="4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3" fillId="3" borderId="4" xfId="1" applyFont="1" applyFill="1" applyBorder="1" applyAlignment="1">
      <alignment horizontal="center" vertical="center" wrapText="1"/>
    </xf>
    <xf numFmtId="0" fontId="39" fillId="3" borderId="4" xfId="1" applyFont="1" applyFill="1" applyBorder="1" applyAlignment="1">
      <alignment horizontal="left" vertical="center" wrapText="1"/>
    </xf>
    <xf numFmtId="0" fontId="39" fillId="3" borderId="4" xfId="1" applyFont="1" applyFill="1" applyBorder="1" applyAlignment="1">
      <alignment horizontal="center" vertical="center" wrapText="1"/>
    </xf>
    <xf numFmtId="0" fontId="25" fillId="3" borderId="4" xfId="1" applyFont="1" applyFill="1" applyBorder="1" applyAlignment="1">
      <alignment horizontal="center" vertical="center" wrapText="1"/>
    </xf>
    <xf numFmtId="2" fontId="25" fillId="3" borderId="4" xfId="1" applyNumberFormat="1" applyFont="1" applyFill="1" applyBorder="1" applyAlignment="1">
      <alignment horizontal="right" vertical="center"/>
    </xf>
    <xf numFmtId="0" fontId="22" fillId="3" borderId="4" xfId="1" applyFont="1" applyFill="1" applyBorder="1" applyAlignment="1">
      <alignment horizontal="center" vertical="center" wrapText="1"/>
    </xf>
    <xf numFmtId="0" fontId="43" fillId="3" borderId="4" xfId="1" applyFont="1" applyFill="1" applyBorder="1" applyAlignment="1">
      <alignment horizontal="left" vertical="center" wrapText="1"/>
    </xf>
    <xf numFmtId="0" fontId="43" fillId="3" borderId="4" xfId="1" applyFont="1" applyFill="1" applyBorder="1" applyAlignment="1">
      <alignment horizontal="center" vertical="center" wrapText="1"/>
    </xf>
    <xf numFmtId="4" fontId="43" fillId="3" borderId="4" xfId="1" applyNumberFormat="1" applyFont="1" applyFill="1" applyBorder="1" applyAlignment="1">
      <alignment horizontal="right" vertical="center" wrapText="1"/>
    </xf>
    <xf numFmtId="0" fontId="44" fillId="3" borderId="4" xfId="1" applyFont="1" applyFill="1" applyBorder="1" applyAlignment="1">
      <alignment horizontal="center" vertical="center" wrapText="1"/>
    </xf>
    <xf numFmtId="4" fontId="41" fillId="2" borderId="4" xfId="63" applyNumberFormat="1" applyFont="1" applyFill="1" applyBorder="1" applyAlignment="1">
      <alignment horizontal="center" vertical="center" wrapText="1"/>
    </xf>
    <xf numFmtId="0" fontId="43" fillId="2" borderId="4" xfId="63" applyFont="1" applyFill="1" applyBorder="1" applyAlignment="1">
      <alignment horizontal="left" vertical="center" wrapText="1"/>
    </xf>
    <xf numFmtId="0" fontId="39" fillId="2" borderId="4" xfId="63" applyFont="1" applyFill="1" applyBorder="1" applyAlignment="1">
      <alignment horizontal="center" vertical="center" wrapText="1"/>
    </xf>
    <xf numFmtId="9" fontId="39" fillId="2" borderId="4" xfId="63" applyNumberFormat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4" fontId="25" fillId="0" borderId="4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10" fontId="25" fillId="0" borderId="11" xfId="1" applyNumberFormat="1" applyFont="1" applyFill="1" applyBorder="1" applyAlignment="1">
      <alignment horizontal="center" vertical="center" wrapText="1"/>
    </xf>
    <xf numFmtId="10" fontId="25" fillId="0" borderId="0" xfId="1" applyNumberFormat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/>
    <xf numFmtId="0" fontId="43" fillId="0" borderId="4" xfId="1" applyFont="1" applyFill="1" applyBorder="1" applyAlignment="1">
      <alignment horizontal="left" vertical="center" wrapText="1"/>
    </xf>
    <xf numFmtId="0" fontId="43" fillId="0" borderId="4" xfId="1" applyFont="1" applyFill="1" applyBorder="1" applyAlignment="1">
      <alignment horizontal="center" vertical="center" wrapText="1"/>
    </xf>
    <xf numFmtId="0" fontId="39" fillId="0" borderId="11" xfId="1" applyFont="1" applyFill="1" applyBorder="1" applyAlignment="1">
      <alignment horizontal="center" vertical="center" wrapText="1"/>
    </xf>
    <xf numFmtId="0" fontId="39" fillId="0" borderId="4" xfId="1" applyFont="1" applyFill="1" applyBorder="1" applyAlignment="1">
      <alignment horizontal="center" vertical="center" wrapText="1"/>
    </xf>
    <xf numFmtId="0" fontId="25" fillId="3" borderId="4" xfId="1" applyFont="1" applyFill="1" applyBorder="1" applyAlignment="1">
      <alignment horizontal="left" vertical="center" wrapText="1"/>
    </xf>
    <xf numFmtId="2" fontId="25" fillId="3" borderId="4" xfId="1" applyNumberFormat="1" applyFont="1" applyFill="1" applyBorder="1" applyAlignment="1">
      <alignment horizontal="center" vertical="center" wrapText="1"/>
    </xf>
    <xf numFmtId="2" fontId="25" fillId="3" borderId="4" xfId="1" applyNumberFormat="1" applyFont="1" applyFill="1" applyBorder="1" applyAlignment="1">
      <alignment horizontal="left" vertical="center"/>
    </xf>
    <xf numFmtId="9" fontId="25" fillId="3" borderId="4" xfId="1" applyNumberFormat="1" applyFont="1" applyFill="1" applyBorder="1" applyAlignment="1">
      <alignment horizontal="center" vertical="center"/>
    </xf>
    <xf numFmtId="168" fontId="25" fillId="3" borderId="4" xfId="1" applyNumberFormat="1" applyFont="1" applyFill="1" applyBorder="1" applyAlignment="1">
      <alignment horizontal="center" vertical="center"/>
    </xf>
    <xf numFmtId="2" fontId="21" fillId="3" borderId="4" xfId="1" applyNumberFormat="1" applyFont="1" applyFill="1" applyBorder="1" applyAlignment="1">
      <alignment horizontal="center"/>
    </xf>
    <xf numFmtId="9" fontId="25" fillId="3" borderId="4" xfId="1" applyNumberFormat="1" applyFont="1" applyFill="1" applyBorder="1" applyAlignment="1">
      <alignment horizontal="left" vertical="center" wrapText="1"/>
    </xf>
    <xf numFmtId="4" fontId="25" fillId="3" borderId="4" xfId="1" applyNumberFormat="1" applyFont="1" applyFill="1" applyBorder="1" applyAlignment="1">
      <alignment horizontal="right" vertical="center" wrapText="1"/>
    </xf>
    <xf numFmtId="10" fontId="25" fillId="3" borderId="4" xfId="1" applyNumberFormat="1" applyFont="1" applyFill="1" applyBorder="1" applyAlignment="1">
      <alignment horizontal="center" vertical="center"/>
    </xf>
    <xf numFmtId="2" fontId="25" fillId="3" borderId="4" xfId="1" applyNumberFormat="1" applyFont="1" applyFill="1" applyBorder="1" applyAlignment="1">
      <alignment horizontal="left" vertical="center" wrapText="1"/>
    </xf>
    <xf numFmtId="0" fontId="23" fillId="3" borderId="4" xfId="1" applyFont="1" applyFill="1" applyBorder="1" applyAlignment="1">
      <alignment horizontal="left" vertical="center" wrapText="1"/>
    </xf>
    <xf numFmtId="2" fontId="23" fillId="3" borderId="4" xfId="1" applyNumberFormat="1" applyFont="1" applyFill="1" applyBorder="1" applyAlignment="1">
      <alignment horizontal="center" vertical="center" wrapText="1"/>
    </xf>
    <xf numFmtId="2" fontId="23" fillId="3" borderId="4" xfId="1" applyNumberFormat="1" applyFont="1" applyFill="1" applyBorder="1" applyAlignment="1">
      <alignment horizontal="left" vertical="center"/>
    </xf>
    <xf numFmtId="9" fontId="23" fillId="3" borderId="4" xfId="1" applyNumberFormat="1" applyFont="1" applyFill="1" applyBorder="1" applyAlignment="1">
      <alignment horizontal="center" vertical="center"/>
    </xf>
    <xf numFmtId="168" fontId="23" fillId="3" borderId="4" xfId="1" applyNumberFormat="1" applyFont="1" applyFill="1" applyBorder="1" applyAlignment="1">
      <alignment horizontal="center" vertical="center"/>
    </xf>
    <xf numFmtId="2" fontId="40" fillId="3" borderId="4" xfId="1" applyNumberFormat="1" applyFont="1" applyFill="1" applyBorder="1" applyAlignment="1">
      <alignment horizontal="center"/>
    </xf>
    <xf numFmtId="9" fontId="23" fillId="3" borderId="4" xfId="1" applyNumberFormat="1" applyFont="1" applyFill="1" applyBorder="1" applyAlignment="1">
      <alignment horizontal="left" vertical="center" wrapText="1"/>
    </xf>
    <xf numFmtId="4" fontId="23" fillId="3" borderId="4" xfId="1" applyNumberFormat="1" applyFont="1" applyFill="1" applyBorder="1" applyAlignment="1">
      <alignment horizontal="right" vertical="center" wrapText="1"/>
    </xf>
    <xf numFmtId="0" fontId="22" fillId="0" borderId="4" xfId="1" applyFont="1" applyBorder="1" applyAlignment="1">
      <alignment horizontal="center" vertical="center"/>
    </xf>
    <xf numFmtId="0" fontId="38" fillId="3" borderId="4" xfId="1" applyFont="1" applyFill="1" applyBorder="1" applyAlignment="1">
      <alignment horizontal="left" vertical="center" wrapText="1"/>
    </xf>
    <xf numFmtId="9" fontId="25" fillId="3" borderId="4" xfId="1" applyNumberFormat="1" applyFont="1" applyFill="1" applyBorder="1" applyAlignment="1">
      <alignment horizontal="center" vertical="center" wrapText="1"/>
    </xf>
    <xf numFmtId="2" fontId="25" fillId="3" borderId="4" xfId="1" applyNumberFormat="1" applyFont="1" applyFill="1" applyBorder="1" applyAlignment="1">
      <alignment horizontal="center" vertical="center"/>
    </xf>
    <xf numFmtId="0" fontId="21" fillId="0" borderId="0" xfId="1" applyFont="1" applyFill="1" applyBorder="1"/>
    <xf numFmtId="0" fontId="38" fillId="0" borderId="4" xfId="1" applyFont="1" applyBorder="1" applyAlignment="1">
      <alignment horizontal="left" vertical="center" wrapText="1"/>
    </xf>
    <xf numFmtId="0" fontId="39" fillId="0" borderId="4" xfId="1" applyFont="1" applyBorder="1"/>
    <xf numFmtId="166" fontId="38" fillId="0" borderId="4" xfId="3" applyFont="1" applyBorder="1" applyAlignment="1"/>
    <xf numFmtId="0" fontId="21" fillId="0" borderId="4" xfId="1" applyFont="1" applyBorder="1"/>
    <xf numFmtId="169" fontId="38" fillId="0" borderId="5" xfId="1" applyNumberFormat="1" applyFont="1" applyBorder="1" applyAlignment="1"/>
    <xf numFmtId="4" fontId="23" fillId="3" borderId="5" xfId="1" applyNumberFormat="1" applyFont="1" applyFill="1" applyBorder="1" applyAlignment="1">
      <alignment horizontal="right" vertical="center" wrapText="1"/>
    </xf>
    <xf numFmtId="0" fontId="21" fillId="0" borderId="4" xfId="1" applyFont="1" applyBorder="1" applyAlignment="1"/>
    <xf numFmtId="169" fontId="38" fillId="0" borderId="4" xfId="1" applyNumberFormat="1" applyFont="1" applyBorder="1" applyAlignment="1"/>
    <xf numFmtId="0" fontId="21" fillId="0" borderId="0" xfId="1" applyFont="1" applyBorder="1"/>
    <xf numFmtId="9" fontId="23" fillId="0" borderId="0" xfId="1" applyNumberFormat="1" applyFont="1" applyBorder="1" applyAlignment="1">
      <alignment horizontal="left"/>
    </xf>
    <xf numFmtId="4" fontId="23" fillId="3" borderId="0" xfId="1" applyNumberFormat="1" applyFont="1" applyFill="1" applyBorder="1" applyAlignment="1">
      <alignment horizontal="center" vertical="center" wrapText="1"/>
    </xf>
    <xf numFmtId="9" fontId="25" fillId="0" borderId="0" xfId="1" applyNumberFormat="1" applyFont="1" applyBorder="1" applyAlignment="1">
      <alignment horizontal="left"/>
    </xf>
    <xf numFmtId="0" fontId="46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3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2" borderId="4" xfId="63" applyFont="1" applyFill="1" applyBorder="1" applyAlignment="1">
      <alignment horizontal="center"/>
    </xf>
    <xf numFmtId="0" fontId="25" fillId="2" borderId="4" xfId="63" applyFont="1" applyFill="1" applyBorder="1"/>
    <xf numFmtId="0" fontId="11" fillId="0" borderId="4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justify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5" fillId="2" borderId="0" xfId="63" applyFont="1" applyFill="1"/>
    <xf numFmtId="0" fontId="5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23" fillId="2" borderId="0" xfId="63" applyNumberFormat="1" applyFont="1" applyFill="1" applyBorder="1" applyAlignment="1">
      <alignment horizontal="right" vertical="center" wrapText="1"/>
    </xf>
    <xf numFmtId="3" fontId="23" fillId="0" borderId="0" xfId="63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/>
    <xf numFmtId="4" fontId="49" fillId="0" borderId="0" xfId="0" applyNumberFormat="1" applyFont="1" applyFill="1"/>
    <xf numFmtId="0" fontId="49" fillId="0" borderId="0" xfId="0" applyFont="1" applyAlignment="1">
      <alignment horizontal="right"/>
    </xf>
    <xf numFmtId="0" fontId="90" fillId="0" borderId="0" xfId="0" applyFont="1"/>
    <xf numFmtId="4" fontId="90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center"/>
    </xf>
    <xf numFmtId="4" fontId="89" fillId="2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5" fontId="0" fillId="0" borderId="4" xfId="0" applyNumberFormat="1" applyBorder="1" applyAlignment="1">
      <alignment horizontal="center"/>
    </xf>
    <xf numFmtId="0" fontId="93" fillId="0" borderId="0" xfId="0" applyFont="1" applyFill="1" applyBorder="1" applyAlignment="1">
      <alignment horizontal="right"/>
    </xf>
    <xf numFmtId="4" fontId="93" fillId="0" borderId="0" xfId="0" applyNumberFormat="1" applyFont="1" applyBorder="1" applyAlignment="1">
      <alignment horizontal="center"/>
    </xf>
    <xf numFmtId="2" fontId="0" fillId="0" borderId="0" xfId="0" applyNumberFormat="1"/>
    <xf numFmtId="0" fontId="23" fillId="0" borderId="4" xfId="0" applyFont="1" applyBorder="1" applyAlignment="1">
      <alignment horizontal="center"/>
    </xf>
    <xf numFmtId="0" fontId="47" fillId="0" borderId="4" xfId="0" applyFont="1" applyFill="1" applyBorder="1" applyAlignment="1">
      <alignment horizontal="right"/>
    </xf>
    <xf numFmtId="4" fontId="47" fillId="0" borderId="4" xfId="0" applyNumberFormat="1" applyFont="1" applyBorder="1" applyAlignment="1">
      <alignment horizontal="center"/>
    </xf>
    <xf numFmtId="0" fontId="94" fillId="0" borderId="0" xfId="0" applyFont="1" applyAlignment="1">
      <alignment vertical="center"/>
    </xf>
    <xf numFmtId="0" fontId="89" fillId="0" borderId="4" xfId="0" applyFont="1" applyBorder="1" applyAlignment="1">
      <alignment vertical="center" wrapText="1"/>
    </xf>
    <xf numFmtId="0" fontId="89" fillId="0" borderId="4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/>
    </xf>
    <xf numFmtId="0" fontId="89" fillId="0" borderId="4" xfId="0" applyFont="1" applyBorder="1" applyAlignment="1">
      <alignment horizontal="center"/>
    </xf>
    <xf numFmtId="175" fontId="89" fillId="0" borderId="4" xfId="0" applyNumberFormat="1" applyFont="1" applyBorder="1" applyAlignment="1">
      <alignment horizontal="center"/>
    </xf>
    <xf numFmtId="0" fontId="89" fillId="0" borderId="4" xfId="0" applyFont="1" applyBorder="1"/>
    <xf numFmtId="3" fontId="89" fillId="0" borderId="4" xfId="0" applyNumberFormat="1" applyFont="1" applyBorder="1" applyAlignment="1">
      <alignment horizontal="center"/>
    </xf>
    <xf numFmtId="0" fontId="47" fillId="0" borderId="4" xfId="0" applyFont="1" applyBorder="1" applyAlignment="1">
      <alignment vertical="center" wrapText="1"/>
    </xf>
    <xf numFmtId="3" fontId="47" fillId="0" borderId="4" xfId="0" applyNumberFormat="1" applyFont="1" applyBorder="1" applyAlignment="1">
      <alignment horizontal="center"/>
    </xf>
    <xf numFmtId="0" fontId="89" fillId="0" borderId="0" xfId="0" applyFont="1"/>
    <xf numFmtId="0" fontId="89" fillId="2" borderId="4" xfId="0" applyFont="1" applyFill="1" applyBorder="1" applyAlignment="1">
      <alignment vertical="center"/>
    </xf>
    <xf numFmtId="0" fontId="89" fillId="2" borderId="4" xfId="0" applyFont="1" applyFill="1" applyBorder="1" applyAlignment="1">
      <alignment horizontal="center" vertical="center"/>
    </xf>
    <xf numFmtId="175" fontId="89" fillId="2" borderId="4" xfId="0" applyNumberFormat="1" applyFont="1" applyFill="1" applyBorder="1" applyAlignment="1">
      <alignment horizontal="center" vertical="center"/>
    </xf>
    <xf numFmtId="176" fontId="89" fillId="2" borderId="4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89" fillId="0" borderId="4" xfId="139" quotePrefix="1" applyFont="1" applyAlignment="1">
      <alignment horizontal="center" vertical="center" wrapText="1"/>
    </xf>
    <xf numFmtId="0" fontId="25" fillId="2" borderId="4" xfId="0" applyFont="1" applyFill="1" applyBorder="1" applyAlignment="1">
      <alignment wrapText="1"/>
    </xf>
    <xf numFmtId="170" fontId="25" fillId="2" borderId="4" xfId="99" applyNumberFormat="1" applyFont="1" applyFill="1" applyBorder="1" applyAlignment="1">
      <alignment horizontal="center" wrapText="1"/>
    </xf>
    <xf numFmtId="3" fontId="25" fillId="2" borderId="4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Alignment="1">
      <alignment horizontal="center"/>
    </xf>
    <xf numFmtId="0" fontId="23" fillId="0" borderId="0" xfId="0" applyFont="1" applyAlignment="1">
      <alignment vertical="center"/>
    </xf>
    <xf numFmtId="0" fontId="94" fillId="0" borderId="0" xfId="0" applyFont="1"/>
    <xf numFmtId="0" fontId="23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" fontId="96" fillId="29" borderId="4" xfId="0" applyNumberFormat="1" applyFont="1" applyFill="1" applyBorder="1"/>
    <xf numFmtId="0" fontId="97" fillId="0" borderId="0" xfId="0" applyFont="1"/>
    <xf numFmtId="0" fontId="0" fillId="0" borderId="4" xfId="0" applyBorder="1" applyAlignment="1">
      <alignment horizontal="center"/>
    </xf>
    <xf numFmtId="14" fontId="97" fillId="0" borderId="0" xfId="0" applyNumberFormat="1" applyFont="1" applyBorder="1" applyAlignment="1">
      <alignment horizontal="center" vertical="center" wrapText="1"/>
    </xf>
    <xf numFmtId="0" fontId="95" fillId="0" borderId="0" xfId="0" applyFont="1"/>
    <xf numFmtId="0" fontId="97" fillId="0" borderId="0" xfId="0" applyFont="1" applyAlignment="1">
      <alignment horizontal="left"/>
    </xf>
    <xf numFmtId="0" fontId="97" fillId="0" borderId="0" xfId="0" applyFont="1" applyAlignment="1">
      <alignment horizontal="center" vertical="center"/>
    </xf>
    <xf numFmtId="0" fontId="22" fillId="0" borderId="0" xfId="63"/>
    <xf numFmtId="0" fontId="0" fillId="0" borderId="4" xfId="0" applyBorder="1" applyAlignment="1">
      <alignment vertical="center"/>
    </xf>
    <xf numFmtId="0" fontId="0" fillId="0" borderId="4" xfId="0" applyBorder="1"/>
    <xf numFmtId="0" fontId="4" fillId="0" borderId="0" xfId="1922"/>
    <xf numFmtId="178" fontId="95" fillId="0" borderId="0" xfId="0" applyNumberFormat="1" applyFont="1"/>
    <xf numFmtId="10" fontId="95" fillId="0" borderId="0" xfId="0" applyNumberFormat="1" applyFont="1"/>
    <xf numFmtId="0" fontId="0" fillId="0" borderId="0" xfId="0" applyAlignment="1">
      <alignment wrapText="1"/>
    </xf>
    <xf numFmtId="0" fontId="100" fillId="0" borderId="0" xfId="0" applyFont="1" applyAlignment="1">
      <alignment horizontal="right" vertical="center"/>
    </xf>
    <xf numFmtId="0" fontId="30" fillId="6" borderId="26" xfId="0" applyFont="1" applyFill="1" applyBorder="1" applyAlignment="1">
      <alignment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1" fillId="2" borderId="4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0" fillId="2" borderId="0" xfId="0" applyFill="1"/>
    <xf numFmtId="0" fontId="30" fillId="0" borderId="4" xfId="0" applyFont="1" applyBorder="1" applyAlignment="1">
      <alignment horizontal="justify" vertical="center"/>
    </xf>
    <xf numFmtId="0" fontId="96" fillId="0" borderId="4" xfId="0" applyFont="1" applyBorder="1" applyAlignment="1">
      <alignment wrapText="1"/>
    </xf>
    <xf numFmtId="4" fontId="96" fillId="0" borderId="4" xfId="0" applyNumberFormat="1" applyFont="1" applyBorder="1" applyAlignment="1">
      <alignment horizontal="center"/>
    </xf>
    <xf numFmtId="0" fontId="101" fillId="2" borderId="28" xfId="1" applyFont="1" applyFill="1" applyBorder="1" applyAlignment="1">
      <alignment vertical="center" wrapText="1"/>
    </xf>
    <xf numFmtId="0" fontId="101" fillId="2" borderId="27" xfId="1" applyFont="1" applyFill="1" applyBorder="1" applyAlignment="1">
      <alignment horizontal="center" vertical="center" wrapText="1"/>
    </xf>
    <xf numFmtId="0" fontId="53" fillId="2" borderId="26" xfId="1" applyFont="1" applyFill="1" applyBorder="1" applyAlignment="1">
      <alignment horizontal="center" vertical="center" wrapText="1"/>
    </xf>
    <xf numFmtId="0" fontId="101" fillId="2" borderId="26" xfId="1" applyFont="1" applyFill="1" applyBorder="1" applyAlignment="1">
      <alignment vertical="center" wrapText="1"/>
    </xf>
    <xf numFmtId="0" fontId="101" fillId="2" borderId="26" xfId="1" applyFont="1" applyFill="1" applyBorder="1" applyAlignment="1">
      <alignment horizontal="center" vertical="center" wrapText="1"/>
    </xf>
    <xf numFmtId="0" fontId="53" fillId="2" borderId="27" xfId="1" applyFont="1" applyFill="1" applyBorder="1" applyAlignment="1">
      <alignment horizontal="center" vertical="center" wrapText="1"/>
    </xf>
    <xf numFmtId="0" fontId="101" fillId="2" borderId="31" xfId="1" applyFont="1" applyFill="1" applyBorder="1" applyAlignment="1">
      <alignment vertical="center" wrapText="1"/>
    </xf>
    <xf numFmtId="0" fontId="101" fillId="2" borderId="4" xfId="1" applyFont="1" applyFill="1" applyBorder="1" applyAlignment="1">
      <alignment horizontal="center" vertical="center" wrapText="1"/>
    </xf>
    <xf numFmtId="0" fontId="101" fillId="2" borderId="4" xfId="1" applyFont="1" applyFill="1" applyBorder="1" applyAlignment="1">
      <alignment vertical="center" wrapText="1"/>
    </xf>
    <xf numFmtId="0" fontId="101" fillId="2" borderId="28" xfId="1" applyFont="1" applyFill="1" applyBorder="1" applyAlignment="1">
      <alignment horizontal="center" vertical="center" wrapText="1"/>
    </xf>
    <xf numFmtId="0" fontId="53" fillId="2" borderId="26" xfId="1" applyFont="1" applyFill="1" applyBorder="1" applyAlignment="1">
      <alignment vertical="center" wrapText="1"/>
    </xf>
    <xf numFmtId="0" fontId="102" fillId="0" borderId="26" xfId="1" applyFont="1" applyBorder="1" applyAlignment="1">
      <alignment vertical="center" wrapText="1"/>
    </xf>
    <xf numFmtId="0" fontId="53" fillId="0" borderId="30" xfId="1" applyFont="1" applyBorder="1" applyAlignment="1">
      <alignment horizontal="center" vertical="center" wrapText="1"/>
    </xf>
    <xf numFmtId="0" fontId="53" fillId="0" borderId="26" xfId="1" applyFont="1" applyBorder="1" applyAlignment="1">
      <alignment horizontal="center" vertical="center" wrapText="1"/>
    </xf>
    <xf numFmtId="4" fontId="102" fillId="0" borderId="26" xfId="1" applyNumberFormat="1" applyFont="1" applyBorder="1" applyAlignment="1">
      <alignment horizontal="center" vertical="center" wrapText="1"/>
    </xf>
    <xf numFmtId="4" fontId="53" fillId="0" borderId="26" xfId="1" applyNumberFormat="1" applyFont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wrapText="1"/>
    </xf>
    <xf numFmtId="0" fontId="25" fillId="2" borderId="4" xfId="0" applyNumberFormat="1" applyFont="1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5" fillId="2" borderId="11" xfId="147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89" fillId="0" borderId="0" xfId="147" applyFont="1" applyAlignment="1">
      <alignment wrapText="1"/>
    </xf>
    <xf numFmtId="3" fontId="25" fillId="2" borderId="11" xfId="143" applyNumberFormat="1" applyFont="1" applyFill="1" applyBorder="1" applyAlignment="1">
      <alignment horizontal="center" vertical="center" wrapText="1"/>
    </xf>
    <xf numFmtId="0" fontId="89" fillId="0" borderId="0" xfId="147" applyFont="1" applyFill="1" applyAlignment="1">
      <alignment wrapText="1"/>
    </xf>
    <xf numFmtId="0" fontId="89" fillId="0" borderId="0" xfId="147" applyFont="1" applyFill="1" applyAlignment="1"/>
    <xf numFmtId="2" fontId="89" fillId="0" borderId="0" xfId="147" applyNumberFormat="1" applyFont="1" applyFill="1" applyAlignment="1">
      <alignment wrapText="1"/>
    </xf>
    <xf numFmtId="170" fontId="25" fillId="0" borderId="0" xfId="99" applyNumberFormat="1" applyFont="1" applyFill="1" applyBorder="1" applyAlignment="1">
      <alignment horizontal="center" vertical="center" wrapText="1"/>
    </xf>
    <xf numFmtId="0" fontId="47" fillId="0" borderId="0" xfId="147" applyFont="1" applyAlignment="1">
      <alignment wrapText="1"/>
    </xf>
    <xf numFmtId="0" fontId="90" fillId="0" borderId="0" xfId="0" applyFont="1" applyBorder="1"/>
    <xf numFmtId="4" fontId="90" fillId="0" borderId="0" xfId="0" applyNumberFormat="1" applyFont="1" applyBorder="1" applyAlignment="1">
      <alignment horizontal="right"/>
    </xf>
    <xf numFmtId="0" fontId="103" fillId="0" borderId="0" xfId="63" applyFont="1"/>
    <xf numFmtId="0" fontId="42" fillId="0" borderId="0" xfId="63" applyFont="1"/>
    <xf numFmtId="4" fontId="42" fillId="0" borderId="0" xfId="63" applyNumberFormat="1" applyFont="1" applyAlignment="1">
      <alignment vertical="center" wrapText="1"/>
    </xf>
    <xf numFmtId="49" fontId="103" fillId="0" borderId="0" xfId="63" applyNumberFormat="1" applyFont="1"/>
    <xf numFmtId="49" fontId="103" fillId="0" borderId="0" xfId="63" applyNumberFormat="1" applyFont="1" applyAlignment="1"/>
    <xf numFmtId="0" fontId="105" fillId="0" borderId="0" xfId="63" applyFont="1" applyBorder="1" applyAlignment="1"/>
    <xf numFmtId="0" fontId="106" fillId="0" borderId="0" xfId="63" applyFont="1" applyBorder="1" applyAlignment="1"/>
    <xf numFmtId="0" fontId="105" fillId="0" borderId="10" xfId="63" applyFont="1" applyBorder="1" applyAlignment="1">
      <alignment horizontal="center"/>
    </xf>
    <xf numFmtId="0" fontId="98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14" fontId="42" fillId="0" borderId="0" xfId="0" applyNumberFormat="1" applyFont="1" applyBorder="1" applyAlignment="1">
      <alignment horizontal="center" vertical="center" wrapText="1"/>
    </xf>
    <xf numFmtId="0" fontId="53" fillId="0" borderId="0" xfId="0" applyFont="1"/>
    <xf numFmtId="0" fontId="53" fillId="6" borderId="4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left" vertical="center" wrapText="1"/>
    </xf>
    <xf numFmtId="3" fontId="53" fillId="2" borderId="4" xfId="0" applyNumberFormat="1" applyFont="1" applyFill="1" applyBorder="1" applyAlignment="1">
      <alignment horizontal="center" vertical="center" wrapText="1"/>
    </xf>
    <xf numFmtId="4" fontId="53" fillId="2" borderId="4" xfId="0" applyNumberFormat="1" applyFont="1" applyFill="1" applyBorder="1" applyAlignment="1">
      <alignment horizontal="center" vertical="center" wrapText="1"/>
    </xf>
    <xf numFmtId="0" fontId="98" fillId="6" borderId="4" xfId="0" applyFont="1" applyFill="1" applyBorder="1" applyAlignment="1">
      <alignment vertical="center" wrapText="1"/>
    </xf>
    <xf numFmtId="3" fontId="98" fillId="6" borderId="4" xfId="0" applyNumberFormat="1" applyFont="1" applyFill="1" applyBorder="1" applyAlignment="1">
      <alignment horizontal="center" vertical="center" wrapText="1"/>
    </xf>
    <xf numFmtId="4" fontId="98" fillId="6" borderId="4" xfId="0" applyNumberFormat="1" applyFont="1" applyFill="1" applyBorder="1" applyAlignment="1">
      <alignment horizontal="center" vertical="center" wrapText="1"/>
    </xf>
    <xf numFmtId="0" fontId="53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justify" vertical="center" wrapText="1"/>
    </xf>
    <xf numFmtId="3" fontId="53" fillId="0" borderId="4" xfId="0" applyNumberFormat="1" applyFont="1" applyBorder="1" applyAlignment="1">
      <alignment horizontal="center" vertical="center" wrapText="1"/>
    </xf>
    <xf numFmtId="4" fontId="53" fillId="0" borderId="4" xfId="0" applyNumberFormat="1" applyFont="1" applyBorder="1" applyAlignment="1">
      <alignment horizontal="center" vertical="center" wrapText="1"/>
    </xf>
    <xf numFmtId="0" fontId="104" fillId="0" borderId="0" xfId="0" applyFont="1"/>
    <xf numFmtId="3" fontId="103" fillId="0" borderId="4" xfId="63" applyNumberFormat="1" applyFont="1" applyBorder="1" applyAlignment="1">
      <alignment horizontal="center"/>
    </xf>
    <xf numFmtId="4" fontId="103" fillId="0" borderId="4" xfId="63" applyNumberFormat="1" applyFont="1" applyBorder="1" applyAlignment="1">
      <alignment horizontal="center"/>
    </xf>
    <xf numFmtId="0" fontId="98" fillId="0" borderId="0" xfId="0" quotePrefix="1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180" fontId="98" fillId="0" borderId="0" xfId="0" applyNumberFormat="1" applyFont="1" applyAlignment="1">
      <alignment horizontal="center" vertical="center"/>
    </xf>
    <xf numFmtId="0" fontId="103" fillId="0" borderId="0" xfId="0" applyFont="1" applyAlignment="1">
      <alignment vertical="center"/>
    </xf>
    <xf numFmtId="0" fontId="103" fillId="0" borderId="0" xfId="0" applyFont="1"/>
    <xf numFmtId="0" fontId="103" fillId="0" borderId="0" xfId="0" applyFont="1" applyAlignment="1">
      <alignment horizontal="center"/>
    </xf>
    <xf numFmtId="0" fontId="103" fillId="0" borderId="4" xfId="0" applyFont="1" applyBorder="1" applyAlignment="1">
      <alignment horizontal="center" vertical="center"/>
    </xf>
    <xf numFmtId="0" fontId="103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/>
    </xf>
    <xf numFmtId="0" fontId="103" fillId="0" borderId="4" xfId="0" applyFont="1" applyBorder="1" applyAlignment="1">
      <alignment horizontal="center"/>
    </xf>
    <xf numFmtId="0" fontId="103" fillId="0" borderId="4" xfId="0" applyFont="1" applyBorder="1" applyAlignment="1">
      <alignment wrapText="1"/>
    </xf>
    <xf numFmtId="3" fontId="53" fillId="0" borderId="4" xfId="0" applyNumberFormat="1" applyFont="1" applyBorder="1" applyAlignment="1">
      <alignment horizontal="center" vertical="center"/>
    </xf>
    <xf numFmtId="175" fontId="53" fillId="0" borderId="4" xfId="0" applyNumberFormat="1" applyFont="1" applyBorder="1" applyAlignment="1">
      <alignment horizontal="center" vertical="center"/>
    </xf>
    <xf numFmtId="179" fontId="53" fillId="0" borderId="4" xfId="0" applyNumberFormat="1" applyFont="1" applyBorder="1" applyAlignment="1">
      <alignment horizontal="center" vertical="center"/>
    </xf>
    <xf numFmtId="3" fontId="103" fillId="0" borderId="4" xfId="0" applyNumberFormat="1" applyFont="1" applyBorder="1" applyAlignment="1">
      <alignment horizontal="center" vertical="center"/>
    </xf>
    <xf numFmtId="0" fontId="103" fillId="0" borderId="4" xfId="0" applyFont="1" applyBorder="1"/>
    <xf numFmtId="175" fontId="103" fillId="0" borderId="4" xfId="0" applyNumberFormat="1" applyFont="1" applyBorder="1" applyAlignment="1">
      <alignment horizontal="center" vertical="center"/>
    </xf>
    <xf numFmtId="3" fontId="103" fillId="0" borderId="4" xfId="0" applyNumberFormat="1" applyFont="1" applyBorder="1" applyAlignment="1">
      <alignment horizontal="center"/>
    </xf>
    <xf numFmtId="4" fontId="53" fillId="0" borderId="4" xfId="0" applyNumberFormat="1" applyFont="1" applyBorder="1" applyAlignment="1">
      <alignment horizontal="center" vertical="center"/>
    </xf>
    <xf numFmtId="4" fontId="103" fillId="0" borderId="4" xfId="0" applyNumberFormat="1" applyFont="1" applyBorder="1" applyAlignment="1">
      <alignment horizontal="center"/>
    </xf>
    <xf numFmtId="0" fontId="103" fillId="0" borderId="0" xfId="0" applyFont="1" applyBorder="1"/>
    <xf numFmtId="4" fontId="53" fillId="0" borderId="0" xfId="0" applyNumberFormat="1" applyFont="1" applyBorder="1" applyAlignment="1">
      <alignment horizontal="center" vertical="center"/>
    </xf>
    <xf numFmtId="176" fontId="53" fillId="0" borderId="0" xfId="0" applyNumberFormat="1" applyFont="1" applyAlignment="1">
      <alignment horizontal="center" vertical="top"/>
    </xf>
    <xf numFmtId="0" fontId="103" fillId="0" borderId="0" xfId="0" applyFont="1" applyAlignment="1">
      <alignment horizontal="left" vertical="top" wrapText="1"/>
    </xf>
    <xf numFmtId="0" fontId="103" fillId="0" borderId="0" xfId="0" applyFont="1" applyAlignment="1">
      <alignment horizontal="left" wrapText="1"/>
    </xf>
    <xf numFmtId="0" fontId="103" fillId="0" borderId="0" xfId="0" applyFont="1" applyAlignment="1">
      <alignment wrapText="1"/>
    </xf>
    <xf numFmtId="177" fontId="103" fillId="0" borderId="0" xfId="0" applyNumberFormat="1" applyFont="1" applyAlignment="1">
      <alignment horizontal="center"/>
    </xf>
    <xf numFmtId="14" fontId="103" fillId="0" borderId="0" xfId="0" applyNumberFormat="1" applyFont="1" applyBorder="1" applyAlignment="1">
      <alignment horizontal="center" vertical="center" wrapText="1"/>
    </xf>
    <xf numFmtId="2" fontId="103" fillId="0" borderId="0" xfId="0" applyNumberFormat="1" applyFont="1" applyBorder="1" applyAlignment="1">
      <alignment horizontal="center" vertical="center" wrapText="1"/>
    </xf>
    <xf numFmtId="0" fontId="103" fillId="2" borderId="0" xfId="63" applyFont="1" applyFill="1"/>
    <xf numFmtId="0" fontId="103" fillId="2" borderId="10" xfId="63" applyFont="1" applyFill="1" applyBorder="1"/>
    <xf numFmtId="0" fontId="103" fillId="2" borderId="0" xfId="63" applyFont="1" applyFill="1" applyAlignment="1">
      <alignment vertical="center"/>
    </xf>
    <xf numFmtId="0" fontId="42" fillId="2" borderId="10" xfId="63" applyFont="1" applyFill="1" applyBorder="1" applyAlignment="1">
      <alignment horizontal="right"/>
    </xf>
    <xf numFmtId="49" fontId="42" fillId="2" borderId="4" xfId="63" applyNumberFormat="1" applyFont="1" applyFill="1" applyBorder="1" applyAlignment="1">
      <alignment horizontal="center" vertical="center" wrapText="1"/>
    </xf>
    <xf numFmtId="0" fontId="42" fillId="2" borderId="4" xfId="63" applyFont="1" applyFill="1" applyBorder="1" applyAlignment="1">
      <alignment horizontal="center" vertical="center" wrapText="1"/>
    </xf>
    <xf numFmtId="49" fontId="103" fillId="2" borderId="4" xfId="63" applyNumberFormat="1" applyFont="1" applyFill="1" applyBorder="1" applyAlignment="1">
      <alignment horizontal="center" vertical="center" wrapText="1"/>
    </xf>
    <xf numFmtId="0" fontId="103" fillId="2" borderId="4" xfId="63" applyFont="1" applyFill="1" applyBorder="1" applyAlignment="1">
      <alignment horizontal="center" vertical="center" wrapText="1"/>
    </xf>
    <xf numFmtId="3" fontId="103" fillId="2" borderId="4" xfId="63" applyNumberFormat="1" applyFont="1" applyFill="1" applyBorder="1" applyAlignment="1">
      <alignment horizontal="center" vertical="center" wrapText="1"/>
    </xf>
    <xf numFmtId="3" fontId="42" fillId="2" borderId="4" xfId="63" applyNumberFormat="1" applyFont="1" applyFill="1" applyBorder="1" applyAlignment="1">
      <alignment horizontal="center" vertical="center" wrapText="1"/>
    </xf>
    <xf numFmtId="49" fontId="103" fillId="2" borderId="8" xfId="63" applyNumberFormat="1" applyFont="1" applyFill="1" applyBorder="1" applyAlignment="1">
      <alignment horizontal="left" vertical="center" wrapText="1"/>
    </xf>
    <xf numFmtId="4" fontId="108" fillId="2" borderId="4" xfId="63" applyNumberFormat="1" applyFont="1" applyFill="1" applyBorder="1" applyAlignment="1">
      <alignment horizontal="center" vertical="center" wrapText="1"/>
    </xf>
    <xf numFmtId="3" fontId="103" fillId="2" borderId="4" xfId="63" applyNumberFormat="1" applyFont="1" applyFill="1" applyBorder="1" applyAlignment="1">
      <alignment horizontal="right" vertical="center" wrapText="1"/>
    </xf>
    <xf numFmtId="49" fontId="42" fillId="2" borderId="0" xfId="63" applyNumberFormat="1" applyFont="1" applyFill="1" applyBorder="1" applyAlignment="1">
      <alignment horizontal="right" vertical="center" wrapText="1"/>
    </xf>
    <xf numFmtId="3" fontId="42" fillId="0" borderId="0" xfId="63" applyNumberFormat="1" applyFont="1" applyFill="1" applyBorder="1" applyAlignment="1">
      <alignment horizontal="right" vertical="center" wrapText="1"/>
    </xf>
    <xf numFmtId="3" fontId="42" fillId="0" borderId="0" xfId="63" applyNumberFormat="1" applyFont="1" applyFill="1" applyBorder="1" applyAlignment="1">
      <alignment horizontal="center" vertical="center" wrapText="1"/>
    </xf>
    <xf numFmtId="0" fontId="53" fillId="0" borderId="0" xfId="132" applyFont="1" applyFill="1" applyAlignment="1">
      <alignment horizontal="center"/>
    </xf>
    <xf numFmtId="0" fontId="53" fillId="0" borderId="0" xfId="132" applyFont="1" applyFill="1"/>
    <xf numFmtId="0" fontId="53" fillId="0" borderId="0" xfId="132" applyFont="1" applyFill="1" applyAlignment="1">
      <alignment wrapText="1"/>
    </xf>
    <xf numFmtId="4" fontId="53" fillId="0" borderId="0" xfId="132" applyNumberFormat="1" applyFont="1" applyFill="1"/>
    <xf numFmtId="0" fontId="53" fillId="0" borderId="4" xfId="93" quotePrefix="1" applyFont="1" applyFill="1" applyBorder="1" applyAlignment="1">
      <alignment horizontal="center" vertical="center" wrapText="1"/>
    </xf>
    <xf numFmtId="4" fontId="53" fillId="0" borderId="4" xfId="93" quotePrefix="1" applyNumberFormat="1" applyFont="1" applyFill="1" applyBorder="1" applyAlignment="1">
      <alignment horizontal="center" vertical="center" wrapText="1"/>
    </xf>
    <xf numFmtId="0" fontId="53" fillId="0" borderId="4" xfId="95" quotePrefix="1" applyFont="1" applyFill="1" applyBorder="1" applyAlignment="1">
      <alignment horizontal="left" vertical="center" wrapText="1"/>
    </xf>
    <xf numFmtId="0" fontId="53" fillId="0" borderId="4" xfId="95" quotePrefix="1" applyFont="1" applyFill="1" applyBorder="1" applyAlignment="1">
      <alignment horizontal="left" vertical="top" wrapText="1"/>
    </xf>
    <xf numFmtId="3" fontId="53" fillId="0" borderId="4" xfId="102" quotePrefix="1" applyNumberFormat="1" applyFont="1" applyFill="1" applyBorder="1" applyAlignment="1">
      <alignment horizontal="center" vertical="center" wrapText="1"/>
    </xf>
    <xf numFmtId="167" fontId="53" fillId="0" borderId="4" xfId="102" quotePrefix="1" applyNumberFormat="1" applyFont="1" applyFill="1" applyBorder="1" applyAlignment="1">
      <alignment horizontal="center" vertical="center" wrapText="1"/>
    </xf>
    <xf numFmtId="0" fontId="53" fillId="0" borderId="4" xfId="132" applyFont="1" applyFill="1" applyBorder="1" applyAlignment="1">
      <alignment wrapText="1"/>
    </xf>
    <xf numFmtId="2" fontId="53" fillId="0" borderId="4" xfId="102" quotePrefix="1" applyNumberFormat="1" applyFont="1" applyFill="1" applyBorder="1" applyAlignment="1">
      <alignment horizontal="center" vertical="center" wrapText="1"/>
    </xf>
    <xf numFmtId="0" fontId="53" fillId="0" borderId="4" xfId="102" quotePrefix="1" applyFont="1" applyFill="1" applyBorder="1" applyAlignment="1">
      <alignment horizontal="center" vertical="center" wrapText="1"/>
    </xf>
    <xf numFmtId="0" fontId="53" fillId="0" borderId="4" xfId="102" quotePrefix="1" applyNumberFormat="1" applyFont="1" applyFill="1" applyBorder="1" applyAlignment="1">
      <alignment horizontal="center" vertical="center" wrapText="1"/>
    </xf>
    <xf numFmtId="0" fontId="103" fillId="6" borderId="4" xfId="0" applyFont="1" applyFill="1" applyBorder="1" applyAlignment="1">
      <alignment horizontal="center" wrapText="1"/>
    </xf>
    <xf numFmtId="0" fontId="103" fillId="6" borderId="4" xfId="0" applyFont="1" applyFill="1" applyBorder="1" applyAlignment="1">
      <alignment horizontal="left" vertical="center" wrapText="1"/>
    </xf>
    <xf numFmtId="0" fontId="103" fillId="6" borderId="4" xfId="95" quotePrefix="1" applyFont="1" applyFill="1" applyBorder="1" applyAlignment="1">
      <alignment horizontal="left" vertical="center" wrapText="1"/>
    </xf>
    <xf numFmtId="3" fontId="103" fillId="6" borderId="4" xfId="102" quotePrefix="1" applyNumberFormat="1" applyFont="1" applyFill="1" applyBorder="1" applyAlignment="1">
      <alignment horizontal="center" vertical="center" wrapText="1"/>
    </xf>
    <xf numFmtId="167" fontId="103" fillId="6" borderId="4" xfId="102" quotePrefix="1" applyNumberFormat="1" applyFont="1" applyFill="1" applyBorder="1" applyAlignment="1">
      <alignment horizontal="center" vertical="center" wrapText="1"/>
    </xf>
    <xf numFmtId="0" fontId="103" fillId="6" borderId="4" xfId="132" applyFont="1" applyFill="1" applyBorder="1" applyAlignment="1">
      <alignment vertical="center" wrapText="1"/>
    </xf>
    <xf numFmtId="0" fontId="103" fillId="6" borderId="4" xfId="0" applyFont="1" applyFill="1" applyBorder="1" applyAlignment="1">
      <alignment horizontal="center" vertical="center" wrapText="1"/>
    </xf>
    <xf numFmtId="4" fontId="103" fillId="6" borderId="4" xfId="99" applyNumberFormat="1" applyFont="1" applyFill="1" applyBorder="1" applyAlignment="1">
      <alignment wrapText="1"/>
    </xf>
    <xf numFmtId="0" fontId="103" fillId="0" borderId="4" xfId="0" applyFont="1" applyBorder="1" applyAlignment="1">
      <alignment horizontal="center" wrapText="1"/>
    </xf>
    <xf numFmtId="0" fontId="103" fillId="0" borderId="4" xfId="0" quotePrefix="1" applyFont="1" applyFill="1" applyBorder="1" applyAlignment="1">
      <alignment vertical="center" wrapText="1"/>
    </xf>
    <xf numFmtId="0" fontId="103" fillId="0" borderId="4" xfId="95" quotePrefix="1" applyFont="1" applyFill="1" applyBorder="1" applyAlignment="1">
      <alignment horizontal="left" vertical="center" wrapText="1"/>
    </xf>
    <xf numFmtId="10" fontId="103" fillId="0" borderId="4" xfId="1921" quotePrefix="1" applyNumberFormat="1" applyFont="1" applyFill="1" applyBorder="1" applyAlignment="1">
      <alignment horizontal="center" vertical="center" wrapText="1"/>
    </xf>
    <xf numFmtId="0" fontId="103" fillId="0" borderId="4" xfId="102" quotePrefix="1" applyFont="1" applyFill="1" applyBorder="1" applyAlignment="1">
      <alignment horizontal="left" vertical="center" wrapText="1"/>
    </xf>
    <xf numFmtId="0" fontId="103" fillId="0" borderId="4" xfId="132" applyFont="1" applyFill="1" applyBorder="1" applyAlignment="1">
      <alignment vertical="center" wrapText="1"/>
    </xf>
    <xf numFmtId="0" fontId="103" fillId="0" borderId="4" xfId="132" applyFont="1" applyFill="1" applyBorder="1" applyAlignment="1">
      <alignment horizontal="center" wrapText="1"/>
    </xf>
    <xf numFmtId="3" fontId="103" fillId="0" borderId="4" xfId="132" applyNumberFormat="1" applyFont="1" applyFill="1" applyBorder="1" applyAlignment="1">
      <alignment horizontal="center" wrapText="1"/>
    </xf>
    <xf numFmtId="0" fontId="103" fillId="0" borderId="4" xfId="0" applyFont="1" applyBorder="1" applyAlignment="1">
      <alignment horizontal="left" vertical="center" wrapText="1"/>
    </xf>
    <xf numFmtId="0" fontId="103" fillId="0" borderId="4" xfId="95" quotePrefix="1" applyFont="1" applyFill="1" applyBorder="1" applyAlignment="1">
      <alignment horizontal="left" vertical="top" wrapText="1"/>
    </xf>
    <xf numFmtId="0" fontId="103" fillId="0" borderId="4" xfId="102" quotePrefix="1" applyFont="1" applyFill="1" applyBorder="1" applyAlignment="1">
      <alignment horizontal="center" vertical="top" wrapText="1"/>
    </xf>
    <xf numFmtId="0" fontId="103" fillId="0" borderId="4" xfId="102" quotePrefix="1" applyFont="1" applyFill="1" applyBorder="1" applyAlignment="1">
      <alignment horizontal="left" vertical="top" wrapText="1"/>
    </xf>
    <xf numFmtId="0" fontId="103" fillId="0" borderId="4" xfId="132" applyFont="1" applyFill="1" applyBorder="1" applyAlignment="1">
      <alignment wrapText="1"/>
    </xf>
    <xf numFmtId="3" fontId="103" fillId="0" borderId="4" xfId="99" applyNumberFormat="1" applyFont="1" applyFill="1" applyBorder="1" applyAlignment="1">
      <alignment horizont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89" fillId="0" borderId="0" xfId="147" applyFont="1" applyAlignment="1">
      <alignment wrapText="1"/>
    </xf>
    <xf numFmtId="0" fontId="25" fillId="2" borderId="6" xfId="0" applyFont="1" applyFill="1" applyBorder="1" applyAlignment="1">
      <alignment horizontal="center" vertical="center" wrapText="1"/>
    </xf>
    <xf numFmtId="4" fontId="0" fillId="30" borderId="0" xfId="0" applyNumberFormat="1" applyFill="1"/>
    <xf numFmtId="0" fontId="103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 wrapText="1"/>
    </xf>
    <xf numFmtId="49" fontId="103" fillId="0" borderId="0" xfId="0" applyNumberFormat="1" applyFont="1" applyBorder="1" applyAlignment="1">
      <alignment horizontal="center" vertical="center"/>
    </xf>
    <xf numFmtId="178" fontId="103" fillId="0" borderId="0" xfId="0" applyNumberFormat="1" applyFont="1" applyBorder="1" applyAlignment="1">
      <alignment horizontal="center" vertical="center"/>
    </xf>
    <xf numFmtId="0" fontId="103" fillId="0" borderId="0" xfId="0" applyFont="1" applyAlignment="1">
      <alignment horizontal="right" vertical="top"/>
    </xf>
    <xf numFmtId="0" fontId="103" fillId="4" borderId="0" xfId="0" applyFont="1" applyFill="1" applyBorder="1" applyAlignment="1">
      <alignment horizontal="left" vertical="center" wrapText="1"/>
    </xf>
    <xf numFmtId="49" fontId="103" fillId="0" borderId="0" xfId="0" applyNumberFormat="1" applyFont="1" applyBorder="1" applyAlignment="1">
      <alignment vertical="center"/>
    </xf>
    <xf numFmtId="0" fontId="103" fillId="0" borderId="0" xfId="0" applyFont="1" applyFill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9" fillId="0" borderId="0" xfId="147" applyFont="1" applyAlignment="1">
      <alignment wrapText="1"/>
    </xf>
    <xf numFmtId="0" fontId="25" fillId="2" borderId="4" xfId="0" applyFont="1" applyFill="1" applyBorder="1" applyAlignment="1">
      <alignment horizontal="center" wrapText="1"/>
    </xf>
    <xf numFmtId="0" fontId="47" fillId="0" borderId="0" xfId="147" applyFont="1" applyAlignment="1">
      <alignment horizontal="center" wrapText="1"/>
    </xf>
    <xf numFmtId="0" fontId="89" fillId="0" borderId="0" xfId="147" applyFont="1" applyAlignment="1">
      <alignment horizontal="center" wrapText="1"/>
    </xf>
    <xf numFmtId="0" fontId="25" fillId="2" borderId="8" xfId="0" applyFont="1" applyFill="1" applyBorder="1" applyAlignment="1">
      <alignment horizontal="center" vertical="center" wrapText="1"/>
    </xf>
    <xf numFmtId="4" fontId="53" fillId="0" borderId="0" xfId="0" applyNumberFormat="1" applyFont="1"/>
    <xf numFmtId="0" fontId="31" fillId="0" borderId="1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102" fillId="0" borderId="4" xfId="1" applyFont="1" applyBorder="1" applyAlignment="1">
      <alignment vertical="center" wrapText="1"/>
    </xf>
    <xf numFmtId="3" fontId="89" fillId="0" borderId="0" xfId="147" applyNumberFormat="1" applyFont="1" applyFill="1" applyAlignment="1">
      <alignment wrapText="1"/>
    </xf>
    <xf numFmtId="0" fontId="103" fillId="0" borderId="0" xfId="63" applyFont="1" applyAlignment="1">
      <alignment vertical="top"/>
    </xf>
    <xf numFmtId="0" fontId="89" fillId="0" borderId="0" xfId="147" applyFont="1" applyAlignment="1">
      <alignment wrapText="1"/>
    </xf>
    <xf numFmtId="0" fontId="110" fillId="0" borderId="4" xfId="0" applyFont="1" applyBorder="1" applyAlignment="1">
      <alignment horizontal="center" vertical="center" wrapText="1"/>
    </xf>
    <xf numFmtId="0" fontId="110" fillId="0" borderId="4" xfId="0" applyFont="1" applyFill="1" applyBorder="1" applyAlignment="1">
      <alignment horizontal="center" vertical="center" textRotation="90" wrapText="1"/>
    </xf>
    <xf numFmtId="0" fontId="111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vertical="center" wrapText="1"/>
    </xf>
    <xf numFmtId="0" fontId="94" fillId="0" borderId="7" xfId="0" applyFont="1" applyBorder="1" applyAlignment="1">
      <alignment vertical="center" wrapText="1"/>
    </xf>
    <xf numFmtId="0" fontId="94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9" fillId="0" borderId="0" xfId="147" applyFont="1" applyAlignment="1">
      <alignment wrapText="1"/>
    </xf>
    <xf numFmtId="10" fontId="103" fillId="0" borderId="0" xfId="0" applyNumberFormat="1" applyFont="1" applyAlignment="1">
      <alignment horizontal="center" vertical="center"/>
    </xf>
    <xf numFmtId="178" fontId="103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49" fontId="42" fillId="0" borderId="0" xfId="0" applyNumberFormat="1" applyFont="1" applyAlignment="1">
      <alignment vertical="center" wrapText="1"/>
    </xf>
    <xf numFmtId="0" fontId="103" fillId="0" borderId="0" xfId="0" applyFont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9" fontId="23" fillId="0" borderId="7" xfId="1" applyNumberFormat="1" applyFont="1" applyBorder="1" applyAlignment="1">
      <alignment horizontal="left"/>
    </xf>
    <xf numFmtId="9" fontId="23" fillId="0" borderId="8" xfId="1" applyNumberFormat="1" applyFont="1" applyBorder="1" applyAlignment="1">
      <alignment horizontal="left"/>
    </xf>
    <xf numFmtId="9" fontId="23" fillId="0" borderId="6" xfId="1" applyNumberFormat="1" applyFont="1" applyBorder="1" applyAlignment="1">
      <alignment horizontal="left"/>
    </xf>
    <xf numFmtId="0" fontId="45" fillId="2" borderId="0" xfId="1" applyFont="1" applyFill="1" applyAlignment="1">
      <alignment horizontal="center" vertical="center" wrapText="1"/>
    </xf>
    <xf numFmtId="0" fontId="39" fillId="0" borderId="0" xfId="1" applyFont="1" applyFill="1" applyAlignment="1"/>
    <xf numFmtId="0" fontId="21" fillId="0" borderId="0" xfId="1" applyFont="1" applyFill="1" applyAlignment="1"/>
    <xf numFmtId="0" fontId="39" fillId="0" borderId="15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38" fillId="0" borderId="4" xfId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 wrapText="1"/>
    </xf>
    <xf numFmtId="0" fontId="42" fillId="0" borderId="7" xfId="1" applyFont="1" applyBorder="1" applyAlignment="1">
      <alignment horizontal="center"/>
    </xf>
    <xf numFmtId="0" fontId="42" fillId="0" borderId="8" xfId="1" applyFont="1" applyBorder="1" applyAlignment="1">
      <alignment horizontal="center"/>
    </xf>
    <xf numFmtId="0" fontId="42" fillId="0" borderId="6" xfId="1" applyFont="1" applyBorder="1" applyAlignment="1">
      <alignment horizontal="center"/>
    </xf>
    <xf numFmtId="0" fontId="23" fillId="0" borderId="7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109" fillId="0" borderId="10" xfId="0" applyFont="1" applyBorder="1" applyAlignment="1">
      <alignment horizontal="center" wrapText="1"/>
    </xf>
    <xf numFmtId="0" fontId="110" fillId="0" borderId="4" xfId="0" applyFont="1" applyBorder="1" applyAlignment="1">
      <alignment horizontal="center" vertical="center" wrapText="1"/>
    </xf>
    <xf numFmtId="0" fontId="110" fillId="0" borderId="4" xfId="0" applyFont="1" applyBorder="1" applyAlignment="1">
      <alignment horizontal="center" vertical="center"/>
    </xf>
    <xf numFmtId="0" fontId="111" fillId="0" borderId="1" xfId="0" applyFont="1" applyBorder="1" applyAlignment="1">
      <alignment horizontal="center" vertical="center" wrapText="1"/>
    </xf>
    <xf numFmtId="0" fontId="111" fillId="0" borderId="3" xfId="0" applyFont="1" applyBorder="1" applyAlignment="1">
      <alignment horizontal="center" vertical="center" wrapText="1"/>
    </xf>
    <xf numFmtId="0" fontId="111" fillId="0" borderId="16" xfId="0" applyFont="1" applyBorder="1" applyAlignment="1">
      <alignment horizontal="center" vertical="center" wrapText="1"/>
    </xf>
    <xf numFmtId="0" fontId="111" fillId="0" borderId="14" xfId="0" applyFont="1" applyBorder="1" applyAlignment="1">
      <alignment horizontal="center" vertical="center" wrapText="1"/>
    </xf>
    <xf numFmtId="0" fontId="111" fillId="0" borderId="4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6" fillId="29" borderId="7" xfId="0" applyFont="1" applyFill="1" applyBorder="1" applyAlignment="1">
      <alignment horizontal="right"/>
    </xf>
    <xf numFmtId="0" fontId="96" fillId="29" borderId="8" xfId="0" applyFont="1" applyFill="1" applyBorder="1" applyAlignment="1">
      <alignment horizontal="right"/>
    </xf>
    <xf numFmtId="0" fontId="96" fillId="29" borderId="6" xfId="0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1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91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49" fontId="49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vertical="center" wrapText="1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92" fillId="0" borderId="0" xfId="0" applyFont="1" applyBorder="1" applyAlignment="1">
      <alignment horizontal="center" vertical="top" wrapText="1"/>
    </xf>
    <xf numFmtId="0" fontId="42" fillId="0" borderId="0" xfId="63" applyFont="1" applyAlignment="1">
      <alignment horizontal="center"/>
    </xf>
    <xf numFmtId="0" fontId="42" fillId="0" borderId="0" xfId="63" applyFont="1" applyAlignment="1">
      <alignment horizontal="left" vertical="center" wrapText="1"/>
    </xf>
    <xf numFmtId="0" fontId="42" fillId="0" borderId="0" xfId="63" applyFont="1" applyFill="1" applyAlignment="1">
      <alignment horizontal="left" vertical="center" wrapText="1"/>
    </xf>
    <xf numFmtId="49" fontId="103" fillId="0" borderId="0" xfId="63" applyNumberFormat="1" applyFont="1" applyAlignment="1">
      <alignment horizontal="left" vertical="center" wrapText="1"/>
    </xf>
    <xf numFmtId="49" fontId="103" fillId="0" borderId="0" xfId="63" applyNumberFormat="1" applyFont="1" applyAlignment="1">
      <alignment horizontal="left" wrapText="1"/>
    </xf>
    <xf numFmtId="0" fontId="42" fillId="0" borderId="0" xfId="63" applyFont="1" applyAlignment="1">
      <alignment horizontal="left" wrapText="1"/>
    </xf>
    <xf numFmtId="0" fontId="98" fillId="0" borderId="0" xfId="0" applyFont="1" applyAlignment="1">
      <alignment horizontal="center" vertical="center"/>
    </xf>
    <xf numFmtId="0" fontId="98" fillId="0" borderId="0" xfId="0" quotePrefix="1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53" fillId="6" borderId="4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103" fillId="0" borderId="0" xfId="0" applyFont="1" applyAlignment="1">
      <alignment horizontal="left" wrapText="1"/>
    </xf>
    <xf numFmtId="0" fontId="97" fillId="0" borderId="0" xfId="0" applyFont="1" applyAlignment="1">
      <alignment horizontal="left" wrapText="1"/>
    </xf>
    <xf numFmtId="0" fontId="105" fillId="0" borderId="0" xfId="0" applyFont="1" applyAlignment="1">
      <alignment horizontal="left" vertical="center" wrapText="1"/>
    </xf>
    <xf numFmtId="0" fontId="103" fillId="4" borderId="0" xfId="0" applyFont="1" applyFill="1" applyBorder="1" applyAlignment="1">
      <alignment horizontal="left" vertical="center" wrapText="1"/>
    </xf>
    <xf numFmtId="0" fontId="103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49" fontId="42" fillId="0" borderId="0" xfId="0" quotePrefix="1" applyNumberFormat="1" applyFont="1" applyAlignment="1">
      <alignment horizontal="left" vertical="center" wrapText="1"/>
    </xf>
    <xf numFmtId="0" fontId="103" fillId="0" borderId="0" xfId="0" applyFont="1" applyAlignment="1">
      <alignment horizontal="left" vertical="center" wrapText="1"/>
    </xf>
    <xf numFmtId="0" fontId="89" fillId="0" borderId="4" xfId="0" applyFont="1" applyBorder="1" applyAlignment="1">
      <alignment horizontal="left"/>
    </xf>
    <xf numFmtId="0" fontId="89" fillId="0" borderId="7" xfId="0" applyFont="1" applyBorder="1" applyAlignment="1">
      <alignment horizontal="left"/>
    </xf>
    <xf numFmtId="0" fontId="89" fillId="0" borderId="8" xfId="0" applyFont="1" applyBorder="1" applyAlignment="1">
      <alignment horizontal="left"/>
    </xf>
    <xf numFmtId="0" fontId="89" fillId="0" borderId="6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94" fillId="6" borderId="4" xfId="0" applyFont="1" applyFill="1" applyBorder="1" applyAlignment="1">
      <alignment horizontal="center" vertical="center"/>
    </xf>
    <xf numFmtId="0" fontId="89" fillId="6" borderId="4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/>
    </xf>
    <xf numFmtId="0" fontId="42" fillId="2" borderId="0" xfId="63" applyFont="1" applyFill="1" applyAlignment="1">
      <alignment horizontal="center" vertical="center" wrapText="1"/>
    </xf>
    <xf numFmtId="0" fontId="103" fillId="2" borderId="0" xfId="63" applyFont="1" applyFill="1" applyAlignment="1">
      <alignment horizontal="left" vertical="top" wrapText="1"/>
    </xf>
    <xf numFmtId="0" fontId="103" fillId="2" borderId="0" xfId="63" applyFont="1" applyFill="1" applyAlignment="1">
      <alignment horizontal="left" vertical="top"/>
    </xf>
    <xf numFmtId="0" fontId="42" fillId="2" borderId="0" xfId="63" applyFont="1" applyFill="1" applyAlignment="1">
      <alignment horizontal="left" vertical="center" wrapText="1"/>
    </xf>
    <xf numFmtId="0" fontId="98" fillId="2" borderId="0" xfId="0" applyFont="1" applyFill="1" applyAlignment="1">
      <alignment horizontal="left" vertical="center"/>
    </xf>
    <xf numFmtId="0" fontId="103" fillId="2" borderId="0" xfId="63" applyFont="1" applyFill="1" applyAlignment="1">
      <alignment horizontal="left" vertical="center" wrapText="1"/>
    </xf>
    <xf numFmtId="0" fontId="42" fillId="2" borderId="0" xfId="63" applyFont="1" applyFill="1" applyAlignment="1">
      <alignment horizontal="left" vertical="top" wrapText="1"/>
    </xf>
    <xf numFmtId="49" fontId="42" fillId="2" borderId="7" xfId="63" applyNumberFormat="1" applyFont="1" applyFill="1" applyBorder="1" applyAlignment="1">
      <alignment horizontal="right" vertical="center" wrapText="1"/>
    </xf>
    <xf numFmtId="49" fontId="42" fillId="2" borderId="8" xfId="63" applyNumberFormat="1" applyFont="1" applyFill="1" applyBorder="1" applyAlignment="1">
      <alignment horizontal="right" vertical="center" wrapText="1"/>
    </xf>
    <xf numFmtId="49" fontId="42" fillId="2" borderId="6" xfId="63" applyNumberFormat="1" applyFont="1" applyFill="1" applyBorder="1" applyAlignment="1">
      <alignment horizontal="right" vertical="center" wrapText="1"/>
    </xf>
    <xf numFmtId="0" fontId="42" fillId="2" borderId="7" xfId="63" applyFont="1" applyFill="1" applyBorder="1" applyAlignment="1">
      <alignment horizontal="center" vertical="center" wrapText="1"/>
    </xf>
    <xf numFmtId="0" fontId="42" fillId="2" borderId="8" xfId="63" applyFont="1" applyFill="1" applyBorder="1" applyAlignment="1">
      <alignment horizontal="center" vertical="center" wrapText="1"/>
    </xf>
    <xf numFmtId="49" fontId="42" fillId="2" borderId="5" xfId="63" applyNumberFormat="1" applyFont="1" applyFill="1" applyBorder="1" applyAlignment="1">
      <alignment horizontal="center" vertical="center" wrapText="1"/>
    </xf>
    <xf numFmtId="49" fontId="42" fillId="2" borderId="11" xfId="63" applyNumberFormat="1" applyFont="1" applyFill="1" applyBorder="1" applyAlignment="1">
      <alignment horizontal="center" vertical="center" wrapText="1"/>
    </xf>
    <xf numFmtId="0" fontId="23" fillId="2" borderId="5" xfId="63" applyFont="1" applyFill="1" applyBorder="1" applyAlignment="1">
      <alignment horizontal="center"/>
    </xf>
    <xf numFmtId="0" fontId="23" fillId="2" borderId="11" xfId="63" applyFont="1" applyFill="1" applyBorder="1" applyAlignment="1">
      <alignment horizontal="center"/>
    </xf>
    <xf numFmtId="49" fontId="42" fillId="2" borderId="9" xfId="63" applyNumberFormat="1" applyFont="1" applyFill="1" applyBorder="1" applyAlignment="1">
      <alignment horizontal="center" vertical="center" wrapText="1"/>
    </xf>
    <xf numFmtId="0" fontId="42" fillId="2" borderId="4" xfId="63" applyFont="1" applyFill="1" applyBorder="1" applyAlignment="1">
      <alignment horizontal="center"/>
    </xf>
    <xf numFmtId="0" fontId="23" fillId="6" borderId="0" xfId="63" applyFont="1" applyFill="1" applyAlignment="1">
      <alignment horizontal="center" wrapText="1"/>
    </xf>
    <xf numFmtId="0" fontId="25" fillId="2" borderId="7" xfId="105" quotePrefix="1" applyFont="1" applyFill="1" applyBorder="1" applyAlignment="1">
      <alignment horizontal="left" vertical="top" wrapText="1"/>
    </xf>
    <xf numFmtId="0" fontId="25" fillId="2" borderId="6" xfId="105" quotePrefix="1" applyFont="1" applyFill="1" applyBorder="1" applyAlignment="1">
      <alignment horizontal="left" vertical="top" wrapText="1"/>
    </xf>
    <xf numFmtId="0" fontId="25" fillId="2" borderId="7" xfId="141" quotePrefix="1" applyFont="1" applyFill="1" applyBorder="1" applyAlignment="1">
      <alignment horizontal="center" vertical="center" wrapText="1"/>
    </xf>
    <xf numFmtId="0" fontId="25" fillId="2" borderId="8" xfId="141" quotePrefix="1" applyFont="1" applyFill="1" applyBorder="1" applyAlignment="1">
      <alignment horizontal="center" vertical="center" wrapText="1"/>
    </xf>
    <xf numFmtId="0" fontId="25" fillId="2" borderId="6" xfId="141" quotePrefix="1" applyFont="1" applyFill="1" applyBorder="1" applyAlignment="1">
      <alignment horizontal="center" vertical="center" wrapText="1"/>
    </xf>
    <xf numFmtId="3" fontId="25" fillId="2" borderId="4" xfId="147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11" xfId="0" applyNumberFormat="1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5" fillId="2" borderId="9" xfId="0" applyNumberFormat="1" applyFont="1" applyFill="1" applyBorder="1" applyAlignment="1">
      <alignment horizontal="center" vertical="center" wrapText="1"/>
    </xf>
    <xf numFmtId="0" fontId="25" fillId="2" borderId="11" xfId="0" applyNumberFormat="1" applyFont="1" applyFill="1" applyBorder="1" applyAlignment="1">
      <alignment horizontal="center" vertical="center" wrapText="1"/>
    </xf>
    <xf numFmtId="0" fontId="25" fillId="2" borderId="5" xfId="147" applyFont="1" applyFill="1" applyBorder="1" applyAlignment="1">
      <alignment horizontal="center" vertical="center" wrapText="1"/>
    </xf>
    <xf numFmtId="0" fontId="25" fillId="2" borderId="9" xfId="147" applyFont="1" applyFill="1" applyBorder="1" applyAlignment="1">
      <alignment horizontal="center" vertical="center" wrapText="1"/>
    </xf>
    <xf numFmtId="0" fontId="25" fillId="2" borderId="11" xfId="147" applyFont="1" applyFill="1" applyBorder="1" applyAlignment="1">
      <alignment horizontal="center" vertical="center" wrapText="1"/>
    </xf>
    <xf numFmtId="0" fontId="25" fillId="2" borderId="12" xfId="105" quotePrefix="1" applyFont="1" applyFill="1" applyBorder="1" applyAlignment="1">
      <alignment horizontal="left" vertical="top" wrapText="1"/>
    </xf>
    <xf numFmtId="0" fontId="25" fillId="2" borderId="13" xfId="105" quotePrefix="1" applyFont="1" applyFill="1" applyBorder="1" applyAlignment="1">
      <alignment horizontal="left" vertical="top" wrapText="1"/>
    </xf>
    <xf numFmtId="0" fontId="25" fillId="2" borderId="12" xfId="0" quotePrefix="1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16" xfId="105" quotePrefix="1" applyFont="1" applyFill="1" applyBorder="1" applyAlignment="1">
      <alignment horizontal="left" vertical="top" wrapText="1"/>
    </xf>
    <xf numFmtId="0" fontId="25" fillId="2" borderId="14" xfId="105" quotePrefix="1" applyFont="1" applyFill="1" applyBorder="1" applyAlignment="1">
      <alignment horizontal="left" vertical="top" wrapText="1"/>
    </xf>
    <xf numFmtId="0" fontId="89" fillId="0" borderId="7" xfId="139" quotePrefix="1" applyFont="1" applyBorder="1" applyAlignment="1">
      <alignment horizontal="center" vertical="center" wrapText="1"/>
    </xf>
    <xf numFmtId="0" fontId="89" fillId="0" borderId="8" xfId="139" quotePrefix="1" applyFont="1" applyBorder="1" applyAlignment="1">
      <alignment horizontal="center" vertical="center" wrapText="1"/>
    </xf>
    <xf numFmtId="0" fontId="89" fillId="0" borderId="6" xfId="139" quotePrefix="1" applyFont="1" applyBorder="1" applyAlignment="1">
      <alignment horizontal="center" vertical="center" wrapText="1"/>
    </xf>
    <xf numFmtId="0" fontId="89" fillId="0" borderId="0" xfId="86" quotePrefix="1" applyFont="1" applyAlignment="1">
      <alignment horizontal="left" vertical="center" wrapText="1"/>
    </xf>
    <xf numFmtId="0" fontId="89" fillId="0" borderId="0" xfId="147" applyFont="1" applyAlignment="1">
      <alignment wrapText="1"/>
    </xf>
    <xf numFmtId="0" fontId="94" fillId="0" borderId="0" xfId="131" quotePrefix="1" applyFont="1" applyAlignment="1">
      <alignment horizontal="right" vertical="center" wrapText="1"/>
    </xf>
    <xf numFmtId="0" fontId="94" fillId="0" borderId="0" xfId="135" quotePrefix="1" applyFont="1" applyAlignment="1">
      <alignment horizontal="center" vertical="center" wrapText="1"/>
    </xf>
    <xf numFmtId="0" fontId="89" fillId="0" borderId="0" xfId="136" quotePrefix="1" applyFont="1" applyAlignment="1">
      <alignment horizontal="center" vertical="top" wrapText="1"/>
    </xf>
    <xf numFmtId="0" fontId="94" fillId="0" borderId="0" xfId="137" quotePrefix="1" applyFont="1" applyAlignment="1">
      <alignment horizontal="left" vertical="top" wrapText="1"/>
    </xf>
    <xf numFmtId="0" fontId="94" fillId="0" borderId="0" xfId="138" quotePrefix="1" applyFont="1" applyAlignment="1">
      <alignment horizontal="left" vertical="top" wrapText="1"/>
    </xf>
    <xf numFmtId="0" fontId="94" fillId="0" borderId="0" xfId="147" applyFont="1" applyAlignment="1">
      <alignment wrapText="1"/>
    </xf>
    <xf numFmtId="0" fontId="89" fillId="0" borderId="0" xfId="138" quotePrefix="1" applyFont="1" applyAlignment="1">
      <alignment horizontal="left" vertical="top" wrapText="1"/>
    </xf>
    <xf numFmtId="0" fontId="89" fillId="0" borderId="6" xfId="147" applyFont="1" applyBorder="1" applyAlignment="1">
      <alignment wrapText="1"/>
    </xf>
    <xf numFmtId="0" fontId="25" fillId="2" borderId="1" xfId="147" applyFont="1" applyFill="1" applyBorder="1" applyAlignment="1">
      <alignment horizontal="center" vertical="center" wrapText="1"/>
    </xf>
    <xf numFmtId="0" fontId="25" fillId="2" borderId="2" xfId="147" applyFont="1" applyFill="1" applyBorder="1" applyAlignment="1">
      <alignment horizontal="center" vertical="center" wrapText="1"/>
    </xf>
    <xf numFmtId="0" fontId="25" fillId="2" borderId="3" xfId="147" applyFont="1" applyFill="1" applyBorder="1" applyAlignment="1">
      <alignment horizontal="center" vertical="center" wrapText="1"/>
    </xf>
    <xf numFmtId="0" fontId="25" fillId="2" borderId="12" xfId="147" applyFont="1" applyFill="1" applyBorder="1" applyAlignment="1">
      <alignment horizontal="center" vertical="center" wrapText="1"/>
    </xf>
    <xf numFmtId="0" fontId="25" fillId="2" borderId="0" xfId="147" applyFont="1" applyFill="1" applyBorder="1" applyAlignment="1">
      <alignment horizontal="center" vertical="center" wrapText="1"/>
    </xf>
    <xf numFmtId="0" fontId="25" fillId="2" borderId="13" xfId="147" applyFont="1" applyFill="1" applyBorder="1" applyAlignment="1">
      <alignment horizontal="center" vertical="center" wrapText="1"/>
    </xf>
    <xf numFmtId="0" fontId="25" fillId="2" borderId="16" xfId="147" applyFont="1" applyFill="1" applyBorder="1" applyAlignment="1">
      <alignment horizontal="center" vertical="center" wrapText="1"/>
    </xf>
    <xf numFmtId="0" fontId="25" fillId="2" borderId="10" xfId="147" applyFont="1" applyFill="1" applyBorder="1" applyAlignment="1">
      <alignment horizontal="center" vertical="center" wrapText="1"/>
    </xf>
    <xf numFmtId="0" fontId="25" fillId="2" borderId="14" xfId="147" applyFont="1" applyFill="1" applyBorder="1" applyAlignment="1">
      <alignment horizontal="center" vertical="center" wrapText="1"/>
    </xf>
    <xf numFmtId="0" fontId="25" fillId="2" borderId="1" xfId="0" quotePrefix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quotePrefix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wrapText="1"/>
    </xf>
    <xf numFmtId="0" fontId="25" fillId="2" borderId="8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center" wrapText="1"/>
    </xf>
    <xf numFmtId="0" fontId="25" fillId="0" borderId="12" xfId="105" quotePrefix="1" applyFont="1" applyFill="1" applyBorder="1" applyAlignment="1">
      <alignment horizontal="left" vertical="top" wrapText="1"/>
    </xf>
    <xf numFmtId="0" fontId="25" fillId="0" borderId="13" xfId="105" quotePrefix="1" applyFont="1" applyFill="1" applyBorder="1" applyAlignment="1">
      <alignment horizontal="left" vertical="top" wrapText="1"/>
    </xf>
    <xf numFmtId="0" fontId="25" fillId="2" borderId="1" xfId="105" quotePrefix="1" applyFont="1" applyFill="1" applyBorder="1" applyAlignment="1">
      <alignment horizontal="left" vertical="top" wrapText="1"/>
    </xf>
    <xf numFmtId="0" fontId="25" fillId="2" borderId="3" xfId="105" quotePrefix="1" applyFont="1" applyFill="1" applyBorder="1" applyAlignment="1">
      <alignment horizontal="left" vertical="top" wrapText="1"/>
    </xf>
    <xf numFmtId="0" fontId="25" fillId="2" borderId="14" xfId="0" applyFont="1" applyFill="1" applyBorder="1" applyAlignment="1">
      <alignment wrapText="1"/>
    </xf>
    <xf numFmtId="0" fontId="25" fillId="2" borderId="7" xfId="102" quotePrefix="1" applyFont="1" applyFill="1" applyBorder="1" applyAlignment="1">
      <alignment horizontal="center" vertical="top" wrapText="1"/>
    </xf>
    <xf numFmtId="0" fontId="25" fillId="2" borderId="6" xfId="102" quotePrefix="1" applyFont="1" applyFill="1" applyBorder="1" applyAlignment="1">
      <alignment horizontal="center" vertical="top" wrapText="1"/>
    </xf>
    <xf numFmtId="4" fontId="53" fillId="0" borderId="5" xfId="99" applyNumberFormat="1" applyFont="1" applyFill="1" applyBorder="1" applyAlignment="1">
      <alignment horizontal="center" vertical="center" wrapText="1"/>
    </xf>
    <xf numFmtId="4" fontId="53" fillId="0" borderId="9" xfId="99" applyNumberFormat="1" applyFont="1" applyFill="1" applyBorder="1" applyAlignment="1">
      <alignment horizontal="center" vertical="center" wrapText="1"/>
    </xf>
    <xf numFmtId="4" fontId="53" fillId="0" borderId="11" xfId="99" applyNumberFormat="1" applyFont="1" applyFill="1" applyBorder="1" applyAlignment="1">
      <alignment horizontal="center" vertical="center" wrapText="1"/>
    </xf>
    <xf numFmtId="0" fontId="53" fillId="0" borderId="4" xfId="93" quotePrefix="1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4" xfId="95" quotePrefix="1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wrapText="1"/>
    </xf>
    <xf numFmtId="0" fontId="53" fillId="0" borderId="4" xfId="95" quotePrefix="1" applyFont="1" applyFill="1" applyBorder="1" applyAlignment="1">
      <alignment horizontal="left" vertical="center" wrapText="1"/>
    </xf>
    <xf numFmtId="0" fontId="53" fillId="0" borderId="4" xfId="0" applyFont="1" applyBorder="1" applyAlignment="1">
      <alignment horizontal="left" vertical="center" wrapText="1"/>
    </xf>
    <xf numFmtId="0" fontId="53" fillId="0" borderId="7" xfId="106" quotePrefix="1" applyFont="1" applyFill="1" applyBorder="1" applyAlignment="1">
      <alignment horizontal="left" vertical="top" wrapText="1"/>
    </xf>
    <xf numFmtId="0" fontId="53" fillId="0" borderId="8" xfId="106" quotePrefix="1" applyFont="1" applyFill="1" applyBorder="1" applyAlignment="1">
      <alignment horizontal="left" vertical="top" wrapText="1"/>
    </xf>
    <xf numFmtId="0" fontId="53" fillId="0" borderId="6" xfId="106" quotePrefix="1" applyFont="1" applyFill="1" applyBorder="1" applyAlignment="1">
      <alignment horizontal="left" vertical="top" wrapText="1"/>
    </xf>
    <xf numFmtId="0" fontId="53" fillId="0" borderId="5" xfId="95" quotePrefix="1" applyFont="1" applyFill="1" applyBorder="1" applyAlignment="1">
      <alignment horizontal="center" vertical="center" wrapText="1"/>
    </xf>
    <xf numFmtId="0" fontId="53" fillId="0" borderId="9" xfId="95" quotePrefix="1" applyFont="1" applyFill="1" applyBorder="1" applyAlignment="1">
      <alignment horizontal="center" vertical="center" wrapText="1"/>
    </xf>
    <xf numFmtId="0" fontId="53" fillId="0" borderId="11" xfId="95" quotePrefix="1" applyFont="1" applyFill="1" applyBorder="1" applyAlignment="1">
      <alignment horizontal="center" vertical="center" wrapText="1"/>
    </xf>
    <xf numFmtId="0" fontId="98" fillId="0" borderId="0" xfId="92" quotePrefix="1" applyFont="1" applyFill="1" applyAlignment="1">
      <alignment horizontal="left" vertical="center" wrapText="1"/>
    </xf>
    <xf numFmtId="0" fontId="53" fillId="0" borderId="0" xfId="132" applyFont="1" applyFill="1" applyAlignment="1">
      <alignment wrapText="1"/>
    </xf>
    <xf numFmtId="0" fontId="53" fillId="0" borderId="0" xfId="87" quotePrefix="1" applyFont="1" applyFill="1" applyAlignment="1">
      <alignment horizontal="left" vertical="center" wrapText="1"/>
    </xf>
    <xf numFmtId="0" fontId="98" fillId="0" borderId="0" xfId="107" quotePrefix="1" applyFont="1" applyFill="1" applyAlignment="1">
      <alignment horizontal="left" vertical="top" wrapText="1"/>
    </xf>
    <xf numFmtId="0" fontId="53" fillId="0" borderId="0" xfId="102" quotePrefix="1" applyFont="1" applyFill="1" applyAlignment="1">
      <alignment horizontal="left" vertical="top" wrapText="1"/>
    </xf>
    <xf numFmtId="0" fontId="98" fillId="0" borderId="0" xfId="109" quotePrefix="1" applyFont="1" applyFill="1" applyAlignment="1">
      <alignment horizontal="center" vertical="center" wrapText="1"/>
    </xf>
    <xf numFmtId="0" fontId="53" fillId="0" borderId="0" xfId="108" quotePrefix="1" applyFont="1" applyFill="1" applyAlignment="1">
      <alignment horizontal="center" vertical="top" wrapText="1"/>
    </xf>
    <xf numFmtId="0" fontId="98" fillId="0" borderId="0" xfId="102" quotePrefix="1" applyFont="1" applyFill="1" applyAlignment="1">
      <alignment horizontal="left" vertical="top" wrapText="1"/>
    </xf>
    <xf numFmtId="0" fontId="98" fillId="0" borderId="0" xfId="132" applyFont="1" applyFill="1" applyAlignment="1">
      <alignment wrapText="1"/>
    </xf>
  </cellXfs>
  <cellStyles count="1926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3" xfId="91"/>
    <cellStyle name="S6 4" xfId="102"/>
    <cellStyle name="S6 5" xfId="139"/>
    <cellStyle name="S7" xfId="53"/>
    <cellStyle name="S7 2" xfId="5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4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3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5"/>
    <cellStyle name="Обычный 3" xfId="63"/>
    <cellStyle name="Обычный 3 2" xfId="69"/>
    <cellStyle name="Обычный 3 2 2" xfId="114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</xdr:colOff>
      <xdr:row>6</xdr:row>
      <xdr:rowOff>157655</xdr:rowOff>
    </xdr:from>
    <xdr:to>
      <xdr:col>11</xdr:col>
      <xdr:colOff>6571</xdr:colOff>
      <xdr:row>6</xdr:row>
      <xdr:rowOff>157657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274C1ECE-7035-4363-B1CB-370AAE30902E}"/>
            </a:ext>
          </a:extLst>
        </xdr:cNvPr>
        <xdr:cNvCxnSpPr>
          <a:cxnSpLocks noChangeShapeType="1"/>
        </xdr:cNvCxnSpPr>
      </xdr:nvCxnSpPr>
      <xdr:spPr bwMode="auto">
        <a:xfrm flipV="1">
          <a:off x="5267332" y="5482130"/>
          <a:ext cx="635214" cy="2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144790</xdr:colOff>
      <xdr:row>8</xdr:row>
      <xdr:rowOff>104964</xdr:rowOff>
    </xdr:from>
    <xdr:to>
      <xdr:col>12</xdr:col>
      <xdr:colOff>145197</xdr:colOff>
      <xdr:row>8</xdr:row>
      <xdr:rowOff>106429</xdr:rowOff>
    </xdr:to>
    <xdr:cxnSp macro="">
      <xdr:nvCxnSpPr>
        <xdr:cNvPr id="12" name="Прямая со стрелкой 11">
          <a:extLst>
            <a:ext uri="{FF2B5EF4-FFF2-40B4-BE49-F238E27FC236}">
              <a16:creationId xmlns:a16="http://schemas.microsoft.com/office/drawing/2014/main" id="{024A270F-096E-4E34-A970-88F1E15760ED}"/>
            </a:ext>
          </a:extLst>
        </xdr:cNvPr>
        <xdr:cNvCxnSpPr>
          <a:cxnSpLocks noChangeShapeType="1"/>
        </xdr:cNvCxnSpPr>
      </xdr:nvCxnSpPr>
      <xdr:spPr bwMode="auto">
        <a:xfrm flipV="1">
          <a:off x="5977021" y="2852560"/>
          <a:ext cx="557253" cy="1465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137950</xdr:colOff>
      <xdr:row>7</xdr:row>
      <xdr:rowOff>164225</xdr:rowOff>
    </xdr:from>
    <xdr:to>
      <xdr:col>11</xdr:col>
      <xdr:colOff>131381</xdr:colOff>
      <xdr:row>7</xdr:row>
      <xdr:rowOff>164226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8A9D84B9-0126-44B2-8CC6-099586962710}"/>
            </a:ext>
          </a:extLst>
        </xdr:cNvPr>
        <xdr:cNvCxnSpPr>
          <a:cxnSpLocks noChangeShapeType="1"/>
        </xdr:cNvCxnSpPr>
      </xdr:nvCxnSpPr>
      <xdr:spPr bwMode="auto">
        <a:xfrm flipV="1">
          <a:off x="5405275" y="5822075"/>
          <a:ext cx="622081" cy="1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304800</xdr:colOff>
      <xdr:row>34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71775" y="1106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304800</xdr:colOff>
      <xdr:row>35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141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37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1801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271190</xdr:colOff>
      <xdr:row>34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5728455" y="10331824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1,036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728455" y="10331824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12&amp;1,036)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3</xdr:col>
      <xdr:colOff>257744</xdr:colOff>
      <xdr:row>35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5715009" y="10690413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1,03</m:t>
                        </m:r>
                        <m:r>
                          <a:rPr lang="en-US" sz="1400" b="0" i="1">
                            <a:latin typeface="Cambria Math"/>
                          </a:rPr>
                          <m:t>7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715009" y="10690413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12&amp;1,03</a:t>
              </a:r>
              <a:r>
                <a:rPr lang="en-US" sz="1400" b="0" i="0">
                  <a:latin typeface="Cambria Math"/>
                </a:rPr>
                <a:t>7</a:t>
              </a:r>
              <a:r>
                <a:rPr lang="ru-RU" sz="1400" b="0" i="0">
                  <a:latin typeface="Cambria Math"/>
                </a:rPr>
                <a:t>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113745</xdr:colOff>
      <xdr:row>36</xdr:row>
      <xdr:rowOff>380993</xdr:rowOff>
    </xdr:from>
    <xdr:ext cx="2463614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4551274" y="11452405"/>
              <a:ext cx="2463614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1*(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1,00303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  <m:r>
                    <a:rPr lang="ru-RU" sz="140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1,00303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6</m:t>
                      </m:r>
                    </m:sup>
                  </m:sSup>
                  <m:r>
                    <a:rPr lang="ru-RU" sz="140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551274" y="11452405"/>
              <a:ext cx="2463614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1*(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〖1,00303〗^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+〖1,00303〗^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6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36</xdr:row>
      <xdr:rowOff>0</xdr:rowOff>
    </xdr:from>
    <xdr:ext cx="304800" cy="190500"/>
    <xdr:sp macro="" textlink="">
      <xdr:nvSpPr>
        <xdr:cNvPr id="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6647" y="11665324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46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47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372" t="s">
        <v>44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8"/>
    </row>
    <row r="5" spans="1:13" x14ac:dyDescent="0.2">
      <c r="A5" s="373" t="s">
        <v>89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17"/>
    </row>
    <row r="6" spans="1:13" s="93" customFormat="1" ht="26.25" customHeight="1" thickBot="1" x14ac:dyDescent="0.3">
      <c r="A6" s="375" t="s">
        <v>90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6"/>
      <c r="M6" s="92"/>
    </row>
    <row r="7" spans="1:13" ht="21" customHeight="1" thickTop="1" x14ac:dyDescent="0.2">
      <c r="A7" s="20" t="s">
        <v>48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377" t="s">
        <v>14</v>
      </c>
      <c r="B8" s="377" t="s">
        <v>15</v>
      </c>
      <c r="C8" s="377" t="s">
        <v>16</v>
      </c>
      <c r="D8" s="377" t="s">
        <v>17</v>
      </c>
      <c r="E8" s="377" t="s">
        <v>18</v>
      </c>
      <c r="F8" s="377" t="s">
        <v>19</v>
      </c>
      <c r="G8" s="377"/>
      <c r="H8" s="377"/>
      <c r="I8" s="377"/>
      <c r="J8" s="377"/>
      <c r="K8" s="378"/>
      <c r="L8" s="377" t="s">
        <v>20</v>
      </c>
    </row>
    <row r="9" spans="1:13" ht="18" customHeight="1" x14ac:dyDescent="0.2">
      <c r="A9" s="378"/>
      <c r="B9" s="378"/>
      <c r="C9" s="378"/>
      <c r="D9" s="378"/>
      <c r="E9" s="378"/>
      <c r="F9" s="24" t="s">
        <v>21</v>
      </c>
      <c r="G9" s="24" t="s">
        <v>22</v>
      </c>
      <c r="H9" s="24" t="s">
        <v>23</v>
      </c>
      <c r="I9" s="24" t="s">
        <v>24</v>
      </c>
      <c r="J9" s="24" t="s">
        <v>25</v>
      </c>
      <c r="K9" s="24" t="s">
        <v>26</v>
      </c>
      <c r="L9" s="378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379" t="s">
        <v>27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1"/>
    </row>
    <row r="12" spans="1:13" ht="42" customHeight="1" x14ac:dyDescent="0.2">
      <c r="A12" s="26">
        <v>1</v>
      </c>
      <c r="B12" s="27" t="s">
        <v>49</v>
      </c>
      <c r="C12" s="28" t="s">
        <v>50</v>
      </c>
      <c r="D12" s="28">
        <v>0.36</v>
      </c>
      <c r="E12" s="29" t="s">
        <v>51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52</v>
      </c>
      <c r="C13" s="28" t="s">
        <v>34</v>
      </c>
      <c r="D13" s="28">
        <v>0</v>
      </c>
      <c r="E13" s="29" t="s">
        <v>53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54</v>
      </c>
      <c r="C14" s="28" t="s">
        <v>34</v>
      </c>
      <c r="D14" s="28">
        <v>36</v>
      </c>
      <c r="E14" s="29" t="s">
        <v>55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56</v>
      </c>
      <c r="C15" s="28" t="s">
        <v>57</v>
      </c>
      <c r="D15" s="28">
        <v>4845</v>
      </c>
      <c r="E15" s="29" t="s">
        <v>58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28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74</v>
      </c>
      <c r="C17" s="7"/>
      <c r="D17" s="36">
        <f>L16</f>
        <v>113568.24</v>
      </c>
      <c r="E17" s="4" t="s">
        <v>59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60</v>
      </c>
      <c r="C18" s="7"/>
      <c r="D18" s="36">
        <f>L16</f>
        <v>113568.24</v>
      </c>
      <c r="E18" s="4" t="s">
        <v>61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62</v>
      </c>
      <c r="C19" s="37"/>
      <c r="D19" s="36">
        <f>L16</f>
        <v>113568.24</v>
      </c>
      <c r="E19" s="4" t="s">
        <v>63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28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379" t="s">
        <v>64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1"/>
      <c r="M22" s="9"/>
    </row>
    <row r="23" spans="1:13" ht="29.25" hidden="1" customHeight="1" x14ac:dyDescent="0.2">
      <c r="A23" s="26">
        <v>5</v>
      </c>
      <c r="B23" s="53" t="s">
        <v>38</v>
      </c>
      <c r="C23" s="29"/>
      <c r="D23" s="54">
        <f>L21</f>
        <v>136281.89000000001</v>
      </c>
      <c r="E23" s="55" t="s">
        <v>40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65</v>
      </c>
      <c r="C24" s="29"/>
      <c r="D24" s="54">
        <f>L21</f>
        <v>136281.89000000001</v>
      </c>
      <c r="E24" s="55" t="s">
        <v>66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67</v>
      </c>
      <c r="C25" s="29"/>
      <c r="D25" s="54">
        <f>D24+L24</f>
        <v>143095.98000000001</v>
      </c>
      <c r="E25" s="55" t="s">
        <v>68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29</v>
      </c>
      <c r="C26" s="29"/>
      <c r="D26" s="54">
        <f>D24+L24</f>
        <v>143095.98000000001</v>
      </c>
      <c r="E26" s="62" t="s">
        <v>69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37</v>
      </c>
      <c r="C27" s="29"/>
      <c r="D27" s="54">
        <f>L16+L17</f>
        <v>136281.89000000001</v>
      </c>
      <c r="E27" s="55" t="s">
        <v>70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30</v>
      </c>
      <c r="C28" s="29"/>
      <c r="D28" s="54">
        <f>L21+L23+L24+L25+L26+L27</f>
        <v>191748.61</v>
      </c>
      <c r="E28" s="55" t="s">
        <v>71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39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42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35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382" t="s">
        <v>72</v>
      </c>
      <c r="C32" s="383"/>
      <c r="D32" s="383"/>
      <c r="E32" s="383"/>
      <c r="F32" s="383"/>
      <c r="G32" s="383"/>
      <c r="H32" s="383"/>
      <c r="I32" s="383"/>
      <c r="J32" s="384"/>
      <c r="K32" s="80">
        <v>3.9</v>
      </c>
      <c r="L32" s="81">
        <f>L31*K32</f>
        <v>747819.58</v>
      </c>
    </row>
    <row r="33" spans="1:12" hidden="1" x14ac:dyDescent="0.2">
      <c r="A33" s="79"/>
      <c r="B33" s="382" t="s">
        <v>41</v>
      </c>
      <c r="C33" s="383"/>
      <c r="D33" s="383"/>
      <c r="E33" s="383"/>
      <c r="F33" s="383"/>
      <c r="G33" s="383"/>
      <c r="H33" s="383"/>
      <c r="I33" s="383"/>
      <c r="J33" s="384"/>
      <c r="K33" s="80">
        <v>1</v>
      </c>
      <c r="L33" s="81">
        <f>L32*K33</f>
        <v>747819.58</v>
      </c>
    </row>
    <row r="34" spans="1:12" x14ac:dyDescent="0.2">
      <c r="A34" s="79"/>
      <c r="B34" s="41" t="s">
        <v>31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369" t="s">
        <v>73</v>
      </c>
      <c r="C35" s="370"/>
      <c r="D35" s="370"/>
      <c r="E35" s="370"/>
      <c r="F35" s="370"/>
      <c r="G35" s="370"/>
      <c r="H35" s="370"/>
      <c r="I35" s="370"/>
      <c r="J35" s="370"/>
      <c r="K35" s="371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36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topLeftCell="A18" zoomScale="85" zoomScaleNormal="85" zoomScaleSheetLayoutView="85" workbookViewId="0">
      <selection activeCell="J26" sqref="J26"/>
    </sheetView>
  </sheetViews>
  <sheetFormatPr defaultColWidth="8.85546875" defaultRowHeight="12.75" x14ac:dyDescent="0.2"/>
  <cols>
    <col min="1" max="1" width="6.140625" style="204" customWidth="1"/>
    <col min="2" max="2" width="26" style="341" customWidth="1"/>
    <col min="3" max="3" width="20.140625" style="204" customWidth="1"/>
    <col min="4" max="4" width="23.7109375" style="204" customWidth="1"/>
    <col min="5" max="5" width="12" style="204" customWidth="1"/>
    <col min="6" max="6" width="7" style="204" customWidth="1"/>
    <col min="7" max="7" width="2.42578125" style="204" customWidth="1"/>
    <col min="8" max="8" width="8.7109375" style="204" customWidth="1"/>
    <col min="9" max="10" width="11.28515625" style="204" customWidth="1"/>
    <col min="11" max="11" width="13.85546875" style="204" customWidth="1"/>
    <col min="12" max="12" width="17.85546875" style="204" customWidth="1"/>
    <col min="13" max="13" width="11.7109375" style="204" bestFit="1" customWidth="1"/>
    <col min="14" max="14" width="8.85546875" style="204"/>
    <col min="15" max="15" width="54.85546875" style="204" customWidth="1"/>
    <col min="16" max="16384" width="8.85546875" style="204"/>
  </cols>
  <sheetData>
    <row r="1" spans="1:15" ht="17.649999999999999" customHeight="1" x14ac:dyDescent="0.2">
      <c r="A1" s="497"/>
      <c r="B1" s="498"/>
      <c r="C1" s="498"/>
      <c r="D1" s="498"/>
      <c r="E1" s="498"/>
      <c r="H1" s="499" t="s">
        <v>91</v>
      </c>
      <c r="I1" s="498"/>
      <c r="J1" s="498"/>
    </row>
    <row r="2" spans="1:15" ht="19.149999999999999" customHeight="1" x14ac:dyDescent="0.2">
      <c r="A2" s="500" t="s">
        <v>115</v>
      </c>
      <c r="B2" s="498"/>
      <c r="C2" s="498"/>
      <c r="D2" s="498"/>
      <c r="E2" s="498"/>
      <c r="F2" s="498"/>
      <c r="G2" s="498"/>
      <c r="H2" s="498"/>
      <c r="I2" s="498"/>
      <c r="J2" s="498"/>
    </row>
    <row r="3" spans="1:15" ht="22.9" customHeight="1" x14ac:dyDescent="0.2">
      <c r="A3" s="501" t="s">
        <v>5</v>
      </c>
      <c r="B3" s="498"/>
      <c r="C3" s="498"/>
      <c r="D3" s="498"/>
      <c r="E3" s="498"/>
      <c r="F3" s="498"/>
      <c r="G3" s="498"/>
      <c r="H3" s="498"/>
      <c r="I3" s="498"/>
      <c r="J3" s="498"/>
    </row>
    <row r="4" spans="1:15" ht="30.75" customHeight="1" x14ac:dyDescent="0.2">
      <c r="A4" s="502" t="s">
        <v>76</v>
      </c>
      <c r="B4" s="498"/>
      <c r="C4" s="503" t="s">
        <v>339</v>
      </c>
      <c r="D4" s="504"/>
      <c r="E4" s="504"/>
      <c r="F4" s="504"/>
      <c r="G4" s="504"/>
      <c r="H4" s="504"/>
      <c r="I4" s="504"/>
      <c r="J4" s="504"/>
    </row>
    <row r="5" spans="1:15" ht="17.649999999999999" customHeight="1" x14ac:dyDescent="0.2">
      <c r="A5" s="502" t="s">
        <v>77</v>
      </c>
      <c r="B5" s="498"/>
      <c r="C5" s="505" t="s">
        <v>78</v>
      </c>
      <c r="D5" s="498"/>
      <c r="E5" s="498"/>
      <c r="F5" s="498"/>
      <c r="G5" s="498"/>
      <c r="H5" s="498"/>
      <c r="I5" s="498"/>
      <c r="J5" s="498"/>
    </row>
    <row r="6" spans="1:15" ht="29.65" customHeight="1" x14ac:dyDescent="0.2">
      <c r="A6" s="502" t="s">
        <v>92</v>
      </c>
      <c r="B6" s="498"/>
      <c r="C6" s="505"/>
      <c r="D6" s="498"/>
      <c r="E6" s="498"/>
      <c r="F6" s="498"/>
      <c r="G6" s="498"/>
      <c r="H6" s="498"/>
      <c r="I6" s="498"/>
      <c r="J6" s="498"/>
    </row>
    <row r="7" spans="1:15" ht="29.65" customHeight="1" x14ac:dyDescent="0.2">
      <c r="A7" s="502" t="s">
        <v>80</v>
      </c>
      <c r="B7" s="498"/>
      <c r="C7" s="505" t="s">
        <v>75</v>
      </c>
      <c r="D7" s="498"/>
      <c r="E7" s="498"/>
      <c r="F7" s="498"/>
      <c r="G7" s="498"/>
      <c r="H7" s="498"/>
      <c r="I7" s="498"/>
      <c r="J7" s="498"/>
    </row>
    <row r="8" spans="1:15" ht="29.65" customHeight="1" x14ac:dyDescent="0.2">
      <c r="A8" s="502" t="s">
        <v>81</v>
      </c>
      <c r="B8" s="498"/>
      <c r="C8" s="505" t="s">
        <v>94</v>
      </c>
      <c r="D8" s="498"/>
      <c r="E8" s="498"/>
      <c r="F8" s="498"/>
      <c r="G8" s="498"/>
      <c r="H8" s="498"/>
      <c r="I8" s="498"/>
      <c r="J8" s="498"/>
    </row>
    <row r="9" spans="1:15" ht="81.400000000000006" customHeight="1" x14ac:dyDescent="0.2">
      <c r="A9" s="141" t="s">
        <v>2</v>
      </c>
      <c r="B9" s="141" t="s">
        <v>32</v>
      </c>
      <c r="C9" s="494" t="s">
        <v>82</v>
      </c>
      <c r="D9" s="506"/>
      <c r="E9" s="141" t="s">
        <v>33</v>
      </c>
      <c r="F9" s="494" t="s">
        <v>83</v>
      </c>
      <c r="G9" s="495"/>
      <c r="H9" s="495"/>
      <c r="I9" s="496"/>
      <c r="J9" s="141" t="s">
        <v>84</v>
      </c>
    </row>
    <row r="10" spans="1:15" ht="216.75" customHeight="1" x14ac:dyDescent="0.2">
      <c r="A10" s="202">
        <v>1</v>
      </c>
      <c r="B10" s="324" t="s">
        <v>287</v>
      </c>
      <c r="C10" s="473" t="s">
        <v>288</v>
      </c>
      <c r="D10" s="474"/>
      <c r="E10" s="203" t="s">
        <v>257</v>
      </c>
      <c r="F10" s="475" t="s">
        <v>289</v>
      </c>
      <c r="G10" s="476"/>
      <c r="H10" s="476"/>
      <c r="I10" s="477"/>
      <c r="J10" s="205">
        <f>334.88*1.08*(0.35*1.24+0.65)*0.75*1000*0.4*2</f>
        <v>235230</v>
      </c>
      <c r="K10" s="209"/>
      <c r="L10" s="206"/>
      <c r="M10" s="206"/>
      <c r="N10" s="206"/>
      <c r="O10" s="206"/>
    </row>
    <row r="11" spans="1:15" ht="25.5" customHeight="1" x14ac:dyDescent="0.2">
      <c r="A11" s="482">
        <v>2</v>
      </c>
      <c r="B11" s="485" t="s">
        <v>290</v>
      </c>
      <c r="C11" s="528" t="s">
        <v>286</v>
      </c>
      <c r="D11" s="517"/>
      <c r="E11" s="485" t="s">
        <v>97</v>
      </c>
      <c r="F11" s="507" t="s">
        <v>291</v>
      </c>
      <c r="G11" s="508"/>
      <c r="H11" s="508"/>
      <c r="I11" s="509"/>
      <c r="J11" s="478">
        <f>(25.97+0.063*350)*1000
*(0.68*1.3+0.32)*0.4</f>
        <v>23126</v>
      </c>
      <c r="K11" s="206"/>
      <c r="L11" s="206"/>
      <c r="M11" s="206"/>
      <c r="N11" s="206"/>
      <c r="O11" s="206"/>
    </row>
    <row r="12" spans="1:15" ht="25.5" customHeight="1" x14ac:dyDescent="0.2">
      <c r="A12" s="483"/>
      <c r="B12" s="486"/>
      <c r="C12" s="488" t="s">
        <v>264</v>
      </c>
      <c r="D12" s="489"/>
      <c r="E12" s="486"/>
      <c r="F12" s="510"/>
      <c r="G12" s="511"/>
      <c r="H12" s="511"/>
      <c r="I12" s="512"/>
      <c r="J12" s="478"/>
      <c r="K12" s="206"/>
      <c r="L12" s="206"/>
      <c r="M12" s="206"/>
      <c r="N12" s="206"/>
      <c r="O12" s="206"/>
    </row>
    <row r="13" spans="1:15" ht="58.5" customHeight="1" x14ac:dyDescent="0.2">
      <c r="A13" s="483"/>
      <c r="B13" s="486"/>
      <c r="C13" s="530" t="s">
        <v>123</v>
      </c>
      <c r="D13" s="491"/>
      <c r="E13" s="486"/>
      <c r="F13" s="510"/>
      <c r="G13" s="511"/>
      <c r="H13" s="511"/>
      <c r="I13" s="512"/>
      <c r="J13" s="478"/>
      <c r="K13" s="206"/>
      <c r="L13" s="206"/>
      <c r="M13" s="206"/>
      <c r="N13" s="206"/>
      <c r="O13" s="206"/>
    </row>
    <row r="14" spans="1:15" x14ac:dyDescent="0.2">
      <c r="A14" s="484"/>
      <c r="B14" s="487"/>
      <c r="C14" s="492" t="s">
        <v>114</v>
      </c>
      <c r="D14" s="493"/>
      <c r="E14" s="487"/>
      <c r="F14" s="513"/>
      <c r="G14" s="514"/>
      <c r="H14" s="514"/>
      <c r="I14" s="515"/>
      <c r="J14" s="478"/>
      <c r="K14" s="206"/>
      <c r="L14" s="206"/>
      <c r="M14" s="206"/>
      <c r="N14" s="206"/>
      <c r="O14" s="206"/>
    </row>
    <row r="15" spans="1:15" s="358" customFormat="1" ht="27.6" customHeight="1" x14ac:dyDescent="0.2">
      <c r="A15" s="531">
        <v>3</v>
      </c>
      <c r="B15" s="532" t="s">
        <v>355</v>
      </c>
      <c r="C15" s="528" t="s">
        <v>285</v>
      </c>
      <c r="D15" s="517"/>
      <c r="E15" s="518" t="s">
        <v>124</v>
      </c>
      <c r="F15" s="529" t="s">
        <v>356</v>
      </c>
      <c r="G15" s="520"/>
      <c r="H15" s="520"/>
      <c r="I15" s="521"/>
      <c r="J15" s="479">
        <f>(55.04+0.213*350)*1.1
*(0.76*1.3+0.24)*0.5*1000</f>
        <v>87525</v>
      </c>
      <c r="K15" s="206"/>
      <c r="L15" s="206"/>
      <c r="M15" s="206"/>
      <c r="N15" s="206"/>
      <c r="O15" s="206"/>
    </row>
    <row r="16" spans="1:15" s="358" customFormat="1" ht="30.6" customHeight="1" x14ac:dyDescent="0.2">
      <c r="A16" s="531"/>
      <c r="B16" s="532"/>
      <c r="C16" s="536" t="s">
        <v>354</v>
      </c>
      <c r="D16" s="537"/>
      <c r="E16" s="518"/>
      <c r="F16" s="522"/>
      <c r="G16" s="523"/>
      <c r="H16" s="523"/>
      <c r="I16" s="524"/>
      <c r="J16" s="480"/>
      <c r="K16" s="206"/>
      <c r="L16" s="206"/>
      <c r="M16" s="206"/>
      <c r="N16" s="206"/>
      <c r="O16" s="206"/>
    </row>
    <row r="17" spans="1:15" s="358" customFormat="1" ht="42" customHeight="1" x14ac:dyDescent="0.2">
      <c r="A17" s="531"/>
      <c r="B17" s="532"/>
      <c r="C17" s="530" t="s">
        <v>125</v>
      </c>
      <c r="D17" s="491"/>
      <c r="E17" s="518"/>
      <c r="F17" s="522"/>
      <c r="G17" s="523"/>
      <c r="H17" s="523"/>
      <c r="I17" s="524"/>
      <c r="J17" s="480"/>
      <c r="K17" s="347"/>
      <c r="L17" s="206"/>
      <c r="M17" s="206"/>
      <c r="N17" s="206"/>
      <c r="O17" s="206"/>
    </row>
    <row r="18" spans="1:15" s="358" customFormat="1" ht="21.6" customHeight="1" x14ac:dyDescent="0.2">
      <c r="A18" s="531"/>
      <c r="B18" s="532"/>
      <c r="C18" s="530" t="s">
        <v>126</v>
      </c>
      <c r="D18" s="491"/>
      <c r="E18" s="518"/>
      <c r="F18" s="522"/>
      <c r="G18" s="523"/>
      <c r="H18" s="523"/>
      <c r="I18" s="524"/>
      <c r="J18" s="480"/>
      <c r="K18" s="206"/>
      <c r="L18" s="206"/>
      <c r="M18" s="206"/>
      <c r="N18" s="206"/>
      <c r="O18" s="206"/>
    </row>
    <row r="19" spans="1:15" s="358" customFormat="1" ht="30" customHeight="1" x14ac:dyDescent="0.2">
      <c r="A19" s="531"/>
      <c r="B19" s="532"/>
      <c r="C19" s="492" t="s">
        <v>127</v>
      </c>
      <c r="D19" s="493"/>
      <c r="E19" s="518"/>
      <c r="F19" s="525"/>
      <c r="G19" s="526"/>
      <c r="H19" s="526"/>
      <c r="I19" s="527"/>
      <c r="J19" s="481"/>
      <c r="K19" s="206"/>
      <c r="L19" s="206"/>
      <c r="M19" s="206"/>
      <c r="N19" s="206"/>
      <c r="O19" s="206"/>
    </row>
    <row r="20" spans="1:15" s="338" customFormat="1" ht="51.75" customHeight="1" x14ac:dyDescent="0.2">
      <c r="A20" s="531">
        <v>4</v>
      </c>
      <c r="B20" s="532" t="s">
        <v>294</v>
      </c>
      <c r="C20" s="516" t="s">
        <v>293</v>
      </c>
      <c r="D20" s="517"/>
      <c r="E20" s="518" t="s">
        <v>295</v>
      </c>
      <c r="F20" s="519" t="s">
        <v>296</v>
      </c>
      <c r="G20" s="520"/>
      <c r="H20" s="520"/>
      <c r="I20" s="521"/>
      <c r="J20" s="479">
        <f>(6+0.044*(0.4*1000+0.6*500))
*(0.85*1.3+0.15)*0.4*1000</f>
        <v>18474</v>
      </c>
      <c r="K20" s="206"/>
      <c r="L20" s="206"/>
      <c r="M20" s="206"/>
      <c r="N20" s="206"/>
      <c r="O20" s="206"/>
    </row>
    <row r="21" spans="1:15" s="338" customFormat="1" ht="30.6" customHeight="1" x14ac:dyDescent="0.2">
      <c r="A21" s="531"/>
      <c r="B21" s="532"/>
      <c r="C21" s="488" t="s">
        <v>264</v>
      </c>
      <c r="D21" s="489"/>
      <c r="E21" s="518"/>
      <c r="F21" s="522"/>
      <c r="G21" s="523"/>
      <c r="H21" s="523"/>
      <c r="I21" s="524"/>
      <c r="J21" s="480"/>
      <c r="K21" s="206"/>
      <c r="L21" s="206"/>
      <c r="M21" s="206"/>
      <c r="N21" s="206"/>
      <c r="O21" s="206"/>
    </row>
    <row r="22" spans="1:15" s="338" customFormat="1" ht="55.5" customHeight="1" x14ac:dyDescent="0.2">
      <c r="A22" s="531"/>
      <c r="B22" s="532"/>
      <c r="C22" s="490" t="s">
        <v>292</v>
      </c>
      <c r="D22" s="491"/>
      <c r="E22" s="518"/>
      <c r="F22" s="522"/>
      <c r="G22" s="523"/>
      <c r="H22" s="523"/>
      <c r="I22" s="524"/>
      <c r="J22" s="480"/>
      <c r="K22" s="206"/>
      <c r="L22" s="206"/>
      <c r="M22" s="206"/>
      <c r="N22" s="206"/>
      <c r="O22" s="206"/>
    </row>
    <row r="23" spans="1:15" s="338" customFormat="1" x14ac:dyDescent="0.2">
      <c r="A23" s="531"/>
      <c r="B23" s="532"/>
      <c r="C23" s="492" t="s">
        <v>114</v>
      </c>
      <c r="D23" s="493"/>
      <c r="E23" s="518"/>
      <c r="F23" s="525"/>
      <c r="G23" s="526"/>
      <c r="H23" s="526"/>
      <c r="I23" s="527"/>
      <c r="J23" s="481"/>
      <c r="K23" s="206"/>
      <c r="L23" s="206"/>
      <c r="M23" s="206"/>
      <c r="N23" s="206"/>
      <c r="O23" s="206"/>
    </row>
    <row r="24" spans="1:15" s="325" customFormat="1" ht="53.25" customHeight="1" x14ac:dyDescent="0.2">
      <c r="A24" s="322">
        <v>5</v>
      </c>
      <c r="B24" s="323" t="s">
        <v>280</v>
      </c>
      <c r="C24" s="538" t="s">
        <v>333</v>
      </c>
      <c r="D24" s="539"/>
      <c r="E24" s="322"/>
      <c r="F24" s="323"/>
      <c r="G24" s="342"/>
      <c r="H24" s="342"/>
      <c r="I24" s="326"/>
      <c r="J24" s="321">
        <f>(SUM(J10:J23)+L25)*4%</f>
        <v>36436</v>
      </c>
      <c r="K24" s="206"/>
      <c r="L24" s="206"/>
      <c r="M24" s="207"/>
      <c r="N24" s="206"/>
      <c r="O24" s="208">
        <f>(7+0.122*(0.4*750+0.6*730))*(0.796*1.2+0.204)*0.3*1000</f>
        <v>33745.24</v>
      </c>
    </row>
    <row r="25" spans="1:15" ht="17.25" customHeight="1" x14ac:dyDescent="0.2">
      <c r="A25" s="198"/>
      <c r="B25" s="339" t="s">
        <v>98</v>
      </c>
      <c r="C25" s="541"/>
      <c r="D25" s="542"/>
      <c r="E25" s="142"/>
      <c r="F25" s="533"/>
      <c r="G25" s="534"/>
      <c r="H25" s="534"/>
      <c r="I25" s="535"/>
      <c r="J25" s="143">
        <f>SUM(J10:J24)</f>
        <v>400791</v>
      </c>
      <c r="L25" s="144">
        <f>SUM(J10:J23)/40*60</f>
        <v>546533</v>
      </c>
      <c r="M25" s="204" t="s">
        <v>233</v>
      </c>
    </row>
    <row r="26" spans="1:15" ht="52.5" customHeight="1" x14ac:dyDescent="0.2">
      <c r="A26" s="199"/>
      <c r="B26" s="322" t="s">
        <v>360</v>
      </c>
      <c r="C26" s="492" t="s">
        <v>361</v>
      </c>
      <c r="D26" s="540"/>
      <c r="E26" s="142"/>
      <c r="F26" s="533"/>
      <c r="G26" s="534"/>
      <c r="H26" s="534"/>
      <c r="I26" s="535"/>
      <c r="J26" s="144">
        <f>J25*4.47</f>
        <v>1791536</v>
      </c>
      <c r="L26" s="144">
        <f>L25*4.47</f>
        <v>2443003</v>
      </c>
      <c r="M26" s="349" t="s">
        <v>233</v>
      </c>
    </row>
    <row r="28" spans="1:15" x14ac:dyDescent="0.2">
      <c r="B28" s="340"/>
      <c r="C28" s="210"/>
    </row>
    <row r="29" spans="1:15" x14ac:dyDescent="0.2">
      <c r="B29" s="340"/>
      <c r="C29" s="210"/>
    </row>
    <row r="31" spans="1:15" x14ac:dyDescent="0.2">
      <c r="B31" s="340"/>
    </row>
    <row r="33" spans="2:2" x14ac:dyDescent="0.2">
      <c r="B33" s="340"/>
    </row>
  </sheetData>
  <mergeCells count="51">
    <mergeCell ref="A20:A23"/>
    <mergeCell ref="B20:B23"/>
    <mergeCell ref="F26:I26"/>
    <mergeCell ref="F25:I25"/>
    <mergeCell ref="C16:D16"/>
    <mergeCell ref="C17:D17"/>
    <mergeCell ref="C24:D24"/>
    <mergeCell ref="C26:D26"/>
    <mergeCell ref="C25:D25"/>
    <mergeCell ref="A15:A19"/>
    <mergeCell ref="B15:B19"/>
    <mergeCell ref="A8:B8"/>
    <mergeCell ref="C8:J8"/>
    <mergeCell ref="C9:D9"/>
    <mergeCell ref="F11:I14"/>
    <mergeCell ref="C20:D20"/>
    <mergeCell ref="E20:E23"/>
    <mergeCell ref="F20:I23"/>
    <mergeCell ref="C15:D15"/>
    <mergeCell ref="C11:D11"/>
    <mergeCell ref="E15:E19"/>
    <mergeCell ref="F15:I19"/>
    <mergeCell ref="C14:D14"/>
    <mergeCell ref="E11:E14"/>
    <mergeCell ref="C12:D12"/>
    <mergeCell ref="C13:D13"/>
    <mergeCell ref="C18:D18"/>
    <mergeCell ref="A5:B5"/>
    <mergeCell ref="C5:J5"/>
    <mergeCell ref="A6:B6"/>
    <mergeCell ref="C6:J6"/>
    <mergeCell ref="A7:B7"/>
    <mergeCell ref="C7:J7"/>
    <mergeCell ref="A1:E1"/>
    <mergeCell ref="H1:J1"/>
    <mergeCell ref="A2:J2"/>
    <mergeCell ref="A3:J3"/>
    <mergeCell ref="A4:B4"/>
    <mergeCell ref="C4:J4"/>
    <mergeCell ref="J20:J23"/>
    <mergeCell ref="C21:D21"/>
    <mergeCell ref="C22:D22"/>
    <mergeCell ref="C23:D23"/>
    <mergeCell ref="F9:I9"/>
    <mergeCell ref="C19:D19"/>
    <mergeCell ref="C10:D10"/>
    <mergeCell ref="F10:I10"/>
    <mergeCell ref="J11:J14"/>
    <mergeCell ref="J15:J19"/>
    <mergeCell ref="A11:A14"/>
    <mergeCell ref="B11:B14"/>
  </mergeCells>
  <pageMargins left="0.3611111111111111" right="0.3611111111111111" top="0.3611111111111111" bottom="0.3611111111111111" header="0.3" footer="0.3"/>
  <pageSetup paperSize="9" scale="71" fitToHeight="32767" orientation="portrait" r:id="rId1"/>
  <rowBreaks count="1" manualBreakCount="1">
    <brk id="1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topLeftCell="A8" zoomScale="60" zoomScaleNormal="100" workbookViewId="0">
      <selection activeCell="C19" sqref="C19"/>
    </sheetView>
  </sheetViews>
  <sheetFormatPr defaultColWidth="9.140625" defaultRowHeight="15" x14ac:dyDescent="0.25"/>
  <cols>
    <col min="1" max="1" width="5.28515625" style="90" customWidth="1"/>
    <col min="2" max="2" width="21.85546875" style="89" customWidth="1"/>
    <col min="3" max="3" width="26.140625" style="89" customWidth="1"/>
    <col min="4" max="4" width="14.85546875" style="89" customWidth="1"/>
    <col min="5" max="5" width="8.7109375" style="89" customWidth="1"/>
    <col min="6" max="6" width="11.7109375" style="89" customWidth="1"/>
    <col min="7" max="7" width="23.7109375" style="89" customWidth="1"/>
    <col min="8" max="8" width="17.5703125" style="91" customWidth="1"/>
    <col min="9" max="16384" width="9.140625" style="89"/>
  </cols>
  <sheetData>
    <row r="1" spans="1:8" ht="15.75" x14ac:dyDescent="0.25">
      <c r="A1" s="285"/>
      <c r="B1" s="286"/>
      <c r="C1" s="287"/>
      <c r="D1" s="287"/>
      <c r="E1" s="287"/>
      <c r="F1" s="286"/>
      <c r="G1" s="286"/>
      <c r="H1" s="288"/>
    </row>
    <row r="2" spans="1:8" ht="15.75" x14ac:dyDescent="0.25">
      <c r="A2" s="563" t="s">
        <v>113</v>
      </c>
      <c r="B2" s="559"/>
      <c r="C2" s="559"/>
      <c r="D2" s="559"/>
      <c r="E2" s="559"/>
      <c r="F2" s="559"/>
      <c r="G2" s="559"/>
      <c r="H2" s="559"/>
    </row>
    <row r="3" spans="1:8" ht="15.75" x14ac:dyDescent="0.25">
      <c r="A3" s="564"/>
      <c r="B3" s="559"/>
      <c r="C3" s="559"/>
      <c r="D3" s="559"/>
      <c r="E3" s="559"/>
      <c r="F3" s="559"/>
      <c r="G3" s="559"/>
      <c r="H3" s="559"/>
    </row>
    <row r="4" spans="1:8" ht="55.9" customHeight="1" x14ac:dyDescent="0.25">
      <c r="A4" s="561" t="s">
        <v>76</v>
      </c>
      <c r="B4" s="559"/>
      <c r="C4" s="565" t="str">
        <f>'ПД '!C4:J4</f>
        <v>Всесезонный туристско-рекреационный комплекс «Эльбрус», Кабардино-Балкарская Республика. 
Благоустройство центральной части Поляны Азау 3 этап</v>
      </c>
      <c r="D4" s="565"/>
      <c r="E4" s="565"/>
      <c r="F4" s="566"/>
      <c r="G4" s="566"/>
      <c r="H4" s="566"/>
    </row>
    <row r="5" spans="1:8" ht="17.25" customHeight="1" x14ac:dyDescent="0.25">
      <c r="A5" s="561" t="s">
        <v>77</v>
      </c>
      <c r="B5" s="559"/>
      <c r="C5" s="560"/>
      <c r="D5" s="560"/>
      <c r="E5" s="560"/>
      <c r="F5" s="559"/>
      <c r="G5" s="559"/>
      <c r="H5" s="559"/>
    </row>
    <row r="6" spans="1:8" ht="30" customHeight="1" x14ac:dyDescent="0.25">
      <c r="A6" s="558" t="s">
        <v>79</v>
      </c>
      <c r="B6" s="559"/>
      <c r="C6" s="560" t="s">
        <v>85</v>
      </c>
      <c r="D6" s="560"/>
      <c r="E6" s="560"/>
      <c r="F6" s="559"/>
      <c r="G6" s="559"/>
      <c r="H6" s="559"/>
    </row>
    <row r="7" spans="1:8" ht="15.75" x14ac:dyDescent="0.25">
      <c r="A7" s="561" t="s">
        <v>80</v>
      </c>
      <c r="B7" s="559"/>
      <c r="C7" s="562"/>
      <c r="D7" s="562"/>
      <c r="E7" s="562"/>
      <c r="F7" s="559"/>
      <c r="G7" s="559"/>
      <c r="H7" s="559"/>
    </row>
    <row r="8" spans="1:8" ht="15.75" x14ac:dyDescent="0.25">
      <c r="A8" s="561" t="s">
        <v>81</v>
      </c>
      <c r="B8" s="559"/>
      <c r="C8" s="562" t="s">
        <v>45</v>
      </c>
      <c r="D8" s="562"/>
      <c r="E8" s="562"/>
      <c r="F8" s="559"/>
      <c r="G8" s="559"/>
      <c r="H8" s="559"/>
    </row>
    <row r="9" spans="1:8" ht="15.75" x14ac:dyDescent="0.25">
      <c r="A9" s="285"/>
      <c r="B9" s="286"/>
      <c r="C9" s="287"/>
      <c r="D9" s="287"/>
      <c r="E9" s="287"/>
      <c r="F9" s="286"/>
      <c r="G9" s="286"/>
      <c r="H9" s="288"/>
    </row>
    <row r="10" spans="1:8" ht="109.5" customHeight="1" x14ac:dyDescent="0.25">
      <c r="A10" s="289" t="s">
        <v>2</v>
      </c>
      <c r="B10" s="289" t="s">
        <v>32</v>
      </c>
      <c r="C10" s="546" t="s">
        <v>82</v>
      </c>
      <c r="D10" s="547"/>
      <c r="E10" s="547"/>
      <c r="F10" s="289" t="s">
        <v>33</v>
      </c>
      <c r="G10" s="289" t="s">
        <v>83</v>
      </c>
      <c r="H10" s="290" t="s">
        <v>84</v>
      </c>
    </row>
    <row r="11" spans="1:8" ht="15" customHeight="1" x14ac:dyDescent="0.25">
      <c r="A11" s="548">
        <v>1</v>
      </c>
      <c r="B11" s="550" t="s">
        <v>9</v>
      </c>
      <c r="C11" s="552"/>
      <c r="D11" s="553"/>
      <c r="E11" s="554"/>
      <c r="F11" s="291"/>
      <c r="G11" s="555"/>
      <c r="H11" s="543"/>
    </row>
    <row r="12" spans="1:8" ht="31.5" x14ac:dyDescent="0.25">
      <c r="A12" s="549"/>
      <c r="B12" s="551"/>
      <c r="C12" s="292" t="s">
        <v>362</v>
      </c>
      <c r="D12" s="293">
        <v>0</v>
      </c>
      <c r="E12" s="294" t="s">
        <v>87</v>
      </c>
      <c r="F12" s="295"/>
      <c r="G12" s="556"/>
      <c r="H12" s="544"/>
    </row>
    <row r="13" spans="1:8" ht="15.75" x14ac:dyDescent="0.25">
      <c r="A13" s="549"/>
      <c r="B13" s="551"/>
      <c r="C13" s="292" t="s">
        <v>363</v>
      </c>
      <c r="D13" s="296">
        <v>4.55</v>
      </c>
      <c r="E13" s="297"/>
      <c r="F13" s="295"/>
      <c r="G13" s="556"/>
      <c r="H13" s="544"/>
    </row>
    <row r="14" spans="1:8" ht="47.25" x14ac:dyDescent="0.25">
      <c r="A14" s="549"/>
      <c r="B14" s="551"/>
      <c r="C14" s="292" t="s">
        <v>181</v>
      </c>
      <c r="D14" s="293">
        <f>D12/D13</f>
        <v>0</v>
      </c>
      <c r="E14" s="294" t="s">
        <v>87</v>
      </c>
      <c r="F14" s="295"/>
      <c r="G14" s="556"/>
      <c r="H14" s="544"/>
    </row>
    <row r="15" spans="1:8" ht="15" customHeight="1" x14ac:dyDescent="0.25">
      <c r="A15" s="548">
        <v>2</v>
      </c>
      <c r="B15" s="550" t="s">
        <v>78</v>
      </c>
      <c r="C15" s="552"/>
      <c r="D15" s="553"/>
      <c r="E15" s="554"/>
      <c r="F15" s="291"/>
      <c r="G15" s="556"/>
      <c r="H15" s="544"/>
    </row>
    <row r="16" spans="1:8" ht="32.450000000000003" customHeight="1" x14ac:dyDescent="0.25">
      <c r="A16" s="549"/>
      <c r="B16" s="551"/>
      <c r="C16" s="292" t="s">
        <v>364</v>
      </c>
      <c r="D16" s="293">
        <f>'Cводная смета ПИР'!G14</f>
        <v>1791536</v>
      </c>
      <c r="E16" s="294" t="s">
        <v>87</v>
      </c>
      <c r="F16" s="295"/>
      <c r="G16" s="556"/>
      <c r="H16" s="544"/>
    </row>
    <row r="17" spans="1:15" ht="25.9" customHeight="1" x14ac:dyDescent="0.25">
      <c r="A17" s="549"/>
      <c r="B17" s="551"/>
      <c r="C17" s="292" t="s">
        <v>363</v>
      </c>
      <c r="D17" s="298">
        <v>4.47</v>
      </c>
      <c r="E17" s="297"/>
      <c r="F17" s="295"/>
      <c r="G17" s="556"/>
      <c r="H17" s="544"/>
    </row>
    <row r="18" spans="1:15" ht="47.25" x14ac:dyDescent="0.25">
      <c r="A18" s="549"/>
      <c r="B18" s="551"/>
      <c r="C18" s="292" t="s">
        <v>182</v>
      </c>
      <c r="D18" s="293">
        <f>D16/D17</f>
        <v>400791</v>
      </c>
      <c r="E18" s="294" t="s">
        <v>87</v>
      </c>
      <c r="F18" s="295"/>
      <c r="G18" s="557"/>
      <c r="H18" s="545"/>
      <c r="O18" s="89" t="s">
        <v>93</v>
      </c>
    </row>
    <row r="19" spans="1:15" ht="39.75" customHeight="1" x14ac:dyDescent="0.25">
      <c r="A19" s="299"/>
      <c r="B19" s="300"/>
      <c r="C19" s="301" t="s">
        <v>95</v>
      </c>
      <c r="D19" s="302">
        <f>D14+D18</f>
        <v>400791</v>
      </c>
      <c r="E19" s="303" t="s">
        <v>87</v>
      </c>
      <c r="F19" s="304"/>
      <c r="G19" s="305" t="s">
        <v>340</v>
      </c>
      <c r="H19" s="306"/>
    </row>
    <row r="20" spans="1:15" ht="72" customHeight="1" x14ac:dyDescent="0.25">
      <c r="A20" s="307"/>
      <c r="B20" s="308" t="s">
        <v>86</v>
      </c>
      <c r="C20" s="309" t="s">
        <v>88</v>
      </c>
      <c r="D20" s="310">
        <v>0.27300000000000002</v>
      </c>
      <c r="E20" s="311"/>
      <c r="F20" s="312"/>
      <c r="G20" s="313"/>
      <c r="H20" s="314">
        <f>D19*D20</f>
        <v>109416</v>
      </c>
    </row>
    <row r="21" spans="1:15" ht="36.75" customHeight="1" x14ac:dyDescent="0.25">
      <c r="A21" s="307"/>
      <c r="B21" s="315"/>
      <c r="C21" s="316" t="s">
        <v>278</v>
      </c>
      <c r="D21" s="317">
        <v>5.44</v>
      </c>
      <c r="E21" s="318"/>
      <c r="F21" s="319"/>
      <c r="G21" s="247"/>
      <c r="H21" s="320">
        <f>H20*D21</f>
        <v>595223</v>
      </c>
    </row>
    <row r="22" spans="1:15" x14ac:dyDescent="0.25">
      <c r="A22" s="108"/>
      <c r="B22" s="109"/>
      <c r="C22" s="109"/>
      <c r="D22" s="109"/>
      <c r="E22" s="109"/>
      <c r="F22" s="109"/>
      <c r="G22" s="109"/>
      <c r="H22" s="110"/>
    </row>
    <row r="23" spans="1:15" x14ac:dyDescent="0.25">
      <c r="A23" s="108"/>
      <c r="B23" s="109"/>
      <c r="C23" s="109"/>
      <c r="D23" s="145"/>
      <c r="E23" s="109"/>
      <c r="F23" s="109"/>
      <c r="G23" s="109"/>
      <c r="H23" s="110"/>
    </row>
    <row r="24" spans="1:15" x14ac:dyDescent="0.25">
      <c r="A24" s="108"/>
      <c r="B24" s="109"/>
      <c r="C24" s="109"/>
      <c r="D24" s="109"/>
      <c r="E24" s="109"/>
      <c r="F24" s="109"/>
      <c r="G24" s="109"/>
      <c r="H24" s="110"/>
    </row>
    <row r="25" spans="1:15" x14ac:dyDescent="0.25">
      <c r="A25" s="108"/>
      <c r="B25" s="109"/>
      <c r="C25" s="109"/>
      <c r="D25" s="109"/>
      <c r="E25" s="109"/>
      <c r="F25" s="109"/>
      <c r="G25" s="109"/>
      <c r="H25" s="110"/>
    </row>
    <row r="26" spans="1:15" x14ac:dyDescent="0.25">
      <c r="A26" s="108"/>
      <c r="B26" s="109"/>
      <c r="C26" s="109"/>
      <c r="D26" s="109"/>
      <c r="E26" s="109"/>
      <c r="F26" s="109"/>
      <c r="G26" s="109"/>
      <c r="H26" s="110"/>
    </row>
    <row r="27" spans="1:15" x14ac:dyDescent="0.25">
      <c r="A27" s="108"/>
      <c r="B27" s="109"/>
      <c r="C27" s="109"/>
      <c r="D27" s="109"/>
      <c r="E27" s="109"/>
      <c r="F27" s="109"/>
      <c r="G27" s="109"/>
      <c r="H27" s="110"/>
    </row>
    <row r="28" spans="1:15" x14ac:dyDescent="0.25">
      <c r="A28" s="108"/>
      <c r="B28" s="109"/>
      <c r="C28" s="109"/>
      <c r="D28" s="109"/>
      <c r="E28" s="109"/>
      <c r="F28" s="109"/>
      <c r="G28" s="109"/>
      <c r="H28" s="110"/>
    </row>
    <row r="29" spans="1:15" x14ac:dyDescent="0.25">
      <c r="A29" s="108"/>
      <c r="B29" s="109"/>
      <c r="C29" s="109"/>
      <c r="D29" s="109"/>
      <c r="E29" s="109"/>
      <c r="F29" s="109"/>
      <c r="G29" s="109"/>
      <c r="H29" s="110"/>
    </row>
    <row r="30" spans="1:15" x14ac:dyDescent="0.25">
      <c r="A30" s="108"/>
      <c r="B30" s="109"/>
      <c r="C30" s="109"/>
      <c r="D30" s="109"/>
      <c r="E30" s="109"/>
      <c r="F30" s="109"/>
      <c r="G30" s="109"/>
      <c r="H30" s="110"/>
    </row>
    <row r="31" spans="1:15" x14ac:dyDescent="0.25">
      <c r="A31" s="108"/>
      <c r="B31" s="109"/>
      <c r="C31" s="109"/>
      <c r="D31" s="109"/>
      <c r="E31" s="109"/>
      <c r="F31" s="109"/>
      <c r="G31" s="109"/>
      <c r="H31" s="110"/>
    </row>
    <row r="32" spans="1:15" x14ac:dyDescent="0.25">
      <c r="A32" s="108"/>
      <c r="B32" s="109"/>
      <c r="C32" s="109"/>
      <c r="D32" s="109"/>
      <c r="E32" s="109"/>
      <c r="F32" s="109"/>
      <c r="G32" s="109"/>
      <c r="H32" s="110"/>
    </row>
    <row r="33" spans="1:8" x14ac:dyDescent="0.25">
      <c r="A33" s="108"/>
      <c r="B33" s="109"/>
      <c r="C33" s="109"/>
      <c r="D33" s="109"/>
      <c r="E33" s="109"/>
      <c r="F33" s="109"/>
      <c r="G33" s="109"/>
      <c r="H33" s="110"/>
    </row>
    <row r="34" spans="1:8" x14ac:dyDescent="0.25">
      <c r="A34" s="108"/>
      <c r="B34" s="109"/>
      <c r="C34" s="109"/>
      <c r="D34" s="109"/>
      <c r="E34" s="109"/>
      <c r="F34" s="109"/>
      <c r="G34" s="109"/>
      <c r="H34" s="110"/>
    </row>
    <row r="35" spans="1:8" x14ac:dyDescent="0.25">
      <c r="A35" s="108"/>
      <c r="B35" s="109"/>
      <c r="C35" s="109"/>
      <c r="D35" s="109"/>
      <c r="E35" s="109"/>
      <c r="F35" s="109"/>
      <c r="G35" s="109"/>
      <c r="H35" s="110"/>
    </row>
    <row r="36" spans="1:8" x14ac:dyDescent="0.25">
      <c r="A36" s="108"/>
      <c r="B36" s="109"/>
      <c r="C36" s="109"/>
      <c r="D36" s="109"/>
      <c r="E36" s="109"/>
      <c r="F36" s="109"/>
      <c r="G36" s="109"/>
      <c r="H36" s="110"/>
    </row>
    <row r="37" spans="1:8" x14ac:dyDescent="0.25">
      <c r="A37" s="108"/>
      <c r="B37" s="109"/>
      <c r="C37" s="109"/>
      <c r="D37" s="109"/>
      <c r="E37" s="109"/>
      <c r="F37" s="109"/>
      <c r="G37" s="109"/>
      <c r="H37" s="110"/>
    </row>
    <row r="38" spans="1:8" x14ac:dyDescent="0.25">
      <c r="A38" s="108"/>
      <c r="B38" s="109"/>
      <c r="C38" s="109"/>
      <c r="D38" s="109"/>
      <c r="E38" s="109"/>
      <c r="F38" s="109"/>
      <c r="G38" s="109"/>
      <c r="H38" s="110"/>
    </row>
    <row r="39" spans="1:8" x14ac:dyDescent="0.25">
      <c r="A39" s="108"/>
      <c r="B39" s="109"/>
      <c r="C39" s="109"/>
      <c r="D39" s="109"/>
      <c r="E39" s="109"/>
      <c r="F39" s="109"/>
      <c r="G39" s="109"/>
      <c r="H39" s="110"/>
    </row>
    <row r="40" spans="1:8" x14ac:dyDescent="0.25">
      <c r="A40" s="108"/>
      <c r="B40" s="109"/>
      <c r="C40" s="109"/>
      <c r="D40" s="109"/>
      <c r="E40" s="109"/>
      <c r="F40" s="109"/>
      <c r="G40" s="109"/>
      <c r="H40" s="110"/>
    </row>
    <row r="41" spans="1:8" x14ac:dyDescent="0.25">
      <c r="A41" s="108"/>
      <c r="B41" s="109"/>
      <c r="C41" s="109"/>
      <c r="D41" s="109"/>
      <c r="E41" s="109"/>
      <c r="F41" s="109"/>
      <c r="G41" s="109"/>
      <c r="H41" s="110"/>
    </row>
    <row r="42" spans="1:8" x14ac:dyDescent="0.25">
      <c r="A42" s="108"/>
      <c r="B42" s="109"/>
      <c r="C42" s="109"/>
      <c r="D42" s="109"/>
      <c r="E42" s="109"/>
      <c r="F42" s="109"/>
      <c r="G42" s="109"/>
      <c r="H42" s="110"/>
    </row>
    <row r="43" spans="1:8" x14ac:dyDescent="0.25">
      <c r="A43" s="108"/>
      <c r="B43" s="109"/>
      <c r="C43" s="109"/>
      <c r="D43" s="109"/>
      <c r="E43" s="109"/>
      <c r="F43" s="109"/>
      <c r="G43" s="109"/>
      <c r="H43" s="110"/>
    </row>
    <row r="44" spans="1:8" x14ac:dyDescent="0.25">
      <c r="A44" s="108"/>
      <c r="B44" s="109"/>
      <c r="C44" s="109"/>
      <c r="D44" s="109"/>
      <c r="E44" s="109"/>
      <c r="F44" s="109"/>
      <c r="G44" s="109"/>
      <c r="H44" s="110"/>
    </row>
    <row r="45" spans="1:8" x14ac:dyDescent="0.25">
      <c r="A45" s="108"/>
      <c r="B45" s="109"/>
      <c r="C45" s="109"/>
      <c r="D45" s="109"/>
      <c r="E45" s="109"/>
      <c r="F45" s="109"/>
      <c r="G45" s="109"/>
      <c r="H45" s="110"/>
    </row>
    <row r="46" spans="1:8" x14ac:dyDescent="0.25">
      <c r="A46" s="108"/>
      <c r="B46" s="109"/>
      <c r="C46" s="109"/>
      <c r="D46" s="109"/>
      <c r="E46" s="109"/>
      <c r="F46" s="109"/>
      <c r="G46" s="109"/>
      <c r="H46" s="110"/>
    </row>
    <row r="47" spans="1:8" x14ac:dyDescent="0.25">
      <c r="A47" s="108"/>
      <c r="B47" s="109"/>
      <c r="C47" s="109"/>
      <c r="D47" s="109"/>
      <c r="E47" s="109"/>
      <c r="F47" s="109"/>
      <c r="G47" s="109"/>
      <c r="H47" s="110"/>
    </row>
    <row r="48" spans="1:8" x14ac:dyDescent="0.25">
      <c r="A48" s="108"/>
      <c r="B48" s="109"/>
      <c r="C48" s="109"/>
      <c r="D48" s="109"/>
      <c r="E48" s="109"/>
      <c r="F48" s="109"/>
      <c r="G48" s="109"/>
      <c r="H48" s="110"/>
    </row>
    <row r="49" spans="1:8" x14ac:dyDescent="0.25">
      <c r="A49" s="108"/>
      <c r="B49" s="109"/>
      <c r="C49" s="109"/>
      <c r="D49" s="109"/>
      <c r="E49" s="109"/>
      <c r="F49" s="109"/>
      <c r="G49" s="109"/>
      <c r="H49" s="110"/>
    </row>
    <row r="50" spans="1:8" x14ac:dyDescent="0.25">
      <c r="A50" s="108"/>
      <c r="B50" s="109"/>
      <c r="C50" s="109"/>
      <c r="D50" s="109"/>
      <c r="E50" s="109"/>
      <c r="F50" s="109"/>
      <c r="G50" s="109"/>
      <c r="H50" s="110"/>
    </row>
    <row r="51" spans="1:8" x14ac:dyDescent="0.25">
      <c r="A51" s="108"/>
      <c r="B51" s="109"/>
      <c r="C51" s="109"/>
      <c r="D51" s="109"/>
      <c r="E51" s="109"/>
      <c r="F51" s="109"/>
      <c r="G51" s="109"/>
      <c r="H51" s="110"/>
    </row>
    <row r="52" spans="1:8" x14ac:dyDescent="0.25">
      <c r="A52" s="108"/>
      <c r="B52" s="109"/>
      <c r="C52" s="109"/>
      <c r="D52" s="109"/>
      <c r="E52" s="109"/>
      <c r="F52" s="109"/>
      <c r="G52" s="109"/>
      <c r="H52" s="110"/>
    </row>
    <row r="53" spans="1:8" x14ac:dyDescent="0.25">
      <c r="A53" s="108"/>
      <c r="B53" s="109"/>
      <c r="C53" s="109"/>
      <c r="D53" s="109"/>
      <c r="E53" s="109"/>
      <c r="F53" s="109"/>
      <c r="G53" s="109"/>
      <c r="H53" s="110"/>
    </row>
    <row r="54" spans="1:8" x14ac:dyDescent="0.25">
      <c r="A54" s="108"/>
      <c r="B54" s="109"/>
      <c r="C54" s="109"/>
      <c r="D54" s="109"/>
      <c r="E54" s="109"/>
      <c r="F54" s="109"/>
      <c r="G54" s="109"/>
      <c r="H54" s="110"/>
    </row>
    <row r="55" spans="1:8" x14ac:dyDescent="0.25">
      <c r="A55" s="108"/>
      <c r="B55" s="109"/>
      <c r="C55" s="109"/>
      <c r="D55" s="109"/>
      <c r="E55" s="109"/>
      <c r="F55" s="109"/>
      <c r="G55" s="109"/>
      <c r="H55" s="110"/>
    </row>
    <row r="56" spans="1:8" x14ac:dyDescent="0.25">
      <c r="A56" s="108"/>
      <c r="B56" s="109"/>
      <c r="C56" s="109"/>
      <c r="D56" s="109"/>
      <c r="E56" s="109"/>
      <c r="F56" s="109"/>
      <c r="G56" s="109"/>
      <c r="H56" s="110"/>
    </row>
    <row r="57" spans="1:8" x14ac:dyDescent="0.25">
      <c r="A57" s="108"/>
      <c r="B57" s="109"/>
      <c r="C57" s="109"/>
      <c r="D57" s="109"/>
      <c r="E57" s="109"/>
      <c r="F57" s="109"/>
      <c r="G57" s="109"/>
      <c r="H57" s="110"/>
    </row>
    <row r="58" spans="1:8" x14ac:dyDescent="0.25">
      <c r="A58" s="108"/>
      <c r="B58" s="109"/>
      <c r="C58" s="109"/>
      <c r="D58" s="109"/>
      <c r="E58" s="109"/>
      <c r="F58" s="109"/>
      <c r="G58" s="109"/>
      <c r="H58" s="110"/>
    </row>
    <row r="59" spans="1:8" x14ac:dyDescent="0.25">
      <c r="A59" s="108"/>
      <c r="B59" s="109"/>
      <c r="C59" s="109"/>
      <c r="D59" s="109"/>
      <c r="E59" s="109"/>
      <c r="F59" s="109"/>
      <c r="G59" s="109"/>
      <c r="H59" s="110"/>
    </row>
    <row r="60" spans="1:8" x14ac:dyDescent="0.25">
      <c r="A60" s="108"/>
      <c r="B60" s="109"/>
      <c r="C60" s="109"/>
      <c r="D60" s="109"/>
      <c r="E60" s="109"/>
      <c r="F60" s="109"/>
      <c r="G60" s="109"/>
      <c r="H60" s="110"/>
    </row>
    <row r="61" spans="1:8" x14ac:dyDescent="0.25">
      <c r="A61" s="108"/>
      <c r="B61" s="109"/>
      <c r="C61" s="109"/>
      <c r="D61" s="109"/>
      <c r="E61" s="109"/>
      <c r="F61" s="109"/>
      <c r="G61" s="109"/>
      <c r="H61" s="110"/>
    </row>
    <row r="62" spans="1:8" x14ac:dyDescent="0.25">
      <c r="A62" s="108"/>
      <c r="B62" s="109"/>
      <c r="C62" s="109"/>
      <c r="D62" s="109"/>
      <c r="E62" s="109"/>
      <c r="F62" s="109"/>
      <c r="G62" s="109"/>
      <c r="H62" s="110"/>
    </row>
    <row r="63" spans="1:8" x14ac:dyDescent="0.25">
      <c r="A63" s="108"/>
      <c r="B63" s="109"/>
      <c r="C63" s="109"/>
      <c r="D63" s="109"/>
      <c r="E63" s="109"/>
      <c r="F63" s="109"/>
      <c r="G63" s="109"/>
      <c r="H63" s="110"/>
    </row>
    <row r="64" spans="1:8" x14ac:dyDescent="0.25">
      <c r="A64" s="108"/>
      <c r="B64" s="109"/>
      <c r="C64" s="109"/>
      <c r="D64" s="109"/>
      <c r="E64" s="109"/>
      <c r="F64" s="109"/>
      <c r="G64" s="109"/>
      <c r="H64" s="110"/>
    </row>
    <row r="65" spans="1:8" x14ac:dyDescent="0.25">
      <c r="A65" s="108"/>
      <c r="B65" s="109"/>
      <c r="C65" s="109"/>
      <c r="D65" s="109"/>
      <c r="E65" s="109"/>
      <c r="F65" s="109"/>
      <c r="G65" s="109"/>
      <c r="H65" s="110"/>
    </row>
    <row r="66" spans="1:8" x14ac:dyDescent="0.25">
      <c r="A66" s="108"/>
      <c r="B66" s="109"/>
      <c r="C66" s="109"/>
      <c r="D66" s="109"/>
      <c r="E66" s="109"/>
      <c r="F66" s="109"/>
      <c r="G66" s="109"/>
      <c r="H66" s="110"/>
    </row>
    <row r="67" spans="1:8" x14ac:dyDescent="0.25">
      <c r="A67" s="108"/>
      <c r="B67" s="109"/>
      <c r="C67" s="109"/>
      <c r="D67" s="109"/>
      <c r="E67" s="109"/>
      <c r="F67" s="109"/>
      <c r="G67" s="109"/>
      <c r="H67" s="110"/>
    </row>
    <row r="68" spans="1:8" x14ac:dyDescent="0.25">
      <c r="A68" s="108"/>
      <c r="B68" s="109"/>
      <c r="C68" s="109"/>
      <c r="D68" s="109"/>
      <c r="E68" s="109"/>
      <c r="F68" s="109"/>
      <c r="G68" s="109"/>
      <c r="H68" s="110"/>
    </row>
    <row r="69" spans="1:8" x14ac:dyDescent="0.25">
      <c r="A69" s="108"/>
      <c r="B69" s="109"/>
      <c r="C69" s="109"/>
      <c r="D69" s="109"/>
      <c r="E69" s="109"/>
      <c r="F69" s="109"/>
      <c r="G69" s="109"/>
      <c r="H69" s="110"/>
    </row>
    <row r="70" spans="1:8" x14ac:dyDescent="0.25">
      <c r="A70" s="108"/>
      <c r="B70" s="109"/>
      <c r="C70" s="109"/>
      <c r="D70" s="109"/>
      <c r="E70" s="109"/>
      <c r="F70" s="109"/>
      <c r="G70" s="109"/>
      <c r="H70" s="110"/>
    </row>
    <row r="71" spans="1:8" x14ac:dyDescent="0.25">
      <c r="A71" s="108"/>
      <c r="B71" s="109"/>
      <c r="C71" s="109"/>
      <c r="D71" s="109"/>
      <c r="E71" s="109"/>
      <c r="F71" s="109"/>
      <c r="G71" s="109"/>
      <c r="H71" s="110"/>
    </row>
    <row r="72" spans="1:8" x14ac:dyDescent="0.25">
      <c r="A72" s="108"/>
      <c r="B72" s="109"/>
      <c r="C72" s="109"/>
      <c r="D72" s="109"/>
      <c r="E72" s="109"/>
      <c r="F72" s="109"/>
      <c r="G72" s="109"/>
      <c r="H72" s="110"/>
    </row>
    <row r="73" spans="1:8" x14ac:dyDescent="0.25">
      <c r="A73" s="108"/>
      <c r="B73" s="109"/>
      <c r="C73" s="109"/>
      <c r="D73" s="109"/>
      <c r="E73" s="109"/>
      <c r="F73" s="109"/>
      <c r="G73" s="109"/>
      <c r="H73" s="110"/>
    </row>
    <row r="74" spans="1:8" x14ac:dyDescent="0.25">
      <c r="A74" s="108"/>
      <c r="B74" s="109"/>
      <c r="C74" s="109"/>
      <c r="D74" s="109"/>
      <c r="E74" s="109"/>
      <c r="F74" s="109"/>
      <c r="G74" s="109"/>
      <c r="H74" s="110"/>
    </row>
    <row r="75" spans="1:8" x14ac:dyDescent="0.25">
      <c r="A75" s="108"/>
      <c r="B75" s="109"/>
      <c r="C75" s="109"/>
      <c r="D75" s="109"/>
      <c r="E75" s="109"/>
      <c r="F75" s="109"/>
      <c r="G75" s="109"/>
      <c r="H75" s="110"/>
    </row>
    <row r="76" spans="1:8" x14ac:dyDescent="0.25">
      <c r="A76" s="108"/>
      <c r="B76" s="109"/>
      <c r="C76" s="109"/>
      <c r="D76" s="109"/>
      <c r="E76" s="109"/>
      <c r="F76" s="109"/>
      <c r="G76" s="109"/>
      <c r="H76" s="110"/>
    </row>
    <row r="77" spans="1:8" x14ac:dyDescent="0.25">
      <c r="A77" s="108"/>
      <c r="B77" s="109"/>
      <c r="C77" s="109"/>
      <c r="D77" s="109"/>
      <c r="E77" s="109"/>
      <c r="F77" s="109"/>
      <c r="G77" s="109"/>
      <c r="H77" s="110"/>
    </row>
    <row r="78" spans="1:8" x14ac:dyDescent="0.25">
      <c r="A78" s="108"/>
      <c r="B78" s="109"/>
      <c r="C78" s="109"/>
      <c r="D78" s="109"/>
      <c r="E78" s="109"/>
      <c r="F78" s="109"/>
      <c r="G78" s="109"/>
      <c r="H78" s="110"/>
    </row>
    <row r="79" spans="1:8" x14ac:dyDescent="0.25">
      <c r="A79" s="108"/>
      <c r="B79" s="109"/>
      <c r="C79" s="109"/>
      <c r="D79" s="109"/>
      <c r="E79" s="109"/>
      <c r="F79" s="109"/>
      <c r="G79" s="109"/>
      <c r="H79" s="110"/>
    </row>
    <row r="80" spans="1:8" x14ac:dyDescent="0.25">
      <c r="A80" s="108"/>
      <c r="B80" s="109"/>
      <c r="C80" s="109"/>
      <c r="D80" s="109"/>
      <c r="E80" s="109"/>
      <c r="F80" s="109"/>
      <c r="G80" s="109"/>
      <c r="H80" s="110"/>
    </row>
    <row r="81" spans="1:8" x14ac:dyDescent="0.25">
      <c r="A81" s="108"/>
      <c r="B81" s="109"/>
      <c r="C81" s="109"/>
      <c r="D81" s="109"/>
      <c r="E81" s="109"/>
      <c r="F81" s="109"/>
      <c r="G81" s="109"/>
      <c r="H81" s="110"/>
    </row>
    <row r="82" spans="1:8" x14ac:dyDescent="0.25">
      <c r="A82" s="108"/>
      <c r="B82" s="109"/>
      <c r="C82" s="109"/>
      <c r="D82" s="109"/>
      <c r="E82" s="109"/>
      <c r="F82" s="109"/>
      <c r="G82" s="109"/>
      <c r="H82" s="110"/>
    </row>
    <row r="83" spans="1:8" x14ac:dyDescent="0.25">
      <c r="A83" s="108"/>
      <c r="B83" s="109"/>
      <c r="C83" s="109"/>
      <c r="D83" s="109"/>
      <c r="E83" s="109"/>
      <c r="F83" s="109"/>
      <c r="G83" s="109"/>
      <c r="H83" s="110"/>
    </row>
    <row r="84" spans="1:8" x14ac:dyDescent="0.25">
      <c r="A84" s="108"/>
      <c r="B84" s="109"/>
      <c r="C84" s="109"/>
      <c r="D84" s="109"/>
      <c r="E84" s="109"/>
      <c r="F84" s="109"/>
      <c r="G84" s="109"/>
      <c r="H84" s="110"/>
    </row>
    <row r="85" spans="1:8" x14ac:dyDescent="0.25">
      <c r="A85" s="108"/>
      <c r="B85" s="109"/>
      <c r="C85" s="109"/>
      <c r="D85" s="109"/>
      <c r="E85" s="109"/>
      <c r="F85" s="109"/>
      <c r="G85" s="109"/>
      <c r="H85" s="110"/>
    </row>
    <row r="86" spans="1:8" x14ac:dyDescent="0.25">
      <c r="A86" s="108"/>
      <c r="B86" s="109"/>
      <c r="C86" s="109"/>
      <c r="D86" s="109"/>
      <c r="E86" s="109"/>
      <c r="F86" s="109"/>
      <c r="G86" s="109"/>
      <c r="H86" s="110"/>
    </row>
    <row r="87" spans="1:8" x14ac:dyDescent="0.25">
      <c r="A87" s="108"/>
      <c r="B87" s="109"/>
      <c r="C87" s="109"/>
      <c r="D87" s="109"/>
      <c r="E87" s="109"/>
      <c r="F87" s="109"/>
      <c r="G87" s="109"/>
      <c r="H87" s="110"/>
    </row>
  </sheetData>
  <mergeCells count="21"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zoomScale="130" zoomScaleNormal="130" workbookViewId="0">
      <selection activeCell="A3" sqref="A3:A5"/>
    </sheetView>
  </sheetViews>
  <sheetFormatPr defaultColWidth="9.140625" defaultRowHeight="15" x14ac:dyDescent="0.25"/>
  <cols>
    <col min="1" max="1" width="9.140625" style="163"/>
    <col min="2" max="2" width="30.140625" style="163" customWidth="1"/>
    <col min="3" max="5" width="9.140625" style="163"/>
    <col min="6" max="20" width="4.140625" style="163" customWidth="1"/>
    <col min="21" max="16384" width="9.140625" style="163"/>
  </cols>
  <sheetData>
    <row r="1" spans="1:19" ht="15" customHeight="1" x14ac:dyDescent="0.25">
      <c r="A1" s="385" t="s">
        <v>350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33" customHeight="1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pans="1:19" ht="33.75" customHeight="1" x14ac:dyDescent="0.25">
      <c r="A3" s="387" t="s">
        <v>2</v>
      </c>
      <c r="B3" s="388" t="s">
        <v>312</v>
      </c>
      <c r="C3" s="387" t="s">
        <v>313</v>
      </c>
      <c r="D3" s="387"/>
      <c r="E3" s="387"/>
      <c r="F3" s="389">
        <v>2020</v>
      </c>
      <c r="G3" s="390"/>
      <c r="H3" s="393">
        <v>2021</v>
      </c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</row>
    <row r="4" spans="1:19" ht="11.25" customHeight="1" x14ac:dyDescent="0.25">
      <c r="A4" s="387"/>
      <c r="B4" s="388"/>
      <c r="C4" s="387"/>
      <c r="D4" s="387"/>
      <c r="E4" s="387"/>
      <c r="F4" s="391"/>
      <c r="G4" s="392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</row>
    <row r="5" spans="1:19" ht="49.5" customHeight="1" x14ac:dyDescent="0.25">
      <c r="A5" s="387"/>
      <c r="B5" s="388"/>
      <c r="C5" s="350" t="s">
        <v>314</v>
      </c>
      <c r="D5" s="350" t="s">
        <v>315</v>
      </c>
      <c r="E5" s="350" t="s">
        <v>316</v>
      </c>
      <c r="F5" s="351" t="s">
        <v>317</v>
      </c>
      <c r="G5" s="351" t="s">
        <v>318</v>
      </c>
      <c r="H5" s="351" t="s">
        <v>319</v>
      </c>
      <c r="I5" s="351" t="s">
        <v>320</v>
      </c>
      <c r="J5" s="351" t="s">
        <v>321</v>
      </c>
      <c r="K5" s="351" t="s">
        <v>322</v>
      </c>
      <c r="L5" s="351" t="s">
        <v>323</v>
      </c>
      <c r="M5" s="351" t="s">
        <v>324</v>
      </c>
      <c r="N5" s="351" t="s">
        <v>325</v>
      </c>
      <c r="O5" s="351" t="s">
        <v>326</v>
      </c>
      <c r="P5" s="351" t="s">
        <v>327</v>
      </c>
      <c r="Q5" s="351" t="s">
        <v>328</v>
      </c>
      <c r="R5" s="351" t="s">
        <v>317</v>
      </c>
      <c r="S5" s="351" t="s">
        <v>318</v>
      </c>
    </row>
    <row r="6" spans="1:19" ht="22.5" customHeight="1" x14ac:dyDescent="0.25">
      <c r="A6" s="350">
        <v>1</v>
      </c>
      <c r="B6" s="350">
        <v>2</v>
      </c>
      <c r="C6" s="350">
        <v>3</v>
      </c>
      <c r="D6" s="350">
        <v>4</v>
      </c>
      <c r="E6" s="350">
        <v>5</v>
      </c>
      <c r="F6" s="350">
        <v>6</v>
      </c>
      <c r="G6" s="350">
        <v>7</v>
      </c>
      <c r="H6" s="350">
        <v>8</v>
      </c>
      <c r="I6" s="350">
        <v>9</v>
      </c>
      <c r="J6" s="350">
        <v>10</v>
      </c>
      <c r="K6" s="350">
        <v>11</v>
      </c>
      <c r="L6" s="350">
        <v>12</v>
      </c>
      <c r="M6" s="350">
        <v>13</v>
      </c>
      <c r="N6" s="350">
        <v>14</v>
      </c>
      <c r="O6" s="350">
        <v>15</v>
      </c>
      <c r="P6" s="350">
        <v>16</v>
      </c>
      <c r="Q6" s="350">
        <v>17</v>
      </c>
      <c r="R6" s="350">
        <v>18</v>
      </c>
      <c r="S6" s="350">
        <v>19</v>
      </c>
    </row>
    <row r="7" spans="1:19" ht="25.5" x14ac:dyDescent="0.25">
      <c r="A7" s="352">
        <v>1</v>
      </c>
      <c r="B7" s="354" t="s">
        <v>329</v>
      </c>
      <c r="C7" s="127" t="s">
        <v>345</v>
      </c>
      <c r="D7" s="127" t="s">
        <v>346</v>
      </c>
      <c r="E7" s="127">
        <v>60</v>
      </c>
      <c r="F7" s="127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</row>
    <row r="8" spans="1:19" ht="25.5" x14ac:dyDescent="0.25">
      <c r="A8" s="352">
        <v>2</v>
      </c>
      <c r="B8" s="354" t="s">
        <v>330</v>
      </c>
      <c r="C8" s="127" t="s">
        <v>334</v>
      </c>
      <c r="D8" s="127" t="s">
        <v>347</v>
      </c>
      <c r="E8" s="127">
        <v>60</v>
      </c>
      <c r="F8" s="127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</row>
    <row r="9" spans="1:19" x14ac:dyDescent="0.25">
      <c r="A9" s="352">
        <v>3</v>
      </c>
      <c r="B9" s="355" t="s">
        <v>331</v>
      </c>
      <c r="C9" s="127" t="s">
        <v>348</v>
      </c>
      <c r="D9" s="127" t="s">
        <v>349</v>
      </c>
      <c r="E9" s="127">
        <v>60</v>
      </c>
      <c r="F9" s="127"/>
      <c r="G9" s="150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</sheetData>
  <mergeCells count="6">
    <mergeCell ref="A1:S2"/>
    <mergeCell ref="A3:A5"/>
    <mergeCell ref="B3:B5"/>
    <mergeCell ref="C3:E4"/>
    <mergeCell ref="F3:G4"/>
    <mergeCell ref="H3:S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B5" sqref="B5"/>
    </sheetView>
  </sheetViews>
  <sheetFormatPr defaultRowHeight="15" x14ac:dyDescent="0.25"/>
  <cols>
    <col min="1" max="1" width="4.140625" customWidth="1"/>
    <col min="2" max="2" width="26.42578125" customWidth="1"/>
    <col min="3" max="3" width="26.7109375" customWidth="1"/>
    <col min="4" max="4" width="11.28515625" customWidth="1"/>
    <col min="5" max="5" width="8.28515625" customWidth="1"/>
    <col min="6" max="6" width="20.7109375" customWidth="1"/>
    <col min="7" max="7" width="27.140625" customWidth="1"/>
  </cols>
  <sheetData>
    <row r="1" spans="1:7" ht="42.75" customHeight="1" x14ac:dyDescent="0.25">
      <c r="A1" s="394" t="s">
        <v>353</v>
      </c>
      <c r="B1" s="394"/>
      <c r="C1" s="394"/>
      <c r="D1" s="394"/>
      <c r="E1" s="394"/>
      <c r="F1" s="394"/>
      <c r="G1" s="394"/>
    </row>
    <row r="2" spans="1:7" x14ac:dyDescent="0.25">
      <c r="A2" s="167"/>
    </row>
    <row r="3" spans="1:7" ht="51" x14ac:dyDescent="0.25">
      <c r="A3" s="168" t="s">
        <v>2</v>
      </c>
      <c r="B3" s="169" t="s">
        <v>234</v>
      </c>
      <c r="C3" s="169" t="s">
        <v>235</v>
      </c>
      <c r="D3" s="169" t="s">
        <v>33</v>
      </c>
      <c r="E3" s="169" t="s">
        <v>236</v>
      </c>
      <c r="F3" s="170" t="s">
        <v>239</v>
      </c>
      <c r="G3" s="170" t="s">
        <v>237</v>
      </c>
    </row>
    <row r="4" spans="1:7" ht="126" x14ac:dyDescent="0.25">
      <c r="A4" s="193">
        <v>1</v>
      </c>
      <c r="B4" s="193" t="s">
        <v>341</v>
      </c>
      <c r="C4" s="186" t="s">
        <v>297</v>
      </c>
      <c r="D4" s="195" t="s">
        <v>259</v>
      </c>
      <c r="E4" s="195">
        <v>7</v>
      </c>
      <c r="F4" s="197">
        <v>361.66</v>
      </c>
      <c r="G4" s="197">
        <f>E4*F4</f>
        <v>2531.62</v>
      </c>
    </row>
    <row r="5" spans="1:7" ht="25.5" x14ac:dyDescent="0.25">
      <c r="A5" s="173"/>
      <c r="B5" s="174" t="s">
        <v>240</v>
      </c>
      <c r="C5" s="171"/>
      <c r="D5" s="171"/>
      <c r="E5" s="171"/>
      <c r="F5" s="171"/>
      <c r="G5" s="171"/>
    </row>
    <row r="6" spans="1:7" ht="63" x14ac:dyDescent="0.25">
      <c r="A6" s="175"/>
      <c r="B6" s="182" t="s">
        <v>266</v>
      </c>
      <c r="C6" s="183" t="s">
        <v>260</v>
      </c>
      <c r="D6" s="184"/>
      <c r="E6" s="184">
        <v>0.9</v>
      </c>
      <c r="F6" s="184"/>
      <c r="G6" s="184"/>
    </row>
    <row r="7" spans="1:7" ht="47.25" x14ac:dyDescent="0.25">
      <c r="A7" s="176"/>
      <c r="B7" s="185" t="s">
        <v>238</v>
      </c>
      <c r="C7" s="183" t="s">
        <v>261</v>
      </c>
      <c r="D7" s="184"/>
      <c r="E7" s="184">
        <v>0.99</v>
      </c>
      <c r="F7" s="186"/>
      <c r="G7" s="184"/>
    </row>
    <row r="8" spans="1:7" ht="31.5" x14ac:dyDescent="0.25">
      <c r="A8" s="177"/>
      <c r="B8" s="185" t="s">
        <v>241</v>
      </c>
      <c r="C8" s="183" t="s">
        <v>258</v>
      </c>
      <c r="D8" s="187"/>
      <c r="E8" s="187">
        <v>1</v>
      </c>
      <c r="F8" s="186"/>
      <c r="G8" s="184"/>
    </row>
    <row r="9" spans="1:7" ht="15.75" x14ac:dyDescent="0.25">
      <c r="A9" s="178"/>
      <c r="B9" s="188" t="s">
        <v>242</v>
      </c>
      <c r="C9" s="189"/>
      <c r="D9" s="190"/>
      <c r="E9" s="190"/>
      <c r="F9" s="191"/>
      <c r="G9" s="192"/>
    </row>
    <row r="10" spans="1:7" ht="15.75" x14ac:dyDescent="0.25">
      <c r="A10" s="172"/>
      <c r="B10" s="193" t="s">
        <v>13</v>
      </c>
      <c r="C10" s="194"/>
      <c r="D10" s="194"/>
      <c r="E10" s="194"/>
      <c r="F10" s="195"/>
      <c r="G10" s="196">
        <f>(G4)*E6*E7*E8</f>
        <v>2255.67</v>
      </c>
    </row>
    <row r="11" spans="1:7" ht="45" x14ac:dyDescent="0.25">
      <c r="A11" s="179"/>
      <c r="B11" s="180" t="s">
        <v>271</v>
      </c>
      <c r="C11" s="155" t="s">
        <v>267</v>
      </c>
      <c r="D11" s="162"/>
      <c r="E11" s="162"/>
      <c r="F11" s="162"/>
      <c r="G11" s="181">
        <f>G10*1.036*1.037*1.037</f>
        <v>2513</v>
      </c>
    </row>
    <row r="13" spans="1:7" ht="126" x14ac:dyDescent="0.25">
      <c r="A13" s="346">
        <v>2</v>
      </c>
      <c r="B13" s="346" t="s">
        <v>298</v>
      </c>
      <c r="C13" s="191" t="s">
        <v>342</v>
      </c>
      <c r="D13" s="195" t="s">
        <v>299</v>
      </c>
      <c r="E13" s="195">
        <v>0.35</v>
      </c>
      <c r="F13" s="197">
        <v>29090.22</v>
      </c>
      <c r="G13" s="197">
        <f>E13*F13</f>
        <v>10181.58</v>
      </c>
    </row>
    <row r="14" spans="1:7" ht="63" x14ac:dyDescent="0.25">
      <c r="A14" s="346">
        <v>3</v>
      </c>
      <c r="B14" s="346" t="s">
        <v>300</v>
      </c>
      <c r="C14" s="191" t="s">
        <v>301</v>
      </c>
      <c r="D14" s="195" t="s">
        <v>299</v>
      </c>
      <c r="E14" s="195">
        <v>0.35</v>
      </c>
      <c r="F14" s="197">
        <v>2643.35</v>
      </c>
      <c r="G14" s="197">
        <f>E14*F14</f>
        <v>925.17</v>
      </c>
    </row>
    <row r="15" spans="1:7" ht="15.75" x14ac:dyDescent="0.25">
      <c r="A15" s="346"/>
      <c r="B15" s="346" t="s">
        <v>13</v>
      </c>
      <c r="C15" s="191"/>
      <c r="D15" s="195"/>
      <c r="E15" s="195"/>
      <c r="F15" s="197"/>
      <c r="G15" s="197">
        <f>G13+G14</f>
        <v>11106.75</v>
      </c>
    </row>
    <row r="16" spans="1:7" ht="25.5" x14ac:dyDescent="0.25">
      <c r="A16" s="344"/>
      <c r="B16" s="345" t="s">
        <v>240</v>
      </c>
      <c r="C16" s="171"/>
      <c r="D16" s="171"/>
      <c r="E16" s="171"/>
      <c r="F16" s="171"/>
      <c r="G16" s="171"/>
    </row>
    <row r="17" spans="1:7" ht="47.25" x14ac:dyDescent="0.25">
      <c r="A17" s="175"/>
      <c r="B17" s="182" t="s">
        <v>302</v>
      </c>
      <c r="C17" s="183" t="s">
        <v>303</v>
      </c>
      <c r="D17" s="184"/>
      <c r="E17" s="184">
        <v>1.07</v>
      </c>
      <c r="F17" s="184"/>
      <c r="G17" s="184"/>
    </row>
    <row r="18" spans="1:7" ht="47.25" x14ac:dyDescent="0.25">
      <c r="A18" s="175"/>
      <c r="B18" s="182" t="s">
        <v>304</v>
      </c>
      <c r="C18" s="183" t="s">
        <v>305</v>
      </c>
      <c r="D18" s="184"/>
      <c r="E18" s="184">
        <v>1.03</v>
      </c>
      <c r="F18" s="184"/>
      <c r="G18" s="184"/>
    </row>
    <row r="19" spans="1:7" ht="63" x14ac:dyDescent="0.25">
      <c r="A19" s="175"/>
      <c r="B19" s="182" t="s">
        <v>266</v>
      </c>
      <c r="C19" s="183" t="s">
        <v>306</v>
      </c>
      <c r="D19" s="184"/>
      <c r="E19" s="184">
        <v>0.9</v>
      </c>
      <c r="F19" s="184"/>
      <c r="G19" s="184"/>
    </row>
    <row r="20" spans="1:7" ht="47.25" x14ac:dyDescent="0.25">
      <c r="A20" s="176"/>
      <c r="B20" s="185" t="s">
        <v>238</v>
      </c>
      <c r="C20" s="183" t="s">
        <v>307</v>
      </c>
      <c r="D20" s="184"/>
      <c r="E20" s="184">
        <v>0.98</v>
      </c>
      <c r="F20" s="186"/>
      <c r="G20" s="184"/>
    </row>
    <row r="21" spans="1:7" ht="31.5" x14ac:dyDescent="0.25">
      <c r="A21" s="177"/>
      <c r="B21" s="185" t="s">
        <v>241</v>
      </c>
      <c r="C21" s="183" t="s">
        <v>258</v>
      </c>
      <c r="D21" s="187"/>
      <c r="E21" s="187">
        <v>1</v>
      </c>
      <c r="F21" s="186"/>
      <c r="G21" s="184"/>
    </row>
    <row r="22" spans="1:7" ht="15.75" x14ac:dyDescent="0.25">
      <c r="A22" s="178"/>
      <c r="B22" s="188" t="s">
        <v>242</v>
      </c>
      <c r="C22" s="189"/>
      <c r="D22" s="190"/>
      <c r="E22" s="190"/>
      <c r="F22" s="191"/>
      <c r="G22" s="192"/>
    </row>
    <row r="23" spans="1:7" ht="15.75" x14ac:dyDescent="0.25">
      <c r="A23" s="172"/>
      <c r="B23" s="193" t="s">
        <v>13</v>
      </c>
      <c r="C23" s="194"/>
      <c r="D23" s="194"/>
      <c r="E23" s="194"/>
      <c r="F23" s="195"/>
      <c r="G23" s="196">
        <f>(G15)*E17*E18*E19*E20*E21</f>
        <v>10796.34</v>
      </c>
    </row>
    <row r="24" spans="1:7" ht="45" x14ac:dyDescent="0.25">
      <c r="A24" s="179"/>
      <c r="B24" s="180" t="s">
        <v>271</v>
      </c>
      <c r="C24" s="155" t="s">
        <v>267</v>
      </c>
      <c r="D24" s="162"/>
      <c r="E24" s="162"/>
      <c r="F24" s="162"/>
      <c r="G24" s="181">
        <f>G23*1.036*1.037*1.037</f>
        <v>12028.01</v>
      </c>
    </row>
    <row r="26" spans="1:7" ht="126" x14ac:dyDescent="0.25">
      <c r="A26" s="346">
        <v>4</v>
      </c>
      <c r="B26" s="346" t="s">
        <v>311</v>
      </c>
      <c r="C26" s="191" t="s">
        <v>310</v>
      </c>
      <c r="D26" s="195" t="s">
        <v>279</v>
      </c>
      <c r="E26" s="195">
        <v>450</v>
      </c>
      <c r="F26" s="197">
        <v>6.22</v>
      </c>
      <c r="G26" s="197">
        <f>E26*F26</f>
        <v>2799</v>
      </c>
    </row>
    <row r="27" spans="1:7" ht="25.5" x14ac:dyDescent="0.25">
      <c r="A27" s="344"/>
      <c r="B27" s="345" t="s">
        <v>240</v>
      </c>
      <c r="C27" s="171"/>
      <c r="D27" s="171"/>
      <c r="E27" s="171"/>
      <c r="F27" s="171"/>
      <c r="G27" s="171"/>
    </row>
    <row r="28" spans="1:7" ht="47.25" x14ac:dyDescent="0.25">
      <c r="A28" s="175"/>
      <c r="B28" s="182" t="s">
        <v>302</v>
      </c>
      <c r="C28" s="183" t="s">
        <v>303</v>
      </c>
      <c r="D28" s="184"/>
      <c r="E28" s="184">
        <v>1.07</v>
      </c>
      <c r="F28" s="184"/>
      <c r="G28" s="184"/>
    </row>
    <row r="29" spans="1:7" ht="63" x14ac:dyDescent="0.25">
      <c r="A29" s="175"/>
      <c r="B29" s="182" t="s">
        <v>266</v>
      </c>
      <c r="C29" s="183" t="s">
        <v>306</v>
      </c>
      <c r="D29" s="184"/>
      <c r="E29" s="184">
        <v>0.9</v>
      </c>
      <c r="F29" s="184"/>
      <c r="G29" s="184"/>
    </row>
    <row r="30" spans="1:7" ht="47.25" x14ac:dyDescent="0.25">
      <c r="A30" s="176"/>
      <c r="B30" s="185" t="s">
        <v>238</v>
      </c>
      <c r="C30" s="183" t="s">
        <v>307</v>
      </c>
      <c r="D30" s="184"/>
      <c r="E30" s="184">
        <v>0.99</v>
      </c>
      <c r="F30" s="186"/>
      <c r="G30" s="184"/>
    </row>
    <row r="31" spans="1:7" ht="31.5" x14ac:dyDescent="0.25">
      <c r="A31" s="177"/>
      <c r="B31" s="185" t="s">
        <v>241</v>
      </c>
      <c r="C31" s="183" t="s">
        <v>258</v>
      </c>
      <c r="D31" s="187"/>
      <c r="E31" s="187">
        <v>1</v>
      </c>
      <c r="F31" s="186"/>
      <c r="G31" s="184"/>
    </row>
    <row r="32" spans="1:7" ht="15.75" x14ac:dyDescent="0.25">
      <c r="A32" s="178"/>
      <c r="B32" s="188" t="s">
        <v>242</v>
      </c>
      <c r="C32" s="189"/>
      <c r="D32" s="190"/>
      <c r="E32" s="190"/>
      <c r="F32" s="191"/>
      <c r="G32" s="192"/>
    </row>
    <row r="33" spans="1:7" ht="15.75" x14ac:dyDescent="0.25">
      <c r="A33" s="172"/>
      <c r="B33" s="193" t="s">
        <v>13</v>
      </c>
      <c r="C33" s="194"/>
      <c r="D33" s="194"/>
      <c r="E33" s="194"/>
      <c r="F33" s="195"/>
      <c r="G33" s="196">
        <f>(G26)*E28*E29*E30*E31</f>
        <v>2668.48</v>
      </c>
    </row>
    <row r="34" spans="1:7" ht="45" x14ac:dyDescent="0.25">
      <c r="A34" s="179"/>
      <c r="B34" s="180" t="s">
        <v>271</v>
      </c>
      <c r="C34" s="155" t="s">
        <v>267</v>
      </c>
      <c r="D34" s="162"/>
      <c r="E34" s="162"/>
      <c r="F34" s="162"/>
      <c r="G34" s="181">
        <f>G33*1.036*1.037*1.037</f>
        <v>2972.91</v>
      </c>
    </row>
    <row r="36" spans="1:7" ht="157.5" x14ac:dyDescent="0.25">
      <c r="A36" s="193">
        <v>5</v>
      </c>
      <c r="B36" s="193" t="s">
        <v>358</v>
      </c>
      <c r="C36" s="186" t="s">
        <v>247</v>
      </c>
      <c r="D36" s="195" t="s">
        <v>244</v>
      </c>
      <c r="E36" s="195">
        <v>0.35</v>
      </c>
      <c r="F36" s="197">
        <v>7465.41</v>
      </c>
      <c r="G36" s="197">
        <f>E36*F36</f>
        <v>2612.89</v>
      </c>
    </row>
    <row r="37" spans="1:7" ht="157.5" x14ac:dyDescent="0.25">
      <c r="A37" s="193">
        <v>6</v>
      </c>
      <c r="B37" s="193" t="s">
        <v>270</v>
      </c>
      <c r="C37" s="186" t="s">
        <v>250</v>
      </c>
      <c r="D37" s="195" t="s">
        <v>244</v>
      </c>
      <c r="E37" s="195">
        <v>0</v>
      </c>
      <c r="F37" s="197">
        <v>4599.59</v>
      </c>
      <c r="G37" s="197">
        <f>E37*F37</f>
        <v>0</v>
      </c>
    </row>
    <row r="38" spans="1:7" ht="25.5" x14ac:dyDescent="0.25">
      <c r="A38" s="173"/>
      <c r="B38" s="174" t="s">
        <v>240</v>
      </c>
      <c r="C38" s="365"/>
      <c r="D38" s="365"/>
      <c r="E38" s="365"/>
      <c r="F38" s="365"/>
      <c r="G38" s="365"/>
    </row>
    <row r="39" spans="1:7" ht="63" x14ac:dyDescent="0.25">
      <c r="A39" s="175"/>
      <c r="B39" s="182" t="s">
        <v>266</v>
      </c>
      <c r="C39" s="183" t="s">
        <v>245</v>
      </c>
      <c r="D39" s="184"/>
      <c r="E39" s="184">
        <v>0.93</v>
      </c>
      <c r="F39" s="184"/>
      <c r="G39" s="184"/>
    </row>
    <row r="40" spans="1:7" ht="47.25" x14ac:dyDescent="0.25">
      <c r="A40" s="366"/>
      <c r="B40" s="185" t="s">
        <v>238</v>
      </c>
      <c r="C40" s="183" t="s">
        <v>248</v>
      </c>
      <c r="D40" s="184"/>
      <c r="E40" s="184">
        <v>0.98</v>
      </c>
      <c r="F40" s="186"/>
      <c r="G40" s="184"/>
    </row>
    <row r="41" spans="1:7" ht="31.5" x14ac:dyDescent="0.25">
      <c r="A41" s="367"/>
      <c r="B41" s="185" t="s">
        <v>241</v>
      </c>
      <c r="C41" s="183" t="s">
        <v>246</v>
      </c>
      <c r="D41" s="187"/>
      <c r="E41" s="187">
        <v>1</v>
      </c>
      <c r="F41" s="186"/>
      <c r="G41" s="184"/>
    </row>
    <row r="42" spans="1:7" ht="15.75" x14ac:dyDescent="0.25">
      <c r="A42" s="178"/>
      <c r="B42" s="188" t="s">
        <v>242</v>
      </c>
      <c r="C42" s="189"/>
      <c r="D42" s="190"/>
      <c r="E42" s="190"/>
      <c r="F42" s="191"/>
      <c r="G42" s="192"/>
    </row>
    <row r="43" spans="1:7" ht="15.75" x14ac:dyDescent="0.25">
      <c r="A43" s="368"/>
      <c r="B43" s="193" t="s">
        <v>13</v>
      </c>
      <c r="C43" s="194"/>
      <c r="D43" s="194"/>
      <c r="E43" s="194"/>
      <c r="F43" s="195"/>
      <c r="G43" s="196">
        <f>(G36+G37)*E39*E40*E41</f>
        <v>2381.39</v>
      </c>
    </row>
    <row r="44" spans="1:7" ht="45" x14ac:dyDescent="0.25">
      <c r="A44" s="179"/>
      <c r="B44" s="180" t="s">
        <v>271</v>
      </c>
      <c r="C44" s="155" t="s">
        <v>267</v>
      </c>
      <c r="D44" s="162"/>
      <c r="E44" s="162"/>
      <c r="F44" s="162"/>
      <c r="G44" s="181">
        <f>G43*1.036*1.037*1.037</f>
        <v>2653.06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sqref="A1:N1"/>
    </sheetView>
  </sheetViews>
  <sheetFormatPr defaultRowHeight="15" x14ac:dyDescent="0.25"/>
  <cols>
    <col min="2" max="2" width="30.7109375" customWidth="1"/>
    <col min="3" max="3" width="13.85546875" customWidth="1"/>
    <col min="4" max="4" width="11" customWidth="1"/>
    <col min="5" max="5" width="29.42578125" customWidth="1"/>
    <col min="6" max="6" width="12.140625" customWidth="1"/>
    <col min="7" max="7" width="12.7109375" customWidth="1"/>
    <col min="8" max="8" width="11.28515625" customWidth="1"/>
    <col min="9" max="9" width="12.42578125" customWidth="1"/>
    <col min="10" max="10" width="17.85546875" customWidth="1"/>
    <col min="11" max="11" width="15" customWidth="1"/>
    <col min="12" max="12" width="12.42578125" customWidth="1"/>
    <col min="13" max="13" width="13.85546875" customWidth="1"/>
    <col min="14" max="14" width="12.42578125" bestFit="1" customWidth="1"/>
    <col min="15" max="15" width="13.42578125" customWidth="1"/>
  </cols>
  <sheetData>
    <row r="1" spans="1:15" ht="30.75" customHeight="1" x14ac:dyDescent="0.25">
      <c r="A1" s="407" t="s">
        <v>344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3" spans="1:15" x14ac:dyDescent="0.25">
      <c r="A3" s="409" t="s">
        <v>168</v>
      </c>
      <c r="B3" s="409" t="s">
        <v>169</v>
      </c>
      <c r="C3" s="399" t="s">
        <v>179</v>
      </c>
      <c r="D3" s="410" t="s">
        <v>178</v>
      </c>
      <c r="E3" s="411" t="s">
        <v>170</v>
      </c>
      <c r="F3" s="412"/>
      <c r="G3" s="412"/>
      <c r="H3" s="412"/>
      <c r="I3" s="413"/>
      <c r="J3" s="399" t="s">
        <v>171</v>
      </c>
      <c r="K3" s="399" t="s">
        <v>269</v>
      </c>
      <c r="L3" s="399" t="s">
        <v>172</v>
      </c>
      <c r="M3" s="399" t="s">
        <v>173</v>
      </c>
    </row>
    <row r="4" spans="1:15" ht="99.75" customHeight="1" x14ac:dyDescent="0.25">
      <c r="A4" s="409"/>
      <c r="B4" s="409"/>
      <c r="C4" s="400"/>
      <c r="D4" s="410"/>
      <c r="E4" s="149" t="s">
        <v>174</v>
      </c>
      <c r="F4" s="117" t="s">
        <v>175</v>
      </c>
      <c r="G4" s="150" t="s">
        <v>176</v>
      </c>
      <c r="H4" s="150" t="s">
        <v>178</v>
      </c>
      <c r="I4" s="150" t="s">
        <v>180</v>
      </c>
      <c r="J4" s="400"/>
      <c r="K4" s="400"/>
      <c r="L4" s="400"/>
      <c r="M4" s="400"/>
    </row>
    <row r="5" spans="1:15" ht="30" x14ac:dyDescent="0.25">
      <c r="A5" s="200">
        <v>1</v>
      </c>
      <c r="B5" s="150" t="s">
        <v>308</v>
      </c>
      <c r="C5" s="201" t="s">
        <v>97</v>
      </c>
      <c r="D5" s="200">
        <v>350</v>
      </c>
      <c r="E5" s="201" t="s">
        <v>243</v>
      </c>
      <c r="F5" s="201"/>
      <c r="G5" s="151"/>
      <c r="H5" s="200"/>
      <c r="I5" s="151"/>
      <c r="J5" s="151"/>
      <c r="K5" s="152"/>
      <c r="L5" s="151">
        <f>УНЦС!G24</f>
        <v>12028.01</v>
      </c>
      <c r="M5" s="151">
        <f t="shared" ref="M5" si="0">L5*1.2</f>
        <v>14433.61</v>
      </c>
      <c r="N5" s="100"/>
      <c r="O5" s="166"/>
    </row>
    <row r="6" spans="1:15" ht="30" x14ac:dyDescent="0.25">
      <c r="A6" s="356">
        <v>2</v>
      </c>
      <c r="B6" s="150" t="s">
        <v>357</v>
      </c>
      <c r="C6" s="357" t="s">
        <v>97</v>
      </c>
      <c r="D6" s="356">
        <v>350</v>
      </c>
      <c r="E6" s="357" t="s">
        <v>243</v>
      </c>
      <c r="F6" s="357"/>
      <c r="G6" s="151"/>
      <c r="H6" s="356"/>
      <c r="I6" s="151"/>
      <c r="J6" s="151"/>
      <c r="K6" s="152"/>
      <c r="L6" s="151">
        <f>УНЦС!G44</f>
        <v>2653.06</v>
      </c>
      <c r="M6" s="151">
        <f t="shared" ref="M6" si="1">L6*1.2</f>
        <v>3183.67</v>
      </c>
      <c r="N6" s="100"/>
      <c r="O6" s="166"/>
    </row>
    <row r="7" spans="1:15" x14ac:dyDescent="0.25">
      <c r="A7" s="336">
        <v>3</v>
      </c>
      <c r="B7" s="150" t="s">
        <v>343</v>
      </c>
      <c r="C7" s="337" t="s">
        <v>154</v>
      </c>
      <c r="D7" s="336">
        <v>700</v>
      </c>
      <c r="E7" s="337" t="s">
        <v>243</v>
      </c>
      <c r="F7" s="337"/>
      <c r="G7" s="151"/>
      <c r="H7" s="336"/>
      <c r="I7" s="151"/>
      <c r="J7" s="151"/>
      <c r="K7" s="152"/>
      <c r="L7" s="151">
        <f>УНЦС!G11</f>
        <v>2513</v>
      </c>
      <c r="M7" s="151">
        <f t="shared" ref="M7" si="2">L7*1.2</f>
        <v>3015.6</v>
      </c>
      <c r="N7" s="100"/>
      <c r="O7" s="166"/>
    </row>
    <row r="8" spans="1:15" x14ac:dyDescent="0.25">
      <c r="A8" s="336">
        <v>4</v>
      </c>
      <c r="B8" s="150" t="s">
        <v>309</v>
      </c>
      <c r="C8" s="337" t="s">
        <v>154</v>
      </c>
      <c r="D8" s="336">
        <v>450</v>
      </c>
      <c r="E8" s="337" t="s">
        <v>243</v>
      </c>
      <c r="F8" s="337"/>
      <c r="G8" s="151"/>
      <c r="H8" s="336"/>
      <c r="I8" s="151"/>
      <c r="J8" s="151"/>
      <c r="K8" s="152"/>
      <c r="L8" s="151">
        <f>УНЦС!G34</f>
        <v>2972.91</v>
      </c>
      <c r="M8" s="151">
        <f t="shared" ref="M8" si="3">L8*1.2</f>
        <v>3567.49</v>
      </c>
      <c r="N8" s="100"/>
      <c r="O8" s="166"/>
    </row>
    <row r="9" spans="1:15" ht="15.75" x14ac:dyDescent="0.25">
      <c r="A9" s="396" t="s">
        <v>177</v>
      </c>
      <c r="B9" s="397"/>
      <c r="C9" s="397"/>
      <c r="D9" s="397"/>
      <c r="E9" s="397"/>
      <c r="F9" s="397"/>
      <c r="G9" s="397"/>
      <c r="H9" s="397"/>
      <c r="I9" s="397"/>
      <c r="J9" s="397"/>
      <c r="K9" s="398"/>
      <c r="L9" s="153">
        <f>SUM(L5:L8)</f>
        <v>20166.98</v>
      </c>
      <c r="M9" s="153">
        <f>SUM(M5:M8)</f>
        <v>24200.37</v>
      </c>
      <c r="N9" s="343"/>
      <c r="O9" s="327"/>
    </row>
    <row r="11" spans="1:15" ht="33" customHeight="1" x14ac:dyDescent="0.25">
      <c r="A11" s="395" t="s">
        <v>223</v>
      </c>
      <c r="B11" s="395"/>
      <c r="C11" s="395"/>
      <c r="D11" s="395"/>
      <c r="E11" s="395"/>
      <c r="F11" s="395"/>
      <c r="G11" s="395"/>
      <c r="H11" s="395"/>
      <c r="I11" s="395"/>
      <c r="J11" s="395"/>
      <c r="K11" s="161" t="s">
        <v>221</v>
      </c>
      <c r="L11" s="161">
        <v>1.07</v>
      </c>
      <c r="M11" s="115"/>
    </row>
    <row r="12" spans="1:15" ht="18.75" customHeight="1" x14ac:dyDescent="0.25">
      <c r="A12" s="395" t="s">
        <v>224</v>
      </c>
      <c r="B12" s="395"/>
      <c r="C12" s="395"/>
      <c r="D12" s="395"/>
      <c r="E12" s="395"/>
      <c r="F12" s="395"/>
      <c r="G12" s="395"/>
      <c r="H12" s="395"/>
      <c r="I12" s="395"/>
      <c r="J12" s="395"/>
      <c r="K12" s="161" t="s">
        <v>222</v>
      </c>
      <c r="L12" s="161">
        <v>1.0369999999999999</v>
      </c>
    </row>
    <row r="13" spans="1:15" ht="15" customHeight="1" x14ac:dyDescent="0.25">
      <c r="A13" s="401" t="s">
        <v>225</v>
      </c>
      <c r="B13" s="401"/>
      <c r="C13" s="401"/>
      <c r="D13" s="401"/>
      <c r="E13" s="401"/>
      <c r="F13" s="401"/>
      <c r="G13" s="401"/>
      <c r="H13" s="401"/>
      <c r="I13" s="401"/>
      <c r="J13" s="402"/>
      <c r="K13" s="161" t="s">
        <v>226</v>
      </c>
      <c r="L13" s="161">
        <v>1.0529999999999999</v>
      </c>
    </row>
    <row r="14" spans="1:15" x14ac:dyDescent="0.25">
      <c r="A14" s="403"/>
      <c r="B14" s="403"/>
      <c r="C14" s="403"/>
      <c r="D14" s="403"/>
      <c r="E14" s="403"/>
      <c r="F14" s="403"/>
      <c r="G14" s="403"/>
      <c r="H14" s="403"/>
      <c r="I14" s="403"/>
      <c r="J14" s="404"/>
      <c r="K14" s="161" t="s">
        <v>227</v>
      </c>
      <c r="L14" s="162">
        <v>1.0740000000000001</v>
      </c>
    </row>
    <row r="15" spans="1:15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4"/>
      <c r="K15" s="161" t="s">
        <v>228</v>
      </c>
      <c r="L15" s="162">
        <v>1.036</v>
      </c>
    </row>
    <row r="16" spans="1:15" x14ac:dyDescent="0.25">
      <c r="A16" s="405"/>
      <c r="B16" s="405"/>
      <c r="C16" s="405"/>
      <c r="D16" s="405"/>
      <c r="E16" s="405"/>
      <c r="F16" s="405"/>
      <c r="G16" s="405"/>
      <c r="H16" s="405"/>
      <c r="I16" s="405"/>
      <c r="J16" s="406"/>
      <c r="K16" s="161" t="s">
        <v>232</v>
      </c>
      <c r="L16" s="162">
        <v>1.0369999999999999</v>
      </c>
    </row>
    <row r="17" spans="11:12" x14ac:dyDescent="0.25">
      <c r="K17" s="161" t="s">
        <v>268</v>
      </c>
      <c r="L17" s="162">
        <v>1.0369999999999999</v>
      </c>
    </row>
  </sheetData>
  <mergeCells count="14">
    <mergeCell ref="A1:N1"/>
    <mergeCell ref="A3:A4"/>
    <mergeCell ref="B3:B4"/>
    <mergeCell ref="D3:D4"/>
    <mergeCell ref="E3:I3"/>
    <mergeCell ref="J3:J4"/>
    <mergeCell ref="K3:K4"/>
    <mergeCell ref="L3:L4"/>
    <mergeCell ref="M3:M4"/>
    <mergeCell ref="A11:J11"/>
    <mergeCell ref="A12:J12"/>
    <mergeCell ref="A9:K9"/>
    <mergeCell ref="C3:C4"/>
    <mergeCell ref="A13:J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30.28515625" customWidth="1"/>
    <col min="2" max="2" width="30.140625" customWidth="1"/>
    <col min="3" max="3" width="39.140625" customWidth="1"/>
  </cols>
  <sheetData>
    <row r="1" spans="1:3" x14ac:dyDescent="0.25">
      <c r="A1" s="421" t="s">
        <v>110</v>
      </c>
      <c r="B1" s="421"/>
      <c r="C1" s="421"/>
    </row>
    <row r="2" spans="1:3" x14ac:dyDescent="0.25">
      <c r="A2" s="421" t="s">
        <v>111</v>
      </c>
      <c r="B2" s="421"/>
      <c r="C2" s="421"/>
    </row>
    <row r="3" spans="1:3" ht="31.15" customHeight="1" x14ac:dyDescent="0.25">
      <c r="A3" s="422" t="str">
        <f>НМЦ!A3</f>
        <v>Всесезонный туристско-рекреационный комплекс «Эльбрус», Кабардино-Балкарская Республика. 
Благоустройство центральной части Поляны Азау 3 этап</v>
      </c>
      <c r="B3" s="422"/>
      <c r="C3" s="422"/>
    </row>
    <row r="4" spans="1:3" ht="129" customHeight="1" x14ac:dyDescent="0.25">
      <c r="A4" s="423" t="s">
        <v>332</v>
      </c>
      <c r="B4" s="423"/>
      <c r="C4" s="423"/>
    </row>
    <row r="5" spans="1:3" ht="20.25" customHeight="1" x14ac:dyDescent="0.25">
      <c r="A5" s="424" t="s">
        <v>120</v>
      </c>
      <c r="B5" s="424"/>
      <c r="C5" s="424"/>
    </row>
    <row r="6" spans="1:3" ht="70.5" customHeight="1" x14ac:dyDescent="0.25">
      <c r="A6" s="414" t="s">
        <v>359</v>
      </c>
      <c r="B6" s="414"/>
      <c r="C6" s="414"/>
    </row>
    <row r="7" spans="1:3" ht="34.5" customHeight="1" x14ac:dyDescent="0.25">
      <c r="A7" s="419" t="s">
        <v>128</v>
      </c>
      <c r="B7" s="419"/>
      <c r="C7" s="419"/>
    </row>
    <row r="8" spans="1:3" ht="31.5" customHeight="1" x14ac:dyDescent="0.25">
      <c r="A8" s="418" t="s">
        <v>369</v>
      </c>
      <c r="B8" s="418"/>
      <c r="C8" s="418"/>
    </row>
    <row r="9" spans="1:3" ht="40.5" customHeight="1" x14ac:dyDescent="0.25">
      <c r="A9" s="420" t="s">
        <v>218</v>
      </c>
      <c r="B9" s="420"/>
      <c r="C9" s="420"/>
    </row>
    <row r="10" spans="1:3" ht="19.5" customHeight="1" x14ac:dyDescent="0.25">
      <c r="A10" s="420" t="s">
        <v>219</v>
      </c>
      <c r="B10" s="420"/>
      <c r="C10" s="420"/>
    </row>
    <row r="11" spans="1:3" ht="18.75" customHeight="1" x14ac:dyDescent="0.25">
      <c r="A11" s="420" t="s">
        <v>220</v>
      </c>
      <c r="B11" s="420"/>
      <c r="C11" s="420"/>
    </row>
    <row r="12" spans="1:3" ht="29.25" customHeight="1" x14ac:dyDescent="0.25">
      <c r="A12" s="211" t="s">
        <v>117</v>
      </c>
      <c r="B12" s="212"/>
      <c r="C12" s="211"/>
    </row>
    <row r="13" spans="1:3" x14ac:dyDescent="0.25">
      <c r="A13" s="416"/>
      <c r="B13" s="417"/>
      <c r="C13" s="417"/>
    </row>
    <row r="14" spans="1:3" x14ac:dyDescent="0.25">
      <c r="A14" s="112"/>
      <c r="B14" s="113">
        <f>НМЦ!E16</f>
        <v>3203502</v>
      </c>
      <c r="C14" s="112" t="s">
        <v>112</v>
      </c>
    </row>
    <row r="15" spans="1:3" ht="46.5" customHeight="1" x14ac:dyDescent="0.25">
      <c r="A15" s="415" t="s">
        <v>119</v>
      </c>
      <c r="B15" s="415"/>
      <c r="C15" s="111" t="s">
        <v>118</v>
      </c>
    </row>
  </sheetData>
  <mergeCells count="13">
    <mergeCell ref="A1:C1"/>
    <mergeCell ref="A2:C2"/>
    <mergeCell ref="A3:C3"/>
    <mergeCell ref="A4:C4"/>
    <mergeCell ref="A5:C5"/>
    <mergeCell ref="A6:C6"/>
    <mergeCell ref="A15:B15"/>
    <mergeCell ref="A13:C13"/>
    <mergeCell ref="A8:C8"/>
    <mergeCell ref="A7:C7"/>
    <mergeCell ref="A9:C9"/>
    <mergeCell ref="A10:C10"/>
    <mergeCell ref="A11:C11"/>
  </mergeCells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view="pageBreakPreview" zoomScale="60" zoomScaleNormal="100" workbookViewId="0">
      <selection activeCell="A8" sqref="A8"/>
    </sheetView>
  </sheetViews>
  <sheetFormatPr defaultRowHeight="15" x14ac:dyDescent="0.25"/>
  <cols>
    <col min="7" max="7" width="15.28515625" customWidth="1"/>
  </cols>
  <sheetData>
    <row r="1" spans="1:16" ht="15.75" x14ac:dyDescent="0.25">
      <c r="A1" s="425" t="s">
        <v>203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0"/>
    </row>
    <row r="2" spans="1:16" ht="15.75" x14ac:dyDescent="0.25">
      <c r="A2" s="425" t="s">
        <v>204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160"/>
    </row>
    <row r="3" spans="1:16" ht="15.75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160"/>
    </row>
    <row r="4" spans="1:16" ht="34.5" customHeight="1" x14ac:dyDescent="0.25">
      <c r="A4" s="348" t="s">
        <v>205</v>
      </c>
      <c r="B4" s="213"/>
      <c r="C4" s="430" t="str">
        <f>НМЦК!B2</f>
        <v>Всесезонный туристско-рекреационный комплекс «Эльбрус», Кабардино-Балкарская Республика. 
Благоустройство центральной части Поляны Азау 3 этап</v>
      </c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213"/>
      <c r="P4" s="160"/>
    </row>
    <row r="5" spans="1:16" ht="15.75" x14ac:dyDescent="0.2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160"/>
    </row>
    <row r="6" spans="1:16" ht="15.75" x14ac:dyDescent="0.25">
      <c r="A6" s="426" t="s">
        <v>206</v>
      </c>
      <c r="B6" s="426"/>
      <c r="C6" s="426"/>
      <c r="D6" s="426"/>
      <c r="E6" s="426"/>
      <c r="F6" s="426"/>
      <c r="G6" s="215">
        <f>НМЦ!E16</f>
        <v>3203502</v>
      </c>
      <c r="H6" s="214"/>
      <c r="I6" s="214"/>
      <c r="J6" s="214"/>
      <c r="K6" s="214"/>
      <c r="L6" s="214"/>
      <c r="M6" s="214"/>
      <c r="N6" s="214"/>
      <c r="O6" s="214"/>
      <c r="P6" s="160"/>
    </row>
    <row r="7" spans="1:16" ht="15.75" x14ac:dyDescent="0.25">
      <c r="A7" s="427" t="s">
        <v>370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160"/>
    </row>
    <row r="8" spans="1:16" ht="15.75" x14ac:dyDescent="0.25">
      <c r="A8" s="213" t="s">
        <v>207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160"/>
    </row>
    <row r="9" spans="1:16" ht="15.75" x14ac:dyDescent="0.25">
      <c r="A9" s="216" t="s">
        <v>281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160"/>
    </row>
    <row r="10" spans="1:16" ht="15.75" x14ac:dyDescent="0.25">
      <c r="A10" s="216" t="s">
        <v>282</v>
      </c>
      <c r="B10" s="216"/>
      <c r="C10" s="216"/>
      <c r="D10" s="216"/>
      <c r="E10" s="216"/>
      <c r="F10" s="216"/>
      <c r="G10" s="216"/>
      <c r="H10" s="216"/>
      <c r="I10" s="216"/>
      <c r="J10" s="213"/>
      <c r="K10" s="213"/>
      <c r="L10" s="213"/>
      <c r="M10" s="213"/>
      <c r="N10" s="213"/>
      <c r="O10" s="213"/>
      <c r="P10" s="160"/>
    </row>
    <row r="11" spans="1:16" ht="15.75" x14ac:dyDescent="0.25">
      <c r="A11" s="216" t="s">
        <v>277</v>
      </c>
      <c r="B11" s="216"/>
      <c r="C11" s="216"/>
      <c r="D11" s="216"/>
      <c r="E11" s="216"/>
      <c r="F11" s="216"/>
      <c r="G11" s="216"/>
      <c r="H11" s="216"/>
      <c r="I11" s="216"/>
      <c r="J11" s="213"/>
      <c r="K11" s="213"/>
      <c r="L11" s="213"/>
      <c r="M11" s="213"/>
      <c r="N11" s="213"/>
      <c r="O11" s="213"/>
      <c r="P11" s="160"/>
    </row>
    <row r="12" spans="1:16" ht="15.75" x14ac:dyDescent="0.25">
      <c r="A12" s="216" t="s">
        <v>208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3"/>
      <c r="M12" s="213"/>
      <c r="N12" s="213"/>
      <c r="O12" s="213"/>
      <c r="P12" s="160"/>
    </row>
    <row r="13" spans="1:16" ht="32.25" customHeight="1" x14ac:dyDescent="0.25">
      <c r="A13" s="429" t="s">
        <v>283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217"/>
      <c r="P13" s="160"/>
    </row>
    <row r="14" spans="1:16" ht="29.25" customHeight="1" x14ac:dyDescent="0.25">
      <c r="A14" s="428" t="s">
        <v>284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213"/>
      <c r="P14" s="160"/>
    </row>
    <row r="15" spans="1:16" ht="15.75" x14ac:dyDescent="0.25">
      <c r="A15" s="216" t="s">
        <v>209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3"/>
      <c r="M15" s="213"/>
      <c r="N15" s="213"/>
      <c r="O15" s="213"/>
      <c r="P15" s="160"/>
    </row>
    <row r="16" spans="1:16" ht="15.75" x14ac:dyDescent="0.25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3"/>
      <c r="M16" s="213"/>
      <c r="N16" s="213"/>
      <c r="O16" s="213"/>
      <c r="P16" s="160"/>
    </row>
    <row r="17" spans="1:16" ht="15.75" x14ac:dyDescent="0.25">
      <c r="A17" s="216" t="s">
        <v>210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3"/>
      <c r="M17" s="213"/>
      <c r="N17" s="213"/>
      <c r="O17" s="213"/>
      <c r="P17" s="160"/>
    </row>
    <row r="18" spans="1:16" ht="15.75" x14ac:dyDescent="0.25">
      <c r="A18" s="216" t="s">
        <v>211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3"/>
      <c r="M18" s="213"/>
      <c r="N18" s="213"/>
      <c r="O18" s="213"/>
      <c r="P18" s="160"/>
    </row>
    <row r="19" spans="1:16" ht="15.75" x14ac:dyDescent="0.25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3"/>
      <c r="M19" s="213"/>
      <c r="N19" s="213"/>
      <c r="O19" s="213"/>
      <c r="P19" s="160"/>
    </row>
    <row r="20" spans="1:16" ht="15.75" x14ac:dyDescent="0.25">
      <c r="A20" s="213" t="s">
        <v>212</v>
      </c>
      <c r="B20" s="213"/>
      <c r="C20" s="213"/>
      <c r="D20" s="213"/>
      <c r="E20" s="213"/>
      <c r="F20" s="213"/>
      <c r="G20" s="216"/>
      <c r="H20" s="220"/>
      <c r="I20" s="220"/>
      <c r="J20" s="220"/>
      <c r="K20" s="220"/>
      <c r="L20" s="220"/>
      <c r="O20" s="218"/>
      <c r="P20" s="160"/>
    </row>
    <row r="21" spans="1:16" ht="15.75" x14ac:dyDescent="0.25">
      <c r="A21" s="213"/>
      <c r="B21" s="213"/>
      <c r="C21" s="213"/>
      <c r="D21" s="213"/>
      <c r="E21" s="213"/>
      <c r="F21" s="213"/>
      <c r="G21" s="216"/>
      <c r="H21" s="219" t="s">
        <v>213</v>
      </c>
      <c r="I21" s="219"/>
      <c r="J21" s="219"/>
      <c r="K21" s="213"/>
      <c r="L21" s="213"/>
      <c r="O21" s="213"/>
      <c r="P21" s="160"/>
    </row>
  </sheetData>
  <mergeCells count="7">
    <mergeCell ref="A1:O1"/>
    <mergeCell ref="A2:O2"/>
    <mergeCell ref="A6:F6"/>
    <mergeCell ref="A7:O7"/>
    <mergeCell ref="A14:N14"/>
    <mergeCell ref="A13:N13"/>
    <mergeCell ref="C4:N4"/>
  </mergeCells>
  <pageMargins left="0.7" right="0.7" top="0.75" bottom="0.75" header="0.3" footer="0.3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view="pageBreakPreview" zoomScaleNormal="100" zoomScaleSheetLayoutView="100" workbookViewId="0">
      <selection activeCell="C7" sqref="C6:C7"/>
    </sheetView>
  </sheetViews>
  <sheetFormatPr defaultRowHeight="15" x14ac:dyDescent="0.25"/>
  <cols>
    <col min="1" max="1" width="5.42578125" customWidth="1"/>
    <col min="2" max="2" width="52.42578125" customWidth="1"/>
    <col min="3" max="3" width="16.140625" customWidth="1"/>
    <col min="4" max="4" width="18" customWidth="1"/>
    <col min="5" max="5" width="16.1406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431" t="s">
        <v>102</v>
      </c>
      <c r="B1" s="431"/>
      <c r="C1" s="431"/>
      <c r="D1" s="431"/>
      <c r="E1" s="431"/>
    </row>
    <row r="2" spans="1:19" ht="24.6" customHeight="1" x14ac:dyDescent="0.25">
      <c r="A2" s="431" t="s">
        <v>152</v>
      </c>
      <c r="B2" s="431"/>
      <c r="C2" s="431"/>
      <c r="D2" s="431"/>
      <c r="E2" s="431"/>
    </row>
    <row r="3" spans="1:19" ht="37.5" customHeight="1" x14ac:dyDescent="0.25">
      <c r="A3" s="432" t="str">
        <f>НМЦК!B2</f>
        <v>Всесезонный туристско-рекреационный комплекс «Эльбрус», Кабардино-Балкарская Республика. 
Благоустройство центральной части Поляны Азау 3 этап</v>
      </c>
      <c r="B3" s="433"/>
      <c r="C3" s="433"/>
      <c r="D3" s="433"/>
      <c r="E3" s="433"/>
    </row>
    <row r="4" spans="1:19" ht="15.75" x14ac:dyDescent="0.25">
      <c r="A4" s="240"/>
      <c r="B4" s="241"/>
      <c r="C4" s="241"/>
      <c r="D4" s="241"/>
      <c r="E4" s="241"/>
    </row>
    <row r="5" spans="1:19" ht="15.75" x14ac:dyDescent="0.25">
      <c r="A5" s="221" t="s">
        <v>262</v>
      </c>
      <c r="B5" s="221"/>
      <c r="C5" s="242" t="s">
        <v>352</v>
      </c>
      <c r="D5" s="222"/>
      <c r="E5" s="221"/>
    </row>
    <row r="6" spans="1:19" ht="15.75" x14ac:dyDescent="0.25">
      <c r="A6" s="221" t="s">
        <v>100</v>
      </c>
      <c r="B6" s="221"/>
      <c r="C6" s="223"/>
      <c r="D6" s="222"/>
      <c r="E6" s="221"/>
    </row>
    <row r="7" spans="1:19" ht="15.75" x14ac:dyDescent="0.25">
      <c r="A7" s="221" t="s">
        <v>101</v>
      </c>
      <c r="B7" s="221"/>
      <c r="C7" s="223"/>
      <c r="D7" s="222"/>
      <c r="E7" s="221"/>
    </row>
    <row r="8" spans="1:19" ht="15.75" x14ac:dyDescent="0.25">
      <c r="A8" s="221"/>
      <c r="B8" s="224"/>
      <c r="C8" s="224"/>
      <c r="D8" s="224"/>
      <c r="E8" s="224"/>
    </row>
    <row r="9" spans="1:19" ht="15.75" customHeight="1" x14ac:dyDescent="0.25">
      <c r="A9" s="434" t="s">
        <v>104</v>
      </c>
      <c r="B9" s="434" t="s">
        <v>105</v>
      </c>
      <c r="C9" s="434" t="s">
        <v>263</v>
      </c>
      <c r="D9" s="434"/>
      <c r="E9" s="434"/>
    </row>
    <row r="10" spans="1:19" ht="15.75" customHeight="1" x14ac:dyDescent="0.25">
      <c r="A10" s="434"/>
      <c r="B10" s="434"/>
      <c r="C10" s="434"/>
      <c r="D10" s="434"/>
      <c r="E10" s="434"/>
    </row>
    <row r="11" spans="1:19" ht="15.75" x14ac:dyDescent="0.25">
      <c r="A11" s="434"/>
      <c r="B11" s="434"/>
      <c r="C11" s="225" t="s">
        <v>106</v>
      </c>
      <c r="D11" s="225" t="s">
        <v>153</v>
      </c>
      <c r="E11" s="225" t="s">
        <v>107</v>
      </c>
    </row>
    <row r="12" spans="1:19" ht="15.75" x14ac:dyDescent="0.25">
      <c r="A12" s="225">
        <v>1</v>
      </c>
      <c r="B12" s="225">
        <v>2</v>
      </c>
      <c r="C12" s="225">
        <v>3</v>
      </c>
      <c r="D12" s="225">
        <v>4</v>
      </c>
      <c r="E12" s="225">
        <v>5</v>
      </c>
      <c r="F12" s="104"/>
      <c r="G12" s="103"/>
    </row>
    <row r="13" spans="1:19" ht="35.450000000000003" customHeight="1" x14ac:dyDescent="0.25">
      <c r="A13" s="226">
        <v>1</v>
      </c>
      <c r="B13" s="227" t="s">
        <v>109</v>
      </c>
      <c r="C13" s="228">
        <f>НМЦК!F13*1.02</f>
        <v>1852438</v>
      </c>
      <c r="D13" s="229">
        <f t="shared" ref="D13:D15" si="0">C13*0.2</f>
        <v>370487.6</v>
      </c>
      <c r="E13" s="229">
        <f t="shared" ref="E13:E15" si="1">C13+D13</f>
        <v>2222925.6</v>
      </c>
      <c r="F13" s="102"/>
      <c r="L13" s="114"/>
      <c r="M13" s="114"/>
      <c r="N13" s="114"/>
      <c r="O13" s="114"/>
      <c r="P13" s="114"/>
      <c r="Q13" s="114"/>
      <c r="R13" s="114"/>
      <c r="S13" s="114"/>
    </row>
    <row r="14" spans="1:19" ht="15.75" x14ac:dyDescent="0.25">
      <c r="A14" s="226">
        <v>2</v>
      </c>
      <c r="B14" s="227" t="s">
        <v>276</v>
      </c>
      <c r="C14" s="228">
        <f>НМЦК!F15*1.02</f>
        <v>210020</v>
      </c>
      <c r="D14" s="229">
        <f>C14*0.2</f>
        <v>42004</v>
      </c>
      <c r="E14" s="229">
        <f t="shared" ref="E14" si="2">C14+D14</f>
        <v>252024</v>
      </c>
    </row>
    <row r="15" spans="1:19" ht="44.25" customHeight="1" x14ac:dyDescent="0.25">
      <c r="A15" s="226">
        <v>3</v>
      </c>
      <c r="B15" s="227" t="s">
        <v>155</v>
      </c>
      <c r="C15" s="228">
        <f>НМЦК!F14*1.02</f>
        <v>607127</v>
      </c>
      <c r="D15" s="229">
        <f t="shared" si="0"/>
        <v>121425.4</v>
      </c>
      <c r="E15" s="229">
        <f t="shared" si="1"/>
        <v>728552.4</v>
      </c>
      <c r="L15" s="114"/>
      <c r="M15" s="114"/>
      <c r="N15" s="114"/>
      <c r="O15" s="114"/>
      <c r="P15" s="114"/>
      <c r="Q15" s="114"/>
      <c r="R15" s="114"/>
      <c r="S15" s="114"/>
    </row>
    <row r="16" spans="1:19" ht="15.75" x14ac:dyDescent="0.25">
      <c r="A16" s="230"/>
      <c r="B16" s="230" t="s">
        <v>13</v>
      </c>
      <c r="C16" s="231">
        <f>C13+C15+C14</f>
        <v>2669585</v>
      </c>
      <c r="D16" s="232">
        <f>D13+D15+D14</f>
        <v>533917</v>
      </c>
      <c r="E16" s="232">
        <f>E13+E15+E14</f>
        <v>3203502</v>
      </c>
      <c r="J16" s="100"/>
      <c r="L16" s="100"/>
      <c r="M16" s="140"/>
      <c r="P16" s="100"/>
    </row>
    <row r="17" spans="1:8" ht="31.5" x14ac:dyDescent="0.25">
      <c r="A17" s="233"/>
      <c r="B17" s="234" t="s">
        <v>108</v>
      </c>
      <c r="C17" s="235">
        <f>НМЦК!F17-НМЦК!D17</f>
        <v>25071</v>
      </c>
      <c r="D17" s="236">
        <f>C17*0.2</f>
        <v>5014.2</v>
      </c>
      <c r="E17" s="236">
        <f>C17+D17</f>
        <v>30085.200000000001</v>
      </c>
      <c r="G17" s="100"/>
      <c r="H17" s="100"/>
    </row>
    <row r="18" spans="1:8" ht="15.75" x14ac:dyDescent="0.25">
      <c r="A18" s="97"/>
      <c r="B18" s="98"/>
      <c r="C18" s="99"/>
      <c r="D18" s="99"/>
      <c r="E18" s="99" t="s">
        <v>75</v>
      </c>
      <c r="F18" s="121"/>
    </row>
    <row r="19" spans="1:8" ht="15.75" x14ac:dyDescent="0.25">
      <c r="A19" s="224"/>
      <c r="B19" s="224"/>
      <c r="C19" s="224"/>
      <c r="D19" s="237"/>
      <c r="E19" s="237"/>
      <c r="F19" s="116"/>
    </row>
    <row r="20" spans="1:8" ht="15.75" x14ac:dyDescent="0.25">
      <c r="A20" s="224"/>
      <c r="B20" s="213" t="s">
        <v>217</v>
      </c>
      <c r="C20" s="238">
        <f>НМЦК!F16</f>
        <v>52344</v>
      </c>
      <c r="D20" s="239">
        <f>C20*0.2</f>
        <v>10468.799999999999</v>
      </c>
      <c r="E20" s="239">
        <f>C20+D20</f>
        <v>62812.800000000003</v>
      </c>
    </row>
  </sheetData>
  <mergeCells count="6">
    <mergeCell ref="A1:E1"/>
    <mergeCell ref="A3:E3"/>
    <mergeCell ref="A9:A11"/>
    <mergeCell ref="B9:B11"/>
    <mergeCell ref="A2:E2"/>
    <mergeCell ref="C9:E10"/>
  </mergeCells>
  <pageMargins left="0.7" right="0.7" top="0.75" bottom="0.75" header="0.3" footer="0.3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topLeftCell="A18" zoomScale="85" zoomScaleNormal="100" zoomScaleSheetLayoutView="85" workbookViewId="0">
      <selection activeCell="A23" sqref="A23:F23"/>
    </sheetView>
  </sheetViews>
  <sheetFormatPr defaultRowHeight="15" x14ac:dyDescent="0.25"/>
  <cols>
    <col min="1" max="1" width="41.28515625" customWidth="1"/>
    <col min="2" max="2" width="25.140625" customWidth="1"/>
    <col min="3" max="3" width="15.28515625" customWidth="1"/>
    <col min="4" max="4" width="25.85546875" customWidth="1"/>
    <col min="5" max="5" width="15.28515625" customWidth="1"/>
    <col min="6" max="6" width="25.7109375" customWidth="1"/>
    <col min="7" max="7" width="26.7109375" hidden="1" customWidth="1"/>
  </cols>
  <sheetData>
    <row r="1" spans="1:9" ht="37.5" customHeight="1" x14ac:dyDescent="0.25">
      <c r="A1" s="441" t="s">
        <v>183</v>
      </c>
      <c r="B1" s="441"/>
      <c r="C1" s="441"/>
      <c r="D1" s="441"/>
      <c r="E1" s="441"/>
      <c r="F1" s="441"/>
      <c r="G1" s="362"/>
    </row>
    <row r="2" spans="1:9" ht="39" customHeight="1" x14ac:dyDescent="0.25">
      <c r="A2" s="243" t="s">
        <v>184</v>
      </c>
      <c r="B2" s="442" t="s">
        <v>339</v>
      </c>
      <c r="C2" s="442"/>
      <c r="D2" s="442"/>
      <c r="E2" s="442"/>
      <c r="F2" s="442"/>
      <c r="G2" s="363"/>
    </row>
    <row r="3" spans="1:9" ht="27" customHeight="1" x14ac:dyDescent="0.25">
      <c r="A3" s="243" t="s">
        <v>185</v>
      </c>
      <c r="B3" s="443" t="s">
        <v>265</v>
      </c>
      <c r="C3" s="443"/>
      <c r="D3" s="443"/>
      <c r="E3" s="443"/>
      <c r="F3" s="443"/>
      <c r="G3" s="364"/>
    </row>
    <row r="4" spans="1:9" ht="15.75" x14ac:dyDescent="0.25">
      <c r="A4" s="224"/>
      <c r="B4" s="224"/>
      <c r="C4" s="224"/>
      <c r="D4" s="224"/>
      <c r="E4" s="224"/>
      <c r="F4" s="224"/>
      <c r="G4" s="224"/>
    </row>
    <row r="5" spans="1:9" ht="15.75" x14ac:dyDescent="0.25">
      <c r="A5" s="244" t="s">
        <v>186</v>
      </c>
      <c r="B5" s="224"/>
      <c r="C5" s="224"/>
      <c r="D5" s="224"/>
      <c r="E5" s="224"/>
      <c r="F5" s="224"/>
      <c r="G5" s="224"/>
    </row>
    <row r="6" spans="1:9" ht="15.75" x14ac:dyDescent="0.25">
      <c r="A6" s="436"/>
      <c r="B6" s="436"/>
      <c r="C6" s="436"/>
      <c r="D6" s="436"/>
      <c r="E6" s="436"/>
      <c r="F6" s="436"/>
      <c r="G6" s="436"/>
    </row>
    <row r="7" spans="1:9" ht="15.75" x14ac:dyDescent="0.25">
      <c r="A7" s="244" t="s">
        <v>214</v>
      </c>
      <c r="B7" s="237"/>
      <c r="C7" s="237"/>
      <c r="D7" s="224"/>
      <c r="E7" s="224"/>
      <c r="F7" s="224"/>
      <c r="G7" s="224"/>
    </row>
    <row r="8" spans="1:9" ht="15.75" x14ac:dyDescent="0.25">
      <c r="A8" s="244" t="s">
        <v>215</v>
      </c>
      <c r="B8" s="244"/>
      <c r="C8" s="244"/>
      <c r="D8" s="244"/>
      <c r="E8" s="244"/>
      <c r="F8" s="244"/>
      <c r="G8" s="244"/>
    </row>
    <row r="9" spans="1:9" ht="15.75" x14ac:dyDescent="0.25">
      <c r="A9" s="335" t="s">
        <v>351</v>
      </c>
      <c r="B9" s="244"/>
      <c r="C9" s="244"/>
      <c r="D9" s="244"/>
      <c r="E9" s="244"/>
      <c r="F9" s="244"/>
      <c r="G9" s="224"/>
    </row>
    <row r="10" spans="1:9" ht="15.75" x14ac:dyDescent="0.25">
      <c r="A10" s="224"/>
      <c r="B10" s="224"/>
      <c r="C10" s="224"/>
      <c r="D10" s="224"/>
      <c r="E10" s="224"/>
      <c r="F10" s="245" t="s">
        <v>87</v>
      </c>
      <c r="G10" s="245" t="s">
        <v>87</v>
      </c>
    </row>
    <row r="11" spans="1:9" ht="129" customHeight="1" x14ac:dyDescent="0.25">
      <c r="A11" s="246" t="s">
        <v>15</v>
      </c>
      <c r="B11" s="247" t="s">
        <v>368</v>
      </c>
      <c r="C11" s="247" t="s">
        <v>187</v>
      </c>
      <c r="D11" s="247" t="s">
        <v>367</v>
      </c>
      <c r="E11" s="247" t="s">
        <v>188</v>
      </c>
      <c r="F11" s="247" t="s">
        <v>189</v>
      </c>
      <c r="G11" s="247" t="s">
        <v>190</v>
      </c>
    </row>
    <row r="12" spans="1:9" ht="15.75" x14ac:dyDescent="0.25">
      <c r="A12" s="248">
        <v>1</v>
      </c>
      <c r="B12" s="248">
        <v>2</v>
      </c>
      <c r="C12" s="248">
        <v>3</v>
      </c>
      <c r="D12" s="248">
        <v>4</v>
      </c>
      <c r="E12" s="248">
        <v>5</v>
      </c>
      <c r="F12" s="248">
        <v>6</v>
      </c>
      <c r="G12" s="249">
        <v>7</v>
      </c>
    </row>
    <row r="13" spans="1:9" ht="15.75" x14ac:dyDescent="0.25">
      <c r="A13" s="255" t="s">
        <v>191</v>
      </c>
      <c r="B13" s="251">
        <f>'Cводная смета ПИР'!G14</f>
        <v>1791536</v>
      </c>
      <c r="C13" s="252">
        <v>1</v>
      </c>
      <c r="D13" s="251">
        <f>B13*C13</f>
        <v>1791536</v>
      </c>
      <c r="E13" s="253">
        <f>E38</f>
        <v>1.01372</v>
      </c>
      <c r="F13" s="251">
        <f>D13*E13</f>
        <v>1816116</v>
      </c>
      <c r="G13" s="254">
        <f>D13+(F13-D13)*(1-30/100)</f>
        <v>1808742</v>
      </c>
      <c r="H13">
        <f>G13*1.02</f>
        <v>1844916.84</v>
      </c>
      <c r="I13">
        <f>G13/0.4*0.6*1.2</f>
        <v>3255735.6</v>
      </c>
    </row>
    <row r="14" spans="1:9" ht="15.75" x14ac:dyDescent="0.25">
      <c r="A14" s="255" t="s">
        <v>192</v>
      </c>
      <c r="B14" s="251">
        <f>'Cводная смета ПИР'!G17</f>
        <v>595223</v>
      </c>
      <c r="C14" s="256">
        <v>1</v>
      </c>
      <c r="D14" s="251">
        <f>B14*C14</f>
        <v>595223</v>
      </c>
      <c r="E14" s="252">
        <f>1</f>
        <v>1</v>
      </c>
      <c r="F14" s="251">
        <f>D14*E14</f>
        <v>595223</v>
      </c>
      <c r="G14" s="254">
        <f>D14+(F14-D14)*(1-30/100)</f>
        <v>595223</v>
      </c>
    </row>
    <row r="15" spans="1:9" ht="15.75" x14ac:dyDescent="0.25">
      <c r="A15" s="255" t="s">
        <v>275</v>
      </c>
      <c r="B15" s="251">
        <v>205902</v>
      </c>
      <c r="C15" s="256">
        <v>1</v>
      </c>
      <c r="D15" s="251">
        <f>B15*C15</f>
        <v>205902</v>
      </c>
      <c r="E15" s="252">
        <f>1</f>
        <v>1</v>
      </c>
      <c r="F15" s="251">
        <f>D15*E15</f>
        <v>205902</v>
      </c>
      <c r="G15" s="254">
        <f>D15+(F15-D15)*(1-30/100)</f>
        <v>205902</v>
      </c>
    </row>
    <row r="16" spans="1:9" ht="31.5" x14ac:dyDescent="0.25">
      <c r="A16" s="250" t="s">
        <v>193</v>
      </c>
      <c r="B16" s="251">
        <f>(B13+B14+B15)*0.02</f>
        <v>51853</v>
      </c>
      <c r="C16" s="252"/>
      <c r="D16" s="251">
        <f>(D13+D14+D15)*0.02</f>
        <v>51853</v>
      </c>
      <c r="E16" s="252"/>
      <c r="F16" s="251">
        <f>(F13+F14+F15)*0.02-1</f>
        <v>52344</v>
      </c>
      <c r="G16" s="254">
        <f>D16+(F16-D16)*(1-30/100)</f>
        <v>52197</v>
      </c>
    </row>
    <row r="17" spans="1:8" ht="15.75" x14ac:dyDescent="0.25">
      <c r="A17" s="255" t="s">
        <v>194</v>
      </c>
      <c r="B17" s="251">
        <f>B13+B14+B16</f>
        <v>2438612</v>
      </c>
      <c r="C17" s="252"/>
      <c r="D17" s="251">
        <f>SUM(D13:D16)</f>
        <v>2644514</v>
      </c>
      <c r="E17" s="251"/>
      <c r="F17" s="251">
        <f>SUM(F13:F16)</f>
        <v>2669585</v>
      </c>
      <c r="G17" s="257">
        <f>SUM(G13:G16)</f>
        <v>2662064</v>
      </c>
    </row>
    <row r="18" spans="1:8" ht="15.75" x14ac:dyDescent="0.25">
      <c r="A18" s="255" t="s">
        <v>195</v>
      </c>
      <c r="B18" s="258">
        <f>B17*0.2</f>
        <v>487722.4</v>
      </c>
      <c r="C18" s="252"/>
      <c r="D18" s="258">
        <f>D17*0.2</f>
        <v>528902.80000000005</v>
      </c>
      <c r="E18" s="258"/>
      <c r="F18" s="258">
        <f>F17*0.2</f>
        <v>533917</v>
      </c>
      <c r="G18" s="259">
        <f>G17*0.2</f>
        <v>532412.80000000005</v>
      </c>
    </row>
    <row r="19" spans="1:8" ht="15.75" x14ac:dyDescent="0.25">
      <c r="A19" s="255" t="s">
        <v>196</v>
      </c>
      <c r="B19" s="258">
        <f>B17+B18</f>
        <v>2926334.4</v>
      </c>
      <c r="C19" s="252"/>
      <c r="D19" s="258">
        <f>D17+D18</f>
        <v>3173416.8</v>
      </c>
      <c r="E19" s="258"/>
      <c r="F19" s="258">
        <f>F17+F18</f>
        <v>3203502</v>
      </c>
      <c r="G19" s="259">
        <f>G17+G18</f>
        <v>3194476.8</v>
      </c>
      <c r="H19" s="100"/>
    </row>
    <row r="20" spans="1:8" ht="15.75" x14ac:dyDescent="0.25">
      <c r="A20" s="260"/>
      <c r="B20" s="261"/>
      <c r="C20" s="261"/>
      <c r="D20" s="261"/>
      <c r="E20" s="261"/>
      <c r="F20" s="261"/>
      <c r="G20" s="224"/>
    </row>
    <row r="21" spans="1:8" ht="36" customHeight="1" x14ac:dyDescent="0.25">
      <c r="A21" s="440" t="s">
        <v>216</v>
      </c>
      <c r="B21" s="440"/>
      <c r="C21" s="262">
        <v>1</v>
      </c>
      <c r="D21" s="224"/>
      <c r="E21" s="224"/>
      <c r="F21" s="224"/>
      <c r="G21" s="224"/>
    </row>
    <row r="22" spans="1:8" ht="15.75" x14ac:dyDescent="0.25">
      <c r="A22" s="263" t="s">
        <v>197</v>
      </c>
      <c r="B22" s="263"/>
      <c r="C22" s="262"/>
      <c r="D22" s="224"/>
      <c r="E22" s="224"/>
      <c r="F22" s="224"/>
      <c r="G22" s="224"/>
    </row>
    <row r="23" spans="1:8" ht="23.45" customHeight="1" x14ac:dyDescent="0.25">
      <c r="A23" s="436" t="s">
        <v>365</v>
      </c>
      <c r="B23" s="436"/>
      <c r="C23" s="436"/>
      <c r="D23" s="436"/>
      <c r="E23" s="436"/>
      <c r="F23" s="436"/>
      <c r="G23" s="244"/>
    </row>
    <row r="24" spans="1:8" ht="23.45" customHeight="1" x14ac:dyDescent="0.25">
      <c r="A24" s="264"/>
      <c r="B24" s="264"/>
      <c r="C24" s="264"/>
      <c r="D24" s="264"/>
      <c r="E24" s="264"/>
      <c r="F24" s="264"/>
      <c r="G24" s="244"/>
    </row>
    <row r="25" spans="1:8" ht="15.75" x14ac:dyDescent="0.25">
      <c r="A25" s="438" t="s">
        <v>198</v>
      </c>
      <c r="B25" s="438"/>
      <c r="C25" s="438"/>
      <c r="D25" s="438"/>
      <c r="E25" s="224"/>
      <c r="F25" s="224"/>
      <c r="G25" s="224"/>
    </row>
    <row r="26" spans="1:8" ht="45.6" customHeight="1" x14ac:dyDescent="0.25">
      <c r="A26" s="265" t="s">
        <v>256</v>
      </c>
      <c r="B26" s="266">
        <f>(B28-B27)/30</f>
        <v>3.5</v>
      </c>
      <c r="C26" s="244" t="s">
        <v>199</v>
      </c>
      <c r="D26" s="224" t="s">
        <v>200</v>
      </c>
      <c r="E26" s="224"/>
      <c r="F26" s="224"/>
      <c r="G26" s="224"/>
    </row>
    <row r="27" spans="1:8" ht="15.75" x14ac:dyDescent="0.25">
      <c r="A27" s="244" t="s">
        <v>201</v>
      </c>
      <c r="B27" s="267">
        <v>44256</v>
      </c>
      <c r="C27" s="244"/>
      <c r="D27" s="244"/>
      <c r="E27" s="244"/>
      <c r="F27" s="244"/>
      <c r="G27" s="244"/>
    </row>
    <row r="28" spans="1:8" ht="15.75" x14ac:dyDescent="0.25">
      <c r="A28" s="244" t="s">
        <v>202</v>
      </c>
      <c r="B28" s="267">
        <v>44362</v>
      </c>
      <c r="C28" s="244"/>
      <c r="D28" s="244"/>
      <c r="E28" s="244"/>
      <c r="F28" s="244"/>
      <c r="G28" s="244"/>
    </row>
    <row r="29" spans="1:8" ht="15.75" x14ac:dyDescent="0.25">
      <c r="A29" s="244" t="s">
        <v>253</v>
      </c>
      <c r="B29" s="268">
        <v>0</v>
      </c>
      <c r="C29" s="244" t="s">
        <v>199</v>
      </c>
      <c r="D29" s="244"/>
      <c r="E29" s="244"/>
      <c r="F29" s="244"/>
      <c r="G29" s="244"/>
    </row>
    <row r="30" spans="1:8" ht="15.75" x14ac:dyDescent="0.25">
      <c r="A30" s="244" t="s">
        <v>254</v>
      </c>
      <c r="B30" s="268">
        <v>3.5</v>
      </c>
      <c r="C30" s="244" t="s">
        <v>199</v>
      </c>
      <c r="D30" s="244"/>
      <c r="E30" s="244"/>
      <c r="F30" s="244"/>
      <c r="G30" s="244"/>
    </row>
    <row r="31" spans="1:8" ht="15.75" x14ac:dyDescent="0.25">
      <c r="A31" s="244" t="s">
        <v>251</v>
      </c>
      <c r="B31" s="268">
        <f>B29/B26</f>
        <v>0</v>
      </c>
      <c r="C31" s="244"/>
      <c r="D31" s="244"/>
      <c r="E31" s="244"/>
      <c r="F31" s="244"/>
      <c r="G31" s="244"/>
    </row>
    <row r="32" spans="1:8" ht="15.75" x14ac:dyDescent="0.25">
      <c r="A32" s="244" t="s">
        <v>252</v>
      </c>
      <c r="B32" s="268">
        <f>B30/B26</f>
        <v>1</v>
      </c>
      <c r="C32" s="244"/>
      <c r="D32" s="244"/>
      <c r="E32" s="244"/>
      <c r="F32" s="244"/>
      <c r="G32" s="244"/>
    </row>
    <row r="33" spans="1:8" ht="28.5" customHeight="1" x14ac:dyDescent="0.25">
      <c r="A33" s="436" t="s">
        <v>229</v>
      </c>
      <c r="B33" s="436"/>
      <c r="C33" s="436"/>
      <c r="D33" s="436"/>
      <c r="E33" s="359">
        <v>1.036</v>
      </c>
      <c r="F33" s="244"/>
      <c r="G33" s="244"/>
    </row>
    <row r="34" spans="1:8" ht="28.5" customHeight="1" x14ac:dyDescent="0.25">
      <c r="A34" s="436" t="s">
        <v>255</v>
      </c>
      <c r="B34" s="436"/>
      <c r="C34" s="436"/>
      <c r="D34" s="436"/>
      <c r="E34" s="359">
        <v>1.0369999999999999</v>
      </c>
      <c r="F34" s="244"/>
      <c r="G34" s="244"/>
    </row>
    <row r="35" spans="1:8" s="244" customFormat="1" ht="27" customHeight="1" x14ac:dyDescent="0.25">
      <c r="A35" s="328" t="s">
        <v>272</v>
      </c>
      <c r="B35" s="329"/>
      <c r="C35" s="330"/>
      <c r="D35" s="331"/>
      <c r="E35" s="360">
        <f>E33^(1/12)</f>
        <v>1.00295</v>
      </c>
      <c r="F35" s="332"/>
      <c r="G35" s="332"/>
      <c r="H35" s="332"/>
    </row>
    <row r="36" spans="1:8" s="244" customFormat="1" ht="30.75" customHeight="1" x14ac:dyDescent="0.25">
      <c r="A36" s="328" t="s">
        <v>273</v>
      </c>
      <c r="B36" s="333"/>
      <c r="C36" s="330"/>
      <c r="D36" s="331"/>
      <c r="E36" s="360">
        <f>E34^(1/12)</f>
        <v>1.0030300000000001</v>
      </c>
      <c r="F36" s="332"/>
      <c r="G36" s="332"/>
      <c r="H36" s="332"/>
    </row>
    <row r="37" spans="1:8" s="244" customFormat="1" ht="80.25" customHeight="1" x14ac:dyDescent="0.25">
      <c r="A37" s="439" t="s">
        <v>366</v>
      </c>
      <c r="B37" s="439"/>
      <c r="C37" s="330"/>
      <c r="D37" s="331"/>
      <c r="E37" s="360">
        <f>1*(E36^3+E36^6)/2</f>
        <v>1.01372</v>
      </c>
      <c r="F37" s="332"/>
      <c r="G37" s="332"/>
      <c r="H37" s="332"/>
    </row>
    <row r="38" spans="1:8" s="244" customFormat="1" ht="31.5" customHeight="1" x14ac:dyDescent="0.25">
      <c r="A38" s="361" t="s">
        <v>274</v>
      </c>
      <c r="C38" s="334"/>
      <c r="D38" s="334"/>
      <c r="E38" s="360">
        <f>E37</f>
        <v>1.01372</v>
      </c>
      <c r="F38" s="332"/>
      <c r="G38" s="332"/>
      <c r="H38" s="332"/>
    </row>
    <row r="39" spans="1:8" ht="15.75" x14ac:dyDescent="0.25">
      <c r="A39" s="244"/>
      <c r="B39" s="244"/>
      <c r="C39" s="244"/>
      <c r="D39" s="244"/>
      <c r="E39" s="244"/>
      <c r="F39" s="244"/>
      <c r="G39" s="244"/>
    </row>
    <row r="40" spans="1:8" hidden="1" x14ac:dyDescent="0.25">
      <c r="A40" s="154" t="s">
        <v>202</v>
      </c>
      <c r="B40" s="156">
        <v>44331</v>
      </c>
      <c r="C40" s="154"/>
      <c r="D40" s="157"/>
      <c r="E40" s="157"/>
      <c r="F40" s="157"/>
      <c r="G40" s="157"/>
    </row>
    <row r="41" spans="1:8" ht="29.25" hidden="1" customHeight="1" x14ac:dyDescent="0.25">
      <c r="A41" s="437" t="s">
        <v>229</v>
      </c>
      <c r="B41" s="437"/>
      <c r="C41" s="437"/>
      <c r="D41" s="437"/>
      <c r="E41" s="165">
        <v>1.036</v>
      </c>
      <c r="F41" s="157"/>
      <c r="G41" s="157"/>
    </row>
    <row r="42" spans="1:8" hidden="1" x14ac:dyDescent="0.25">
      <c r="A42" s="154" t="s">
        <v>230</v>
      </c>
      <c r="B42" s="158"/>
      <c r="C42" s="159"/>
      <c r="D42" s="157"/>
      <c r="E42" s="164">
        <f>1.036^(1/12)</f>
        <v>1.00295</v>
      </c>
      <c r="F42" s="157"/>
      <c r="G42" s="157"/>
    </row>
    <row r="43" spans="1:8" hidden="1" x14ac:dyDescent="0.25">
      <c r="A43" s="154" t="s">
        <v>231</v>
      </c>
      <c r="B43" s="154"/>
      <c r="C43" s="435" t="s">
        <v>249</v>
      </c>
      <c r="D43" s="435"/>
      <c r="E43" s="164">
        <f>(E42^6.7+E42^11)/2</f>
        <v>1.02643</v>
      </c>
    </row>
  </sheetData>
  <mergeCells count="12">
    <mergeCell ref="A23:F23"/>
    <mergeCell ref="A6:G6"/>
    <mergeCell ref="A21:B21"/>
    <mergeCell ref="A1:F1"/>
    <mergeCell ref="B2:F2"/>
    <mergeCell ref="B3:F3"/>
    <mergeCell ref="C43:D43"/>
    <mergeCell ref="A33:D33"/>
    <mergeCell ref="A41:D41"/>
    <mergeCell ref="A25:D25"/>
    <mergeCell ref="A34:D34"/>
    <mergeCell ref="A37:B37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view="pageBreakPreview" zoomScale="85" zoomScaleNormal="90" zoomScaleSheetLayoutView="85" workbookViewId="0">
      <selection activeCell="C1" sqref="C1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4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0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8" ht="15.75" x14ac:dyDescent="0.25">
      <c r="A1" s="269"/>
      <c r="B1" s="269"/>
      <c r="C1" s="269"/>
      <c r="D1" s="269"/>
      <c r="E1" s="269"/>
      <c r="F1" s="269"/>
      <c r="G1" s="269"/>
    </row>
    <row r="2" spans="1:8" ht="15.75" x14ac:dyDescent="0.2">
      <c r="A2" s="454" t="s">
        <v>0</v>
      </c>
      <c r="B2" s="454"/>
      <c r="C2" s="454"/>
      <c r="D2" s="454"/>
      <c r="E2" s="454"/>
      <c r="F2" s="454"/>
      <c r="G2" s="454"/>
    </row>
    <row r="3" spans="1:8" ht="15.75" x14ac:dyDescent="0.2">
      <c r="A3" s="454" t="s">
        <v>5</v>
      </c>
      <c r="B3" s="454"/>
      <c r="C3" s="454"/>
      <c r="D3" s="454"/>
      <c r="E3" s="454"/>
      <c r="F3" s="454"/>
      <c r="G3" s="454"/>
    </row>
    <row r="4" spans="1:8" ht="15.75" x14ac:dyDescent="0.25">
      <c r="A4" s="269"/>
      <c r="B4" s="269"/>
      <c r="C4" s="269"/>
      <c r="D4" s="269"/>
      <c r="E4" s="269"/>
      <c r="F4" s="269"/>
      <c r="G4" s="269"/>
    </row>
    <row r="5" spans="1:8" ht="53.45" customHeight="1" x14ac:dyDescent="0.2">
      <c r="A5" s="455" t="s">
        <v>6</v>
      </c>
      <c r="B5" s="456"/>
      <c r="C5" s="460" t="str">
        <f>'ПД '!C4</f>
        <v>Всесезонный туристско-рекреационный комплекс «Эльбрус», Кабардино-Балкарская Республика. 
Благоустройство центральной части Поляны Азау 3 этап</v>
      </c>
      <c r="D5" s="460"/>
      <c r="E5" s="460"/>
      <c r="F5" s="460"/>
      <c r="G5" s="460"/>
      <c r="H5" s="15"/>
    </row>
    <row r="6" spans="1:8" s="2" customFormat="1" ht="35.25" customHeight="1" x14ac:dyDescent="0.25">
      <c r="A6" s="459" t="s">
        <v>7</v>
      </c>
      <c r="B6" s="459"/>
      <c r="C6" s="457"/>
      <c r="D6" s="457"/>
      <c r="E6" s="458"/>
      <c r="F6" s="458"/>
      <c r="G6" s="458"/>
    </row>
    <row r="7" spans="1:8" ht="29.25" customHeight="1" x14ac:dyDescent="0.2">
      <c r="A7" s="459" t="s">
        <v>1</v>
      </c>
      <c r="B7" s="459"/>
      <c r="C7" s="457" t="s">
        <v>45</v>
      </c>
      <c r="D7" s="457"/>
      <c r="E7" s="458"/>
      <c r="F7" s="458"/>
      <c r="G7" s="458"/>
    </row>
    <row r="8" spans="1:8" ht="15.75" x14ac:dyDescent="0.25">
      <c r="A8" s="270"/>
      <c r="B8" s="271"/>
      <c r="C8" s="270"/>
      <c r="D8" s="270"/>
      <c r="E8" s="270"/>
      <c r="F8" s="270"/>
      <c r="G8" s="272" t="s">
        <v>4</v>
      </c>
    </row>
    <row r="9" spans="1:8" ht="15.75" x14ac:dyDescent="0.25">
      <c r="A9" s="466" t="s">
        <v>2</v>
      </c>
      <c r="B9" s="466" t="s">
        <v>3</v>
      </c>
      <c r="C9" s="466" t="s">
        <v>8</v>
      </c>
      <c r="D9" s="466" t="s">
        <v>43</v>
      </c>
      <c r="E9" s="471" t="s">
        <v>99</v>
      </c>
      <c r="F9" s="471"/>
      <c r="G9" s="471"/>
      <c r="H9" s="468" t="s">
        <v>96</v>
      </c>
    </row>
    <row r="10" spans="1:8" ht="34.5" customHeight="1" x14ac:dyDescent="0.2">
      <c r="A10" s="470"/>
      <c r="B10" s="470"/>
      <c r="C10" s="470"/>
      <c r="D10" s="467"/>
      <c r="E10" s="273" t="s">
        <v>9</v>
      </c>
      <c r="F10" s="273" t="s">
        <v>10</v>
      </c>
      <c r="G10" s="273" t="s">
        <v>11</v>
      </c>
      <c r="H10" s="469"/>
    </row>
    <row r="11" spans="1:8" ht="15.75" x14ac:dyDescent="0.2">
      <c r="A11" s="274">
        <v>1</v>
      </c>
      <c r="B11" s="274">
        <v>2</v>
      </c>
      <c r="C11" s="274"/>
      <c r="D11" s="274"/>
      <c r="E11" s="274">
        <v>4</v>
      </c>
      <c r="F11" s="274">
        <v>5</v>
      </c>
      <c r="G11" s="274">
        <v>6</v>
      </c>
      <c r="H11" s="94">
        <v>7</v>
      </c>
    </row>
    <row r="12" spans="1:8" ht="25.5" customHeight="1" x14ac:dyDescent="0.2">
      <c r="A12" s="464" t="s">
        <v>335</v>
      </c>
      <c r="B12" s="465"/>
      <c r="C12" s="465"/>
      <c r="D12" s="465"/>
      <c r="E12" s="465"/>
      <c r="F12" s="465"/>
      <c r="G12" s="465"/>
      <c r="H12" s="95"/>
    </row>
    <row r="13" spans="1:8" s="101" customFormat="1" ht="29.25" customHeight="1" x14ac:dyDescent="0.2">
      <c r="A13" s="275" t="s">
        <v>336</v>
      </c>
      <c r="B13" s="279" t="s">
        <v>78</v>
      </c>
      <c r="C13" s="276"/>
      <c r="D13" s="275" t="s">
        <v>115</v>
      </c>
      <c r="E13" s="280"/>
      <c r="F13" s="277">
        <f>'ПД '!J26</f>
        <v>1791536</v>
      </c>
      <c r="G13" s="277">
        <f t="shared" ref="G13" si="0">F13</f>
        <v>1791536</v>
      </c>
      <c r="H13" s="95"/>
    </row>
    <row r="14" spans="1:8" s="101" customFormat="1" ht="29.25" customHeight="1" x14ac:dyDescent="0.2">
      <c r="A14" s="461" t="s">
        <v>12</v>
      </c>
      <c r="B14" s="462"/>
      <c r="C14" s="462"/>
      <c r="D14" s="462"/>
      <c r="E14" s="462"/>
      <c r="F14" s="463"/>
      <c r="G14" s="278">
        <f>G13</f>
        <v>1791536</v>
      </c>
      <c r="H14" s="95"/>
    </row>
    <row r="15" spans="1:8" s="101" customFormat="1" ht="29.25" customHeight="1" x14ac:dyDescent="0.2">
      <c r="A15" s="464" t="s">
        <v>337</v>
      </c>
      <c r="B15" s="465"/>
      <c r="C15" s="465"/>
      <c r="D15" s="465"/>
      <c r="E15" s="465"/>
      <c r="F15" s="465"/>
      <c r="G15" s="465"/>
      <c r="H15" s="95"/>
    </row>
    <row r="16" spans="1:8" ht="65.25" customHeight="1" x14ac:dyDescent="0.2">
      <c r="A16" s="275" t="s">
        <v>338</v>
      </c>
      <c r="B16" s="279" t="s">
        <v>151</v>
      </c>
      <c r="C16" s="276"/>
      <c r="D16" s="275" t="s">
        <v>113</v>
      </c>
      <c r="E16" s="280"/>
      <c r="F16" s="281"/>
      <c r="G16" s="277">
        <f>'Экспертиза ПД и ИЗ'!H21</f>
        <v>595223</v>
      </c>
      <c r="H16" s="96"/>
    </row>
    <row r="17" spans="1:8" ht="19.5" customHeight="1" x14ac:dyDescent="0.2">
      <c r="A17" s="461" t="s">
        <v>116</v>
      </c>
      <c r="B17" s="462"/>
      <c r="C17" s="462"/>
      <c r="D17" s="462"/>
      <c r="E17" s="462"/>
      <c r="F17" s="463"/>
      <c r="G17" s="278">
        <f>G16</f>
        <v>595223</v>
      </c>
      <c r="H17" s="96"/>
    </row>
    <row r="18" spans="1:8" s="101" customFormat="1" ht="19.5" customHeight="1" x14ac:dyDescent="0.2">
      <c r="A18" s="282"/>
      <c r="B18" s="282"/>
      <c r="C18" s="282"/>
      <c r="D18" s="282"/>
      <c r="E18" s="282"/>
      <c r="F18" s="282" t="s">
        <v>121</v>
      </c>
      <c r="G18" s="284">
        <f>G14+G17</f>
        <v>2386759</v>
      </c>
      <c r="H18" s="107"/>
    </row>
    <row r="19" spans="1:8" s="101" customFormat="1" ht="19.5" customHeight="1" x14ac:dyDescent="0.2">
      <c r="A19" s="282"/>
      <c r="B19" s="282"/>
      <c r="C19" s="282"/>
      <c r="D19" s="282"/>
      <c r="E19" s="282"/>
      <c r="F19" s="282"/>
      <c r="G19" s="283"/>
      <c r="H19" s="107"/>
    </row>
    <row r="20" spans="1:8" s="101" customFormat="1" ht="19.5" customHeight="1" x14ac:dyDescent="0.2">
      <c r="A20" s="282"/>
      <c r="B20" s="282"/>
      <c r="C20" s="282"/>
      <c r="D20" s="282"/>
      <c r="E20" s="282"/>
      <c r="F20" s="282"/>
      <c r="G20" s="283"/>
      <c r="H20" s="107"/>
    </row>
    <row r="21" spans="1:8" s="101" customFormat="1" ht="19.5" customHeight="1" x14ac:dyDescent="0.2">
      <c r="A21" s="282"/>
      <c r="B21" s="282"/>
      <c r="C21" s="282"/>
      <c r="D21" s="282"/>
      <c r="E21" s="282"/>
      <c r="F21" s="282"/>
      <c r="G21" s="283"/>
      <c r="H21" s="107"/>
    </row>
    <row r="22" spans="1:8" s="101" customFormat="1" ht="19.5" customHeight="1" x14ac:dyDescent="0.2">
      <c r="A22" s="282"/>
      <c r="B22" s="282"/>
      <c r="C22" s="282"/>
      <c r="D22" s="282"/>
      <c r="E22" s="282"/>
      <c r="F22" s="282"/>
      <c r="G22" s="283"/>
      <c r="H22" s="107"/>
    </row>
    <row r="23" spans="1:8" s="101" customFormat="1" ht="19.5" customHeight="1" x14ac:dyDescent="0.2">
      <c r="A23" s="282"/>
      <c r="B23" s="282"/>
      <c r="C23" s="282"/>
      <c r="D23" s="282"/>
      <c r="E23" s="282"/>
      <c r="F23" s="282"/>
      <c r="G23" s="283"/>
      <c r="H23" s="107"/>
    </row>
    <row r="24" spans="1:8" s="101" customFormat="1" ht="19.5" customHeight="1" x14ac:dyDescent="0.2">
      <c r="A24" s="282"/>
      <c r="B24" s="282"/>
      <c r="C24" s="282"/>
      <c r="D24" s="282"/>
      <c r="E24" s="282"/>
      <c r="F24" s="282"/>
      <c r="G24" s="283"/>
      <c r="H24" s="107"/>
    </row>
    <row r="25" spans="1:8" s="101" customFormat="1" ht="19.5" customHeight="1" x14ac:dyDescent="0.2">
      <c r="A25" s="282"/>
      <c r="B25" s="282"/>
      <c r="C25" s="282"/>
      <c r="D25" s="282"/>
      <c r="E25" s="282"/>
      <c r="F25" s="282"/>
      <c r="G25" s="283"/>
      <c r="H25" s="107"/>
    </row>
    <row r="26" spans="1:8" s="101" customFormat="1" ht="19.5" customHeight="1" x14ac:dyDescent="0.2">
      <c r="A26" s="282"/>
      <c r="B26" s="282"/>
      <c r="C26" s="282"/>
      <c r="D26" s="282"/>
      <c r="E26" s="282"/>
      <c r="F26" s="282"/>
      <c r="G26" s="283"/>
      <c r="H26" s="107"/>
    </row>
    <row r="27" spans="1:8" s="101" customFormat="1" ht="50.25" customHeight="1" x14ac:dyDescent="0.2">
      <c r="A27" s="472" t="s">
        <v>122</v>
      </c>
      <c r="B27" s="472"/>
      <c r="C27" s="472"/>
      <c r="D27" s="472"/>
      <c r="E27" s="472"/>
      <c r="F27" s="105"/>
      <c r="G27" s="106"/>
      <c r="H27" s="107"/>
    </row>
    <row r="28" spans="1:8" x14ac:dyDescent="0.2">
      <c r="A28" s="101"/>
      <c r="B28" s="101"/>
      <c r="C28" s="101"/>
      <c r="D28" s="101"/>
      <c r="E28" s="101"/>
      <c r="F28" s="101"/>
      <c r="G28" s="101"/>
    </row>
    <row r="29" spans="1:8" x14ac:dyDescent="0.2">
      <c r="A29" s="125" t="s">
        <v>103</v>
      </c>
      <c r="B29" s="125"/>
      <c r="C29" s="125"/>
      <c r="D29" s="146" t="s">
        <v>161</v>
      </c>
      <c r="E29" s="125"/>
      <c r="F29" s="101"/>
      <c r="G29" s="101"/>
    </row>
    <row r="30" spans="1:8" x14ac:dyDescent="0.2">
      <c r="A30" s="125" t="s">
        <v>100</v>
      </c>
      <c r="B30" s="125"/>
      <c r="C30" s="125"/>
      <c r="D30" s="148" t="s">
        <v>162</v>
      </c>
      <c r="E30" s="125"/>
      <c r="F30" s="101"/>
      <c r="G30" s="101"/>
    </row>
    <row r="31" spans="1:8" x14ac:dyDescent="0.2">
      <c r="A31" s="125" t="s">
        <v>101</v>
      </c>
      <c r="B31" s="125"/>
      <c r="C31" s="125"/>
      <c r="D31" s="146" t="s">
        <v>163</v>
      </c>
      <c r="E31" s="125"/>
      <c r="F31" s="101"/>
      <c r="G31" s="101"/>
    </row>
    <row r="32" spans="1:8" x14ac:dyDescent="0.2">
      <c r="A32" s="101"/>
      <c r="B32" s="101"/>
      <c r="C32" s="101"/>
      <c r="D32" s="101"/>
      <c r="E32" s="101"/>
      <c r="F32" s="101"/>
      <c r="G32" s="101"/>
    </row>
    <row r="33" spans="1:7" x14ac:dyDescent="0.2">
      <c r="A33" s="451" t="s">
        <v>129</v>
      </c>
      <c r="B33" s="451"/>
      <c r="C33" s="451"/>
      <c r="D33" s="451"/>
      <c r="E33" s="451"/>
      <c r="F33" s="101"/>
      <c r="G33" s="101"/>
    </row>
    <row r="34" spans="1:7" x14ac:dyDescent="0.2">
      <c r="A34" s="452" t="s">
        <v>138</v>
      </c>
      <c r="B34" s="452"/>
      <c r="C34" s="452"/>
      <c r="D34" s="452"/>
      <c r="E34" s="452"/>
      <c r="F34" s="101"/>
      <c r="G34" s="101"/>
    </row>
    <row r="35" spans="1:7" ht="76.5" x14ac:dyDescent="0.2">
      <c r="A35" s="126" t="s">
        <v>2</v>
      </c>
      <c r="B35" s="127" t="s">
        <v>130</v>
      </c>
      <c r="C35" s="127" t="s">
        <v>131</v>
      </c>
      <c r="D35" s="127" t="s">
        <v>132</v>
      </c>
      <c r="E35" s="127" t="s">
        <v>133</v>
      </c>
      <c r="F35" s="101"/>
      <c r="G35" s="101"/>
    </row>
    <row r="36" spans="1:7" x14ac:dyDescent="0.2">
      <c r="A36" s="128">
        <v>1</v>
      </c>
      <c r="B36" s="129">
        <v>105</v>
      </c>
      <c r="C36" s="129">
        <v>2.5</v>
      </c>
      <c r="D36" s="130">
        <f>(B36-100)/100*C36/12</f>
        <v>0.01</v>
      </c>
      <c r="E36" s="130">
        <f>1+D36</f>
        <v>1.01</v>
      </c>
      <c r="F36" s="101"/>
      <c r="G36" s="101"/>
    </row>
    <row r="37" spans="1:7" x14ac:dyDescent="0.2">
      <c r="A37" s="452" t="s">
        <v>138</v>
      </c>
      <c r="B37" s="452"/>
      <c r="C37" s="452"/>
      <c r="D37" s="452"/>
      <c r="E37" s="452"/>
      <c r="F37" s="101"/>
      <c r="G37" s="101"/>
    </row>
    <row r="38" spans="1:7" ht="63.75" x14ac:dyDescent="0.2">
      <c r="A38" s="128"/>
      <c r="B38" s="127" t="s">
        <v>134</v>
      </c>
      <c r="C38" s="127" t="s">
        <v>135</v>
      </c>
      <c r="D38" s="127" t="s">
        <v>136</v>
      </c>
      <c r="E38" s="127" t="s">
        <v>137</v>
      </c>
      <c r="F38" s="101"/>
      <c r="G38" s="101"/>
    </row>
    <row r="39" spans="1:7" x14ac:dyDescent="0.2">
      <c r="A39" s="129">
        <v>2</v>
      </c>
      <c r="B39" s="129">
        <v>105</v>
      </c>
      <c r="C39" s="129">
        <v>0.5</v>
      </c>
      <c r="D39" s="130">
        <f>(B39-100)/100*C39/12</f>
        <v>2E-3</v>
      </c>
      <c r="E39" s="130">
        <f>1+D39</f>
        <v>1.002</v>
      </c>
      <c r="F39" s="101"/>
      <c r="G39" s="101"/>
    </row>
    <row r="40" spans="1:7" x14ac:dyDescent="0.2">
      <c r="A40" s="452" t="s">
        <v>156</v>
      </c>
      <c r="B40" s="452"/>
      <c r="C40" s="452"/>
      <c r="D40" s="452"/>
      <c r="E40" s="452"/>
      <c r="F40" s="101"/>
      <c r="G40" s="101"/>
    </row>
    <row r="41" spans="1:7" ht="63.75" x14ac:dyDescent="0.2">
      <c r="A41" s="128"/>
      <c r="B41" s="127" t="s">
        <v>139</v>
      </c>
      <c r="C41" s="127" t="s">
        <v>157</v>
      </c>
      <c r="D41" s="127" t="s">
        <v>140</v>
      </c>
      <c r="E41" s="127" t="s">
        <v>141</v>
      </c>
      <c r="F41" s="101"/>
      <c r="G41" s="101"/>
    </row>
    <row r="42" spans="1:7" x14ac:dyDescent="0.2">
      <c r="A42" s="129">
        <v>2</v>
      </c>
      <c r="B42" s="129">
        <v>105.1</v>
      </c>
      <c r="C42" s="129">
        <v>1.5</v>
      </c>
      <c r="D42" s="130">
        <f>(B42-100)/100*C42/12</f>
        <v>6.0000000000000001E-3</v>
      </c>
      <c r="E42" s="130">
        <f>1+0.5*D42</f>
        <v>1.0029999999999999</v>
      </c>
      <c r="F42" s="101"/>
      <c r="G42" s="101"/>
    </row>
    <row r="43" spans="1:7" ht="15" x14ac:dyDescent="0.25">
      <c r="A43" s="136"/>
      <c r="B43" s="137" t="s">
        <v>158</v>
      </c>
      <c r="C43" s="136"/>
      <c r="D43" s="117" t="s">
        <v>160</v>
      </c>
      <c r="E43" s="118" t="s">
        <v>159</v>
      </c>
      <c r="F43" s="101"/>
      <c r="G43" s="101"/>
    </row>
    <row r="44" spans="1:7" x14ac:dyDescent="0.2">
      <c r="A44" s="137"/>
      <c r="B44" s="137"/>
      <c r="C44" s="137"/>
      <c r="D44" s="138">
        <f>D39+D42</f>
        <v>8.0000000000000002E-3</v>
      </c>
      <c r="E44" s="139">
        <f>(1+0.5*D44)</f>
        <v>1.004</v>
      </c>
      <c r="F44" s="101"/>
      <c r="G44" s="101"/>
    </row>
    <row r="45" spans="1:7" x14ac:dyDescent="0.2">
      <c r="A45" s="129">
        <v>3</v>
      </c>
      <c r="B45" s="131" t="s">
        <v>142</v>
      </c>
      <c r="C45" s="131"/>
      <c r="D45" s="127" t="s">
        <v>143</v>
      </c>
      <c r="E45" s="130">
        <f>E36*E44</f>
        <v>1.014</v>
      </c>
      <c r="F45" s="101"/>
      <c r="G45" s="101"/>
    </row>
    <row r="46" spans="1:7" s="101" customFormat="1" x14ac:dyDescent="0.2">
      <c r="A46" s="453" t="s">
        <v>144</v>
      </c>
      <c r="B46" s="453"/>
      <c r="C46" s="453"/>
      <c r="D46" s="453"/>
      <c r="E46" s="453"/>
    </row>
    <row r="47" spans="1:7" x14ac:dyDescent="0.2">
      <c r="A47" s="444" t="s">
        <v>145</v>
      </c>
      <c r="B47" s="444"/>
      <c r="C47" s="444"/>
      <c r="D47" s="122"/>
      <c r="E47" s="132" t="e">
        <f>#REF!</f>
        <v>#REF!</v>
      </c>
      <c r="F47" s="101"/>
      <c r="G47" s="101"/>
    </row>
    <row r="48" spans="1:7" x14ac:dyDescent="0.2">
      <c r="A48" s="445" t="s">
        <v>146</v>
      </c>
      <c r="B48" s="446"/>
      <c r="C48" s="447"/>
      <c r="D48" s="122"/>
      <c r="E48" s="130">
        <f>E44</f>
        <v>1.004</v>
      </c>
      <c r="F48" s="101"/>
      <c r="G48" s="101"/>
    </row>
    <row r="49" spans="1:7" x14ac:dyDescent="0.2">
      <c r="A49" s="445" t="s">
        <v>147</v>
      </c>
      <c r="B49" s="446"/>
      <c r="C49" s="447"/>
      <c r="D49" s="131"/>
      <c r="E49" s="132" t="e">
        <f>E47*E48</f>
        <v>#REF!</v>
      </c>
      <c r="F49" s="101"/>
      <c r="G49" s="101"/>
    </row>
    <row r="50" spans="1:7" ht="25.5" x14ac:dyDescent="0.2">
      <c r="A50" s="448" t="s">
        <v>148</v>
      </c>
      <c r="B50" s="449"/>
      <c r="C50" s="450"/>
      <c r="D50" s="133" t="s">
        <v>149</v>
      </c>
      <c r="E50" s="134" t="e">
        <f>E47+(E49-E47)*(1-30/100)</f>
        <v>#REF!</v>
      </c>
      <c r="F50" s="101" t="e">
        <f>E50/E47</f>
        <v>#REF!</v>
      </c>
      <c r="G50" s="101"/>
    </row>
    <row r="51" spans="1:7" s="101" customFormat="1" x14ac:dyDescent="0.2">
      <c r="A51" s="135"/>
      <c r="B51" s="135"/>
      <c r="D51" s="123" t="s">
        <v>150</v>
      </c>
      <c r="E51" s="124" t="e">
        <f>E50-E47</f>
        <v>#REF!</v>
      </c>
    </row>
    <row r="52" spans="1:7" s="101" customFormat="1" ht="15" x14ac:dyDescent="0.25">
      <c r="A52"/>
      <c r="B52"/>
      <c r="D52" s="119"/>
      <c r="E52" s="120"/>
    </row>
    <row r="53" spans="1:7" s="101" customFormat="1" x14ac:dyDescent="0.2">
      <c r="A53" s="125" t="s">
        <v>103</v>
      </c>
      <c r="B53" s="125"/>
      <c r="C53" s="125"/>
      <c r="D53" s="125" t="s">
        <v>167</v>
      </c>
      <c r="E53" s="125"/>
    </row>
    <row r="54" spans="1:7" s="101" customFormat="1" x14ac:dyDescent="0.2">
      <c r="A54" s="125" t="s">
        <v>100</v>
      </c>
      <c r="B54" s="125"/>
      <c r="C54" s="125"/>
      <c r="D54" s="147" t="s">
        <v>162</v>
      </c>
      <c r="E54" s="125" t="s">
        <v>165</v>
      </c>
    </row>
    <row r="55" spans="1:7" x14ac:dyDescent="0.2">
      <c r="A55" s="125" t="s">
        <v>101</v>
      </c>
      <c r="B55" s="125"/>
      <c r="C55" s="125"/>
      <c r="D55" s="146" t="s">
        <v>166</v>
      </c>
      <c r="E55" s="125"/>
      <c r="F55" s="101"/>
      <c r="G55" s="101"/>
    </row>
    <row r="56" spans="1:7" x14ac:dyDescent="0.2">
      <c r="A56" s="101"/>
      <c r="B56" s="101"/>
      <c r="C56" s="101"/>
      <c r="D56" s="101"/>
      <c r="E56" s="101"/>
      <c r="F56" s="101"/>
    </row>
    <row r="57" spans="1:7" x14ac:dyDescent="0.2">
      <c r="A57" s="451" t="s">
        <v>164</v>
      </c>
      <c r="B57" s="451"/>
      <c r="C57" s="451"/>
      <c r="D57" s="451"/>
      <c r="E57" s="451"/>
      <c r="F57" s="101"/>
    </row>
    <row r="58" spans="1:7" x14ac:dyDescent="0.2">
      <c r="A58" s="452" t="s">
        <v>138</v>
      </c>
      <c r="B58" s="452"/>
      <c r="C58" s="452"/>
      <c r="D58" s="452"/>
      <c r="E58" s="452"/>
      <c r="F58" s="101"/>
    </row>
    <row r="59" spans="1:7" ht="76.5" x14ac:dyDescent="0.2">
      <c r="A59" s="126" t="s">
        <v>2</v>
      </c>
      <c r="B59" s="127" t="s">
        <v>130</v>
      </c>
      <c r="C59" s="127" t="s">
        <v>131</v>
      </c>
      <c r="D59" s="127" t="s">
        <v>132</v>
      </c>
      <c r="E59" s="127" t="s">
        <v>133</v>
      </c>
      <c r="F59" s="101"/>
    </row>
    <row r="60" spans="1:7" x14ac:dyDescent="0.2">
      <c r="A60" s="128">
        <v>1</v>
      </c>
      <c r="B60" s="129">
        <v>105</v>
      </c>
      <c r="C60" s="129">
        <v>2.5</v>
      </c>
      <c r="D60" s="130">
        <f>(B60-100)/100*C60/12</f>
        <v>0.01</v>
      </c>
      <c r="E60" s="130">
        <f>1+D60</f>
        <v>1.01</v>
      </c>
      <c r="F60" s="101"/>
    </row>
    <row r="61" spans="1:7" x14ac:dyDescent="0.2">
      <c r="A61" s="452" t="s">
        <v>138</v>
      </c>
      <c r="B61" s="452"/>
      <c r="C61" s="452"/>
      <c r="D61" s="452"/>
      <c r="E61" s="452"/>
      <c r="F61" s="101"/>
    </row>
    <row r="62" spans="1:7" ht="63.75" x14ac:dyDescent="0.2">
      <c r="A62" s="128"/>
      <c r="B62" s="127" t="s">
        <v>134</v>
      </c>
      <c r="C62" s="127" t="s">
        <v>135</v>
      </c>
      <c r="D62" s="127" t="s">
        <v>136</v>
      </c>
      <c r="E62" s="127" t="s">
        <v>137</v>
      </c>
      <c r="F62" s="101"/>
    </row>
    <row r="63" spans="1:7" x14ac:dyDescent="0.2">
      <c r="A63" s="129">
        <v>2</v>
      </c>
      <c r="B63" s="129">
        <v>105</v>
      </c>
      <c r="C63" s="129">
        <v>0.5</v>
      </c>
      <c r="D63" s="130">
        <f>(B63-100)/100*C63/12</f>
        <v>2E-3</v>
      </c>
      <c r="E63" s="130">
        <f>1+D63</f>
        <v>1.002</v>
      </c>
      <c r="F63" s="101"/>
    </row>
    <row r="64" spans="1:7" x14ac:dyDescent="0.2">
      <c r="A64" s="452" t="s">
        <v>156</v>
      </c>
      <c r="B64" s="452"/>
      <c r="C64" s="452"/>
      <c r="D64" s="452"/>
      <c r="E64" s="452"/>
      <c r="F64" s="101"/>
    </row>
    <row r="65" spans="1:6" ht="63.75" x14ac:dyDescent="0.2">
      <c r="A65" s="128"/>
      <c r="B65" s="127" t="s">
        <v>139</v>
      </c>
      <c r="C65" s="127" t="s">
        <v>157</v>
      </c>
      <c r="D65" s="127" t="s">
        <v>140</v>
      </c>
      <c r="E65" s="127" t="s">
        <v>141</v>
      </c>
      <c r="F65" s="101"/>
    </row>
    <row r="66" spans="1:6" x14ac:dyDescent="0.2">
      <c r="A66" s="129">
        <v>2</v>
      </c>
      <c r="B66" s="129">
        <v>105.1</v>
      </c>
      <c r="C66" s="129">
        <v>5.4</v>
      </c>
      <c r="D66" s="130">
        <f>(B66-100)/100*C66/12</f>
        <v>2.3E-2</v>
      </c>
      <c r="E66" s="130">
        <f>1+0.5*D66</f>
        <v>1.012</v>
      </c>
      <c r="F66" s="101"/>
    </row>
    <row r="67" spans="1:6" ht="15" x14ac:dyDescent="0.25">
      <c r="A67" s="136"/>
      <c r="B67" s="137" t="s">
        <v>158</v>
      </c>
      <c r="C67" s="136"/>
      <c r="D67" s="117" t="s">
        <v>160</v>
      </c>
      <c r="E67" s="118" t="s">
        <v>159</v>
      </c>
      <c r="F67" s="101"/>
    </row>
    <row r="68" spans="1:6" x14ac:dyDescent="0.2">
      <c r="A68" s="137"/>
      <c r="B68" s="137"/>
      <c r="C68" s="137"/>
      <c r="D68" s="138">
        <f>D63+D66</f>
        <v>2.5000000000000001E-2</v>
      </c>
      <c r="E68" s="139">
        <f>(1+0.5*D68)</f>
        <v>1.0129999999999999</v>
      </c>
      <c r="F68" s="101"/>
    </row>
    <row r="69" spans="1:6" x14ac:dyDescent="0.2">
      <c r="A69" s="129">
        <v>3</v>
      </c>
      <c r="B69" s="131" t="s">
        <v>142</v>
      </c>
      <c r="C69" s="131"/>
      <c r="D69" s="127" t="s">
        <v>143</v>
      </c>
      <c r="E69" s="130">
        <f>E60*E68</f>
        <v>1.0229999999999999</v>
      </c>
      <c r="F69" s="101"/>
    </row>
    <row r="70" spans="1:6" x14ac:dyDescent="0.2">
      <c r="A70" s="453" t="s">
        <v>144</v>
      </c>
      <c r="B70" s="453"/>
      <c r="C70" s="453"/>
      <c r="D70" s="453"/>
      <c r="E70" s="453"/>
      <c r="F70" s="101"/>
    </row>
    <row r="71" spans="1:6" x14ac:dyDescent="0.2">
      <c r="A71" s="444" t="s">
        <v>145</v>
      </c>
      <c r="B71" s="444"/>
      <c r="C71" s="444"/>
      <c r="D71" s="122"/>
      <c r="E71" s="132">
        <f>G14</f>
        <v>1791536</v>
      </c>
      <c r="F71" s="101"/>
    </row>
    <row r="72" spans="1:6" x14ac:dyDescent="0.2">
      <c r="A72" s="445" t="s">
        <v>146</v>
      </c>
      <c r="B72" s="446"/>
      <c r="C72" s="447"/>
      <c r="D72" s="122"/>
      <c r="E72" s="130">
        <f>E68</f>
        <v>1.0129999999999999</v>
      </c>
      <c r="F72" s="101"/>
    </row>
    <row r="73" spans="1:6" x14ac:dyDescent="0.2">
      <c r="A73" s="445" t="s">
        <v>147</v>
      </c>
      <c r="B73" s="446"/>
      <c r="C73" s="447"/>
      <c r="D73" s="131"/>
      <c r="E73" s="132">
        <f>E71*E72</f>
        <v>1814826</v>
      </c>
      <c r="F73" s="101"/>
    </row>
    <row r="74" spans="1:6" ht="25.5" x14ac:dyDescent="0.2">
      <c r="A74" s="448" t="s">
        <v>148</v>
      </c>
      <c r="B74" s="449"/>
      <c r="C74" s="450"/>
      <c r="D74" s="133" t="s">
        <v>149</v>
      </c>
      <c r="E74" s="134">
        <f>E71+(E73-E71)*(1-30/100)</f>
        <v>1807839</v>
      </c>
      <c r="F74" s="101">
        <f>E74/E71</f>
        <v>1.0091000125032401</v>
      </c>
    </row>
    <row r="75" spans="1:6" x14ac:dyDescent="0.2">
      <c r="A75" s="135"/>
      <c r="B75" s="135"/>
      <c r="C75" s="101"/>
      <c r="D75" s="123" t="s">
        <v>150</v>
      </c>
      <c r="E75" s="124">
        <f>E74-E71</f>
        <v>16303</v>
      </c>
      <c r="F75" s="101"/>
    </row>
  </sheetData>
  <mergeCells count="37">
    <mergeCell ref="A17:F17"/>
    <mergeCell ref="A27:E27"/>
    <mergeCell ref="A33:E33"/>
    <mergeCell ref="A50:C50"/>
    <mergeCell ref="A37:E37"/>
    <mergeCell ref="A40:E40"/>
    <mergeCell ref="A46:E46"/>
    <mergeCell ref="A34:E34"/>
    <mergeCell ref="A47:C47"/>
    <mergeCell ref="A48:C48"/>
    <mergeCell ref="A49:C49"/>
    <mergeCell ref="A14:F14"/>
    <mergeCell ref="A15:G15"/>
    <mergeCell ref="D9:D10"/>
    <mergeCell ref="A12:G12"/>
    <mergeCell ref="H9:H10"/>
    <mergeCell ref="A9:A10"/>
    <mergeCell ref="B9:B10"/>
    <mergeCell ref="C9:C10"/>
    <mergeCell ref="E9:G9"/>
    <mergeCell ref="A2:G2"/>
    <mergeCell ref="A3:G3"/>
    <mergeCell ref="A5:B5"/>
    <mergeCell ref="C7:G7"/>
    <mergeCell ref="A6:B6"/>
    <mergeCell ref="C6:G6"/>
    <mergeCell ref="C5:G5"/>
    <mergeCell ref="A7:B7"/>
    <mergeCell ref="A71:C71"/>
    <mergeCell ref="A72:C72"/>
    <mergeCell ref="A73:C73"/>
    <mergeCell ref="A74:C74"/>
    <mergeCell ref="A57:E57"/>
    <mergeCell ref="A58:E58"/>
    <mergeCell ref="A61:E61"/>
    <mergeCell ref="A64:E64"/>
    <mergeCell ref="A70:E70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дендрология</vt:lpstr>
      <vt:lpstr>График работ</vt:lpstr>
      <vt:lpstr>УНЦС</vt:lpstr>
      <vt:lpstr>Ориентировочная сумма КВЛ</vt:lpstr>
      <vt:lpstr>Пояснительная</vt:lpstr>
      <vt:lpstr>Протокол</vt:lpstr>
      <vt:lpstr>НМЦ</vt:lpstr>
      <vt:lpstr>НМЦК</vt:lpstr>
      <vt:lpstr>Cводная смета ПИР</vt:lpstr>
      <vt:lpstr>ПД </vt:lpstr>
      <vt:lpstr>Экспертиза ПД и ИЗ</vt:lpstr>
      <vt:lpstr>'Cводная смета ПИР'!Область_печати</vt:lpstr>
      <vt:lpstr>НМЦ!Область_печати</vt:lpstr>
      <vt:lpstr>НМЦК!Область_печати</vt:lpstr>
      <vt:lpstr>'ПД '!Область_печати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2020-11-06T10:56:14Z</dcterms:modified>
</cp:coreProperties>
</file>