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ИРИ\ДРИ\8. Прочее (разное)\4. Конкурсная документация\Конкурсы_2020\30. Променад + СМР (магистр сети)\"/>
    </mc:Choice>
  </mc:AlternateContent>
  <bookViews>
    <workbookView xWindow="0" yWindow="120" windowWidth="20460" windowHeight="7125" activeTab="2"/>
  </bookViews>
  <sheets>
    <sheet name="ГПР" sheetId="11" r:id="rId1"/>
    <sheet name="ПЗ" sheetId="12" r:id="rId2"/>
    <sheet name="НМЦ" sheetId="8" r:id="rId3"/>
    <sheet name="Протокол" sheetId="7" r:id="rId4"/>
    <sheet name="Ведомость объемов работ" sheetId="6" r:id="rId5"/>
    <sheet name="Проект сметы контракта" sheetId="5" r:id="rId6"/>
    <sheet name="Расчет НМЦК" sheetId="4" r:id="rId7"/>
    <sheet name="Затраты Подрядчика по ССР" sheetId="3" r:id="rId8"/>
    <sheet name="Затраты Подрядчика по ССР (2)" sheetId="10" r:id="rId9"/>
    <sheet name="ССР" sheetId="2" r:id="rId10"/>
  </sheets>
  <definedNames>
    <definedName name="_xlnm.Print_Titles" localSheetId="7">'Затраты Подрядчика по ССР'!$28:$28</definedName>
    <definedName name="_xlnm.Print_Titles" localSheetId="8">'Затраты Подрядчика по ССР (2)'!$28:$28</definedName>
    <definedName name="_xlnm.Print_Titles" localSheetId="9">ССР!$28:$28</definedName>
    <definedName name="_xlnm.Print_Area" localSheetId="0">ГПР!$A$1:$E$12</definedName>
    <definedName name="_xlnm.Print_Area" localSheetId="2">НМЦ!$A$1:$E$18</definedName>
    <definedName name="_xlnm.Print_Area" localSheetId="1">ПЗ!$A$1:$C$32</definedName>
  </definedNames>
  <calcPr calcId="162913" fullPrecision="0"/>
</workbook>
</file>

<file path=xl/calcChain.xml><?xml version="1.0" encoding="utf-8"?>
<calcChain xmlns="http://schemas.openxmlformats.org/spreadsheetml/2006/main">
  <c r="D13" i="11" l="1"/>
  <c r="D12" i="11"/>
  <c r="D11" i="11"/>
  <c r="D9" i="11"/>
  <c r="D8" i="11"/>
  <c r="D7" i="11"/>
  <c r="Q122" i="5"/>
  <c r="B19" i="4"/>
  <c r="G182" i="10"/>
  <c r="H32" i="10"/>
  <c r="G32" i="10"/>
  <c r="G36" i="10" s="1"/>
  <c r="G130" i="10" s="1"/>
  <c r="G135" i="10" s="1"/>
  <c r="G154" i="10" s="1"/>
  <c r="E185" i="10"/>
  <c r="D185" i="10"/>
  <c r="H182" i="10"/>
  <c r="G181" i="10"/>
  <c r="H181" i="10" s="1"/>
  <c r="G180" i="10"/>
  <c r="H180" i="10" s="1"/>
  <c r="G179" i="10"/>
  <c r="H179" i="10" s="1"/>
  <c r="G178" i="10"/>
  <c r="H165" i="10"/>
  <c r="G165" i="10"/>
  <c r="H147" i="10"/>
  <c r="H146" i="10"/>
  <c r="H145" i="10"/>
  <c r="H144" i="10"/>
  <c r="H143" i="10"/>
  <c r="H142" i="10"/>
  <c r="H141" i="10"/>
  <c r="H140" i="10"/>
  <c r="H139" i="10"/>
  <c r="G139" i="10"/>
  <c r="G138" i="10"/>
  <c r="G153" i="10" s="1"/>
  <c r="H129" i="10"/>
  <c r="F129" i="10"/>
  <c r="E129" i="10"/>
  <c r="D129" i="10"/>
  <c r="H120" i="10"/>
  <c r="H119" i="10"/>
  <c r="H118" i="10" s="1"/>
  <c r="F118" i="10"/>
  <c r="E118" i="10"/>
  <c r="D118" i="10"/>
  <c r="H117" i="10"/>
  <c r="H116" i="10"/>
  <c r="H115" i="10"/>
  <c r="F115" i="10"/>
  <c r="D115" i="10"/>
  <c r="H112" i="10"/>
  <c r="F112" i="10"/>
  <c r="D112" i="10"/>
  <c r="H111" i="10"/>
  <c r="H110" i="10"/>
  <c r="H109" i="10"/>
  <c r="F109" i="10"/>
  <c r="F124" i="10" s="1"/>
  <c r="E109" i="10"/>
  <c r="D109" i="10"/>
  <c r="H107" i="10"/>
  <c r="H106" i="10"/>
  <c r="H105" i="10"/>
  <c r="F104" i="10"/>
  <c r="E104" i="10"/>
  <c r="D104" i="10"/>
  <c r="H103" i="10"/>
  <c r="H102" i="10"/>
  <c r="H101" i="10"/>
  <c r="E101" i="10"/>
  <c r="E124" i="10" s="1"/>
  <c r="D101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F83" i="10"/>
  <c r="F99" i="10" s="1"/>
  <c r="E83" i="10"/>
  <c r="E99" i="10" s="1"/>
  <c r="D83" i="10"/>
  <c r="D99" i="10" s="1"/>
  <c r="H79" i="10"/>
  <c r="H78" i="10"/>
  <c r="H77" i="10"/>
  <c r="H76" i="10" s="1"/>
  <c r="F76" i="10"/>
  <c r="E76" i="10"/>
  <c r="D76" i="10"/>
  <c r="H75" i="10"/>
  <c r="H74" i="10"/>
  <c r="H73" i="10"/>
  <c r="F72" i="10"/>
  <c r="E72" i="10"/>
  <c r="D72" i="10"/>
  <c r="H71" i="10"/>
  <c r="H70" i="10"/>
  <c r="H69" i="10"/>
  <c r="H68" i="10"/>
  <c r="F68" i="10"/>
  <c r="E68" i="10"/>
  <c r="D68" i="10"/>
  <c r="H67" i="10"/>
  <c r="H66" i="10"/>
  <c r="H65" i="10"/>
  <c r="F64" i="10"/>
  <c r="E64" i="10"/>
  <c r="D64" i="10"/>
  <c r="H58" i="10"/>
  <c r="H57" i="10"/>
  <c r="H56" i="10"/>
  <c r="H55" i="10" s="1"/>
  <c r="F55" i="10"/>
  <c r="E55" i="10"/>
  <c r="D55" i="10"/>
  <c r="H54" i="10"/>
  <c r="H53" i="10"/>
  <c r="H52" i="10"/>
  <c r="H51" i="10"/>
  <c r="F51" i="10"/>
  <c r="E51" i="10"/>
  <c r="D51" i="10"/>
  <c r="H50" i="10"/>
  <c r="H49" i="10"/>
  <c r="H48" i="10"/>
  <c r="F47" i="10"/>
  <c r="E47" i="10"/>
  <c r="D47" i="10"/>
  <c r="D45" i="10"/>
  <c r="H38" i="10"/>
  <c r="H45" i="10" s="1"/>
  <c r="D38" i="10"/>
  <c r="H36" i="10"/>
  <c r="D36" i="10"/>
  <c r="E79" i="4"/>
  <c r="E78" i="4"/>
  <c r="E77" i="4"/>
  <c r="E80" i="4" s="1"/>
  <c r="E62" i="4"/>
  <c r="B67" i="4"/>
  <c r="B71" i="4" s="1"/>
  <c r="B73" i="4" s="1"/>
  <c r="B51" i="4"/>
  <c r="E61" i="4"/>
  <c r="E60" i="4"/>
  <c r="E63" i="4" s="1"/>
  <c r="E64" i="4" s="1"/>
  <c r="E15" i="4" l="1"/>
  <c r="E14" i="4"/>
  <c r="E81" i="4"/>
  <c r="F80" i="10"/>
  <c r="F130" i="10" s="1"/>
  <c r="F135" i="10" s="1"/>
  <c r="F154" i="10" s="1"/>
  <c r="F166" i="10" s="1"/>
  <c r="E82" i="4"/>
  <c r="D124" i="10"/>
  <c r="H138" i="10"/>
  <c r="B72" i="4"/>
  <c r="H47" i="10"/>
  <c r="H80" i="10" s="1"/>
  <c r="E80" i="10"/>
  <c r="E130" i="10" s="1"/>
  <c r="E132" i="10" s="1"/>
  <c r="H72" i="10"/>
  <c r="G183" i="10"/>
  <c r="G166" i="10"/>
  <c r="I166" i="10"/>
  <c r="D80" i="10"/>
  <c r="D130" i="10" s="1"/>
  <c r="H64" i="10"/>
  <c r="H83" i="10"/>
  <c r="H99" i="10" s="1"/>
  <c r="H104" i="10"/>
  <c r="H124" i="10" s="1"/>
  <c r="H185" i="10"/>
  <c r="H178" i="10"/>
  <c r="E45" i="4"/>
  <c r="E44" i="4"/>
  <c r="E46" i="4" s="1"/>
  <c r="B35" i="4"/>
  <c r="E83" i="4" l="1"/>
  <c r="E47" i="4"/>
  <c r="E48" i="4" s="1"/>
  <c r="G184" i="10"/>
  <c r="G186" i="10" s="1"/>
  <c r="G187" i="10" s="1"/>
  <c r="G188" i="10" s="1"/>
  <c r="D132" i="10"/>
  <c r="D134" i="10" s="1"/>
  <c r="D135" i="10"/>
  <c r="H130" i="10"/>
  <c r="G168" i="10"/>
  <c r="G169" i="10" s="1"/>
  <c r="G170" i="10" s="1"/>
  <c r="G172" i="10" s="1"/>
  <c r="F168" i="10"/>
  <c r="F169" i="10" s="1"/>
  <c r="F170" i="10" s="1"/>
  <c r="E134" i="10"/>
  <c r="E135" i="10" s="1"/>
  <c r="H132" i="10"/>
  <c r="H134" i="10" s="1"/>
  <c r="I168" i="10"/>
  <c r="I170" i="10" s="1"/>
  <c r="E13" i="4" l="1"/>
  <c r="E12" i="4"/>
  <c r="H135" i="10"/>
  <c r="E23" i="4"/>
  <c r="E22" i="4"/>
  <c r="E20" i="4"/>
  <c r="E18" i="4"/>
  <c r="E17" i="4"/>
  <c r="E16" i="4"/>
  <c r="E24" i="4"/>
  <c r="E21" i="4"/>
  <c r="F177" i="10"/>
  <c r="F172" i="10"/>
  <c r="E137" i="10"/>
  <c r="D137" i="10"/>
  <c r="D153" i="10" s="1"/>
  <c r="D154" i="10"/>
  <c r="D166" i="10" s="1"/>
  <c r="D168" i="10" l="1"/>
  <c r="D169" i="10" s="1"/>
  <c r="D170" i="10" s="1"/>
  <c r="E153" i="10"/>
  <c r="E154" i="10" s="1"/>
  <c r="E166" i="10" s="1"/>
  <c r="H137" i="10"/>
  <c r="H153" i="10" s="1"/>
  <c r="H154" i="10" s="1"/>
  <c r="H166" i="10" s="1"/>
  <c r="F183" i="10"/>
  <c r="F184" i="10" s="1"/>
  <c r="F186" i="10" s="1"/>
  <c r="H177" i="10"/>
  <c r="F187" i="10" l="1"/>
  <c r="F188" i="10" s="1"/>
  <c r="H168" i="10"/>
  <c r="H169" i="10" s="1"/>
  <c r="H170" i="10" s="1"/>
  <c r="H172" i="10" s="1"/>
  <c r="E168" i="10"/>
  <c r="E169" i="10" s="1"/>
  <c r="E170" i="10" s="1"/>
  <c r="D172" i="10"/>
  <c r="D176" i="10"/>
  <c r="D183" i="10" l="1"/>
  <c r="D184" i="10" s="1"/>
  <c r="D186" i="10" s="1"/>
  <c r="E176" i="10"/>
  <c r="E172" i="10"/>
  <c r="H176" i="10" l="1"/>
  <c r="E183" i="10"/>
  <c r="E184" i="10" s="1"/>
  <c r="E186" i="10" s="1"/>
  <c r="D187" i="10"/>
  <c r="D188" i="10" s="1"/>
  <c r="E187" i="10" l="1"/>
  <c r="E188" i="10" s="1"/>
  <c r="H183" i="10"/>
  <c r="H184" i="10" s="1"/>
  <c r="J183" i="10"/>
  <c r="J184" i="10" s="1"/>
  <c r="J186" i="10" s="1"/>
  <c r="H186" i="10" l="1"/>
  <c r="I184" i="10"/>
  <c r="I186" i="10" s="1"/>
  <c r="H187" i="10" l="1"/>
  <c r="H188" i="10" s="1"/>
  <c r="T35" i="4" l="1"/>
  <c r="U35" i="4"/>
  <c r="P35" i="4"/>
  <c r="Q35" i="4"/>
  <c r="R35" i="4"/>
  <c r="S35" i="4"/>
  <c r="P36" i="5" l="1"/>
  <c r="P106" i="5"/>
  <c r="I120" i="2" l="1"/>
  <c r="Q124" i="5" l="1"/>
  <c r="Q123" i="5"/>
  <c r="Q121" i="5"/>
  <c r="Q120" i="5"/>
  <c r="Q119" i="5"/>
  <c r="Q118" i="5"/>
  <c r="Q117" i="5"/>
  <c r="Q116" i="5"/>
  <c r="Q115" i="5"/>
  <c r="Q114" i="5"/>
  <c r="P110" i="5"/>
  <c r="P109" i="5"/>
  <c r="P108" i="5"/>
  <c r="P105" i="5"/>
  <c r="P102" i="5"/>
  <c r="P99" i="5"/>
  <c r="P9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67" i="5"/>
  <c r="P66" i="5"/>
  <c r="P65" i="5"/>
  <c r="P62" i="5"/>
  <c r="P61" i="5"/>
  <c r="P58" i="5"/>
  <c r="P57" i="5"/>
  <c r="P54" i="5"/>
  <c r="P53" i="5"/>
  <c r="P52" i="5"/>
  <c r="P48" i="5"/>
  <c r="P47" i="5"/>
  <c r="P46" i="5"/>
  <c r="P45" i="5"/>
  <c r="P44" i="5"/>
  <c r="P43" i="5"/>
  <c r="P41" i="5"/>
  <c r="P40" i="5"/>
  <c r="P39" i="5"/>
  <c r="P37" i="5"/>
  <c r="P35" i="5"/>
  <c r="P93" i="5"/>
  <c r="P92" i="5"/>
  <c r="P91" i="5"/>
  <c r="P90" i="5"/>
  <c r="P42" i="5" l="1"/>
  <c r="P38" i="5"/>
  <c r="B23" i="4" l="1"/>
  <c r="B22" i="4"/>
  <c r="B21" i="4"/>
  <c r="B20" i="4"/>
  <c r="L35" i="4" l="1"/>
  <c r="M35" i="4"/>
  <c r="N35" i="4"/>
  <c r="O35" i="4"/>
  <c r="K35" i="4"/>
  <c r="L32" i="4"/>
  <c r="M32" i="4"/>
  <c r="N32" i="4"/>
  <c r="O32" i="4"/>
  <c r="P32" i="4"/>
  <c r="K32" i="4"/>
  <c r="C29" i="4" l="1"/>
  <c r="C12" i="4" s="1"/>
  <c r="J69" i="5"/>
  <c r="M69" i="5" s="1"/>
  <c r="P69" i="5"/>
  <c r="P68" i="5"/>
  <c r="J68" i="5"/>
  <c r="M68" i="5" s="1"/>
  <c r="C15" i="4" l="1"/>
  <c r="C13" i="4"/>
  <c r="C23" i="4"/>
  <c r="C24" i="4"/>
  <c r="C14" i="4"/>
  <c r="C17" i="4"/>
  <c r="C22" i="4"/>
  <c r="C16" i="4"/>
  <c r="C18" i="4"/>
  <c r="C20" i="4"/>
  <c r="C21" i="4"/>
  <c r="K68" i="5"/>
  <c r="L68" i="5" s="1"/>
  <c r="K69" i="5"/>
  <c r="N68" i="5" l="1"/>
  <c r="L69" i="5"/>
  <c r="N69" i="5" s="1"/>
  <c r="F31" i="5"/>
  <c r="F33" i="5"/>
  <c r="F32" i="5"/>
  <c r="P33" i="5"/>
  <c r="J33" i="5"/>
  <c r="P32" i="5"/>
  <c r="P31" i="5"/>
  <c r="F23" i="5"/>
  <c r="J23" i="5" s="1"/>
  <c r="M23" i="5" s="1"/>
  <c r="F29" i="5"/>
  <c r="J29" i="5" s="1"/>
  <c r="M29" i="5" s="1"/>
  <c r="F28" i="5"/>
  <c r="J28" i="5" s="1"/>
  <c r="M28" i="5" s="1"/>
  <c r="F27" i="5"/>
  <c r="J27" i="5" s="1"/>
  <c r="K27" i="5" s="1"/>
  <c r="F26" i="5"/>
  <c r="J26" i="5" s="1"/>
  <c r="M26" i="5" s="1"/>
  <c r="F25" i="5"/>
  <c r="J25" i="5" s="1"/>
  <c r="M25" i="5" s="1"/>
  <c r="F24" i="5"/>
  <c r="P29" i="5"/>
  <c r="P28" i="5"/>
  <c r="P27" i="5"/>
  <c r="P26" i="5"/>
  <c r="P25" i="5"/>
  <c r="P24" i="5"/>
  <c r="P23" i="5"/>
  <c r="J17" i="5"/>
  <c r="M17" i="5" s="1"/>
  <c r="J18" i="5"/>
  <c r="M18" i="5" s="1"/>
  <c r="J16" i="5"/>
  <c r="P18" i="5"/>
  <c r="P17" i="5"/>
  <c r="P16" i="5"/>
  <c r="O69" i="5" l="1"/>
  <c r="O68" i="5"/>
  <c r="M33" i="5"/>
  <c r="K33" i="5"/>
  <c r="J31" i="5"/>
  <c r="M31" i="5" s="1"/>
  <c r="J32" i="5"/>
  <c r="M32" i="5" s="1"/>
  <c r="M27" i="5"/>
  <c r="K26" i="5"/>
  <c r="L26" i="5" s="1"/>
  <c r="J24" i="5"/>
  <c r="M24" i="5" s="1"/>
  <c r="K25" i="5"/>
  <c r="L25" i="5" s="1"/>
  <c r="L27" i="5"/>
  <c r="N27" i="5" s="1"/>
  <c r="K28" i="5"/>
  <c r="K29" i="5"/>
  <c r="K23" i="5"/>
  <c r="K16" i="5"/>
  <c r="L16" i="5" s="1"/>
  <c r="M16" i="5"/>
  <c r="K18" i="5"/>
  <c r="K17" i="5"/>
  <c r="R68" i="5" l="1"/>
  <c r="R69" i="5"/>
  <c r="O27" i="5"/>
  <c r="K32" i="5"/>
  <c r="L32" i="5" s="1"/>
  <c r="N32" i="5" s="1"/>
  <c r="K31" i="5"/>
  <c r="L31" i="5" s="1"/>
  <c r="L33" i="5"/>
  <c r="N33" i="5" s="1"/>
  <c r="N26" i="5"/>
  <c r="K24" i="5"/>
  <c r="N25" i="5"/>
  <c r="L29" i="5"/>
  <c r="N29" i="5" s="1"/>
  <c r="L28" i="5"/>
  <c r="N28" i="5" s="1"/>
  <c r="L23" i="5"/>
  <c r="N23" i="5" s="1"/>
  <c r="N16" i="5"/>
  <c r="O16" i="5" s="1"/>
  <c r="L18" i="5"/>
  <c r="N18" i="5" s="1"/>
  <c r="O18" i="5" s="1"/>
  <c r="L17" i="5"/>
  <c r="N17" i="5" s="1"/>
  <c r="O17" i="5" s="1"/>
  <c r="D23" i="4"/>
  <c r="D22" i="4"/>
  <c r="D21" i="4"/>
  <c r="D20" i="4"/>
  <c r="D19" i="4"/>
  <c r="I126" i="5"/>
  <c r="I125" i="5"/>
  <c r="R124" i="5"/>
  <c r="R123" i="5"/>
  <c r="R122" i="5"/>
  <c r="S122" i="5" s="1"/>
  <c r="R121" i="5"/>
  <c r="R120" i="5"/>
  <c r="R119" i="5"/>
  <c r="R118" i="5"/>
  <c r="R117" i="5"/>
  <c r="R116" i="5"/>
  <c r="R115" i="5"/>
  <c r="R114" i="5"/>
  <c r="I113" i="5"/>
  <c r="P111" i="5"/>
  <c r="J111" i="5"/>
  <c r="K111" i="5" s="1"/>
  <c r="J110" i="5"/>
  <c r="M110" i="5" s="1"/>
  <c r="J109" i="5"/>
  <c r="M109" i="5" s="1"/>
  <c r="J108" i="5"/>
  <c r="M108" i="5" s="1"/>
  <c r="P107" i="5"/>
  <c r="J107" i="5"/>
  <c r="M107" i="5" s="1"/>
  <c r="J106" i="5"/>
  <c r="M106" i="5" s="1"/>
  <c r="J105" i="5"/>
  <c r="M105" i="5" s="1"/>
  <c r="P104" i="5"/>
  <c r="J104" i="5"/>
  <c r="K104" i="5" s="1"/>
  <c r="J102" i="5"/>
  <c r="M102" i="5" s="1"/>
  <c r="P101" i="5"/>
  <c r="P100" i="5" s="1"/>
  <c r="J101" i="5"/>
  <c r="M101" i="5" s="1"/>
  <c r="J99" i="5"/>
  <c r="K99" i="5" s="1"/>
  <c r="P98" i="5"/>
  <c r="P97" i="5" s="1"/>
  <c r="J98" i="5"/>
  <c r="M98" i="5" s="1"/>
  <c r="J96" i="5"/>
  <c r="M96" i="5" s="1"/>
  <c r="P95" i="5"/>
  <c r="J95" i="5"/>
  <c r="M95" i="5" s="1"/>
  <c r="J93" i="5"/>
  <c r="M93" i="5" s="1"/>
  <c r="J92" i="5"/>
  <c r="M92" i="5" s="1"/>
  <c r="J91" i="5"/>
  <c r="M91" i="5" s="1"/>
  <c r="P89" i="5"/>
  <c r="J90" i="5"/>
  <c r="K90" i="5" s="1"/>
  <c r="P88" i="5"/>
  <c r="J88" i="5"/>
  <c r="M88" i="5" s="1"/>
  <c r="P87" i="5"/>
  <c r="J87" i="5"/>
  <c r="M87" i="5" s="1"/>
  <c r="H103" i="5"/>
  <c r="G103" i="5"/>
  <c r="F103" i="5"/>
  <c r="H100" i="5"/>
  <c r="F100" i="5"/>
  <c r="H97" i="5"/>
  <c r="F97" i="5"/>
  <c r="H94" i="5"/>
  <c r="G94" i="5"/>
  <c r="F94" i="5"/>
  <c r="H89" i="5"/>
  <c r="G89" i="5"/>
  <c r="F89" i="5"/>
  <c r="G86" i="5"/>
  <c r="F86" i="5"/>
  <c r="J85" i="5"/>
  <c r="M85" i="5" s="1"/>
  <c r="J84" i="5"/>
  <c r="M84" i="5" s="1"/>
  <c r="J83" i="5"/>
  <c r="M83" i="5" s="1"/>
  <c r="J82" i="5"/>
  <c r="M82" i="5" s="1"/>
  <c r="J81" i="5"/>
  <c r="M81" i="5" s="1"/>
  <c r="J80" i="5"/>
  <c r="M80" i="5" s="1"/>
  <c r="J79" i="5"/>
  <c r="M79" i="5" s="1"/>
  <c r="J78" i="5"/>
  <c r="M78" i="5" s="1"/>
  <c r="J77" i="5"/>
  <c r="M77" i="5" s="1"/>
  <c r="J76" i="5"/>
  <c r="M76" i="5" s="1"/>
  <c r="J75" i="5"/>
  <c r="K75" i="5" s="1"/>
  <c r="J74" i="5"/>
  <c r="K74" i="5" s="1"/>
  <c r="J73" i="5"/>
  <c r="M73" i="5" s="1"/>
  <c r="J72" i="5"/>
  <c r="M72" i="5" s="1"/>
  <c r="J71" i="5"/>
  <c r="M71" i="5" s="1"/>
  <c r="J67" i="5"/>
  <c r="M67" i="5" s="1"/>
  <c r="H70" i="5"/>
  <c r="G70" i="5"/>
  <c r="F70" i="5"/>
  <c r="J66" i="5"/>
  <c r="M66" i="5" s="1"/>
  <c r="J65" i="5"/>
  <c r="M65" i="5" s="1"/>
  <c r="P64" i="5"/>
  <c r="J64" i="5"/>
  <c r="K64" i="5" s="1"/>
  <c r="J62" i="5"/>
  <c r="M62" i="5" s="1"/>
  <c r="J61" i="5"/>
  <c r="K61" i="5" s="1"/>
  <c r="P60" i="5"/>
  <c r="J60" i="5"/>
  <c r="M60" i="5" s="1"/>
  <c r="J58" i="5"/>
  <c r="M58" i="5" s="1"/>
  <c r="J57" i="5"/>
  <c r="M57" i="5" s="1"/>
  <c r="P56" i="5"/>
  <c r="J56" i="5"/>
  <c r="M56" i="5" s="1"/>
  <c r="J54" i="5"/>
  <c r="M54" i="5" s="1"/>
  <c r="J53" i="5"/>
  <c r="M53" i="5" s="1"/>
  <c r="J52" i="5"/>
  <c r="M52" i="5" s="1"/>
  <c r="P50" i="5"/>
  <c r="J50" i="5"/>
  <c r="M50" i="5" s="1"/>
  <c r="P49" i="5"/>
  <c r="J49" i="5"/>
  <c r="M49" i="5" s="1"/>
  <c r="J48" i="5"/>
  <c r="M48" i="5" s="1"/>
  <c r="J47" i="5"/>
  <c r="M47" i="5" s="1"/>
  <c r="J46" i="5"/>
  <c r="M46" i="5" s="1"/>
  <c r="J45" i="5"/>
  <c r="M45" i="5" s="1"/>
  <c r="J44" i="5"/>
  <c r="K44" i="5" s="1"/>
  <c r="J43" i="5"/>
  <c r="M43" i="5" s="1"/>
  <c r="J39" i="5"/>
  <c r="M39" i="5" s="1"/>
  <c r="J41" i="5"/>
  <c r="M41" i="5" s="1"/>
  <c r="J40" i="5"/>
  <c r="M40" i="5" s="1"/>
  <c r="J37" i="5"/>
  <c r="M37" i="5" s="1"/>
  <c r="J36" i="5"/>
  <c r="M36" i="5" s="1"/>
  <c r="J35" i="5"/>
  <c r="K35" i="5" s="1"/>
  <c r="P30" i="5"/>
  <c r="J30" i="5"/>
  <c r="K30" i="5" s="1"/>
  <c r="P22" i="5"/>
  <c r="J22" i="5"/>
  <c r="M22" i="5" s="1"/>
  <c r="P21" i="5"/>
  <c r="J21" i="5"/>
  <c r="M21" i="5" s="1"/>
  <c r="P20" i="5"/>
  <c r="J20" i="5"/>
  <c r="M20" i="5" s="1"/>
  <c r="P19" i="5"/>
  <c r="J19" i="5"/>
  <c r="M19" i="5" s="1"/>
  <c r="P15" i="5"/>
  <c r="J15" i="5"/>
  <c r="P13" i="5"/>
  <c r="H63" i="5"/>
  <c r="G63" i="5"/>
  <c r="F63" i="5"/>
  <c r="H59" i="5"/>
  <c r="G59" i="5"/>
  <c r="F59" i="5"/>
  <c r="H55" i="5"/>
  <c r="G55" i="5"/>
  <c r="F55" i="5"/>
  <c r="H51" i="5"/>
  <c r="G51" i="5"/>
  <c r="F51" i="5"/>
  <c r="H42" i="5"/>
  <c r="G42" i="5"/>
  <c r="F42" i="5"/>
  <c r="H38" i="5"/>
  <c r="G38" i="5"/>
  <c r="F38" i="5"/>
  <c r="H34" i="5"/>
  <c r="G34" i="5"/>
  <c r="F34" i="5"/>
  <c r="S123" i="5" l="1"/>
  <c r="T123" i="5" s="1"/>
  <c r="S124" i="5"/>
  <c r="U124" i="5" s="1"/>
  <c r="I112" i="5"/>
  <c r="Q113" i="5"/>
  <c r="T124" i="5"/>
  <c r="T122" i="5"/>
  <c r="U122" i="5"/>
  <c r="R27" i="5"/>
  <c r="Q126" i="5"/>
  <c r="R126" i="5" s="1"/>
  <c r="S126" i="5" s="1"/>
  <c r="Q125" i="5"/>
  <c r="R125" i="5" s="1"/>
  <c r="G128" i="5"/>
  <c r="M15" i="5"/>
  <c r="J14" i="5"/>
  <c r="H128" i="5"/>
  <c r="O23" i="5"/>
  <c r="O28" i="5"/>
  <c r="O26" i="5"/>
  <c r="O29" i="5"/>
  <c r="O32" i="5"/>
  <c r="O25" i="5"/>
  <c r="O33" i="5"/>
  <c r="F23" i="4"/>
  <c r="G23" i="4" s="1"/>
  <c r="I23" i="4" s="1"/>
  <c r="F22" i="4"/>
  <c r="G22" i="4" s="1"/>
  <c r="I22" i="4" s="1"/>
  <c r="F20" i="4"/>
  <c r="G20" i="4" s="1"/>
  <c r="I20" i="4" s="1"/>
  <c r="F21" i="4"/>
  <c r="G21" i="4" s="1"/>
  <c r="I21" i="4" s="1"/>
  <c r="F19" i="4"/>
  <c r="G19" i="4" s="1"/>
  <c r="I19" i="4" s="1"/>
  <c r="N31" i="5"/>
  <c r="O31" i="5" s="1"/>
  <c r="P14" i="5"/>
  <c r="R16" i="5"/>
  <c r="P51" i="5"/>
  <c r="P59" i="5"/>
  <c r="M111" i="5"/>
  <c r="R18" i="5"/>
  <c r="M38" i="5"/>
  <c r="M55" i="5"/>
  <c r="M100" i="5"/>
  <c r="R17" i="5"/>
  <c r="L24" i="5"/>
  <c r="N24" i="5" s="1"/>
  <c r="J100" i="5"/>
  <c r="J86" i="5"/>
  <c r="P55" i="5"/>
  <c r="P70" i="5"/>
  <c r="M86" i="5"/>
  <c r="J89" i="5"/>
  <c r="M94" i="5"/>
  <c r="J94" i="5"/>
  <c r="P103" i="5"/>
  <c r="P34" i="5"/>
  <c r="J34" i="5"/>
  <c r="M51" i="5"/>
  <c r="P63" i="5"/>
  <c r="P86" i="5"/>
  <c r="M90" i="5"/>
  <c r="M89" i="5" s="1"/>
  <c r="P94" i="5"/>
  <c r="J42" i="5"/>
  <c r="J51" i="5"/>
  <c r="J97" i="5"/>
  <c r="J38" i="5"/>
  <c r="J63" i="5"/>
  <c r="J103" i="5"/>
  <c r="J59" i="5"/>
  <c r="J70" i="5"/>
  <c r="J55" i="5"/>
  <c r="M104" i="5"/>
  <c r="M103" i="5" s="1"/>
  <c r="L111" i="5"/>
  <c r="K110" i="5"/>
  <c r="K109" i="5"/>
  <c r="K108" i="5"/>
  <c r="K107" i="5"/>
  <c r="K106" i="5"/>
  <c r="K105" i="5"/>
  <c r="K103" i="5" s="1"/>
  <c r="L104" i="5"/>
  <c r="K102" i="5"/>
  <c r="K101" i="5"/>
  <c r="L99" i="5"/>
  <c r="M99" i="5"/>
  <c r="M97" i="5" s="1"/>
  <c r="K98" i="5"/>
  <c r="K97" i="5" s="1"/>
  <c r="K96" i="5"/>
  <c r="K95" i="5"/>
  <c r="K93" i="5"/>
  <c r="K92" i="5"/>
  <c r="K91" i="5"/>
  <c r="L90" i="5"/>
  <c r="K88" i="5"/>
  <c r="K87" i="5"/>
  <c r="K85" i="5"/>
  <c r="K84" i="5"/>
  <c r="K83" i="5"/>
  <c r="K82" i="5"/>
  <c r="K81" i="5"/>
  <c r="K80" i="5"/>
  <c r="K79" i="5"/>
  <c r="K78" i="5"/>
  <c r="K77" i="5"/>
  <c r="K76" i="5"/>
  <c r="L75" i="5"/>
  <c r="M75" i="5"/>
  <c r="L74" i="5"/>
  <c r="M74" i="5"/>
  <c r="K73" i="5"/>
  <c r="K72" i="5"/>
  <c r="K71" i="5"/>
  <c r="K67" i="5"/>
  <c r="K66" i="5"/>
  <c r="K65" i="5"/>
  <c r="L64" i="5"/>
  <c r="M64" i="5"/>
  <c r="M63" i="5" s="1"/>
  <c r="K62" i="5"/>
  <c r="L61" i="5"/>
  <c r="M61" i="5"/>
  <c r="M59" i="5" s="1"/>
  <c r="K60" i="5"/>
  <c r="K58" i="5"/>
  <c r="K57" i="5"/>
  <c r="K56" i="5"/>
  <c r="K54" i="5"/>
  <c r="K53" i="5"/>
  <c r="K52" i="5"/>
  <c r="K50" i="5"/>
  <c r="K49" i="5"/>
  <c r="K48" i="5"/>
  <c r="K47" i="5"/>
  <c r="K46" i="5"/>
  <c r="K45" i="5"/>
  <c r="L44" i="5"/>
  <c r="M44" i="5"/>
  <c r="M42" i="5" s="1"/>
  <c r="K43" i="5"/>
  <c r="K39" i="5"/>
  <c r="K41" i="5"/>
  <c r="K40" i="5"/>
  <c r="K37" i="5"/>
  <c r="K36" i="5"/>
  <c r="L35" i="5"/>
  <c r="M35" i="5"/>
  <c r="M34" i="5" s="1"/>
  <c r="L30" i="5"/>
  <c r="K19" i="5"/>
  <c r="K21" i="5"/>
  <c r="K22" i="5"/>
  <c r="M30" i="5"/>
  <c r="K20" i="5"/>
  <c r="K15" i="5"/>
  <c r="F14" i="5"/>
  <c r="F13" i="5"/>
  <c r="J13" i="5" s="1"/>
  <c r="K13" i="5" s="1"/>
  <c r="L13" i="5" s="1"/>
  <c r="I11" i="5"/>
  <c r="P10" i="5"/>
  <c r="I8" i="5"/>
  <c r="I9" i="5" s="1"/>
  <c r="F10" i="5"/>
  <c r="U123" i="5" l="1"/>
  <c r="S125" i="5"/>
  <c r="U125" i="5" s="1"/>
  <c r="T125" i="5"/>
  <c r="K63" i="5"/>
  <c r="N111" i="5"/>
  <c r="U126" i="5"/>
  <c r="T126" i="5"/>
  <c r="R33" i="5"/>
  <c r="R26" i="5"/>
  <c r="R25" i="5"/>
  <c r="R28" i="5"/>
  <c r="R32" i="5"/>
  <c r="R23" i="5"/>
  <c r="R29" i="5"/>
  <c r="F128" i="5"/>
  <c r="I128" i="5"/>
  <c r="K86" i="5"/>
  <c r="M14" i="5"/>
  <c r="K14" i="5"/>
  <c r="L15" i="5"/>
  <c r="O24" i="5"/>
  <c r="O111" i="5"/>
  <c r="P128" i="5"/>
  <c r="R31" i="5"/>
  <c r="K51" i="5"/>
  <c r="N61" i="5"/>
  <c r="M70" i="5"/>
  <c r="N90" i="5"/>
  <c r="O90" i="5" s="1"/>
  <c r="K89" i="5"/>
  <c r="K100" i="5"/>
  <c r="K59" i="5"/>
  <c r="N74" i="5"/>
  <c r="N99" i="5"/>
  <c r="N35" i="5"/>
  <c r="O35" i="5" s="1"/>
  <c r="N44" i="5"/>
  <c r="K38" i="5"/>
  <c r="K34" i="5"/>
  <c r="N30" i="5"/>
  <c r="K55" i="5"/>
  <c r="N64" i="5"/>
  <c r="O64" i="5" s="1"/>
  <c r="J10" i="5"/>
  <c r="N75" i="5"/>
  <c r="N104" i="5"/>
  <c r="O104" i="5" s="1"/>
  <c r="M13" i="5"/>
  <c r="N13" i="5" s="1"/>
  <c r="K42" i="5"/>
  <c r="K70" i="5"/>
  <c r="K94" i="5"/>
  <c r="Q112" i="5"/>
  <c r="R113" i="5"/>
  <c r="L110" i="5"/>
  <c r="N110" i="5" s="1"/>
  <c r="L109" i="5"/>
  <c r="N109" i="5" s="1"/>
  <c r="L108" i="5"/>
  <c r="N108" i="5" s="1"/>
  <c r="L107" i="5"/>
  <c r="N107" i="5" s="1"/>
  <c r="L106" i="5"/>
  <c r="N106" i="5" s="1"/>
  <c r="L105" i="5"/>
  <c r="L103" i="5" s="1"/>
  <c r="L102" i="5"/>
  <c r="N102" i="5" s="1"/>
  <c r="L101" i="5"/>
  <c r="L98" i="5"/>
  <c r="L96" i="5"/>
  <c r="N96" i="5" s="1"/>
  <c r="L95" i="5"/>
  <c r="L93" i="5"/>
  <c r="N93" i="5" s="1"/>
  <c r="L92" i="5"/>
  <c r="N92" i="5" s="1"/>
  <c r="L91" i="5"/>
  <c r="N91" i="5" s="1"/>
  <c r="O91" i="5" s="1"/>
  <c r="L88" i="5"/>
  <c r="N88" i="5" s="1"/>
  <c r="L87" i="5"/>
  <c r="N87" i="5" s="1"/>
  <c r="O87" i="5" s="1"/>
  <c r="L85" i="5"/>
  <c r="N85" i="5" s="1"/>
  <c r="L84" i="5"/>
  <c r="N84" i="5" s="1"/>
  <c r="L83" i="5"/>
  <c r="N83" i="5" s="1"/>
  <c r="L82" i="5"/>
  <c r="N82" i="5" s="1"/>
  <c r="L81" i="5"/>
  <c r="N81" i="5" s="1"/>
  <c r="L80" i="5"/>
  <c r="N80" i="5" s="1"/>
  <c r="L79" i="5"/>
  <c r="N79" i="5" s="1"/>
  <c r="L78" i="5"/>
  <c r="N78" i="5" s="1"/>
  <c r="L77" i="5"/>
  <c r="N77" i="5" s="1"/>
  <c r="L76" i="5"/>
  <c r="N76" i="5" s="1"/>
  <c r="L73" i="5"/>
  <c r="N73" i="5" s="1"/>
  <c r="L72" i="5"/>
  <c r="N72" i="5" s="1"/>
  <c r="L71" i="5"/>
  <c r="L67" i="5"/>
  <c r="N67" i="5" s="1"/>
  <c r="L66" i="5"/>
  <c r="N66" i="5" s="1"/>
  <c r="L65" i="5"/>
  <c r="N65" i="5" s="1"/>
  <c r="L62" i="5"/>
  <c r="N62" i="5" s="1"/>
  <c r="L60" i="5"/>
  <c r="L58" i="5"/>
  <c r="N58" i="5" s="1"/>
  <c r="L57" i="5"/>
  <c r="N57" i="5" s="1"/>
  <c r="L56" i="5"/>
  <c r="L54" i="5"/>
  <c r="N54" i="5" s="1"/>
  <c r="L53" i="5"/>
  <c r="N53" i="5" s="1"/>
  <c r="L52" i="5"/>
  <c r="L50" i="5"/>
  <c r="N50" i="5" s="1"/>
  <c r="L49" i="5"/>
  <c r="N49" i="5" s="1"/>
  <c r="L48" i="5"/>
  <c r="N48" i="5" s="1"/>
  <c r="L47" i="5"/>
  <c r="N47" i="5" s="1"/>
  <c r="L46" i="5"/>
  <c r="N46" i="5" s="1"/>
  <c r="L45" i="5"/>
  <c r="N45" i="5" s="1"/>
  <c r="L43" i="5"/>
  <c r="L39" i="5"/>
  <c r="L41" i="5"/>
  <c r="N41" i="5" s="1"/>
  <c r="L40" i="5"/>
  <c r="N40" i="5" s="1"/>
  <c r="L37" i="5"/>
  <c r="N37" i="5" s="1"/>
  <c r="L36" i="5"/>
  <c r="N36" i="5" s="1"/>
  <c r="L20" i="5"/>
  <c r="N20" i="5" s="1"/>
  <c r="L22" i="5"/>
  <c r="N22" i="5" s="1"/>
  <c r="L19" i="5"/>
  <c r="N19" i="5" s="1"/>
  <c r="L21" i="5"/>
  <c r="N21" i="5" s="1"/>
  <c r="R111" i="5" l="1"/>
  <c r="R24" i="5"/>
  <c r="R112" i="5"/>
  <c r="M10" i="5"/>
  <c r="M128" i="5" s="1"/>
  <c r="J128" i="5"/>
  <c r="L14" i="5"/>
  <c r="O21" i="5"/>
  <c r="O36" i="5"/>
  <c r="O47" i="5"/>
  <c r="O65" i="5"/>
  <c r="O72" i="5"/>
  <c r="O82" i="5"/>
  <c r="O107" i="5"/>
  <c r="O44" i="5"/>
  <c r="O19" i="5"/>
  <c r="O48" i="5"/>
  <c r="O58" i="5"/>
  <c r="O73" i="5"/>
  <c r="O88" i="5"/>
  <c r="O108" i="5"/>
  <c r="O13" i="5"/>
  <c r="O40" i="5"/>
  <c r="O49" i="5"/>
  <c r="O67" i="5"/>
  <c r="O84" i="5"/>
  <c r="O57" i="5"/>
  <c r="O78" i="5"/>
  <c r="O93" i="5"/>
  <c r="O30" i="5"/>
  <c r="O61" i="5"/>
  <c r="O37" i="5"/>
  <c r="O53" i="5"/>
  <c r="O66" i="5"/>
  <c r="O79" i="5"/>
  <c r="O83" i="5"/>
  <c r="O102" i="5"/>
  <c r="O22" i="5"/>
  <c r="O45" i="5"/>
  <c r="O54" i="5"/>
  <c r="O76" i="5"/>
  <c r="O80" i="5"/>
  <c r="O96" i="5"/>
  <c r="O109" i="5"/>
  <c r="O99" i="5"/>
  <c r="O74" i="5"/>
  <c r="O20" i="5"/>
  <c r="O41" i="5"/>
  <c r="O46" i="5"/>
  <c r="O50" i="5"/>
  <c r="O62" i="5"/>
  <c r="O77" i="5"/>
  <c r="O81" i="5"/>
  <c r="O85" i="5"/>
  <c r="O92" i="5"/>
  <c r="O106" i="5"/>
  <c r="O110" i="5"/>
  <c r="O75" i="5"/>
  <c r="L42" i="5"/>
  <c r="K10" i="5"/>
  <c r="L86" i="5"/>
  <c r="N105" i="5"/>
  <c r="L34" i="5"/>
  <c r="R91" i="5"/>
  <c r="N89" i="5"/>
  <c r="N71" i="5"/>
  <c r="O71" i="5" s="1"/>
  <c r="L70" i="5"/>
  <c r="L89" i="5"/>
  <c r="N43" i="5"/>
  <c r="O43" i="5" s="1"/>
  <c r="N98" i="5"/>
  <c r="O98" i="5" s="1"/>
  <c r="L97" i="5"/>
  <c r="N39" i="5"/>
  <c r="O39" i="5" s="1"/>
  <c r="L38" i="5"/>
  <c r="N101" i="5"/>
  <c r="O101" i="5" s="1"/>
  <c r="L100" i="5"/>
  <c r="R90" i="5"/>
  <c r="N52" i="5"/>
  <c r="O52" i="5" s="1"/>
  <c r="L51" i="5"/>
  <c r="N60" i="5"/>
  <c r="O60" i="5" s="1"/>
  <c r="L59" i="5"/>
  <c r="L63" i="5"/>
  <c r="N86" i="5"/>
  <c r="N63" i="5"/>
  <c r="N56" i="5"/>
  <c r="O56" i="5" s="1"/>
  <c r="L55" i="5"/>
  <c r="N15" i="5"/>
  <c r="O15" i="5" s="1"/>
  <c r="N95" i="5"/>
  <c r="O95" i="5" s="1"/>
  <c r="L94" i="5"/>
  <c r="N34" i="5"/>
  <c r="R75" i="5" l="1"/>
  <c r="R85" i="5"/>
  <c r="R50" i="5"/>
  <c r="R74" i="5"/>
  <c r="R80" i="5"/>
  <c r="R22" i="5"/>
  <c r="R66" i="5"/>
  <c r="R30" i="5"/>
  <c r="R84" i="5"/>
  <c r="R13" i="5"/>
  <c r="R58" i="5"/>
  <c r="R107" i="5"/>
  <c r="R47" i="5"/>
  <c r="R110" i="5"/>
  <c r="R81" i="5"/>
  <c r="R46" i="5"/>
  <c r="R99" i="5"/>
  <c r="R76" i="5"/>
  <c r="R102" i="5"/>
  <c r="R53" i="5"/>
  <c r="R93" i="5"/>
  <c r="R67" i="5"/>
  <c r="R108" i="5"/>
  <c r="R48" i="5"/>
  <c r="R82" i="5"/>
  <c r="R36" i="5"/>
  <c r="R106" i="5"/>
  <c r="R77" i="5"/>
  <c r="R41" i="5"/>
  <c r="R109" i="5"/>
  <c r="R54" i="5"/>
  <c r="R83" i="5"/>
  <c r="R37" i="5"/>
  <c r="R78" i="5"/>
  <c r="R49" i="5"/>
  <c r="R88" i="5"/>
  <c r="R19" i="5"/>
  <c r="R72" i="5"/>
  <c r="R21" i="5"/>
  <c r="O89" i="5"/>
  <c r="R62" i="5"/>
  <c r="R20" i="5"/>
  <c r="R96" i="5"/>
  <c r="R45" i="5"/>
  <c r="R79" i="5"/>
  <c r="R61" i="5"/>
  <c r="R57" i="5"/>
  <c r="R40" i="5"/>
  <c r="R73" i="5"/>
  <c r="R44" i="5"/>
  <c r="R65" i="5"/>
  <c r="O94" i="5"/>
  <c r="L10" i="5"/>
  <c r="K128" i="5"/>
  <c r="O59" i="5"/>
  <c r="O97" i="5"/>
  <c r="R92" i="5"/>
  <c r="R89" i="5" s="1"/>
  <c r="O38" i="5"/>
  <c r="O14" i="5"/>
  <c r="N14" i="5"/>
  <c r="O105" i="5"/>
  <c r="N103" i="5"/>
  <c r="N97" i="5"/>
  <c r="R35" i="5"/>
  <c r="O34" i="5"/>
  <c r="R64" i="5"/>
  <c r="O63" i="5"/>
  <c r="N55" i="5"/>
  <c r="N100" i="5"/>
  <c r="N70" i="5"/>
  <c r="N51" i="5"/>
  <c r="N42" i="5"/>
  <c r="R104" i="5"/>
  <c r="N94" i="5"/>
  <c r="R87" i="5"/>
  <c r="O86" i="5"/>
  <c r="N59" i="5"/>
  <c r="N38" i="5"/>
  <c r="E185" i="3"/>
  <c r="D185" i="3"/>
  <c r="G182" i="3"/>
  <c r="H182" i="3" s="1"/>
  <c r="G181" i="3"/>
  <c r="H181" i="3" s="1"/>
  <c r="B12" i="4" s="1"/>
  <c r="G180" i="3"/>
  <c r="H180" i="3" s="1"/>
  <c r="B14" i="4" s="1"/>
  <c r="B15" i="4" s="1"/>
  <c r="G179" i="3"/>
  <c r="H179" i="3" s="1"/>
  <c r="G178" i="3"/>
  <c r="H178" i="3" s="1"/>
  <c r="B18" i="4" s="1"/>
  <c r="D18" i="4" s="1"/>
  <c r="H165" i="3"/>
  <c r="G165" i="3"/>
  <c r="H185" i="3" l="1"/>
  <c r="F18" i="4"/>
  <c r="G18" i="4" s="1"/>
  <c r="I18" i="4" s="1"/>
  <c r="R34" i="5"/>
  <c r="R63" i="5"/>
  <c r="O103" i="5"/>
  <c r="R86" i="5"/>
  <c r="N10" i="5"/>
  <c r="L128" i="5"/>
  <c r="R105" i="5"/>
  <c r="R103" i="5" s="1"/>
  <c r="Q8" i="5"/>
  <c r="Q9" i="5" s="1"/>
  <c r="D12" i="4"/>
  <c r="Q11" i="5"/>
  <c r="R43" i="5"/>
  <c r="R42" i="5" s="1"/>
  <c r="O42" i="5"/>
  <c r="R56" i="5"/>
  <c r="R55" i="5" s="1"/>
  <c r="O55" i="5"/>
  <c r="R52" i="5"/>
  <c r="R51" i="5" s="1"/>
  <c r="O51" i="5"/>
  <c r="R39" i="5"/>
  <c r="R38" i="5" s="1"/>
  <c r="R95" i="5"/>
  <c r="R94" i="5" s="1"/>
  <c r="R71" i="5"/>
  <c r="R70" i="5" s="1"/>
  <c r="O70" i="5"/>
  <c r="R60" i="5"/>
  <c r="R59" i="5" s="1"/>
  <c r="R15" i="5"/>
  <c r="R14" i="5" s="1"/>
  <c r="R101" i="5"/>
  <c r="R100" i="5" s="1"/>
  <c r="O100" i="5"/>
  <c r="R98" i="5"/>
  <c r="R97" i="5" s="1"/>
  <c r="G183" i="3"/>
  <c r="G184" i="3" s="1"/>
  <c r="G186" i="3" s="1"/>
  <c r="G187" i="3" s="1"/>
  <c r="G188" i="3" s="1"/>
  <c r="G139" i="3"/>
  <c r="H139" i="3" s="1"/>
  <c r="H147" i="3"/>
  <c r="H146" i="3"/>
  <c r="H145" i="3"/>
  <c r="H144" i="3"/>
  <c r="H143" i="3"/>
  <c r="H142" i="3"/>
  <c r="H141" i="3"/>
  <c r="H140" i="3"/>
  <c r="H129" i="3"/>
  <c r="F129" i="3"/>
  <c r="E129" i="3"/>
  <c r="D129" i="3"/>
  <c r="H120" i="3"/>
  <c r="H119" i="3"/>
  <c r="F118" i="3"/>
  <c r="E118" i="3"/>
  <c r="D118" i="3"/>
  <c r="H116" i="3"/>
  <c r="H117" i="3"/>
  <c r="F115" i="3"/>
  <c r="D115" i="3"/>
  <c r="H112" i="3"/>
  <c r="F112" i="3"/>
  <c r="D112" i="3"/>
  <c r="F109" i="3"/>
  <c r="E109" i="3"/>
  <c r="D109" i="3"/>
  <c r="H111" i="3"/>
  <c r="H110" i="3"/>
  <c r="H107" i="3"/>
  <c r="H106" i="3"/>
  <c r="H105" i="3"/>
  <c r="F104" i="3"/>
  <c r="E104" i="3"/>
  <c r="D104" i="3"/>
  <c r="H103" i="3"/>
  <c r="H102" i="3"/>
  <c r="E101" i="3"/>
  <c r="D101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F83" i="3"/>
  <c r="F99" i="3" s="1"/>
  <c r="E83" i="3"/>
  <c r="E99" i="3" s="1"/>
  <c r="D83" i="3"/>
  <c r="D99" i="3" s="1"/>
  <c r="H79" i="3"/>
  <c r="H78" i="3"/>
  <c r="H77" i="3"/>
  <c r="F76" i="3"/>
  <c r="E76" i="3"/>
  <c r="D76" i="3"/>
  <c r="H75" i="3"/>
  <c r="H74" i="3"/>
  <c r="H73" i="3"/>
  <c r="F72" i="3"/>
  <c r="E72" i="3"/>
  <c r="D72" i="3"/>
  <c r="H71" i="3"/>
  <c r="H70" i="3"/>
  <c r="H69" i="3"/>
  <c r="F68" i="3"/>
  <c r="E68" i="3"/>
  <c r="D68" i="3"/>
  <c r="H67" i="3"/>
  <c r="H66" i="3"/>
  <c r="H65" i="3"/>
  <c r="F64" i="3"/>
  <c r="E64" i="3"/>
  <c r="D64" i="3"/>
  <c r="H58" i="3"/>
  <c r="H57" i="3"/>
  <c r="H56" i="3"/>
  <c r="F55" i="3"/>
  <c r="S115" i="5" l="1"/>
  <c r="S116" i="5"/>
  <c r="S117" i="5"/>
  <c r="S114" i="5"/>
  <c r="S118" i="5"/>
  <c r="S120" i="5"/>
  <c r="S121" i="5"/>
  <c r="S119" i="5"/>
  <c r="S113" i="5"/>
  <c r="S112" i="5"/>
  <c r="U112" i="5" s="1"/>
  <c r="R11" i="5"/>
  <c r="Q12" i="5"/>
  <c r="R12" i="5" s="1"/>
  <c r="F124" i="3"/>
  <c r="D14" i="4"/>
  <c r="F14" i="4" s="1"/>
  <c r="G14" i="4" s="1"/>
  <c r="D15" i="4"/>
  <c r="R8" i="5"/>
  <c r="N128" i="5"/>
  <c r="O10" i="5"/>
  <c r="B13" i="4"/>
  <c r="D13" i="4"/>
  <c r="F12" i="4"/>
  <c r="F13" i="4" s="1"/>
  <c r="R9" i="5"/>
  <c r="E124" i="3"/>
  <c r="H109" i="3"/>
  <c r="D124" i="3"/>
  <c r="H115" i="3"/>
  <c r="H138" i="3"/>
  <c r="G138" i="3"/>
  <c r="G153" i="3" s="1"/>
  <c r="H118" i="3"/>
  <c r="H55" i="3"/>
  <c r="H104" i="3"/>
  <c r="H64" i="3"/>
  <c r="H101" i="3"/>
  <c r="H83" i="3"/>
  <c r="H99" i="3" s="1"/>
  <c r="H76" i="3"/>
  <c r="H72" i="3"/>
  <c r="H68" i="3"/>
  <c r="E55" i="3"/>
  <c r="D55" i="3"/>
  <c r="H54" i="3"/>
  <c r="H53" i="3"/>
  <c r="H52" i="3"/>
  <c r="F51" i="3"/>
  <c r="E51" i="3"/>
  <c r="D51" i="3"/>
  <c r="I14" i="4" l="1"/>
  <c r="T121" i="5"/>
  <c r="U121" i="5"/>
  <c r="U120" i="5"/>
  <c r="T120" i="5"/>
  <c r="T118" i="5"/>
  <c r="U118" i="5"/>
  <c r="T113" i="5"/>
  <c r="U113" i="5"/>
  <c r="T114" i="5"/>
  <c r="U114" i="5"/>
  <c r="U117" i="5"/>
  <c r="T117" i="5"/>
  <c r="U119" i="5"/>
  <c r="T119" i="5"/>
  <c r="T116" i="5"/>
  <c r="U116" i="5"/>
  <c r="S11" i="5"/>
  <c r="U115" i="5"/>
  <c r="T115" i="5"/>
  <c r="R10" i="5"/>
  <c r="O128" i="5"/>
  <c r="F15" i="4"/>
  <c r="G15" i="4" s="1"/>
  <c r="I15" i="4" s="1"/>
  <c r="S12" i="5" s="1"/>
  <c r="G13" i="4"/>
  <c r="G12" i="4"/>
  <c r="H124" i="3"/>
  <c r="H51" i="3"/>
  <c r="H50" i="3"/>
  <c r="H49" i="3"/>
  <c r="H48" i="3"/>
  <c r="F47" i="3"/>
  <c r="F80" i="3" s="1"/>
  <c r="F130" i="3" s="1"/>
  <c r="F135" i="3" s="1"/>
  <c r="F154" i="3" s="1"/>
  <c r="F166" i="3" s="1"/>
  <c r="E47" i="3"/>
  <c r="E80" i="3" s="1"/>
  <c r="E130" i="3" s="1"/>
  <c r="D47" i="3"/>
  <c r="D80" i="3" s="1"/>
  <c r="H38" i="3"/>
  <c r="H45" i="3" s="1"/>
  <c r="D38" i="3"/>
  <c r="D45" i="3" s="1"/>
  <c r="H36" i="3"/>
  <c r="G36" i="3"/>
  <c r="G130" i="3" s="1"/>
  <c r="G135" i="3" s="1"/>
  <c r="G154" i="3" s="1"/>
  <c r="D36" i="3"/>
  <c r="U12" i="5" l="1"/>
  <c r="T12" i="5"/>
  <c r="C12" i="8"/>
  <c r="I12" i="4"/>
  <c r="S8" i="5" s="1"/>
  <c r="I13" i="4"/>
  <c r="S9" i="5" s="1"/>
  <c r="U11" i="5"/>
  <c r="T11" i="5"/>
  <c r="C13" i="8"/>
  <c r="D13" i="8" s="1"/>
  <c r="E13" i="8" s="1"/>
  <c r="G166" i="3"/>
  <c r="G168" i="3" s="1"/>
  <c r="G169" i="3" s="1"/>
  <c r="G170" i="3" s="1"/>
  <c r="G172" i="3" s="1"/>
  <c r="I166" i="3"/>
  <c r="E132" i="3"/>
  <c r="F168" i="3"/>
  <c r="F169" i="3" s="1"/>
  <c r="F170" i="3" s="1"/>
  <c r="F177" i="3" s="1"/>
  <c r="D130" i="3"/>
  <c r="H47" i="3"/>
  <c r="H80" i="3" s="1"/>
  <c r="H130" i="3" s="1"/>
  <c r="I168" i="3" l="1"/>
  <c r="I170" i="3" s="1"/>
  <c r="U8" i="5"/>
  <c r="T8" i="5"/>
  <c r="U9" i="5"/>
  <c r="T9" i="5"/>
  <c r="D12" i="8"/>
  <c r="F183" i="3"/>
  <c r="F184" i="3" s="1"/>
  <c r="F186" i="3" s="1"/>
  <c r="F187" i="3" s="1"/>
  <c r="F188" i="3" s="1"/>
  <c r="F172" i="3"/>
  <c r="D132" i="3"/>
  <c r="D134" i="3" s="1"/>
  <c r="D135" i="3" s="1"/>
  <c r="E134" i="3"/>
  <c r="E135" i="3" s="1"/>
  <c r="E12" i="8" l="1"/>
  <c r="D137" i="3"/>
  <c r="D153" i="3" s="1"/>
  <c r="D154" i="3" s="1"/>
  <c r="D166" i="3" s="1"/>
  <c r="E137" i="3"/>
  <c r="H132" i="3"/>
  <c r="H134" i="3" s="1"/>
  <c r="H135" i="3" s="1"/>
  <c r="H177" i="3"/>
  <c r="B17" i="4" s="1"/>
  <c r="D17" i="4" s="1"/>
  <c r="F17" i="4" s="1"/>
  <c r="G17" i="4" s="1"/>
  <c r="I17" i="4" s="1"/>
  <c r="D168" i="3" l="1"/>
  <c r="D169" i="3" s="1"/>
  <c r="D170" i="3" s="1"/>
  <c r="D176" i="3" s="1"/>
  <c r="E153" i="3"/>
  <c r="E154" i="3" s="1"/>
  <c r="E166" i="3" s="1"/>
  <c r="H137" i="3"/>
  <c r="H153" i="3" s="1"/>
  <c r="H154" i="3" s="1"/>
  <c r="H166" i="3" s="1"/>
  <c r="D183" i="3" l="1"/>
  <c r="D184" i="3" s="1"/>
  <c r="D186" i="3" s="1"/>
  <c r="H168" i="3"/>
  <c r="H169" i="3" s="1"/>
  <c r="H170" i="3" s="1"/>
  <c r="H172" i="3" s="1"/>
  <c r="E168" i="3"/>
  <c r="E169" i="3" s="1"/>
  <c r="E170" i="3" s="1"/>
  <c r="E176" i="3" s="1"/>
  <c r="D172" i="3"/>
  <c r="D187" i="3" l="1"/>
  <c r="D188" i="3" s="1"/>
  <c r="E183" i="3"/>
  <c r="E184" i="3" s="1"/>
  <c r="E186" i="3" s="1"/>
  <c r="E187" i="3" s="1"/>
  <c r="E188" i="3" s="1"/>
  <c r="E172" i="3"/>
  <c r="H176" i="3" l="1"/>
  <c r="B16" i="4" l="1"/>
  <c r="J183" i="3"/>
  <c r="J184" i="3" s="1"/>
  <c r="J186" i="3" s="1"/>
  <c r="H183" i="3"/>
  <c r="B24" i="4" s="1"/>
  <c r="H184" i="3" l="1"/>
  <c r="I184" i="3" s="1"/>
  <c r="I186" i="3" s="1"/>
  <c r="Q127" i="5"/>
  <c r="Q128" i="5" s="1"/>
  <c r="D24" i="4"/>
  <c r="D16" i="4"/>
  <c r="B25" i="4"/>
  <c r="H186" i="3"/>
  <c r="B26" i="4" l="1"/>
  <c r="B27" i="4" s="1"/>
  <c r="F16" i="4"/>
  <c r="G16" i="4" s="1"/>
  <c r="D25" i="4"/>
  <c r="D26" i="4" s="1"/>
  <c r="D27" i="4" s="1"/>
  <c r="F24" i="4"/>
  <c r="G24" i="4" s="1"/>
  <c r="R127" i="5"/>
  <c r="H187" i="3"/>
  <c r="H188" i="3" s="1"/>
  <c r="I24" i="4" l="1"/>
  <c r="S127" i="5" s="1"/>
  <c r="C18" i="8"/>
  <c r="I16" i="4"/>
  <c r="C14" i="8"/>
  <c r="C15" i="8" s="1"/>
  <c r="R128" i="5"/>
  <c r="R129" i="5" s="1"/>
  <c r="R130" i="5" s="1"/>
  <c r="F25" i="4"/>
  <c r="F26" i="4" s="1"/>
  <c r="F27" i="4" s="1"/>
  <c r="G25" i="4"/>
  <c r="C16" i="8" s="1"/>
  <c r="D18" i="8"/>
  <c r="E18" i="8" s="1"/>
  <c r="D16" i="8" l="1"/>
  <c r="E16" i="8" s="1"/>
  <c r="S69" i="5"/>
  <c r="S68" i="5"/>
  <c r="S17" i="5"/>
  <c r="S18" i="5"/>
  <c r="S16" i="5"/>
  <c r="S27" i="5"/>
  <c r="S23" i="5"/>
  <c r="S31" i="5"/>
  <c r="S33" i="5"/>
  <c r="S29" i="5"/>
  <c r="S26" i="5"/>
  <c r="S28" i="5"/>
  <c r="S25" i="5"/>
  <c r="S32" i="5"/>
  <c r="S35" i="5"/>
  <c r="S64" i="5"/>
  <c r="S90" i="5"/>
  <c r="S91" i="5"/>
  <c r="S87" i="5"/>
  <c r="S104" i="5"/>
  <c r="S111" i="5"/>
  <c r="S24" i="5"/>
  <c r="S101" i="5"/>
  <c r="S20" i="5"/>
  <c r="S54" i="5"/>
  <c r="S45" i="5"/>
  <c r="S44" i="5"/>
  <c r="S92" i="5"/>
  <c r="S98" i="5"/>
  <c r="S15" i="5"/>
  <c r="S95" i="5"/>
  <c r="S66" i="5"/>
  <c r="S47" i="5"/>
  <c r="S102" i="5"/>
  <c r="S82" i="5"/>
  <c r="S72" i="5"/>
  <c r="S57" i="5"/>
  <c r="S71" i="5"/>
  <c r="S74" i="5"/>
  <c r="S46" i="5"/>
  <c r="S62" i="5"/>
  <c r="S52" i="5"/>
  <c r="S56" i="5"/>
  <c r="S75" i="5"/>
  <c r="S83" i="5"/>
  <c r="S79" i="5"/>
  <c r="S65" i="5"/>
  <c r="S78" i="5"/>
  <c r="S67" i="5"/>
  <c r="U67" i="5" s="1"/>
  <c r="S39" i="5"/>
  <c r="S30" i="5"/>
  <c r="S110" i="5"/>
  <c r="S53" i="5"/>
  <c r="S21" i="5"/>
  <c r="S49" i="5"/>
  <c r="S96" i="5"/>
  <c r="S43" i="5"/>
  <c r="S106" i="5"/>
  <c r="S37" i="5"/>
  <c r="S61" i="5"/>
  <c r="S77" i="5"/>
  <c r="S13" i="5"/>
  <c r="S36" i="5"/>
  <c r="S50" i="5"/>
  <c r="S84" i="5"/>
  <c r="S81" i="5"/>
  <c r="S93" i="5"/>
  <c r="S109" i="5"/>
  <c r="S88" i="5"/>
  <c r="S41" i="5"/>
  <c r="S40" i="5"/>
  <c r="S73" i="5"/>
  <c r="S60" i="5"/>
  <c r="S80" i="5"/>
  <c r="S58" i="5"/>
  <c r="S99" i="5"/>
  <c r="S108" i="5"/>
  <c r="S85" i="5"/>
  <c r="S22" i="5"/>
  <c r="S107" i="5"/>
  <c r="S76" i="5"/>
  <c r="S48" i="5"/>
  <c r="S19" i="5"/>
  <c r="S14" i="5"/>
  <c r="U14" i="5" s="1"/>
  <c r="S38" i="5"/>
  <c r="U38" i="5" s="1"/>
  <c r="S59" i="5"/>
  <c r="U59" i="5" s="1"/>
  <c r="S97" i="5"/>
  <c r="U97" i="5" s="1"/>
  <c r="S94" i="5"/>
  <c r="U94" i="5" s="1"/>
  <c r="S34" i="5"/>
  <c r="U34" i="5" s="1"/>
  <c r="S86" i="5"/>
  <c r="U86" i="5" s="1"/>
  <c r="S89" i="5"/>
  <c r="U89" i="5" s="1"/>
  <c r="S63" i="5"/>
  <c r="U63" i="5" s="1"/>
  <c r="S105" i="5"/>
  <c r="S42" i="5"/>
  <c r="U42" i="5" s="1"/>
  <c r="S70" i="5"/>
  <c r="U70" i="5" s="1"/>
  <c r="S100" i="5"/>
  <c r="U100" i="5" s="1"/>
  <c r="S51" i="5"/>
  <c r="U51" i="5" s="1"/>
  <c r="S55" i="5"/>
  <c r="U55" i="5" s="1"/>
  <c r="S103" i="5"/>
  <c r="U103" i="5" s="1"/>
  <c r="S10" i="5"/>
  <c r="U127" i="5"/>
  <c r="T127" i="5"/>
  <c r="G26" i="4"/>
  <c r="G27" i="4" s="1"/>
  <c r="G6" i="7" s="1"/>
  <c r="T48" i="5" l="1"/>
  <c r="U48" i="5"/>
  <c r="T41" i="5"/>
  <c r="U41" i="5"/>
  <c r="U106" i="5"/>
  <c r="T106" i="5"/>
  <c r="T79" i="5"/>
  <c r="U79" i="5"/>
  <c r="T102" i="5"/>
  <c r="U102" i="5"/>
  <c r="U24" i="5"/>
  <c r="T24" i="5"/>
  <c r="T29" i="5"/>
  <c r="U29" i="5"/>
  <c r="U83" i="5"/>
  <c r="T83" i="5"/>
  <c r="U107" i="5"/>
  <c r="T107" i="5"/>
  <c r="U109" i="5"/>
  <c r="T109" i="5"/>
  <c r="T96" i="5"/>
  <c r="U96" i="5"/>
  <c r="T75" i="5"/>
  <c r="U75" i="5"/>
  <c r="T66" i="5"/>
  <c r="U66" i="5"/>
  <c r="U104" i="5"/>
  <c r="T104" i="5"/>
  <c r="T31" i="5"/>
  <c r="U31" i="5"/>
  <c r="U43" i="5"/>
  <c r="T43" i="5"/>
  <c r="U87" i="5"/>
  <c r="T87" i="5"/>
  <c r="T62" i="5"/>
  <c r="U62" i="5"/>
  <c r="T98" i="5"/>
  <c r="U98" i="5"/>
  <c r="T90" i="5"/>
  <c r="U90" i="5"/>
  <c r="U16" i="5"/>
  <c r="T16" i="5"/>
  <c r="U88" i="5"/>
  <c r="T88" i="5"/>
  <c r="U56" i="5"/>
  <c r="T56" i="5"/>
  <c r="U128" i="5"/>
  <c r="U129" i="5" s="1"/>
  <c r="U130" i="5" s="1"/>
  <c r="U91" i="5"/>
  <c r="T91" i="5"/>
  <c r="U84" i="5"/>
  <c r="T84" i="5"/>
  <c r="T10" i="5"/>
  <c r="U10" i="5"/>
  <c r="T99" i="5"/>
  <c r="U99" i="5"/>
  <c r="T50" i="5"/>
  <c r="U50" i="5"/>
  <c r="U110" i="5"/>
  <c r="T110" i="5"/>
  <c r="U46" i="5"/>
  <c r="T46" i="5"/>
  <c r="U92" i="5"/>
  <c r="T92" i="5"/>
  <c r="U64" i="5"/>
  <c r="T64" i="5"/>
  <c r="T18" i="5"/>
  <c r="U18" i="5"/>
  <c r="U105" i="5"/>
  <c r="T105" i="5"/>
  <c r="T33" i="5"/>
  <c r="U33" i="5"/>
  <c r="U93" i="5"/>
  <c r="T93" i="5"/>
  <c r="U23" i="5"/>
  <c r="T23" i="5"/>
  <c r="T27" i="5"/>
  <c r="U27" i="5"/>
  <c r="T53" i="5"/>
  <c r="U53" i="5"/>
  <c r="T58" i="5"/>
  <c r="U58" i="5"/>
  <c r="U36" i="5"/>
  <c r="T36" i="5"/>
  <c r="U30" i="5"/>
  <c r="T30" i="5"/>
  <c r="T74" i="5"/>
  <c r="U74" i="5"/>
  <c r="U44" i="5"/>
  <c r="T44" i="5"/>
  <c r="T35" i="5"/>
  <c r="U35" i="5"/>
  <c r="T17" i="5"/>
  <c r="U17" i="5"/>
  <c r="U47" i="5"/>
  <c r="T47" i="5"/>
  <c r="T95" i="5"/>
  <c r="U95" i="5"/>
  <c r="T81" i="5"/>
  <c r="U81" i="5"/>
  <c r="U108" i="5"/>
  <c r="T108" i="5"/>
  <c r="U13" i="5"/>
  <c r="T13" i="5"/>
  <c r="U39" i="5"/>
  <c r="T39" i="5"/>
  <c r="T71" i="5"/>
  <c r="U71" i="5"/>
  <c r="T45" i="5"/>
  <c r="U45" i="5"/>
  <c r="T32" i="5"/>
  <c r="U32" i="5"/>
  <c r="U68" i="5"/>
  <c r="T68" i="5"/>
  <c r="T21" i="5"/>
  <c r="U21" i="5"/>
  <c r="S128" i="5"/>
  <c r="S129" i="5" s="1"/>
  <c r="S130" i="5" s="1"/>
  <c r="T77" i="5"/>
  <c r="U77" i="5"/>
  <c r="T57" i="5"/>
  <c r="U57" i="5"/>
  <c r="U54" i="5"/>
  <c r="T54" i="5"/>
  <c r="U25" i="5"/>
  <c r="T25" i="5"/>
  <c r="T69" i="5"/>
  <c r="U69" i="5"/>
  <c r="T111" i="5"/>
  <c r="U111" i="5"/>
  <c r="T22" i="5"/>
  <c r="U22" i="5"/>
  <c r="U15" i="5"/>
  <c r="T15" i="5"/>
  <c r="T73" i="5"/>
  <c r="U73" i="5"/>
  <c r="U61" i="5"/>
  <c r="T61" i="5"/>
  <c r="T78" i="5"/>
  <c r="U78" i="5"/>
  <c r="U72" i="5"/>
  <c r="T72" i="5"/>
  <c r="T20" i="5"/>
  <c r="U20" i="5"/>
  <c r="T28" i="5"/>
  <c r="U28" i="5"/>
  <c r="U76" i="5"/>
  <c r="T76" i="5"/>
  <c r="T49" i="5"/>
  <c r="U49" i="5"/>
  <c r="U85" i="5"/>
  <c r="T85" i="5"/>
  <c r="T52" i="5"/>
  <c r="U52" i="5"/>
  <c r="U80" i="5"/>
  <c r="T80" i="5"/>
  <c r="U60" i="5"/>
  <c r="T60" i="5"/>
  <c r="U19" i="5"/>
  <c r="T19" i="5"/>
  <c r="U40" i="5"/>
  <c r="T40" i="5"/>
  <c r="T37" i="5"/>
  <c r="U37" i="5"/>
  <c r="U65" i="5"/>
  <c r="T65" i="5"/>
  <c r="T82" i="5"/>
  <c r="U82" i="5"/>
  <c r="U101" i="5"/>
  <c r="T101" i="5"/>
  <c r="U26" i="5"/>
  <c r="T26" i="5"/>
  <c r="D14" i="8"/>
  <c r="D15" i="8" s="1"/>
  <c r="E14" i="8" l="1"/>
  <c r="E15" i="8" l="1"/>
  <c r="B32" i="12" s="1"/>
</calcChain>
</file>

<file path=xl/comments1.xml><?xml version="1.0" encoding="utf-8"?>
<comments xmlns="http://schemas.openxmlformats.org/spreadsheetml/2006/main">
  <authors>
    <author>Татаринова Елена Александровна</author>
  </authors>
  <commentList>
    <comment ref="I113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Объектной смете ошибка в итогах на 0,02. Произведена корректировка</t>
        </r>
      </text>
    </comment>
  </commentList>
</comments>
</file>

<file path=xl/comments2.xml><?xml version="1.0" encoding="utf-8"?>
<comments xmlns="http://schemas.openxmlformats.org/spreadsheetml/2006/main">
  <authors>
    <author>Татаринова Елена Александровна</author>
  </authors>
  <commentList>
    <comment ref="G139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Объектной смете ошибка в итогах на 0,02. Произведена корректировка</t>
        </r>
      </text>
    </comment>
  </commentList>
</comments>
</file>

<file path=xl/comments3.xml><?xml version="1.0" encoding="utf-8"?>
<comments xmlns="http://schemas.openxmlformats.org/spreadsheetml/2006/main">
  <authors>
    <author>Татаринова Елена Александровна</author>
  </authors>
  <commentList>
    <comment ref="G139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Объектной смете ошибка в итогах на 0,02. Произведена корректировка</t>
        </r>
      </text>
    </comment>
  </commentList>
</comments>
</file>

<file path=xl/sharedStrings.xml><?xml version="1.0" encoding="utf-8"?>
<sst xmlns="http://schemas.openxmlformats.org/spreadsheetml/2006/main" count="2003" uniqueCount="646">
  <si>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</si>
  <si>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</si>
  <si>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</si>
  <si>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</si>
  <si>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</si>
  <si>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</si>
  <si>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</si>
  <si>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</si>
  <si>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</si>
  <si>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</si>
  <si>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</si>
  <si>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</si>
  <si>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</si>
  <si>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АО "КСК"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</si>
  <si>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2</t>
  </si>
  <si>
    <t>Составлена в ценах по состоянию на 01.01.2000 и в текущих ценах 2 квартала 2019г.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</si>
  <si>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</si>
  <si>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</si>
  <si>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</si>
  <si>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01-05</t>
  </si>
  <si>
    <t>Лесосводка на территории строительства</t>
  </si>
  <si>
    <t>01-06</t>
  </si>
  <si>
    <t>Создание геодезической разбивочной  основы 224266/1,266/1000</t>
  </si>
  <si>
    <t>01-10</t>
  </si>
  <si>
    <t>Археологические исследования по п. Лунная поляна</t>
  </si>
  <si>
    <t>01-11</t>
  </si>
  <si>
    <t>Расчет затрат на реализацию мероприятий по восстановлению нарушаемого состояния водных биоресурсов</t>
  </si>
  <si>
    <t>01-12</t>
  </si>
  <si>
    <t>Организация дорожного движения на период строительства</t>
  </si>
  <si>
    <t>возвратные суммы от продажи древесины</t>
  </si>
  <si>
    <t>Итого по Главе 1. "Подготовка территории строительства"</t>
  </si>
  <si>
    <t>Глава 2. Основные объекты строительства</t>
  </si>
  <si>
    <t>02-09</t>
  </si>
  <si>
    <t>автодороги</t>
  </si>
  <si>
    <t>Итого по Главе 2. "Основные объекты строительства"</t>
  </si>
  <si>
    <t>Глава 4. Объекты энергетического хозяйства</t>
  </si>
  <si>
    <t>04-05</t>
  </si>
  <si>
    <t>Трансформаторная подстанция №3 (ТП-ЛП-3)</t>
  </si>
  <si>
    <t>04-06</t>
  </si>
  <si>
    <t>Трансформаторная подстанция №4 (ТП-ЛП-4)</t>
  </si>
  <si>
    <t>04-07</t>
  </si>
  <si>
    <t>Трансформаторной подстанции №5 (ТП-ЛП-5)</t>
  </si>
  <si>
    <t>04-08</t>
  </si>
  <si>
    <t>Распределительная трансформаторная подстанция РТП-2 35/10 кВ. Ячейки 10 кВ</t>
  </si>
  <si>
    <t>04-09</t>
  </si>
  <si>
    <t>Магистральные сети электроснабжения</t>
  </si>
  <si>
    <t>04-10</t>
  </si>
  <si>
    <t>Закрытые переходы, выполняемые методом ГНБ</t>
  </si>
  <si>
    <t>04-12</t>
  </si>
  <si>
    <t>Внутриплощадочные сети электроснабжения пос. "Лунная поляна"</t>
  </si>
  <si>
    <t>04-13</t>
  </si>
  <si>
    <t>Внутриплощадочные сети по заземлению пос. "Лунная поляна"</t>
  </si>
  <si>
    <t>04-14</t>
  </si>
  <si>
    <t>Распределительная трансформаторная подстанция №1 (РТП-ЛП-1)</t>
  </si>
  <si>
    <t>04-15</t>
  </si>
  <si>
    <t>Распределительная трансформаторная подстанция №2 (РТП-ЛП-2)</t>
  </si>
  <si>
    <t>04-16</t>
  </si>
  <si>
    <t>Трансформаторной подстанции №1 (ТП-ЛП-1)</t>
  </si>
  <si>
    <t>04-17</t>
  </si>
  <si>
    <t>Трансформаторная подстанция №2 (ТП-ЛП-2)</t>
  </si>
  <si>
    <t>Итого по Главе 4. "Объекты энергетического хозяйства"</t>
  </si>
  <si>
    <t>Глава 5. Объекты транспортного хозяйства и связи</t>
  </si>
  <si>
    <t>05-02</t>
  </si>
  <si>
    <t>Внутриплощадочные сети связи</t>
  </si>
  <si>
    <t>05-03</t>
  </si>
  <si>
    <t>Комплексная система безопасности (КСБ)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</si>
  <si>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</si>
  <si>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</si>
  <si>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06-01</t>
  </si>
  <si>
    <t>Насосная станция первого подъема (НС-1)</t>
  </si>
  <si>
    <t>06-03</t>
  </si>
  <si>
    <t>Станция водоподготовки (ВП)</t>
  </si>
  <si>
    <t>06-04</t>
  </si>
  <si>
    <t>Магистральные сети водоснабжения</t>
  </si>
  <si>
    <t>06-05</t>
  </si>
  <si>
    <t>Насосная станция второго подъема (НС-2)</t>
  </si>
  <si>
    <t>06-06</t>
  </si>
  <si>
    <t>Резервуар чистой воды (РЧВ-1)</t>
  </si>
  <si>
    <t>06-07</t>
  </si>
  <si>
    <t>Резервуар чистой воды (РЧВ-2)</t>
  </si>
  <si>
    <t>06-08</t>
  </si>
  <si>
    <t>Локальные очистные сооружения</t>
  </si>
  <si>
    <t>06-09</t>
  </si>
  <si>
    <t>Магистральную сеть ливневой канализации</t>
  </si>
  <si>
    <t>06-10</t>
  </si>
  <si>
    <t>Магистральные сети хозяйственно-бытовой канализации</t>
  </si>
  <si>
    <t>06-11</t>
  </si>
  <si>
    <t>Газоснабжение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</si>
  <si>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</si>
  <si>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</si>
  <si>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07-07</t>
  </si>
  <si>
    <t>Наружное освещение автомобильной дороги</t>
  </si>
  <si>
    <t>07-08</t>
  </si>
  <si>
    <t>Благоустройство</t>
  </si>
  <si>
    <t>07-09</t>
  </si>
  <si>
    <t>Организация дорожного движения на период эксплуатации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</si>
  <si>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</si>
  <si>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</si>
  <si>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</si>
  <si>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</si>
  <si>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сооружения, санатории, дома отдыха, турбазы, пансионаты, профилактории, пионерские лагеря - 2,3%</t>
  </si>
  <si>
    <t>в том числе возврат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</si>
  <si>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</si>
  <si>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</si>
  <si>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</si>
  <si>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 п.11.4</t>
  </si>
  <si>
    <t>Производство работ в зимнее время, здания общественного назначения (школы, учебные заведения, детские сады и ясли, больницы, санатории, дома отдыха и др.) и объекты коммунального хозяйства - 0,5% К=1,1</t>
  </si>
  <si>
    <t>09-02</t>
  </si>
  <si>
    <t>Пусконаладочные работы. Этап 2</t>
  </si>
  <si>
    <t>09-03</t>
  </si>
  <si>
    <t>Затраты связанные с командированием строительных рабочих и машинистов строительной техники 27528116,0/10,51/1000</t>
  </si>
  <si>
    <t>09-04</t>
  </si>
  <si>
    <t>Плата за негативное воздействие выброса загрязняющих веществ в атмосферный воздух 320,5/10,51/1000</t>
  </si>
  <si>
    <t>09-05</t>
  </si>
  <si>
    <t>Плата за размещение отходов на период  строительства_x000D_
22526,17/1000</t>
  </si>
  <si>
    <t>09-07</t>
  </si>
  <si>
    <t>Расчет перебазировки механизмов своим ходом</t>
  </si>
  <si>
    <t>09-08</t>
  </si>
  <si>
    <t>Расчет перебазировки механизмов на прицепе (трал) без демонтажа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</si>
  <si>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</si>
  <si>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</si>
  <si>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</si>
  <si>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№468 от 21.06.10г.</t>
  </si>
  <si>
    <t>Затраты на осуществление функций Заказчика - Застройщика (в том числе: строительный контроль, авторский надзор) (1,61% от общей стоимости глав 1-9 и 12)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</si>
  <si>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</si>
  <si>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</si>
  <si>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Сводная смета на проектные и изыскательские работы (сметы: №2.1, 2.2, 2.3)</t>
  </si>
  <si>
    <t>Инженерные изыскания 1549370,0/1000</t>
  </si>
  <si>
    <t>Сводная смета на проектные и изыскательские работы (сметы: №3.1,3.2, 3.3)</t>
  </si>
  <si>
    <t>Дополнительные инженерные изыскания 1324336,0/1000</t>
  </si>
  <si>
    <t>Сводная смета на проектные и изыскательские работы. Сметы №7.1-7.28;</t>
  </si>
  <si>
    <t>Проектная документация 6722869/1000</t>
  </si>
  <si>
    <t>Сводная смета на проектные и изыскательские работы. Сметы №8.1-8.17;</t>
  </si>
  <si>
    <t>Рабочая документация (5921722+16073,0)/1000</t>
  </si>
  <si>
    <t>Смета</t>
  </si>
  <si>
    <t>Затраты на прохождение государственной экспертизы результатов инженерных изысканий и проектной документации 3786355,0/5,29/1000</t>
  </si>
  <si>
    <t>Сводная смета на проектные и изыскательские работы Предварительный расчет п.40</t>
  </si>
  <si>
    <t>Командировочные расходы 267500/10,51/1000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</si>
  <si>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</si>
  <si>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</si>
  <si>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</si>
  <si>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</si>
  <si>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для объектов социальной сферы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</si>
  <si>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</si>
  <si>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</si>
  <si>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</si>
  <si>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Итого по сводному расчету в ценах 2000г. (без НДС)</t>
  </si>
  <si>
    <t>Строки за итогами</t>
  </si>
  <si>
    <t>в том числе возврат (без НДС)</t>
  </si>
  <si>
    <t>Переход в текущие цены 2 кв. 2019г.</t>
  </si>
  <si>
    <t>Приложение к письму Минстроя от 10.04.2019 № 12661-ДВ/09</t>
  </si>
  <si>
    <t>Строительно-монтажные работы К=7,00</t>
  </si>
  <si>
    <t>Приложение 3 к письму Минстроя от 22.01.2019 № 2003-ДВ/09</t>
  </si>
  <si>
    <t>Оборудование К=3,98</t>
  </si>
  <si>
    <t>Приложение 2 к письму Минстроя от 22.01.2019 № 1408-ЛС/09</t>
  </si>
  <si>
    <t>Прочие затраты  (10390+30,49+22526,10+4760,74+2619230+67480+53500)*10,51*1,02/1000</t>
  </si>
  <si>
    <t>Смета 01-06</t>
  </si>
  <si>
    <t>Создание геодезической разбивочной основы, восстановление оси трассы 177145,34*4,23*1,266*1,02/1000</t>
  </si>
  <si>
    <t>Инженерные изыскания  1549370,0*4,23*1,266*1,2/1000</t>
  </si>
  <si>
    <t>Дополнительные инженерные изыскания  1324340,0*4,23*1,266*1,2/1000</t>
  </si>
  <si>
    <t>Проектная документация 6722869,0*4,15*1,19*1,02/1000</t>
  </si>
  <si>
    <t>Рабочая документация  (5921722+16073,0)*4,15*1,19*1,02/1000</t>
  </si>
  <si>
    <t>Командировочные расходы 25450*10,51*1,02/1000</t>
  </si>
  <si>
    <t>Затраты на прохождение государственной экспертизы результатов инженерных изысканий и проектной документации   715760*5,29*1,02/1000</t>
  </si>
  <si>
    <t>Археологические исследования по п. Лунная поляна 4082530*4,23*1,266*1,02/1000</t>
  </si>
  <si>
    <t>Постановление Правительства РФ от 21.06.2010 №468</t>
  </si>
  <si>
    <t>ИТОГО в ценах 2 кв. 2019г. без НДС</t>
  </si>
  <si>
    <t>Закон РФ от 07.07.2003 г. № 117-ФЗ.</t>
  </si>
  <si>
    <t>НДС - 20%</t>
  </si>
  <si>
    <t>Итого по сводному расчету в ценах 2 кв. 2019г. с НДС</t>
  </si>
  <si>
    <t>в том числе возврат  с НДС</t>
  </si>
  <si>
    <t>(должность, подпись, расшифровка)</t>
  </si>
  <si>
    <t>Исполнительный директор ООО "РосЮгСтрой": ___________________________М.И. Цыгарева</t>
  </si>
  <si>
    <t>Руководитель проектной организации: ___________________________Р.М. Ихсанов</t>
  </si>
  <si>
    <t>Главный инженер проекта: ___________________________А.Л. Александрова</t>
  </si>
  <si>
    <t>Начальник отдела смет: ___________________________П.П. Краснов</t>
  </si>
  <si>
    <t>"Утвержден" «    »________________2019 г.</t>
  </si>
  <si>
    <t>«    »________________2019 г.</t>
  </si>
  <si>
    <t>Сводный сметный расчет в ценах 2 квартала 2019г. в сумме 899 033,95 тыс. руб.</t>
  </si>
  <si>
    <t>В том числе возвратных сумм 1992,87 тыс. руб. (с НДС)</t>
  </si>
  <si>
    <t>В том числе возвратных сумм 498,95 тыс. руб.</t>
  </si>
  <si>
    <t>Сводный сметный расчет в сумме 129 050,41 тыс. руб.</t>
  </si>
  <si>
    <t>Директор Департамента развития инфраструктуры акционерного общества</t>
  </si>
  <si>
    <t xml:space="preserve"> "Курорты Северного Кавказа" (доверенность №1516 от 19.08.2019г.):_______________________________В.В. Лапухин</t>
  </si>
  <si>
    <t>02-09-01</t>
  </si>
  <si>
    <t>Земляное полотно и устройство присыпных обочин</t>
  </si>
  <si>
    <t>02-09-02</t>
  </si>
  <si>
    <t>Планировочные и укрепительные работы</t>
  </si>
  <si>
    <t>02-09-03</t>
  </si>
  <si>
    <t>Дорожная одежда</t>
  </si>
  <si>
    <t>02-09-04</t>
  </si>
  <si>
    <t>Пересечения и примыкания</t>
  </si>
  <si>
    <t>02-09-05</t>
  </si>
  <si>
    <t>Искусственные сооружения</t>
  </si>
  <si>
    <t>02-09-06</t>
  </si>
  <si>
    <t>Тротуары</t>
  </si>
  <si>
    <t>04-05-01</t>
  </si>
  <si>
    <t>фундамент</t>
  </si>
  <si>
    <t>04-05-02</t>
  </si>
  <si>
    <t>приобретение и монтаж электрооборудования трансформаторной подстанции №3 (ТП-ЛП-3)</t>
  </si>
  <si>
    <t>04-05-03</t>
  </si>
  <si>
    <t>приобретение и монтаж автоматической установки пожарной сигнализации ТП-ЛП-3</t>
  </si>
  <si>
    <t>04-06-01</t>
  </si>
  <si>
    <t>04-06-02</t>
  </si>
  <si>
    <t>приобретение и монтаж электрооборудования трансформаторной подстанции №4 (ТП-ЛП-4).</t>
  </si>
  <si>
    <t>04-06-03</t>
  </si>
  <si>
    <t>приобретение и монтаж автоматической установки пожарной сигнализации ТП-ЛП-4</t>
  </si>
  <si>
    <t>04-07-01</t>
  </si>
  <si>
    <t>04-07-02</t>
  </si>
  <si>
    <t>приобретение и монтаж электрооборудования трансформаторной подстанции №5 (ТП-ЛП-5)</t>
  </si>
  <si>
    <t>04-07-03</t>
  </si>
  <si>
    <t>приобретение и монтаж автоматической установки пожарной сигнализации ТП-ЛП-5</t>
  </si>
  <si>
    <t>04-14-01</t>
  </si>
  <si>
    <t>04-14-02</t>
  </si>
  <si>
    <t>приобретение и монтаж электрооборудования распределительной трансформаторной подстанции №1 (РТП-ЛП-1).</t>
  </si>
  <si>
    <t>04-14-03</t>
  </si>
  <si>
    <t>приобретение и монтаж автоматической установки пожарной сигнализации РТП-ЛП-1</t>
  </si>
  <si>
    <t>04-15-01</t>
  </si>
  <si>
    <t>04-15-02</t>
  </si>
  <si>
    <t>приобретение и монтаж электрооборудования распределительной трансформаторной подстанциии №2 (РТП-ЛП-2).</t>
  </si>
  <si>
    <t>04-15-03</t>
  </si>
  <si>
    <t>приобретение и монтаж автоматической установки пожарной сигнализации РТП-ЛП-2</t>
  </si>
  <si>
    <t>04-16-01</t>
  </si>
  <si>
    <t>04-16-02</t>
  </si>
  <si>
    <t>приобретение и монтаж электрооборудования трансформаторной подстанции №1 (ТП-ЛП-1)</t>
  </si>
  <si>
    <t>04-16-03</t>
  </si>
  <si>
    <t>приобретение и монтаж автоматической установки пожарной сигнализации ТП-ЛП-1</t>
  </si>
  <si>
    <t>04-17-01</t>
  </si>
  <si>
    <t>04-17-02</t>
  </si>
  <si>
    <t>приобретение и монтаж электрооборудования трансформаторной подстанции №2 (ТП-ЛП-2).</t>
  </si>
  <si>
    <t>04-17-03</t>
  </si>
  <si>
    <t>приобретение и монтаж автоматической установки пожарной сигнализации ТП-ЛП-2</t>
  </si>
  <si>
    <t>05-03-01</t>
  </si>
  <si>
    <t>строительные работы по ограждению первого пояса площадки технологического оборудования</t>
  </si>
  <si>
    <t>05-03-02</t>
  </si>
  <si>
    <t>приобретение и монтаж оборудования инженерной системы безопастности газораспределительного пункта шкафного.</t>
  </si>
  <si>
    <t>05-03-03</t>
  </si>
  <si>
    <t>приобретение и монтаж оборудования инженерной системы безопастности Многофункционального центра</t>
  </si>
  <si>
    <t>05-03-04</t>
  </si>
  <si>
    <t>приобретение и монтаж оборудования инженерной системы безопастности насосной станции первого подъема (НС-1).</t>
  </si>
  <si>
    <t>05-03-05</t>
  </si>
  <si>
    <t>приобретение и монтаж оборудования инженерной системы безопастности насосной станции второго подъема (НС-2).</t>
  </si>
  <si>
    <t>05-03-06</t>
  </si>
  <si>
    <t>приобретение и монтаж оборудования инженерной системы безопастности площадки водоподготовки.</t>
  </si>
  <si>
    <t>05-03-07</t>
  </si>
  <si>
    <t>приобретение и монтаж оборудования инженерной системы безопастности распределительной трансформаторной подстанции №1 (РТП-ЛП-1).</t>
  </si>
  <si>
    <t>05-03-08</t>
  </si>
  <si>
    <t>приобретение и монтаж оборудования инженерной системы безопастности распределительной трансформаторной подстанции №2 (РТП-ЛП-2).</t>
  </si>
  <si>
    <t>05-03-09</t>
  </si>
  <si>
    <t>приобретение и монтаж оборудования инженерной системы безопастности станции водоподготовки.</t>
  </si>
  <si>
    <t>05-03-10</t>
  </si>
  <si>
    <t>приобретение и монтаж оборудования инженерной системы безопастности трансформаторной подстанции №1 (ТП-ЛП-1).</t>
  </si>
  <si>
    <t>05-03-11</t>
  </si>
  <si>
    <t>приобретение и монтаж оборудования инженерной системы безопастности трансформаторной подстанции №2 (ТП-ЛП-2).</t>
  </si>
  <si>
    <t>05-03-12</t>
  </si>
  <si>
    <t>приобретение и монтаж оборудования инженерной системы безопастности трансформаторной подстанции №3 (ТП-ЛП-3).</t>
  </si>
  <si>
    <t>05-03-13</t>
  </si>
  <si>
    <t>приобретение и монтаж оборудования инженерной системы безопастности трансформаторной подстанции №4 (ТП-ЛП-4).</t>
  </si>
  <si>
    <t>05-03-14</t>
  </si>
  <si>
    <t>приобретение и монтаж оборудования инженерной системы безопастности трансформаторной подстанции №5 (ТП-ЛП-5)</t>
  </si>
  <si>
    <t>05-03-15</t>
  </si>
  <si>
    <t>приобретение и монтаж оборудования системы охранного освещения</t>
  </si>
  <si>
    <t>06-01-01</t>
  </si>
  <si>
    <t>06-01-02</t>
  </si>
  <si>
    <t>насосную станцию 1-го подъема</t>
  </si>
  <si>
    <t>06-03-01</t>
  </si>
  <si>
    <t>06-03-02</t>
  </si>
  <si>
    <t>станцию водоподготовки (ВП)</t>
  </si>
  <si>
    <t>06-03-03</t>
  </si>
  <si>
    <t>приобретение и монтаж электрооборудования  площадки технологического оборудования системы водоснабжения</t>
  </si>
  <si>
    <t>06-05-01</t>
  </si>
  <si>
    <t>06-05-02</t>
  </si>
  <si>
    <t>насосную станцию 2-го подъема</t>
  </si>
  <si>
    <t>06-06-01</t>
  </si>
  <si>
    <t>фундамент резервуара чистой воды (РЧВ-1)</t>
  </si>
  <si>
    <t>06-06-02</t>
  </si>
  <si>
    <t>резервуар чистой воды РЧВ-1</t>
  </si>
  <si>
    <t>06-07-01</t>
  </si>
  <si>
    <t>фундамент резервуара чистой воды (РЧВ-2)</t>
  </si>
  <si>
    <t>06-07-02</t>
  </si>
  <si>
    <t>резервуар чистой воды РЧВ-2</t>
  </si>
  <si>
    <t>06-08-01</t>
  </si>
  <si>
    <t>фундамент локальных очистных сооружений</t>
  </si>
  <si>
    <t>06-08-02</t>
  </si>
  <si>
    <t>Локальные очистные сооружения (ЛОС)</t>
  </si>
  <si>
    <t>09-02-03</t>
  </si>
  <si>
    <t>пусконаладочные работы электрооборудования распределительной трансформаторной подстанции №1 (РТП-ЛП-1)</t>
  </si>
  <si>
    <t>09-02-04</t>
  </si>
  <si>
    <t>пусконаладочные работы электрооборудования распределительной трансформаторной подстанции №2 (РТП-ЛП-2)</t>
  </si>
  <si>
    <t>09-02-05</t>
  </si>
  <si>
    <t>пусконаладочные работы электрооборудования трансформаторной подстанции №1 (ТП-ЛП-1)</t>
  </si>
  <si>
    <t>09-02-06</t>
  </si>
  <si>
    <t>пусконаладочные работы электрооборудования трансформаторной подстанции №2 (ТП-ЛП-2)</t>
  </si>
  <si>
    <t>09-02-07</t>
  </si>
  <si>
    <t>пусконаладочные работы электрооборудования трансформаторной подстанции №3 (ТП-ЛП-3)</t>
  </si>
  <si>
    <t>09-02-08</t>
  </si>
  <si>
    <t>пусконаладочные работы электрооборудования трансформаторной подстанции №4 (ТП-ЛП-4)</t>
  </si>
  <si>
    <t>09-02-09</t>
  </si>
  <si>
    <t>пусконаладочные работы электрооборудования трансформаторной подстанции №5 (ТП-ЛП-5)</t>
  </si>
  <si>
    <t>09-02-10</t>
  </si>
  <si>
    <t>пусконаладочные работы вхолостую ячеек 10 кВ распределительной трансформаторной подстанции РТП-2 35/10 кВ</t>
  </si>
  <si>
    <t>09-02-11</t>
  </si>
  <si>
    <t>пусконаладочные рабыты систем безопасности</t>
  </si>
  <si>
    <t>Возврат  от разборки временных зданий и сооружений</t>
  </si>
  <si>
    <t>ИТОГО в ценах 2 кв. 2019г. без НДС с учетом возврата</t>
  </si>
  <si>
    <t>Резерв средств на непредвиденные затраты</t>
  </si>
  <si>
    <t>Прочие затраты  (10390+30,49+22526,10+4760,74+2619230+67480+53500)*10,51/1000</t>
  </si>
  <si>
    <t>Создание геодезической разбивочной основы, восстановление оси трассы 177145,34*4,23*1,266/1000</t>
  </si>
  <si>
    <t>Рабочая документация  (5921722+16073,0)*4,15*1,19/1000</t>
  </si>
  <si>
    <t>Археологические исследования по п. Лунная поляна 4082530*4,23*1,266/1000</t>
  </si>
  <si>
    <t>Расчет начальной (максимальной) цены контракта при осуществлении закупки на выполнение подрядных работ по строительству</t>
  </si>
  <si>
    <t>Основания для расчета:</t>
  </si>
  <si>
    <t>рублей</t>
  </si>
  <si>
    <t>Наименование работ и затрат</t>
  </si>
  <si>
    <t>Стоимость работ в ценах утверждения сметной документации- 2 квартал 2019 г.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</si>
  <si>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</si>
  <si>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</si>
  <si>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</si>
  <si>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</si>
  <si>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Пусконаладочные работы</t>
  </si>
  <si>
    <t>Затраты на реализацию мероприятий по восстановлению нарушаемого состояния водных биоресурсов</t>
  </si>
  <si>
    <t>Стоимость без учета НДС</t>
  </si>
  <si>
    <t>НДС-20%</t>
  </si>
  <si>
    <t>Стоимость с учетом НДС</t>
  </si>
  <si>
    <t xml:space="preserve">Примечания: </t>
  </si>
  <si>
    <t>2)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</si>
  <si>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мес.</t>
  </si>
  <si>
    <t>Начало работ</t>
  </si>
  <si>
    <t>Окончание работ</t>
  </si>
  <si>
    <t xml:space="preserve">Заказчик: </t>
  </si>
  <si>
    <t>(должность, подпись, инициалы, фамилия)</t>
  </si>
  <si>
    <t>Разработка рабочей документации (РД)</t>
  </si>
  <si>
    <t xml:space="preserve">Создание геодезической разбивочной  основы </t>
  </si>
  <si>
    <t>Строительно-монтажные работы</t>
  </si>
  <si>
    <t>Оборудование</t>
  </si>
  <si>
    <t xml:space="preserve">Затраты связанные с командированием строительных рабочих и машинистов строительной техники </t>
  </si>
  <si>
    <t xml:space="preserve">Плата за негативное воздействие выброса загрязняющих веществ в атмосферный воздух </t>
  </si>
  <si>
    <t xml:space="preserve">Плата за размещение отходов на период  строительства_x000D_
</t>
  </si>
  <si>
    <t>Перебазировка механизмов</t>
  </si>
  <si>
    <t>Резерв средств на непредвиденные затраты по СМР,оборудованию и прочим затратам</t>
  </si>
  <si>
    <t>2.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22.10.2019 № 00106-19/СКЭ-19943/1104 (№ в реестре 00-1-2240-19).</t>
  </si>
  <si>
    <t>3. Утвержденный сводный сметный расчет стоимости строительства: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2 на сумму 899033,95 тыс. руб. в ценах 2 кв. 2019 г.</t>
  </si>
  <si>
    <t>Проект сметы контракта</t>
  </si>
  <si>
    <t>п/п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</si>
  <si>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</si>
  <si>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</si>
  <si>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</si>
  <si>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</si>
  <si>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СМР</t>
  </si>
  <si>
    <t>Прочие</t>
  </si>
  <si>
    <t>ВЗиС
2,3%</t>
  </si>
  <si>
    <t>СМР+ВЗиС</t>
  </si>
  <si>
    <t>ЗУ
0,55%</t>
  </si>
  <si>
    <t>Возврат от ВЗиС</t>
  </si>
  <si>
    <t>СМР+ВЗиС+ЗУ+возврат</t>
  </si>
  <si>
    <t>Цена, руб.</t>
  </si>
  <si>
    <t>На единицу измерения</t>
  </si>
  <si>
    <t>Всего</t>
  </si>
  <si>
    <t>Всего с учетом инфляции, руб.</t>
  </si>
  <si>
    <t>Итого, тыс. руб.</t>
  </si>
  <si>
    <t>В текущем уровне, в тыс. руб.</t>
  </si>
  <si>
    <t>Строительные</t>
  </si>
  <si>
    <t>Монтажные</t>
  </si>
  <si>
    <t>Затраты, связанные с командированием строительных рабочих и машинистов строительной техники</t>
  </si>
  <si>
    <t>09-07, 09-08</t>
  </si>
  <si>
    <t>Затраты на реализацию мероприятий по восстановлению нарушенного состояния водных биоресурсов</t>
  </si>
  <si>
    <t>8</t>
  </si>
  <si>
    <t>9</t>
  </si>
  <si>
    <t>2</t>
  </si>
  <si>
    <t>Итого начальная (максимальная) цена контракта  без учета НДС</t>
  </si>
  <si>
    <t>Начальная (максимальная) цена контракта  с учетом НДС</t>
  </si>
  <si>
    <t>8.1</t>
  </si>
  <si>
    <t>9.2</t>
  </si>
  <si>
    <t>8.2</t>
  </si>
  <si>
    <t>3</t>
  </si>
  <si>
    <t>8.3</t>
  </si>
  <si>
    <t>9.1</t>
  </si>
  <si>
    <t>9.3</t>
  </si>
  <si>
    <t>10</t>
  </si>
  <si>
    <t>10.1</t>
  </si>
  <si>
    <t>10.2</t>
  </si>
  <si>
    <t>10.3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</si>
  <si>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</si>
  <si>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</si>
  <si>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</si>
  <si>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</si>
  <si>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</si>
  <si>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</si>
  <si>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</si>
  <si>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</si>
  <si>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</si>
  <si>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17.3</t>
  </si>
  <si>
    <t>18</t>
  </si>
  <si>
    <t>18.1</t>
  </si>
  <si>
    <t>18.2</t>
  </si>
  <si>
    <t>18.3</t>
  </si>
  <si>
    <t>19</t>
  </si>
  <si>
    <t>19.1</t>
  </si>
  <si>
    <t>19.2</t>
  </si>
  <si>
    <t>19.3</t>
  </si>
  <si>
    <t>20</t>
  </si>
  <si>
    <t>20.1</t>
  </si>
  <si>
    <t>20.2</t>
  </si>
  <si>
    <t>21</t>
  </si>
  <si>
    <t>22</t>
  </si>
  <si>
    <t>22.1</t>
  </si>
  <si>
    <t>22.2</t>
  </si>
  <si>
    <t>23</t>
  </si>
  <si>
    <t>23.1</t>
  </si>
  <si>
    <t>23.2</t>
  </si>
  <si>
    <t>24</t>
  </si>
  <si>
    <t>25</t>
  </si>
  <si>
    <t>26</t>
  </si>
  <si>
    <t>26.1</t>
  </si>
  <si>
    <t>26.2</t>
  </si>
  <si>
    <t>27</t>
  </si>
  <si>
    <t>27.1</t>
  </si>
  <si>
    <t>27.2</t>
  </si>
  <si>
    <t>28</t>
  </si>
  <si>
    <t>28.1</t>
  </si>
  <si>
    <t>28.2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</si>
  <si>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</si>
  <si>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</si>
  <si>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</si>
  <si>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</si>
  <si>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</si>
  <si>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</si>
  <si>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</si>
  <si>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</si>
  <si>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</si>
  <si>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</si>
  <si>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</si>
  <si>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</si>
  <si>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</si>
  <si>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</si>
  <si>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</si>
  <si>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</si>
  <si>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</si>
  <si>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</si>
  <si>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-затраты на разработку рабочей документации;</t>
  </si>
  <si>
    <t>-затраты на приобретение материалов, изделий и конструкций;</t>
  </si>
  <si>
    <t>-накладные расходы;</t>
  </si>
  <si>
    <t>-сметную прибыль;</t>
  </si>
  <si>
    <t>-стоимость оборудования поставки подрядчика;</t>
  </si>
  <si>
    <t>-затраты на строительство временных зданий и сооружений;</t>
  </si>
  <si>
    <t>-возврат от разборки временных зданий и сооружений в размере 15% от суммы затрат на их возведение;</t>
  </si>
  <si>
    <t>-затраты на удорожание работ в зимнее время;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</si>
  <si>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</si>
  <si>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</si>
  <si>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</si>
  <si>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</si>
  <si>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-затраты на создание геодезической разбивочной  основы ;</t>
  </si>
  <si>
    <t>- затраты на организацию дорожного движения на период строительства;</t>
  </si>
  <si>
    <t>- затраты на оплату труда рабочих-строителей при выполнении строительно-монтажных работ;</t>
  </si>
  <si>
    <t>-затраты на эксплуатацию машин и механизмов при выполнении строительно-монтажных работ;</t>
  </si>
  <si>
    <t>- затраты на проведение пусконаладочных работ;</t>
  </si>
  <si>
    <t>- лесосводку на территории строительства;</t>
  </si>
  <si>
    <t>-затраты, связанные с командированием строительных рабочих и машинистов строительной техники;</t>
  </si>
  <si>
    <t xml:space="preserve">- затраты по оплате за негативное воздействие выброса загрязняющих веществ в атмосферный воздух; </t>
  </si>
  <si>
    <t>- перебазировка механизмов;</t>
  </si>
  <si>
    <t>- затраты на реализацию мероприятий по восстановлению нарушенного состояния водных биоресурсов;</t>
  </si>
  <si>
    <t>РАСЧЕТ НАЧАЛЬНОЙ МАКСИМАЛЬНОЙ ЦЕНЫ ДОГОВОРА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</si>
  <si>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</si>
  <si>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</si>
  <si>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</si>
  <si>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</si>
  <si>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</si>
  <si>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</si>
  <si>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</si>
  <si>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</si>
  <si>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</si>
  <si>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Создание ГРО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</si>
  <si>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</si>
  <si>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</si>
  <si>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</si>
  <si>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>по объекту "Всесезонный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2"</t>
  </si>
  <si>
    <t>ПОЯСНИТЕЛЬНАЯ ЗАПИСКА</t>
  </si>
  <si>
    <t>К РАСЧЕТУ НАЧАЛЬНОЙ МАКСИМАЛЬНОЙ ЦЕНЫ ДОГОВОРА</t>
  </si>
  <si>
    <t>Расчет стоимости строительства выполнен проектно-сметным методом.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</si>
  <si>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</si>
  <si>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</si>
  <si>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</si>
  <si>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</si>
  <si>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</si>
  <si>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7.1</t>
  </si>
  <si>
    <t>7.2</t>
  </si>
  <si>
    <t>7.3</t>
  </si>
  <si>
    <t>16.1</t>
  </si>
  <si>
    <t>16.2</t>
  </si>
  <si>
    <t>16.3</t>
  </si>
  <si>
    <t>21.1</t>
  </si>
  <si>
    <t>21.2</t>
  </si>
  <si>
    <t>25.1</t>
  </si>
  <si>
    <t>25.2</t>
  </si>
  <si>
    <t>комплекс</t>
  </si>
  <si>
    <t>Сняте растительного грунта  (позиция по трудности разработки   ПРС-9в  )</t>
  </si>
  <si>
    <t>Земляное полотно</t>
  </si>
  <si>
    <t>Устройство присыпных обочин</t>
  </si>
  <si>
    <t>Раздел 1.</t>
  </si>
  <si>
    <t>Раздел 2.</t>
  </si>
  <si>
    <t>Раздел 3.</t>
  </si>
  <si>
    <t>Раздел 5.</t>
  </si>
  <si>
    <t>Раздел 8.</t>
  </si>
  <si>
    <t>Раздел 9.</t>
  </si>
  <si>
    <t>Раздел 10.</t>
  </si>
  <si>
    <t>Раздел 1, 2</t>
  </si>
  <si>
    <t>Раздел 3, 4</t>
  </si>
  <si>
    <t>Смотровой колодец</t>
  </si>
  <si>
    <t>Раздел 6, 7</t>
  </si>
  <si>
    <t>Устройство быстротока трапециидального сечения</t>
  </si>
  <si>
    <t>Устройство перепадов из коробчатых габионов</t>
  </si>
  <si>
    <t>Водопропускные одноочковые металлические гофрированные трубы диам. 1,5 м (трубы №8,9,12,13,14)</t>
  </si>
  <si>
    <t>Водопропускные двухочковые металлические гофрированные трубы диам. 1,8 м (трубы №1,2,3,4,5,7,10,11)</t>
  </si>
  <si>
    <t>Водопропускные одноочковые металлические гофрированные трубы диам. 1,0 м (трубы №15)</t>
  </si>
  <si>
    <t>Устройство быстротока из телескопических лотков (установочные блоки Б-9)</t>
  </si>
  <si>
    <t>Тротуар асфальтобетонный</t>
  </si>
  <si>
    <t>Тротуар из плит бетонных</t>
  </si>
  <si>
    <t>Бордюр</t>
  </si>
  <si>
    <t>Ж/б конструкции ТП-ЛП-3</t>
  </si>
  <si>
    <t>Ж/б конструкции ТП-ЛП-4</t>
  </si>
  <si>
    <t>Ж/б конструкции ТП-ЛП-5</t>
  </si>
  <si>
    <t>Ж/б конструкции РТП-ЛП-1</t>
  </si>
  <si>
    <t>Ж/б конструкции РТП-ЛП-2</t>
  </si>
  <si>
    <t>Ж/б конструкции ТП-ЛП-1</t>
  </si>
  <si>
    <t>Ж/б конструкции ТП-ЛП-2</t>
  </si>
  <si>
    <t>Монтажные работы</t>
  </si>
  <si>
    <t>Прокладка кабеля</t>
  </si>
  <si>
    <t>Автодороги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</si>
  <si>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</si>
  <si>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</si>
  <si>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</si>
  <si>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</si>
  <si>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</si>
  <si>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</si>
  <si>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</si>
  <si>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</si>
  <si>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</si>
  <si>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</si>
  <si>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</si>
  <si>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1. Приказ об утверждении проектной документации, включая сводный сметный расчет стоимости строительства от 13.11.2019 №Пр-19-176.</t>
  </si>
  <si>
    <t>Итого, руб.</t>
  </si>
  <si>
    <t>Пусконаладочные работы  418,08*15,15*1,02</t>
  </si>
  <si>
    <t>Пусконаладочные работы  418,08*15,15</t>
  </si>
  <si>
    <t>СМР+ВЗиС+ЗУ
+возврат</t>
  </si>
  <si>
    <t>Ведомость объемов конструктивных решений (элементов) и комплексов (видов) работ</t>
  </si>
  <si>
    <t>июнь</t>
  </si>
  <si>
    <t xml:space="preserve">*Индекс фактической инфляции по данным Росстата (КЧР, "Строительство") от цен утверждения сметной документации до даты формирования НМЦК 
июль 2019г. - ноябрь 2020г. </t>
  </si>
  <si>
    <t>1) поскольку индекс фактической инфляции за октябрь-ноябрь 2020 отсутствует на момент формирования НМЦК, то он принимается равным 1.</t>
  </si>
  <si>
    <t>Продолжительность работ в 2021 году</t>
  </si>
  <si>
    <t>Доля работ, выполняемых в 2021 году</t>
  </si>
  <si>
    <t>ежемесячный индекс прогноз на 2020 год</t>
  </si>
  <si>
    <t>ежемесячный индекс прогноз на 2021 год</t>
  </si>
  <si>
    <t>Индекс-дефлятор на 2021 год</t>
  </si>
  <si>
    <t>Итого индекс прогнозной инфляции</t>
  </si>
  <si>
    <t>Индекс-дефлятор на 2020 год</t>
  </si>
  <si>
    <r>
      <rPr>
        <b/>
        <sz val="12"/>
        <rFont val="Times New Roman"/>
        <family val="1"/>
        <charset val="204"/>
      </rPr>
      <t>объект</t>
    </r>
    <r>
      <rPr>
        <sz val="12"/>
        <rFont val="Times New Roman"/>
        <family val="1"/>
        <charset val="204"/>
      </rPr>
      <t>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2</t>
    </r>
  </si>
  <si>
    <r>
      <rPr>
        <b/>
        <sz val="12"/>
        <rFont val="Times New Roman"/>
        <family val="1"/>
        <charset val="204"/>
      </rPr>
      <t>по адресу</t>
    </r>
    <r>
      <rPr>
        <sz val="12"/>
        <rFont val="Times New Roman"/>
        <family val="1"/>
        <charset val="204"/>
      </rPr>
      <t>: начальная точка: Россия, Карачаево-Черкесская Республика, Зеленчукский р-н, Архызское сельское поселение, район Архызского ущелья (ВТРК "Архыз", поселок "Лунная поляна"), пикет НТ ПК0+00,00, конечная точка: Россия, Карачаево-Черкесская Республика, Зеленчукский р-н, Архызское сельское поселение, район Архызского ущелья (ВТРК "Архыз", поселок "Лунная поляна"), пикет КТ ПК11+00,47</t>
    </r>
  </si>
  <si>
    <t>Стоимость работ в ценах на дату формирования начальной (максимальной) цены контракта - ноябрь 2020 г.</t>
  </si>
  <si>
    <t>Расчет индекса прогнозной инфляции для разработки рабочей документации</t>
  </si>
  <si>
    <t>Продолжительность выполнения работ</t>
  </si>
  <si>
    <t>Индекс Минэкономразвития РФ на 2020 г. (Письмо Минэкономразвития России от 30.09.2020 
№ 32028-ПК/Д03и)</t>
  </si>
  <si>
    <t>Расчет индекса прогнозной инфляции для ГРО</t>
  </si>
  <si>
    <t>Индекс Минэкономразвития РФ на 2021 г. (Письмо Минэкономразвития России от 30.09.2020 
№ 32028-ПК/Д03и)</t>
  </si>
  <si>
    <t>Резерв средств на непредвиденные затраты по созданию геодезической разбивочной основы</t>
  </si>
  <si>
    <t>Расчет индекса прогнозной инфляции для строительно-монтажных работ</t>
  </si>
  <si>
    <t>Продолжительность работ в 2022 году</t>
  </si>
  <si>
    <t>Доля работ, выполняемых в 2022 году</t>
  </si>
  <si>
    <t>Индекс Минэкономразвития РФ на 2022 г. (Письмо Минэкономразвития России от 30.09.2020 
№ 32028-ПК/Д03и)</t>
  </si>
  <si>
    <t>Индекс-дефлятор на 2022 год</t>
  </si>
  <si>
    <t>Резерв средств на непредвиденные затраты по разработке рабочей документации</t>
  </si>
  <si>
    <t>7.4</t>
  </si>
  <si>
    <t>7.5</t>
  </si>
  <si>
    <t>7.6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</si>
  <si>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</si>
  <si>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</si>
  <si>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</si>
  <si>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</si>
  <si>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</si>
  <si>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</si>
  <si>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</si>
  <si>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</si>
  <si>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</si>
  <si>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</si>
  <si>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</si>
  <si>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</si>
  <si>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</si>
  <si>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23.3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</si>
  <si>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</si>
  <si>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</si>
  <si>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</si>
  <si>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</si>
  <si>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</si>
  <si>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</si>
  <si>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</si>
  <si>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</si>
  <si>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</si>
  <si>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7.1.1</t>
  </si>
  <si>
    <t>7.1.2</t>
  </si>
  <si>
    <t>7.1.3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</si>
  <si>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</si>
  <si>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</si>
  <si>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</si>
  <si>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</si>
  <si>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</si>
  <si>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</si>
  <si>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</si>
  <si>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</si>
  <si>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</si>
  <si>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</si>
  <si>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(Восемьсот семьдесят один миллион сорок пять тысяч девятьсот пятьдесят шесть рублей 00 копеек)</t>
  </si>
  <si>
    <t>- плата за размещение отходов на период  строительства;</t>
  </si>
  <si>
    <t>- 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</si>
  <si>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реализации проекта.</t>
  </si>
  <si>
    <t>Разработка рабочей документации</t>
  </si>
  <si>
    <t>Строительно-монтажные работы, включая монтаж и испытание оборудования,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</t>
  </si>
  <si>
    <t>20,5 месяцев</t>
  </si>
  <si>
    <t>График производства работ по объекту:</t>
  </si>
  <si>
    <t>«Всесезонный туристско-рекреационный комплекс «Архыз», Карачаево-Черкесская Республика. Магистральные сети инженерно-технического обеспечения и устройство автодороги, пос. Лунная Поляна» (этапы 1,2)»</t>
  </si>
  <si>
    <t>Виды (наименования) работ</t>
  </si>
  <si>
    <t>Сроки выполнения работ</t>
  </si>
  <si>
    <t>Дата начала</t>
  </si>
  <si>
    <t>Дата окончания</t>
  </si>
  <si>
    <t>Длительность</t>
  </si>
  <si>
    <t>Этап 1</t>
  </si>
  <si>
    <t>Этап 2</t>
  </si>
  <si>
    <t>Х</t>
  </si>
  <si>
    <t>Х+67</t>
  </si>
  <si>
    <t>Х+75</t>
  </si>
  <si>
    <t>Х+147</t>
  </si>
  <si>
    <t>Х+59</t>
  </si>
  <si>
    <t>Х+625</t>
  </si>
  <si>
    <t xml:space="preserve">Х – дата подписания Договора 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</si>
  <si>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строительства»,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требованием Положения о договорной работе, утвержденного Приказом акционерного общества "Курорты Северного Кавказа" от 11.10.2019 г. № Пр-19-150.</t>
  </si>
  <si>
    <t>Цена работ учитывает все затраты Подрядчика, включая разработку рабочей документации, создание геодезической разбивочной основы,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прибыли, затраты на строительство временных зданий и сооружений, возврат от разборки временных зданий и сооружений, затраты на удорожание работ в зимнее время, резерв средств на непредвиденные работы и затраты, инфляционную составляющую, налог на добавленную стоимость в размере 20%.</t>
  </si>
  <si>
    <t>Описание метода расчета стоимости разработки рабочей документации</t>
  </si>
  <si>
    <t>Индекс пересчета в текущие цены  на  2 квартал 2019 г. принят согласно Письму Минстроя России  от 17.05.2019 г. №17798-ДВ/09.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</si>
  <si>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30.09.2020 
№ 32028-ПК/Д03и.</t>
  </si>
  <si>
    <t>Описание метода расчета стоимости создания геодезической разбивочной основы (ГРО)</t>
  </si>
  <si>
    <t>Для расчета цены ГРО использован сводный сметный расчет,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</si>
  <si>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Описание метода расчета стоимости строительства</t>
  </si>
  <si>
    <t>Стоимость проживания рабочих на объекте строительства принята в размере 550 руб. в сутки на человека, размер суточных - 100 руб. в сутки на человека согласно Постановлению Правительства РФ от 02.10.2002 г. № 729</t>
  </si>
  <si>
    <t>Индекс пересчета стоимости строительно-монтажных работ в текущие цены  на  2 квартал 2019 г. принят согласно письму Минстроя РФ от 10.04.2019 № 12661-ДВ/09.</t>
  </si>
  <si>
    <t>Индекс пересчета стоимости прочих работ в текущие цены  на  3 квартал 2019 г. принят согласно письму Минстроя РФ от 04.06.2019 № 20003-ДВ/09</t>
  </si>
  <si>
    <t>В расчете учтен резерв средств на непредвиденные затраты в размере 2%</t>
  </si>
  <si>
    <t>Для расчета цены разработки рабочей документации использован сводный сметный расчет, получивший положительное заключение Федерального автономного учреждения "Главное управление государственной экспертизы" 
(ФАУ "ГЛАВГОСЭКСПЕРТИЗА РОССИИ") Северо-Кавказский филиал  от 22.10.2019 № 00106-19/СКЭ-19943/1104 
(№ в реестре 00-1-2240-19).).</t>
  </si>
  <si>
    <t>Для расчета цены строительства  использован сводный сметный расчет, разработанный ООО "РосЮгСтрой" в рамках договора от 10.08.2016 №Д-ДРП-16-012 и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от 22.10.2019 № 00106-19/СКЭ-19943/1104 (№ в реестре 00-1-2240-19)..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</si>
</sst>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#,##0.000"/>
    <numFmt numFmtId="167" formatCode="_-* #,##0\ _₽_-;\-* #,##0\ _₽_-;_-* &quot;-&quot;??\ _₽_-;_-@_-"/>
    <numFmt numFmtId="168" formatCode="#,##0.####"/>
    <numFmt numFmtId="169" formatCode="0.00000"/>
    <numFmt numFmtId="170" formatCode="#,##0.00000"/>
    <numFmt numFmtId="171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" fillId="0" borderId="0"/>
    <xf numFmtId="0" fontId="29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</cellStyleXfs>
  <cellXfs count="304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2" fontId="6" fillId="0" borderId="2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2" fillId="0" borderId="0" xfId="0" applyNumberFormat="1" applyFont="1"/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/>
    </xf>
    <xf numFmtId="4" fontId="11" fillId="0" borderId="2" xfId="0" applyNumberFormat="1" applyFont="1" applyBorder="1" applyAlignment="1">
      <alignment horizontal="right" vertical="top"/>
    </xf>
    <xf numFmtId="4" fontId="11" fillId="0" borderId="2" xfId="0" applyNumberFormat="1" applyFont="1" applyBorder="1" applyAlignment="1">
      <alignment horizontal="right" vertical="top" wrapText="1"/>
    </xf>
    <xf numFmtId="4" fontId="2" fillId="0" borderId="0" xfId="0" applyNumberFormat="1" applyFont="1"/>
    <xf numFmtId="4" fontId="3" fillId="4" borderId="2" xfId="0" applyNumberFormat="1" applyFont="1" applyFill="1" applyBorder="1" applyAlignment="1">
      <alignment horizontal="right"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0" fontId="12" fillId="0" borderId="0" xfId="2"/>
    <xf numFmtId="0" fontId="12" fillId="0" borderId="0" xfId="2" applyFont="1"/>
    <xf numFmtId="0" fontId="14" fillId="0" borderId="0" xfId="2" applyFont="1"/>
    <xf numFmtId="0" fontId="2" fillId="3" borderId="0" xfId="0" applyFont="1" applyFill="1"/>
    <xf numFmtId="0" fontId="12" fillId="0" borderId="0" xfId="2" applyFont="1" applyAlignment="1">
      <alignment vertical="center"/>
    </xf>
    <xf numFmtId="49" fontId="14" fillId="0" borderId="0" xfId="2" applyNumberFormat="1" applyFont="1"/>
    <xf numFmtId="49" fontId="12" fillId="0" borderId="0" xfId="2" applyNumberFormat="1"/>
    <xf numFmtId="49" fontId="12" fillId="0" borderId="0" xfId="2" applyNumberFormat="1" applyFont="1"/>
    <xf numFmtId="0" fontId="16" fillId="0" borderId="0" xfId="2" applyFont="1" applyBorder="1" applyAlignment="1"/>
    <xf numFmtId="49" fontId="12" fillId="0" borderId="0" xfId="2" applyNumberFormat="1" applyFont="1" applyAlignment="1">
      <alignment horizontal="left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Border="1"/>
    <xf numFmtId="4" fontId="20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vertical="center" wrapText="1"/>
    </xf>
    <xf numFmtId="0" fontId="22" fillId="0" borderId="0" xfId="0" applyFont="1"/>
    <xf numFmtId="0" fontId="22" fillId="0" borderId="0" xfId="2" applyFont="1"/>
    <xf numFmtId="0" fontId="22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/>
    </xf>
    <xf numFmtId="49" fontId="22" fillId="0" borderId="2" xfId="2" quotePrefix="1" applyNumberFormat="1" applyFont="1" applyFill="1" applyBorder="1" applyAlignment="1" applyProtection="1">
      <alignment horizontal="left" vertical="center" wrapText="1"/>
    </xf>
    <xf numFmtId="0" fontId="22" fillId="0" borderId="2" xfId="2" applyFont="1" applyBorder="1" applyAlignment="1">
      <alignment vertical="center"/>
    </xf>
    <xf numFmtId="49" fontId="22" fillId="0" borderId="2" xfId="0" applyNumberFormat="1" applyFont="1" applyBorder="1" applyAlignment="1">
      <alignment horizontal="left" vertical="top" wrapText="1"/>
    </xf>
    <xf numFmtId="49" fontId="22" fillId="0" borderId="2" xfId="2" applyNumberFormat="1" applyFont="1" applyFill="1" applyBorder="1" applyAlignment="1" applyProtection="1">
      <alignment horizontal="left" vertical="center" wrapText="1"/>
    </xf>
    <xf numFmtId="164" fontId="22" fillId="0" borderId="2" xfId="1" applyNumberFormat="1" applyFont="1" applyFill="1" applyBorder="1" applyAlignment="1">
      <alignment horizontal="center" vertical="center"/>
    </xf>
    <xf numFmtId="167" fontId="22" fillId="0" borderId="2" xfId="1" applyNumberFormat="1" applyFont="1" applyFill="1" applyBorder="1" applyAlignment="1">
      <alignment horizontal="center" vertical="center"/>
    </xf>
    <xf numFmtId="4" fontId="22" fillId="0" borderId="2" xfId="1" applyNumberFormat="1" applyFont="1" applyFill="1" applyBorder="1" applyAlignment="1">
      <alignment horizontal="center" vertical="center"/>
    </xf>
    <xf numFmtId="49" fontId="24" fillId="3" borderId="2" xfId="2" applyNumberFormat="1" applyFont="1" applyFill="1" applyBorder="1" applyAlignment="1">
      <alignment horizontal="center" vertical="center"/>
    </xf>
    <xf numFmtId="167" fontId="24" fillId="3" borderId="2" xfId="1" applyNumberFormat="1" applyFont="1" applyFill="1" applyBorder="1" applyAlignment="1">
      <alignment horizontal="center" vertical="center"/>
    </xf>
    <xf numFmtId="4" fontId="24" fillId="3" borderId="2" xfId="1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left" vertical="top" wrapText="1"/>
    </xf>
    <xf numFmtId="4" fontId="25" fillId="0" borderId="2" xfId="1" applyNumberFormat="1" applyFont="1" applyFill="1" applyBorder="1" applyAlignment="1">
      <alignment horizontal="center" vertical="center"/>
    </xf>
    <xf numFmtId="49" fontId="22" fillId="3" borderId="2" xfId="2" applyNumberFormat="1" applyFont="1" applyFill="1" applyBorder="1" applyAlignment="1">
      <alignment horizontal="center" vertical="center"/>
    </xf>
    <xf numFmtId="4" fontId="22" fillId="3" borderId="2" xfId="1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/>
    </xf>
    <xf numFmtId="167" fontId="22" fillId="3" borderId="2" xfId="1" applyNumberFormat="1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left" vertical="top" wrapText="1"/>
    </xf>
    <xf numFmtId="0" fontId="22" fillId="0" borderId="0" xfId="2" applyFont="1" applyBorder="1"/>
    <xf numFmtId="0" fontId="22" fillId="0" borderId="0" xfId="2" applyFont="1" applyBorder="1" applyAlignment="1">
      <alignment vertical="center" wrapText="1"/>
    </xf>
    <xf numFmtId="3" fontId="22" fillId="0" borderId="0" xfId="2" applyNumberFormat="1" applyFont="1" applyBorder="1"/>
    <xf numFmtId="0" fontId="26" fillId="0" borderId="0" xfId="2" applyFont="1" applyBorder="1"/>
    <xf numFmtId="4" fontId="22" fillId="0" borderId="0" xfId="0" applyNumberFormat="1" applyFont="1"/>
    <xf numFmtId="49" fontId="22" fillId="0" borderId="2" xfId="2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/>
    <xf numFmtId="0" fontId="22" fillId="0" borderId="0" xfId="0" applyFont="1" applyAlignment="1">
      <alignment wrapText="1"/>
    </xf>
    <xf numFmtId="171" fontId="22" fillId="0" borderId="0" xfId="0" applyNumberFormat="1" applyFont="1" applyAlignment="1">
      <alignment horizontal="center"/>
    </xf>
    <xf numFmtId="14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/>
    </xf>
    <xf numFmtId="0" fontId="22" fillId="8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22" fillId="8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/>
    <xf numFmtId="0" fontId="22" fillId="4" borderId="2" xfId="2" applyFont="1" applyFill="1" applyBorder="1" applyAlignment="1">
      <alignment vertical="center"/>
    </xf>
    <xf numFmtId="0" fontId="22" fillId="4" borderId="2" xfId="2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/>
    </xf>
    <xf numFmtId="0" fontId="22" fillId="0" borderId="2" xfId="2" applyFont="1" applyBorder="1"/>
    <xf numFmtId="3" fontId="22" fillId="7" borderId="2" xfId="2" applyNumberFormat="1" applyFont="1" applyFill="1" applyBorder="1" applyAlignment="1">
      <alignment horizontal="center" vertical="center"/>
    </xf>
    <xf numFmtId="166" fontId="22" fillId="0" borderId="2" xfId="2" applyNumberFormat="1" applyFont="1" applyBorder="1" applyAlignment="1">
      <alignment horizontal="center" vertical="center"/>
    </xf>
    <xf numFmtId="3" fontId="22" fillId="0" borderId="2" xfId="2" applyNumberFormat="1" applyFont="1" applyBorder="1" applyAlignment="1">
      <alignment horizontal="center" vertical="center"/>
    </xf>
    <xf numFmtId="170" fontId="22" fillId="0" borderId="2" xfId="2" applyNumberFormat="1" applyFont="1" applyBorder="1" applyAlignment="1">
      <alignment horizontal="center" vertical="center"/>
    </xf>
    <xf numFmtId="3" fontId="22" fillId="3" borderId="2" xfId="2" applyNumberFormat="1" applyFont="1" applyFill="1" applyBorder="1" applyAlignment="1">
      <alignment horizontal="center" vertical="center"/>
    </xf>
    <xf numFmtId="49" fontId="22" fillId="0" borderId="2" xfId="2" applyNumberFormat="1" applyFont="1" applyFill="1" applyBorder="1" applyAlignment="1" applyProtection="1">
      <alignment horizontal="left" vertical="top" wrapText="1"/>
    </xf>
    <xf numFmtId="3" fontId="22" fillId="0" borderId="2" xfId="2" applyNumberFormat="1" applyFont="1" applyFill="1" applyBorder="1" applyAlignment="1">
      <alignment horizontal="center" vertical="center"/>
    </xf>
    <xf numFmtId="0" fontId="22" fillId="4" borderId="2" xfId="2" applyFont="1" applyFill="1" applyBorder="1"/>
    <xf numFmtId="4" fontId="22" fillId="4" borderId="2" xfId="2" applyNumberFormat="1" applyFont="1" applyFill="1" applyBorder="1" applyAlignment="1">
      <alignment horizontal="center" vertical="center"/>
    </xf>
    <xf numFmtId="166" fontId="23" fillId="4" borderId="2" xfId="2" applyNumberFormat="1" applyFont="1" applyFill="1" applyBorder="1" applyAlignment="1">
      <alignment horizontal="center" vertical="center"/>
    </xf>
    <xf numFmtId="3" fontId="23" fillId="4" borderId="2" xfId="2" applyNumberFormat="1" applyFont="1" applyFill="1" applyBorder="1" applyAlignment="1">
      <alignment horizontal="center" vertical="center"/>
    </xf>
    <xf numFmtId="4" fontId="22" fillId="4" borderId="2" xfId="2" applyNumberFormat="1" applyFont="1" applyFill="1" applyBorder="1" applyAlignment="1">
      <alignment horizontal="center"/>
    </xf>
    <xf numFmtId="4" fontId="23" fillId="4" borderId="2" xfId="2" applyNumberFormat="1" applyFont="1" applyFill="1" applyBorder="1" applyAlignment="1">
      <alignment horizontal="center" vertical="center"/>
    </xf>
    <xf numFmtId="4" fontId="22" fillId="0" borderId="0" xfId="2" applyNumberFormat="1" applyFont="1" applyBorder="1" applyAlignment="1">
      <alignment horizontal="center" vertical="center"/>
    </xf>
    <xf numFmtId="165" fontId="22" fillId="0" borderId="0" xfId="2" applyNumberFormat="1" applyFont="1" applyAlignment="1">
      <alignment horizontal="center"/>
    </xf>
    <xf numFmtId="0" fontId="23" fillId="0" borderId="0" xfId="0" applyFont="1"/>
    <xf numFmtId="0" fontId="22" fillId="0" borderId="2" xfId="0" applyFont="1" applyBorder="1" applyAlignment="1">
      <alignment horizontal="center" vertical="center"/>
    </xf>
    <xf numFmtId="168" fontId="22" fillId="0" borderId="2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6" fillId="0" borderId="1" xfId="2" applyFont="1" applyBorder="1"/>
    <xf numFmtId="168" fontId="22" fillId="0" borderId="0" xfId="0" applyNumberFormat="1" applyFont="1" applyAlignment="1">
      <alignment horizontal="right" vertical="top"/>
    </xf>
    <xf numFmtId="3" fontId="22" fillId="0" borderId="7" xfId="0" applyNumberFormat="1" applyFont="1" applyBorder="1" applyAlignment="1">
      <alignment horizontal="right" vertical="top"/>
    </xf>
    <xf numFmtId="169" fontId="17" fillId="0" borderId="0" xfId="0" applyNumberFormat="1" applyFont="1" applyAlignment="1">
      <alignment horizontal="center" vertical="center"/>
    </xf>
    <xf numFmtId="14" fontId="27" fillId="0" borderId="2" xfId="3" applyNumberFormat="1" applyFont="1" applyBorder="1" applyAlignment="1">
      <alignment horizontal="center" vertical="center" wrapText="1"/>
    </xf>
    <xf numFmtId="49" fontId="25" fillId="3" borderId="2" xfId="2" applyNumberFormat="1" applyFont="1" applyFill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 wrapText="1"/>
    </xf>
    <xf numFmtId="49" fontId="28" fillId="3" borderId="2" xfId="2" applyNumberFormat="1" applyFont="1" applyFill="1" applyBorder="1" applyAlignment="1">
      <alignment horizontal="center" vertical="center"/>
    </xf>
    <xf numFmtId="4" fontId="22" fillId="0" borderId="2" xfId="2" applyNumberFormat="1" applyFont="1" applyBorder="1" applyAlignment="1">
      <alignment horizontal="center" vertical="center"/>
    </xf>
    <xf numFmtId="3" fontId="22" fillId="0" borderId="2" xfId="1" applyNumberFormat="1" applyFont="1" applyFill="1" applyBorder="1" applyAlignment="1">
      <alignment horizontal="center" vertical="center"/>
    </xf>
    <xf numFmtId="3" fontId="22" fillId="7" borderId="2" xfId="1" applyNumberFormat="1" applyFont="1" applyFill="1" applyBorder="1" applyAlignment="1">
      <alignment horizontal="center" vertical="center"/>
    </xf>
    <xf numFmtId="4" fontId="22" fillId="0" borderId="2" xfId="2" applyNumberFormat="1" applyFont="1" applyFill="1" applyBorder="1" applyAlignment="1" applyProtection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3" fontId="22" fillId="9" borderId="2" xfId="2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3" fontId="25" fillId="5" borderId="2" xfId="1" applyNumberFormat="1" applyFont="1" applyFill="1" applyBorder="1" applyAlignment="1">
      <alignment horizontal="center" vertical="center"/>
    </xf>
    <xf numFmtId="3" fontId="25" fillId="0" borderId="2" xfId="1" applyNumberFormat="1" applyFont="1" applyFill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wrapText="1"/>
    </xf>
    <xf numFmtId="2" fontId="25" fillId="5" borderId="2" xfId="0" applyNumberFormat="1" applyFont="1" applyFill="1" applyBorder="1" applyAlignment="1">
      <alignment horizontal="center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 wrapText="1"/>
    </xf>
    <xf numFmtId="3" fontId="22" fillId="3" borderId="2" xfId="1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3" fontId="24" fillId="7" borderId="2" xfId="1" applyNumberFormat="1" applyFont="1" applyFill="1" applyBorder="1" applyAlignment="1">
      <alignment horizontal="center" vertical="center"/>
    </xf>
    <xf numFmtId="3" fontId="25" fillId="3" borderId="2" xfId="1" applyNumberFormat="1" applyFont="1" applyFill="1" applyBorder="1" applyAlignment="1">
      <alignment horizontal="center" vertical="center"/>
    </xf>
    <xf numFmtId="4" fontId="22" fillId="3" borderId="2" xfId="0" applyNumberFormat="1" applyFont="1" applyFill="1" applyBorder="1" applyAlignment="1">
      <alignment horizontal="center" vertical="center" wrapText="1"/>
    </xf>
    <xf numFmtId="49" fontId="22" fillId="0" borderId="2" xfId="2" applyNumberFormat="1" applyFont="1" applyBorder="1" applyAlignment="1">
      <alignment horizontal="center"/>
    </xf>
    <xf numFmtId="49" fontId="22" fillId="0" borderId="2" xfId="2" quotePrefix="1" applyNumberFormat="1" applyFont="1" applyFill="1" applyBorder="1" applyAlignment="1" applyProtection="1">
      <alignment horizontal="left" vertical="top"/>
    </xf>
    <xf numFmtId="0" fontId="22" fillId="0" borderId="2" xfId="2" applyFont="1" applyBorder="1" applyAlignment="1">
      <alignment vertical="center" wrapText="1"/>
    </xf>
    <xf numFmtId="1" fontId="22" fillId="0" borderId="2" xfId="2" applyNumberFormat="1" applyFont="1" applyBorder="1"/>
    <xf numFmtId="167" fontId="22" fillId="0" borderId="2" xfId="2" applyNumberFormat="1" applyFont="1" applyBorder="1"/>
    <xf numFmtId="4" fontId="22" fillId="0" borderId="2" xfId="2" applyNumberFormat="1" applyFont="1" applyBorder="1" applyAlignment="1">
      <alignment horizontal="center"/>
    </xf>
    <xf numFmtId="164" fontId="26" fillId="0" borderId="0" xfId="2" applyNumberFormat="1" applyFont="1" applyBorder="1"/>
    <xf numFmtId="4" fontId="26" fillId="0" borderId="0" xfId="2" applyNumberFormat="1" applyFont="1" applyBorder="1"/>
    <xf numFmtId="4" fontId="12" fillId="0" borderId="0" xfId="2" applyNumberFormat="1" applyFont="1" applyFill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18" fillId="0" borderId="0" xfId="2" applyFont="1" applyAlignment="1">
      <alignment horizontal="center" vertical="center" wrapText="1"/>
    </xf>
    <xf numFmtId="0" fontId="27" fillId="0" borderId="0" xfId="2" applyFont="1"/>
    <xf numFmtId="0" fontId="27" fillId="6" borderId="2" xfId="2" applyFont="1" applyFill="1" applyBorder="1" applyAlignment="1">
      <alignment horizontal="center" vertical="center" wrapText="1"/>
    </xf>
    <xf numFmtId="0" fontId="22" fillId="6" borderId="2" xfId="2" applyFont="1" applyFill="1" applyBorder="1" applyAlignment="1">
      <alignment horizontal="center"/>
    </xf>
    <xf numFmtId="0" fontId="27" fillId="3" borderId="2" xfId="2" applyFont="1" applyFill="1" applyBorder="1" applyAlignment="1">
      <alignment horizontal="center" vertical="center" wrapText="1"/>
    </xf>
    <xf numFmtId="4" fontId="22" fillId="3" borderId="2" xfId="2" applyNumberFormat="1" applyFont="1" applyFill="1" applyBorder="1" applyAlignment="1">
      <alignment horizontal="center" vertical="center" wrapText="1"/>
    </xf>
    <xf numFmtId="4" fontId="22" fillId="3" borderId="2" xfId="2" applyNumberFormat="1" applyFont="1" applyFill="1" applyBorder="1" applyAlignment="1">
      <alignment horizontal="center"/>
    </xf>
    <xf numFmtId="49" fontId="27" fillId="3" borderId="2" xfId="2" applyNumberFormat="1" applyFont="1" applyFill="1" applyBorder="1" applyAlignment="1">
      <alignment horizontal="center" vertical="center" wrapText="1"/>
    </xf>
    <xf numFmtId="0" fontId="18" fillId="6" borderId="2" xfId="2" applyFont="1" applyFill="1" applyBorder="1" applyAlignment="1">
      <alignment vertical="center" wrapText="1"/>
    </xf>
    <xf numFmtId="4" fontId="18" fillId="6" borderId="2" xfId="2" applyNumberFormat="1" applyFont="1" applyFill="1" applyBorder="1" applyAlignment="1">
      <alignment horizontal="center" vertical="center" wrapText="1"/>
    </xf>
    <xf numFmtId="0" fontId="27" fillId="0" borderId="2" xfId="2" applyFont="1" applyBorder="1" applyAlignment="1">
      <alignment vertical="center" wrapText="1"/>
    </xf>
    <xf numFmtId="0" fontId="27" fillId="0" borderId="2" xfId="2" applyFont="1" applyBorder="1" applyAlignment="1">
      <alignment horizontal="justify" vertical="center" wrapText="1"/>
    </xf>
    <xf numFmtId="4" fontId="27" fillId="0" borderId="2" xfId="2" applyNumberFormat="1" applyFont="1" applyBorder="1" applyAlignment="1">
      <alignment horizontal="center" vertical="center" wrapText="1"/>
    </xf>
    <xf numFmtId="4" fontId="27" fillId="0" borderId="2" xfId="2" applyNumberFormat="1" applyFont="1" applyBorder="1" applyAlignment="1">
      <alignment horizontal="center" vertical="center"/>
    </xf>
    <xf numFmtId="3" fontId="22" fillId="0" borderId="2" xfId="2" applyNumberFormat="1" applyFont="1" applyFill="1" applyBorder="1" applyAlignment="1">
      <alignment horizontal="center"/>
    </xf>
    <xf numFmtId="4" fontId="22" fillId="0" borderId="2" xfId="2" applyNumberFormat="1" applyFont="1" applyFill="1" applyBorder="1" applyAlignment="1">
      <alignment horizontal="center"/>
    </xf>
    <xf numFmtId="0" fontId="17" fillId="0" borderId="0" xfId="2" applyFont="1" applyFill="1" applyAlignment="1">
      <alignment horizontal="center" vertical="center"/>
    </xf>
    <xf numFmtId="14" fontId="17" fillId="0" borderId="0" xfId="2" applyNumberFormat="1" applyFont="1" applyFill="1" applyAlignment="1">
      <alignment horizontal="center" vertical="center"/>
    </xf>
    <xf numFmtId="0" fontId="1" fillId="0" borderId="0" xfId="3"/>
    <xf numFmtId="0" fontId="18" fillId="0" borderId="2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0" fontId="27" fillId="0" borderId="12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13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14" fontId="27" fillId="0" borderId="8" xfId="3" applyNumberFormat="1" applyFont="1" applyBorder="1" applyAlignment="1">
      <alignment horizontal="center" vertical="center" wrapText="1"/>
    </xf>
    <xf numFmtId="0" fontId="27" fillId="0" borderId="19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1" fillId="0" borderId="0" xfId="3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1" fillId="0" borderId="0" xfId="3" applyBorder="1"/>
    <xf numFmtId="0" fontId="1" fillId="0" borderId="0" xfId="3" applyAlignment="1">
      <alignment horizontal="center"/>
    </xf>
    <xf numFmtId="49" fontId="12" fillId="0" borderId="0" xfId="2" applyNumberFormat="1" applyFont="1" applyAlignment="1">
      <alignment wrapText="1"/>
    </xf>
    <xf numFmtId="0" fontId="27" fillId="10" borderId="16" xfId="3" applyFont="1" applyFill="1" applyBorder="1" applyAlignment="1">
      <alignment horizontal="center" vertical="center" wrapText="1"/>
    </xf>
    <xf numFmtId="0" fontId="27" fillId="10" borderId="0" xfId="3" applyFont="1" applyFill="1" applyBorder="1" applyAlignment="1">
      <alignment horizontal="center" vertical="center" wrapText="1"/>
    </xf>
    <xf numFmtId="0" fontId="27" fillId="10" borderId="17" xfId="3" applyFont="1" applyFill="1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7" fillId="10" borderId="14" xfId="3" applyFont="1" applyFill="1" applyBorder="1" applyAlignment="1">
      <alignment horizontal="center" vertical="center" wrapText="1"/>
    </xf>
    <xf numFmtId="0" fontId="27" fillId="10" borderId="4" xfId="3" applyFont="1" applyFill="1" applyBorder="1" applyAlignment="1">
      <alignment horizontal="center" vertical="center" wrapText="1"/>
    </xf>
    <xf numFmtId="0" fontId="27" fillId="10" borderId="15" xfId="3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 wrapText="1"/>
    </xf>
    <xf numFmtId="49" fontId="21" fillId="0" borderId="0" xfId="2" applyNumberFormat="1" applyFont="1" applyAlignment="1">
      <alignment horizontal="left" wrapText="1"/>
    </xf>
    <xf numFmtId="0" fontId="21" fillId="0" borderId="0" xfId="2" applyFont="1" applyBorder="1" applyAlignment="1">
      <alignment horizontal="left" vertical="center" wrapText="1"/>
    </xf>
    <xf numFmtId="0" fontId="21" fillId="0" borderId="0" xfId="2" applyFont="1" applyBorder="1" applyAlignment="1">
      <alignment vertical="center" wrapText="1"/>
    </xf>
    <xf numFmtId="0" fontId="20" fillId="0" borderId="0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left" vertical="top" wrapText="1"/>
    </xf>
    <xf numFmtId="49" fontId="21" fillId="0" borderId="0" xfId="2" applyNumberFormat="1" applyFont="1" applyFill="1" applyBorder="1" applyAlignment="1">
      <alignment horizontal="justify" vertical="center" wrapText="1"/>
    </xf>
    <xf numFmtId="0" fontId="20" fillId="0" borderId="0" xfId="2" applyFont="1" applyBorder="1" applyAlignment="1">
      <alignment horizontal="center"/>
    </xf>
    <xf numFmtId="0" fontId="20" fillId="0" borderId="0" xfId="2" quotePrefix="1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top" wrapTex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27" fillId="6" borderId="2" xfId="2" applyFont="1" applyFill="1" applyBorder="1" applyAlignment="1">
      <alignment horizontal="center" vertical="center" wrapText="1"/>
    </xf>
    <xf numFmtId="0" fontId="27" fillId="6" borderId="3" xfId="2" applyFont="1" applyFill="1" applyBorder="1" applyAlignment="1">
      <alignment horizontal="center" vertical="center" wrapText="1"/>
    </xf>
    <xf numFmtId="0" fontId="27" fillId="6" borderId="6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/>
    </xf>
    <xf numFmtId="49" fontId="12" fillId="0" borderId="0" xfId="2" applyNumberFormat="1" applyFont="1" applyAlignment="1">
      <alignment horizontal="left" vertical="center" wrapText="1"/>
    </xf>
    <xf numFmtId="49" fontId="12" fillId="0" borderId="0" xfId="2" applyNumberFormat="1" applyFont="1" applyAlignment="1">
      <alignment horizontal="left" vertical="center"/>
    </xf>
    <xf numFmtId="0" fontId="13" fillId="0" borderId="0" xfId="2" applyFont="1" applyAlignment="1">
      <alignment horizontal="center"/>
    </xf>
    <xf numFmtId="0" fontId="12" fillId="0" borderId="0" xfId="2" applyAlignment="1">
      <alignment horizontal="left" wrapTex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49" fontId="12" fillId="0" borderId="0" xfId="2" applyNumberFormat="1" applyFont="1" applyAlignment="1">
      <alignment horizontal="left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2" applyFont="1" applyAlignment="1">
      <alignment horizontal="left" wrapText="1"/>
    </xf>
    <xf numFmtId="0" fontId="24" fillId="0" borderId="4" xfId="2" applyFont="1" applyBorder="1" applyAlignment="1">
      <alignment horizontal="center"/>
    </xf>
    <xf numFmtId="0" fontId="22" fillId="0" borderId="0" xfId="2" applyFont="1" applyAlignment="1">
      <alignment horizontal="left" vertical="top" wrapText="1"/>
    </xf>
    <xf numFmtId="0" fontId="22" fillId="0" borderId="0" xfId="2" applyFont="1" applyFill="1" applyAlignment="1">
      <alignment horizontal="left" wrapText="1"/>
    </xf>
    <xf numFmtId="0" fontId="22" fillId="0" borderId="0" xfId="2" applyFont="1" applyFill="1" applyAlignment="1">
      <alignment horizontal="left" vertical="center"/>
    </xf>
    <xf numFmtId="0" fontId="22" fillId="0" borderId="0" xfId="2" applyFont="1" applyFill="1" applyAlignment="1">
      <alignment horizontal="left" vertical="top" wrapText="1"/>
    </xf>
    <xf numFmtId="0" fontId="22" fillId="0" borderId="0" xfId="2" applyFont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0">
    <cellStyle name="Excel Built-in Normal" xfId="4"/>
    <cellStyle name="Обычный" xfId="0" builtinId="0"/>
    <cellStyle name="Обычный 2" xfId="5"/>
    <cellStyle name="Обычный 3" xfId="2"/>
    <cellStyle name="Обычный 4" xfId="3"/>
    <cellStyle name="Обычный 4 2" xfId="6"/>
    <cellStyle name="Обычный 5" xfId="7"/>
    <cellStyle name="Обычный 6" xfId="8"/>
    <cellStyle name="Финансовый" xfId="1" builtinId="3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1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52725" y="10620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304800</xdr:colOff>
      <xdr:row>45</xdr:row>
      <xdr:rowOff>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52725" y="1096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47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2372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43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868395" y="1062037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1,062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868395" y="1062037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12&amp;1,062)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44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843743" y="1097448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1,051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843743" y="1097448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12&amp;1,051)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1155886</xdr:colOff>
      <xdr:row>46</xdr:row>
      <xdr:rowOff>11206</xdr:rowOff>
    </xdr:from>
    <xdr:ext cx="2947148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013386" y="15945971"/>
              <a:ext cx="294714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</a:t>
              </a:r>
              <a:r>
                <a:rPr lang="ru-RU" sz="14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ru-RU" sz="1400">
                  <a:effectLst/>
                </a:rPr>
                <a:t>+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  <m:r>
                    <a:rPr lang="ru-RU" sz="14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013386" y="15945971"/>
              <a:ext cx="294714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</a:t>
              </a:r>
              <a:r>
                <a:rPr lang="ru-RU" sz="14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ru-RU" sz="1400">
                  <a:effectLst/>
                </a:rPr>
                <a:t>+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1,00415〗^3)</a:t>
              </a:r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45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35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47383"/>
    <xdr:sp macro="" textlink="">
      <xdr:nvSpPr>
        <xdr:cNvPr id="29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16831235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392206"/>
    <xdr:sp macro="" textlink="">
      <xdr:nvSpPr>
        <xdr:cNvPr id="3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17178618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0</xdr:rowOff>
    </xdr:from>
    <xdr:ext cx="304800" cy="403412"/>
    <xdr:sp macro="" textlink="">
      <xdr:nvSpPr>
        <xdr:cNvPr id="3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18019059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190500"/>
    <xdr:sp macro="" textlink="">
      <xdr:nvSpPr>
        <xdr:cNvPr id="3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1757082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47383"/>
    <xdr:sp macro="" textlink="">
      <xdr:nvSpPr>
        <xdr:cNvPr id="38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16461441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392206"/>
    <xdr:sp macro="" textlink="">
      <xdr:nvSpPr>
        <xdr:cNvPr id="3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16808824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0</xdr:rowOff>
    </xdr:from>
    <xdr:ext cx="304800" cy="403412"/>
    <xdr:sp macro="" textlink="">
      <xdr:nvSpPr>
        <xdr:cNvPr id="4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17649265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428064</xdr:colOff>
      <xdr:row>59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5336240" y="2269191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1,062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5336240" y="2269191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12&amp;1,062)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60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5322794" y="23106531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1,051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5322794" y="23106531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12&amp;1,051)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113750</xdr:colOff>
      <xdr:row>62</xdr:row>
      <xdr:rowOff>33618</xdr:rowOff>
    </xdr:from>
    <xdr:ext cx="1880908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/>
            <xdr:cNvSpPr txBox="1"/>
          </xdr:nvSpPr>
          <xdr:spPr>
            <a:xfrm>
              <a:off x="5021926" y="24115059"/>
              <a:ext cx="188090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lang="ru-RU" sz="1400">
                  <a:effectLst/>
                </a:rPr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</m:oMath>
              </a14:m>
              <a:r>
                <a:rPr lang="ru-RU" sz="1400">
                  <a:effectLst/>
                </a:rPr>
                <a:t>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5021926" y="24115059"/>
              <a:ext cx="188090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lang="ru-RU" sz="1400">
                  <a:effectLst/>
                </a:rPr>
                <a:t>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1,00415〗^3</a:t>
              </a:r>
              <a:r>
                <a:rPr lang="ru-RU" sz="1400">
                  <a:effectLst/>
                </a:rPr>
                <a:t>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61</xdr:row>
      <xdr:rowOff>0</xdr:rowOff>
    </xdr:from>
    <xdr:ext cx="304800" cy="190500"/>
    <xdr:sp macro="" textlink="">
      <xdr:nvSpPr>
        <xdr:cNvPr id="4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17201029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304800" cy="347383"/>
    <xdr:sp macro="" textlink="">
      <xdr:nvSpPr>
        <xdr:cNvPr id="45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22871206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304800" cy="392206"/>
    <xdr:sp macro="" textlink="">
      <xdr:nvSpPr>
        <xdr:cNvPr id="46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23274618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04800" cy="403412"/>
    <xdr:sp macro="" textlink="">
      <xdr:nvSpPr>
        <xdr:cNvPr id="4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4081441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190500"/>
    <xdr:sp macro="" textlink="">
      <xdr:nvSpPr>
        <xdr:cNvPr id="4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3678029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1467974</xdr:colOff>
      <xdr:row>82</xdr:row>
      <xdr:rowOff>22411</xdr:rowOff>
    </xdr:from>
    <xdr:ext cx="2633382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/>
            <xdr:cNvSpPr txBox="1"/>
          </xdr:nvSpPr>
          <xdr:spPr>
            <a:xfrm>
              <a:off x="4325474" y="29617146"/>
              <a:ext cx="2633382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ru-RU" sz="1400" b="0" i="1">
                      <a:latin typeface="Cambria Math"/>
                    </a:rPr>
                    <m:t>1,0</m:t>
                  </m:r>
                  <m:r>
                    <a:rPr lang="en-US" sz="1400" b="0" i="1">
                      <a:latin typeface="Cambria Math"/>
                    </a:rPr>
                    <m:t>3903</m:t>
                  </m:r>
                  <m:r>
                    <a:rPr lang="ru-RU" sz="1400" b="0" i="1">
                      <a:latin typeface="Cambria Math"/>
                    </a:rPr>
                    <m:t>∗0,5+</m:t>
                  </m:r>
                  <m:r>
                    <a:rPr lang="ru-RU" sz="1400" b="0" i="0">
                      <a:latin typeface="Cambria Math"/>
                    </a:rPr>
                    <m:t>1,0</m:t>
                  </m:r>
                  <m:r>
                    <a:rPr lang="en-US" sz="1400" b="0" i="0">
                      <a:latin typeface="Cambria Math"/>
                    </a:rPr>
                    <m:t>7718</m:t>
                  </m:r>
                  <m:r>
                    <a:rPr lang="ru-RU" sz="1400" b="0" i="0">
                      <a:latin typeface="Cambria Math"/>
                    </a:rPr>
                    <m:t>∗0,5</m:t>
                  </m:r>
                </m:oMath>
              </a14:m>
              <a:r>
                <a:rPr lang="ru-RU" sz="1400">
                  <a:effectLst/>
                </a:rPr>
                <a:t> =</a:t>
              </a:r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4325474" y="29617146"/>
              <a:ext cx="2633382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 b="0" i="0">
                  <a:latin typeface="Cambria Math"/>
                </a:rPr>
                <a:t>1,0</a:t>
              </a:r>
              <a:r>
                <a:rPr lang="en-US" sz="1400" b="0" i="0">
                  <a:latin typeface="Cambria Math"/>
                </a:rPr>
                <a:t>3903</a:t>
              </a:r>
              <a:r>
                <a:rPr lang="ru-RU" sz="1400" b="0" i="0">
                  <a:latin typeface="Cambria Math"/>
                </a:rPr>
                <a:t>∗0,5+1,0</a:t>
              </a:r>
              <a:r>
                <a:rPr lang="en-US" sz="1400" b="0" i="0">
                  <a:latin typeface="Cambria Math"/>
                </a:rPr>
                <a:t>7718</a:t>
              </a:r>
              <a:r>
                <a:rPr lang="ru-RU" sz="1400" b="0" i="0">
                  <a:latin typeface="Cambria Math"/>
                </a:rPr>
                <a:t>∗0,5</a:t>
              </a:r>
              <a:r>
                <a:rPr lang="ru-RU" sz="1400">
                  <a:effectLst/>
                </a:rPr>
                <a:t> =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76</xdr:row>
      <xdr:rowOff>0</xdr:rowOff>
    </xdr:from>
    <xdr:ext cx="304800" cy="347383"/>
    <xdr:sp macro="" textlink="">
      <xdr:nvSpPr>
        <xdr:cNvPr id="50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22871206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304800" cy="392206"/>
    <xdr:sp macro="" textlink="">
      <xdr:nvSpPr>
        <xdr:cNvPr id="51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23274618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04800" cy="403412"/>
    <xdr:sp macro="" textlink="">
      <xdr:nvSpPr>
        <xdr:cNvPr id="5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4081441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428064</xdr:colOff>
      <xdr:row>76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5336240" y="22871206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1,062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5336240" y="22871206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12&amp;1,062)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77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/>
            <xdr:cNvSpPr txBox="1"/>
          </xdr:nvSpPr>
          <xdr:spPr>
            <a:xfrm>
              <a:off x="5322794" y="2328582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1,051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5322794" y="2328582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12&amp;1,051)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918885</xdr:colOff>
      <xdr:row>80</xdr:row>
      <xdr:rowOff>33618</xdr:rowOff>
    </xdr:from>
    <xdr:ext cx="3171262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3776385" y="28821530"/>
              <a:ext cx="3171262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lang="ru-RU" sz="1400">
                  <a:effectLst/>
                </a:rPr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sSup>
                        <m:sSupPr>
                          <m:ctrlPr>
                            <a:rPr kumimoji="0" lang="ru-RU" sz="14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kumimoji="0" lang="ru-RU" sz="14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(1,00415</m:t>
                          </m:r>
                        </m:e>
                        <m:sup>
                          <m:r>
                            <a:rPr kumimoji="0" lang="ru-RU" sz="14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4</m:t>
                          </m:r>
                        </m:sup>
                      </m:sSup>
                      <m: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+ </m:t>
                      </m:r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12</m:t>
                      </m:r>
                    </m:sup>
                  </m:sSup>
                  <m:r>
                    <a:rPr lang="ru-RU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)/2</m:t>
                  </m:r>
                </m:oMath>
              </a14:m>
              <a:r>
                <a:rPr lang="ru-RU" sz="1400">
                  <a:effectLst/>
                </a:rPr>
                <a:t> 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3776385" y="28821530"/>
              <a:ext cx="3171262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lang="ru-RU" sz="1400">
                  <a:effectLst/>
                </a:rPr>
                <a:t>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kumimoji="0" lang="ru-RU" sz="1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〖(1,00415〗^4+ 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1,00415〗^12)/2</a:t>
              </a:r>
              <a:r>
                <a:rPr lang="ru-RU" sz="1400">
                  <a:effectLst/>
                </a:rPr>
                <a:t> 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79</xdr:row>
      <xdr:rowOff>0</xdr:rowOff>
    </xdr:from>
    <xdr:ext cx="304800" cy="190500"/>
    <xdr:sp macro="" textlink="">
      <xdr:nvSpPr>
        <xdr:cNvPr id="5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3678029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392206"/>
    <xdr:sp macro="" textlink="">
      <xdr:nvSpPr>
        <xdr:cNvPr id="5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30334324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392206"/>
    <xdr:sp macro="" textlink="">
      <xdr:nvSpPr>
        <xdr:cNvPr id="58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30334324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414618</xdr:colOff>
      <xdr:row>78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/>
            <xdr:cNvSpPr txBox="1"/>
          </xdr:nvSpPr>
          <xdr:spPr>
            <a:xfrm>
              <a:off x="5322794" y="30345531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1,048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9" name="TextBox 58"/>
            <xdr:cNvSpPr txBox="1"/>
          </xdr:nvSpPr>
          <xdr:spPr>
            <a:xfrm>
              <a:off x="5322794" y="30345531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12&amp;1,048)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81</xdr:row>
      <xdr:rowOff>0</xdr:rowOff>
    </xdr:from>
    <xdr:ext cx="304800" cy="403412"/>
    <xdr:sp macro="" textlink="">
      <xdr:nvSpPr>
        <xdr:cNvPr id="6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31947971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04800" cy="403412"/>
    <xdr:sp macro="" textlink="">
      <xdr:nvSpPr>
        <xdr:cNvPr id="6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31947971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89648</xdr:colOff>
      <xdr:row>81</xdr:row>
      <xdr:rowOff>22413</xdr:rowOff>
    </xdr:from>
    <xdr:ext cx="4000500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2947148" y="29213737"/>
              <a:ext cx="4000500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14:m>
                <m:oMath xmlns:m="http://schemas.openxmlformats.org/officeDocument/2006/math">
                  <m:sSup>
                    <m:sSupPr>
                      <m:ctrlP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12</m:t>
                      </m:r>
                    </m:sup>
                  </m:sSup>
                </m:oMath>
              </a14:m>
              <a:r>
                <a:rPr lang="ru-RU" sz="1400">
                  <a:effectLst/>
                </a:rPr>
                <a:t> *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(1,00391</m:t>
                      </m:r>
                      <m: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+ </m:t>
                      </m:r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1,00391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9</m:t>
                      </m:r>
                    </m:sup>
                  </m:sSup>
                  <m:r>
                    <a:rPr lang="ru-RU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)/2</m:t>
                  </m:r>
                </m:oMath>
              </a14:m>
              <a:r>
                <a:rPr lang="ru-RU" sz="1400">
                  <a:effectLst/>
                </a:rPr>
                <a:t> 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2947148" y="29213737"/>
              <a:ext cx="4000500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kumimoji="0" lang="ru-RU" sz="1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〖1,00415〗^12</a:t>
              </a:r>
              <a:r>
                <a:rPr lang="ru-RU" sz="1400">
                  <a:effectLst/>
                </a:rPr>
                <a:t> *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(1,00391</a:t>
              </a:r>
              <a:r>
                <a:rPr kumimoji="0" lang="ru-RU" sz="1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+ 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1,00391〗^9)/2</a:t>
              </a:r>
              <a:r>
                <a:rPr lang="ru-RU" sz="1400">
                  <a:effectLst/>
                </a:rPr>
                <a:t>  =</a:t>
              </a:r>
            </a:p>
            <a:p>
              <a:endParaRPr lang="ru-RU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70" zoomScaleNormal="70" workbookViewId="0">
      <selection activeCell="G36" sqref="G36"/>
    </sheetView>
  </sheetViews>
  <sheetFormatPr defaultColWidth="9.140625" defaultRowHeight="15" x14ac:dyDescent="0.25"/>
  <cols>
    <col min="1" max="1" width="5.42578125" style="227" customWidth="1"/>
    <col min="2" max="2" width="62.85546875" style="214" customWidth="1"/>
    <col min="3" max="3" width="16.5703125" style="214" customWidth="1"/>
    <col min="4" max="4" width="17.42578125" style="214" customWidth="1"/>
    <col min="5" max="5" width="17" style="214" customWidth="1"/>
    <col min="6" max="16384" width="9.140625" style="214"/>
  </cols>
  <sheetData>
    <row r="1" spans="1:5" ht="15.75" x14ac:dyDescent="0.25">
      <c r="A1" s="240" t="s">
        <v>616</v>
      </c>
      <c r="B1" s="240"/>
      <c r="C1" s="240"/>
      <c r="D1" s="240"/>
      <c r="E1" s="240"/>
    </row>
    <row r="2" spans="1:5" ht="51.75" customHeight="1" thickBot="1" x14ac:dyDescent="0.3">
      <c r="A2" s="241" t="s">
        <v>617</v>
      </c>
      <c r="B2" s="241"/>
      <c r="C2" s="241"/>
      <c r="D2" s="241"/>
      <c r="E2" s="241"/>
    </row>
    <row r="3" spans="1:5" ht="15.75" x14ac:dyDescent="0.25">
      <c r="A3" s="232" t="s">
        <v>1</v>
      </c>
      <c r="B3" s="234" t="s">
        <v>618</v>
      </c>
      <c r="C3" s="234" t="s">
        <v>619</v>
      </c>
      <c r="D3" s="234"/>
      <c r="E3" s="236"/>
    </row>
    <row r="4" spans="1:5" ht="31.5" x14ac:dyDescent="0.25">
      <c r="A4" s="233"/>
      <c r="B4" s="235"/>
      <c r="C4" s="215" t="s">
        <v>620</v>
      </c>
      <c r="D4" s="215" t="s">
        <v>621</v>
      </c>
      <c r="E4" s="216" t="s">
        <v>622</v>
      </c>
    </row>
    <row r="5" spans="1:5" ht="15.75" x14ac:dyDescent="0.25">
      <c r="A5" s="217">
        <v>1</v>
      </c>
      <c r="B5" s="218">
        <v>2</v>
      </c>
      <c r="C5" s="218">
        <v>3</v>
      </c>
      <c r="D5" s="218">
        <v>4</v>
      </c>
      <c r="E5" s="219">
        <v>5</v>
      </c>
    </row>
    <row r="6" spans="1:5" ht="15.75" x14ac:dyDescent="0.25">
      <c r="A6" s="237" t="s">
        <v>623</v>
      </c>
      <c r="B6" s="238"/>
      <c r="C6" s="238"/>
      <c r="D6" s="238"/>
      <c r="E6" s="239"/>
    </row>
    <row r="7" spans="1:5" ht="15.75" x14ac:dyDescent="0.25">
      <c r="A7" s="217">
        <v>1</v>
      </c>
      <c r="B7" s="194" t="s">
        <v>613</v>
      </c>
      <c r="C7" s="156">
        <v>44211</v>
      </c>
      <c r="D7" s="156">
        <f>C7+E7</f>
        <v>44278</v>
      </c>
      <c r="E7" s="219">
        <v>67</v>
      </c>
    </row>
    <row r="8" spans="1:5" ht="15.75" x14ac:dyDescent="0.25">
      <c r="A8" s="217">
        <v>2</v>
      </c>
      <c r="B8" s="194" t="s">
        <v>471</v>
      </c>
      <c r="C8" s="156">
        <v>44278</v>
      </c>
      <c r="D8" s="156">
        <f>C8+E8</f>
        <v>44286</v>
      </c>
      <c r="E8" s="219">
        <v>8</v>
      </c>
    </row>
    <row r="9" spans="1:5" ht="78.75" x14ac:dyDescent="0.25">
      <c r="A9" s="217">
        <v>3</v>
      </c>
      <c r="B9" s="194" t="s">
        <v>614</v>
      </c>
      <c r="C9" s="156">
        <v>44287</v>
      </c>
      <c r="D9" s="156">
        <f>C9+E9</f>
        <v>44359</v>
      </c>
      <c r="E9" s="219">
        <v>72</v>
      </c>
    </row>
    <row r="10" spans="1:5" ht="15.75" x14ac:dyDescent="0.25">
      <c r="A10" s="229" t="s">
        <v>624</v>
      </c>
      <c r="B10" s="230"/>
      <c r="C10" s="230"/>
      <c r="D10" s="230"/>
      <c r="E10" s="231"/>
    </row>
    <row r="11" spans="1:5" ht="15.75" x14ac:dyDescent="0.25">
      <c r="A11" s="217">
        <v>4</v>
      </c>
      <c r="B11" s="194" t="s">
        <v>613</v>
      </c>
      <c r="C11" s="156">
        <v>44211</v>
      </c>
      <c r="D11" s="156">
        <f>C11+E11</f>
        <v>44270</v>
      </c>
      <c r="E11" s="219">
        <v>59</v>
      </c>
    </row>
    <row r="12" spans="1:5" ht="15.75" x14ac:dyDescent="0.25">
      <c r="A12" s="217">
        <v>5</v>
      </c>
      <c r="B12" s="194" t="s">
        <v>471</v>
      </c>
      <c r="C12" s="156">
        <v>44270</v>
      </c>
      <c r="D12" s="156">
        <f>C12+E12</f>
        <v>44286</v>
      </c>
      <c r="E12" s="219">
        <v>16</v>
      </c>
    </row>
    <row r="13" spans="1:5" ht="79.5" thickBot="1" x14ac:dyDescent="0.3">
      <c r="A13" s="220">
        <v>6</v>
      </c>
      <c r="B13" s="195" t="s">
        <v>614</v>
      </c>
      <c r="C13" s="221">
        <v>44287</v>
      </c>
      <c r="D13" s="221">
        <f>C13+E13</f>
        <v>44837</v>
      </c>
      <c r="E13" s="222">
        <v>550</v>
      </c>
    </row>
    <row r="14" spans="1:5" ht="16.5" thickBot="1" x14ac:dyDescent="0.3">
      <c r="A14" s="223"/>
      <c r="B14" s="223"/>
      <c r="C14" s="223"/>
      <c r="D14" s="223"/>
      <c r="E14" s="223"/>
    </row>
    <row r="15" spans="1:5" ht="15.75" x14ac:dyDescent="0.25">
      <c r="A15" s="232" t="s">
        <v>1</v>
      </c>
      <c r="B15" s="234" t="s">
        <v>618</v>
      </c>
      <c r="C15" s="234" t="s">
        <v>619</v>
      </c>
      <c r="D15" s="234"/>
      <c r="E15" s="236"/>
    </row>
    <row r="16" spans="1:5" ht="31.5" x14ac:dyDescent="0.25">
      <c r="A16" s="233"/>
      <c r="B16" s="235"/>
      <c r="C16" s="215" t="s">
        <v>620</v>
      </c>
      <c r="D16" s="215" t="s">
        <v>621</v>
      </c>
      <c r="E16" s="216" t="s">
        <v>622</v>
      </c>
    </row>
    <row r="17" spans="1:5" ht="15.75" x14ac:dyDescent="0.25">
      <c r="A17" s="217">
        <v>1</v>
      </c>
      <c r="B17" s="218">
        <v>2</v>
      </c>
      <c r="C17" s="218">
        <v>3</v>
      </c>
      <c r="D17" s="218">
        <v>4</v>
      </c>
      <c r="E17" s="219">
        <v>5</v>
      </c>
    </row>
    <row r="18" spans="1:5" ht="15.75" x14ac:dyDescent="0.25">
      <c r="A18" s="237" t="s">
        <v>623</v>
      </c>
      <c r="B18" s="238"/>
      <c r="C18" s="238"/>
      <c r="D18" s="238"/>
      <c r="E18" s="239"/>
    </row>
    <row r="19" spans="1:5" ht="15.75" x14ac:dyDescent="0.25">
      <c r="A19" s="217">
        <v>1</v>
      </c>
      <c r="B19" s="194" t="s">
        <v>613</v>
      </c>
      <c r="C19" s="156" t="s">
        <v>625</v>
      </c>
      <c r="D19" s="156" t="s">
        <v>626</v>
      </c>
      <c r="E19" s="219">
        <v>67</v>
      </c>
    </row>
    <row r="20" spans="1:5" ht="15.75" x14ac:dyDescent="0.25">
      <c r="A20" s="217">
        <v>2</v>
      </c>
      <c r="B20" s="194" t="s">
        <v>471</v>
      </c>
      <c r="C20" s="156" t="s">
        <v>626</v>
      </c>
      <c r="D20" s="156" t="s">
        <v>627</v>
      </c>
      <c r="E20" s="219">
        <v>8</v>
      </c>
    </row>
    <row r="21" spans="1:5" ht="78.75" x14ac:dyDescent="0.25">
      <c r="A21" s="217">
        <v>3</v>
      </c>
      <c r="B21" s="194" t="s">
        <v>614</v>
      </c>
      <c r="C21" s="156" t="s">
        <v>627</v>
      </c>
      <c r="D21" s="156" t="s">
        <v>628</v>
      </c>
      <c r="E21" s="219">
        <v>72</v>
      </c>
    </row>
    <row r="22" spans="1:5" ht="15.75" x14ac:dyDescent="0.25">
      <c r="A22" s="229" t="s">
        <v>624</v>
      </c>
      <c r="B22" s="230"/>
      <c r="C22" s="230"/>
      <c r="D22" s="230"/>
      <c r="E22" s="231"/>
    </row>
    <row r="23" spans="1:5" ht="15.75" x14ac:dyDescent="0.25">
      <c r="A23" s="217">
        <v>4</v>
      </c>
      <c r="B23" s="194" t="s">
        <v>613</v>
      </c>
      <c r="C23" s="156" t="s">
        <v>625</v>
      </c>
      <c r="D23" s="156" t="s">
        <v>629</v>
      </c>
      <c r="E23" s="219">
        <v>59</v>
      </c>
    </row>
    <row r="24" spans="1:5" ht="15.75" x14ac:dyDescent="0.25">
      <c r="A24" s="217">
        <v>5</v>
      </c>
      <c r="B24" s="194" t="s">
        <v>471</v>
      </c>
      <c r="C24" s="156" t="s">
        <v>629</v>
      </c>
      <c r="D24" s="156" t="s">
        <v>627</v>
      </c>
      <c r="E24" s="219">
        <v>16</v>
      </c>
    </row>
    <row r="25" spans="1:5" ht="79.5" thickBot="1" x14ac:dyDescent="0.3">
      <c r="A25" s="220">
        <v>6</v>
      </c>
      <c r="B25" s="195" t="s">
        <v>614</v>
      </c>
      <c r="C25" s="221" t="s">
        <v>627</v>
      </c>
      <c r="D25" s="221" t="s">
        <v>630</v>
      </c>
      <c r="E25" s="222">
        <v>550</v>
      </c>
    </row>
    <row r="27" spans="1:5" ht="15.75" x14ac:dyDescent="0.25">
      <c r="A27" s="224"/>
      <c r="B27" s="225" t="s">
        <v>631</v>
      </c>
      <c r="C27" s="226"/>
      <c r="D27" s="226"/>
      <c r="E27" s="226"/>
    </row>
  </sheetData>
  <mergeCells count="12">
    <mergeCell ref="A22:E22"/>
    <mergeCell ref="A1:E1"/>
    <mergeCell ref="A2:E2"/>
    <mergeCell ref="A3:A4"/>
    <mergeCell ref="B3:B4"/>
    <mergeCell ref="C3:E3"/>
    <mergeCell ref="A6:E6"/>
    <mergeCell ref="A10:E10"/>
    <mergeCell ref="A15:A16"/>
    <mergeCell ref="B15:B16"/>
    <mergeCell ref="C15:E15"/>
    <mergeCell ref="A18:E18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2"/>
  <sheetViews>
    <sheetView showGridLines="0" topLeftCell="A115" zoomScaleNormal="100" workbookViewId="0">
      <selection activeCell="G120" sqref="G120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3" t="s">
        <v>13</v>
      </c>
      <c r="D2" s="6"/>
      <c r="E2" s="6"/>
      <c r="F2" s="6"/>
      <c r="G2" s="6"/>
      <c r="H2" s="3"/>
    </row>
    <row r="3" spans="2:8" x14ac:dyDescent="0.2">
      <c r="D3" s="7" t="s">
        <v>8</v>
      </c>
      <c r="F3" s="3"/>
      <c r="G3" s="3"/>
      <c r="H3" s="3"/>
    </row>
    <row r="4" spans="2:8" x14ac:dyDescent="0.2">
      <c r="B4" s="2" t="s">
        <v>176</v>
      </c>
      <c r="C4" s="14"/>
      <c r="D4" s="3"/>
      <c r="E4" s="7"/>
      <c r="F4" s="3"/>
      <c r="G4" s="3"/>
      <c r="H4" s="3"/>
    </row>
    <row r="5" spans="2:8" x14ac:dyDescent="0.2">
      <c r="D5" s="3"/>
      <c r="E5" s="7"/>
      <c r="F5" s="3"/>
      <c r="G5" s="3"/>
      <c r="H5" s="3"/>
    </row>
    <row r="6" spans="2:8" x14ac:dyDescent="0.2">
      <c r="B6" s="2" t="s">
        <v>181</v>
      </c>
      <c r="D6" s="3"/>
      <c r="E6" s="7"/>
      <c r="F6" s="3"/>
      <c r="G6" s="3"/>
      <c r="H6" s="3"/>
    </row>
    <row r="7" spans="2:8" x14ac:dyDescent="0.2">
      <c r="B7" s="2" t="s">
        <v>180</v>
      </c>
      <c r="D7" s="3"/>
      <c r="E7" s="3"/>
      <c r="F7" s="3"/>
      <c r="G7" s="3"/>
      <c r="H7" s="3"/>
    </row>
    <row r="8" spans="2:8" x14ac:dyDescent="0.2">
      <c r="D8" s="3"/>
      <c r="E8" s="3"/>
      <c r="F8" s="3"/>
      <c r="G8" s="3"/>
      <c r="H8" s="3"/>
    </row>
    <row r="9" spans="2:8" x14ac:dyDescent="0.2">
      <c r="B9" s="26" t="s">
        <v>178</v>
      </c>
      <c r="D9" s="3"/>
      <c r="E9" s="3"/>
      <c r="F9" s="3"/>
      <c r="G9" s="3"/>
      <c r="H9" s="3"/>
    </row>
    <row r="10" spans="2:8" x14ac:dyDescent="0.2">
      <c r="B10" s="26" t="s">
        <v>179</v>
      </c>
      <c r="D10" s="3"/>
      <c r="E10" s="3"/>
      <c r="F10" s="3"/>
      <c r="G10" s="3"/>
      <c r="H10" s="3"/>
    </row>
    <row r="11" spans="2:8" x14ac:dyDescent="0.2">
      <c r="C11" s="13"/>
      <c r="D11" s="6"/>
      <c r="E11" s="9"/>
      <c r="F11" s="6"/>
      <c r="G11" s="6"/>
      <c r="H11" s="3"/>
    </row>
    <row r="12" spans="2:8" x14ac:dyDescent="0.2">
      <c r="D12" s="7" t="s">
        <v>9</v>
      </c>
      <c r="F12" s="3"/>
      <c r="G12" s="3"/>
      <c r="H12" s="3"/>
    </row>
    <row r="13" spans="2:8" x14ac:dyDescent="0.2">
      <c r="D13" s="3"/>
      <c r="E13" s="7"/>
      <c r="F13" s="3"/>
      <c r="G13" s="3"/>
      <c r="H13" s="3"/>
    </row>
    <row r="14" spans="2:8" x14ac:dyDescent="0.2">
      <c r="B14" s="2" t="s">
        <v>177</v>
      </c>
      <c r="H14" s="3"/>
    </row>
    <row r="15" spans="2:8" x14ac:dyDescent="0.2">
      <c r="G15" s="3"/>
      <c r="H15" s="3"/>
    </row>
    <row r="16" spans="2:8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5.25" customHeight="1" x14ac:dyDescent="0.2">
      <c r="C18" s="294" t="s">
        <v>14</v>
      </c>
      <c r="D18" s="294"/>
      <c r="E18" s="294"/>
      <c r="F18" s="294"/>
      <c r="G18" s="294"/>
      <c r="H18" s="3"/>
    </row>
    <row r="19" spans="1:8" x14ac:dyDescent="0.2">
      <c r="D19" s="12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15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301" t="s">
        <v>1</v>
      </c>
      <c r="B24" s="302" t="s">
        <v>10</v>
      </c>
      <c r="C24" s="302" t="s">
        <v>11</v>
      </c>
      <c r="D24" s="303" t="s">
        <v>16</v>
      </c>
      <c r="E24" s="303"/>
      <c r="F24" s="303"/>
      <c r="G24" s="303"/>
      <c r="H24" s="301" t="s">
        <v>17</v>
      </c>
    </row>
    <row r="25" spans="1:8" x14ac:dyDescent="0.2">
      <c r="A25" s="301"/>
      <c r="B25" s="302"/>
      <c r="C25" s="302"/>
      <c r="D25" s="301" t="s">
        <v>12</v>
      </c>
      <c r="E25" s="301" t="s">
        <v>2</v>
      </c>
      <c r="F25" s="301" t="s">
        <v>3</v>
      </c>
      <c r="G25" s="301" t="s">
        <v>4</v>
      </c>
      <c r="H25" s="301"/>
    </row>
    <row r="26" spans="1:8" x14ac:dyDescent="0.2">
      <c r="A26" s="301"/>
      <c r="B26" s="302"/>
      <c r="C26" s="302"/>
      <c r="D26" s="301"/>
      <c r="E26" s="301"/>
      <c r="F26" s="301"/>
      <c r="G26" s="301"/>
      <c r="H26" s="301"/>
    </row>
    <row r="27" spans="1:8" x14ac:dyDescent="0.2">
      <c r="A27" s="301"/>
      <c r="B27" s="302"/>
      <c r="C27" s="302"/>
      <c r="D27" s="301"/>
      <c r="E27" s="301"/>
      <c r="F27" s="301"/>
      <c r="G27" s="301"/>
      <c r="H27" s="301"/>
    </row>
    <row r="28" spans="1:8" x14ac:dyDescent="0.2">
      <c r="A28" s="15">
        <v>1</v>
      </c>
      <c r="B28" s="16">
        <v>2</v>
      </c>
      <c r="C28" s="16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</row>
    <row r="29" spans="1:8" x14ac:dyDescent="0.2">
      <c r="A29" s="287" t="s">
        <v>18</v>
      </c>
      <c r="B29" s="288"/>
      <c r="C29" s="288"/>
      <c r="D29" s="288"/>
      <c r="E29" s="288"/>
      <c r="F29" s="288"/>
      <c r="G29" s="288"/>
      <c r="H29" s="288"/>
    </row>
    <row r="30" spans="1:8" x14ac:dyDescent="0.2">
      <c r="A30" s="17">
        <v>1</v>
      </c>
      <c r="B30" s="18" t="s">
        <v>19</v>
      </c>
      <c r="C30" s="18" t="s">
        <v>20</v>
      </c>
      <c r="D30" s="19">
        <v>18.68</v>
      </c>
      <c r="E30" s="20"/>
      <c r="F30" s="20"/>
      <c r="G30" s="20"/>
      <c r="H30" s="19">
        <v>18.68</v>
      </c>
    </row>
    <row r="31" spans="1:8" ht="25.5" x14ac:dyDescent="0.2">
      <c r="A31" s="17">
        <v>2</v>
      </c>
      <c r="B31" s="18" t="s">
        <v>21</v>
      </c>
      <c r="C31" s="18" t="s">
        <v>22</v>
      </c>
      <c r="D31" s="20"/>
      <c r="E31" s="20"/>
      <c r="F31" s="20"/>
      <c r="G31" s="19">
        <v>177.15</v>
      </c>
      <c r="H31" s="19">
        <v>177.15</v>
      </c>
    </row>
    <row r="32" spans="1:8" x14ac:dyDescent="0.2">
      <c r="A32" s="17">
        <v>3</v>
      </c>
      <c r="B32" s="18" t="s">
        <v>23</v>
      </c>
      <c r="C32" s="18" t="s">
        <v>24</v>
      </c>
      <c r="D32" s="20"/>
      <c r="E32" s="20"/>
      <c r="F32" s="20"/>
      <c r="G32" s="19">
        <v>4082.53</v>
      </c>
      <c r="H32" s="19">
        <v>4082.53</v>
      </c>
    </row>
    <row r="33" spans="1:8" ht="38.25" x14ac:dyDescent="0.2">
      <c r="A33" s="17">
        <v>4</v>
      </c>
      <c r="B33" s="18" t="s">
        <v>25</v>
      </c>
      <c r="C33" s="18" t="s">
        <v>26</v>
      </c>
      <c r="D33" s="20"/>
      <c r="E33" s="20"/>
      <c r="F33" s="20"/>
      <c r="G33" s="19">
        <v>10.39</v>
      </c>
      <c r="H33" s="19">
        <v>10.39</v>
      </c>
    </row>
    <row r="34" spans="1:8" ht="25.5" x14ac:dyDescent="0.2">
      <c r="A34" s="17">
        <v>5</v>
      </c>
      <c r="B34" s="18" t="s">
        <v>27</v>
      </c>
      <c r="C34" s="18" t="s">
        <v>28</v>
      </c>
      <c r="D34" s="19">
        <v>7.76</v>
      </c>
      <c r="E34" s="20"/>
      <c r="F34" s="20"/>
      <c r="G34" s="20"/>
      <c r="H34" s="19">
        <v>7.76</v>
      </c>
    </row>
    <row r="35" spans="1:8" x14ac:dyDescent="0.2">
      <c r="A35" s="21">
        <v>6</v>
      </c>
      <c r="B35" s="22"/>
      <c r="C35" s="23" t="s">
        <v>29</v>
      </c>
      <c r="D35" s="24">
        <v>307.89</v>
      </c>
      <c r="E35" s="20"/>
      <c r="F35" s="20"/>
      <c r="G35" s="20"/>
      <c r="H35" s="24">
        <v>307.89</v>
      </c>
    </row>
    <row r="36" spans="1:8" ht="27.95" customHeight="1" x14ac:dyDescent="0.2">
      <c r="A36" s="25"/>
      <c r="B36" s="291" t="s">
        <v>30</v>
      </c>
      <c r="C36" s="292"/>
      <c r="D36" s="19">
        <v>26.44</v>
      </c>
      <c r="E36" s="20"/>
      <c r="F36" s="20"/>
      <c r="G36" s="19">
        <v>4270.07</v>
      </c>
      <c r="H36" s="19">
        <v>4296.51</v>
      </c>
    </row>
    <row r="37" spans="1:8" x14ac:dyDescent="0.2">
      <c r="A37" s="287" t="s">
        <v>31</v>
      </c>
      <c r="B37" s="288"/>
      <c r="C37" s="288"/>
      <c r="D37" s="288"/>
      <c r="E37" s="288"/>
      <c r="F37" s="288"/>
      <c r="G37" s="288"/>
      <c r="H37" s="288"/>
    </row>
    <row r="38" spans="1:8" x14ac:dyDescent="0.2">
      <c r="A38" s="17">
        <v>7</v>
      </c>
      <c r="B38" s="18" t="s">
        <v>32</v>
      </c>
      <c r="C38" s="18" t="s">
        <v>33</v>
      </c>
      <c r="D38" s="19">
        <v>28111.22</v>
      </c>
      <c r="E38" s="20"/>
      <c r="F38" s="20"/>
      <c r="G38" s="20"/>
      <c r="H38" s="19">
        <v>28111.22</v>
      </c>
    </row>
    <row r="39" spans="1:8" ht="27.95" customHeight="1" x14ac:dyDescent="0.2">
      <c r="A39" s="25"/>
      <c r="B39" s="291" t="s">
        <v>34</v>
      </c>
      <c r="C39" s="292"/>
      <c r="D39" s="19">
        <v>28111.22</v>
      </c>
      <c r="E39" s="20"/>
      <c r="F39" s="20"/>
      <c r="G39" s="20"/>
      <c r="H39" s="19">
        <v>28111.22</v>
      </c>
    </row>
    <row r="40" spans="1:8" x14ac:dyDescent="0.2">
      <c r="A40" s="287" t="s">
        <v>35</v>
      </c>
      <c r="B40" s="288"/>
      <c r="C40" s="288"/>
      <c r="D40" s="288"/>
      <c r="E40" s="288"/>
      <c r="F40" s="288"/>
      <c r="G40" s="288"/>
      <c r="H40" s="288"/>
    </row>
    <row r="41" spans="1:8" x14ac:dyDescent="0.2">
      <c r="A41" s="17">
        <v>8</v>
      </c>
      <c r="B41" s="18" t="s">
        <v>36</v>
      </c>
      <c r="C41" s="18" t="s">
        <v>37</v>
      </c>
      <c r="D41" s="19">
        <v>54.07</v>
      </c>
      <c r="E41" s="19">
        <v>14.11</v>
      </c>
      <c r="F41" s="19">
        <v>2890.96</v>
      </c>
      <c r="G41" s="20"/>
      <c r="H41" s="19">
        <v>2959.14</v>
      </c>
    </row>
    <row r="42" spans="1:8" x14ac:dyDescent="0.2">
      <c r="A42" s="17">
        <v>9</v>
      </c>
      <c r="B42" s="18" t="s">
        <v>38</v>
      </c>
      <c r="C42" s="18" t="s">
        <v>39</v>
      </c>
      <c r="D42" s="19">
        <v>61.38</v>
      </c>
      <c r="E42" s="19">
        <v>15.42</v>
      </c>
      <c r="F42" s="19">
        <v>4113.1099999999997</v>
      </c>
      <c r="G42" s="20"/>
      <c r="H42" s="19">
        <v>4189.91</v>
      </c>
    </row>
    <row r="43" spans="1:8" x14ac:dyDescent="0.2">
      <c r="A43" s="17">
        <v>10</v>
      </c>
      <c r="B43" s="18" t="s">
        <v>40</v>
      </c>
      <c r="C43" s="18" t="s">
        <v>41</v>
      </c>
      <c r="D43" s="19">
        <v>61.5</v>
      </c>
      <c r="E43" s="19">
        <v>15.37</v>
      </c>
      <c r="F43" s="19">
        <v>3711.62</v>
      </c>
      <c r="G43" s="20"/>
      <c r="H43" s="19">
        <v>3788.49</v>
      </c>
    </row>
    <row r="44" spans="1:8" ht="25.5" x14ac:dyDescent="0.2">
      <c r="A44" s="17">
        <v>11</v>
      </c>
      <c r="B44" s="18" t="s">
        <v>42</v>
      </c>
      <c r="C44" s="18" t="s">
        <v>43</v>
      </c>
      <c r="D44" s="20"/>
      <c r="E44" s="19">
        <v>21.61</v>
      </c>
      <c r="F44" s="19">
        <v>2388.0300000000002</v>
      </c>
      <c r="G44" s="20"/>
      <c r="H44" s="19">
        <v>2409.64</v>
      </c>
    </row>
    <row r="45" spans="1:8" x14ac:dyDescent="0.2">
      <c r="A45" s="17">
        <v>12</v>
      </c>
      <c r="B45" s="18" t="s">
        <v>44</v>
      </c>
      <c r="C45" s="18" t="s">
        <v>45</v>
      </c>
      <c r="D45" s="19">
        <v>149.63999999999999</v>
      </c>
      <c r="E45" s="19">
        <v>1621.89</v>
      </c>
      <c r="F45" s="20"/>
      <c r="G45" s="20"/>
      <c r="H45" s="19">
        <v>1771.53</v>
      </c>
    </row>
    <row r="46" spans="1:8" x14ac:dyDescent="0.2">
      <c r="A46" s="17">
        <v>13</v>
      </c>
      <c r="B46" s="18" t="s">
        <v>46</v>
      </c>
      <c r="C46" s="18" t="s">
        <v>47</v>
      </c>
      <c r="D46" s="19">
        <v>519.47</v>
      </c>
      <c r="E46" s="20"/>
      <c r="F46" s="20"/>
      <c r="G46" s="20"/>
      <c r="H46" s="19">
        <v>519.47</v>
      </c>
    </row>
    <row r="47" spans="1:8" ht="25.5" x14ac:dyDescent="0.2">
      <c r="A47" s="17">
        <v>14</v>
      </c>
      <c r="B47" s="18" t="s">
        <v>48</v>
      </c>
      <c r="C47" s="18" t="s">
        <v>49</v>
      </c>
      <c r="D47" s="19">
        <v>44.07</v>
      </c>
      <c r="E47" s="19">
        <v>247.16</v>
      </c>
      <c r="F47" s="20"/>
      <c r="G47" s="20"/>
      <c r="H47" s="19">
        <v>291.23</v>
      </c>
    </row>
    <row r="48" spans="1:8" ht="25.5" x14ac:dyDescent="0.2">
      <c r="A48" s="17">
        <v>15</v>
      </c>
      <c r="B48" s="18" t="s">
        <v>50</v>
      </c>
      <c r="C48" s="18" t="s">
        <v>51</v>
      </c>
      <c r="D48" s="19">
        <v>3.6</v>
      </c>
      <c r="E48" s="19">
        <v>8.7200000000000006</v>
      </c>
      <c r="F48" s="20"/>
      <c r="G48" s="20"/>
      <c r="H48" s="19">
        <v>12.32</v>
      </c>
    </row>
    <row r="49" spans="1:8" ht="25.5" x14ac:dyDescent="0.2">
      <c r="A49" s="17">
        <v>16</v>
      </c>
      <c r="B49" s="18" t="s">
        <v>52</v>
      </c>
      <c r="C49" s="18" t="s">
        <v>53</v>
      </c>
      <c r="D49" s="19">
        <v>88.86</v>
      </c>
      <c r="E49" s="19">
        <v>16</v>
      </c>
      <c r="F49" s="19">
        <v>8196.7900000000009</v>
      </c>
      <c r="G49" s="20"/>
      <c r="H49" s="19">
        <v>8301.65</v>
      </c>
    </row>
    <row r="50" spans="1:8" ht="25.5" x14ac:dyDescent="0.2">
      <c r="A50" s="17">
        <v>17</v>
      </c>
      <c r="B50" s="18" t="s">
        <v>54</v>
      </c>
      <c r="C50" s="18" t="s">
        <v>55</v>
      </c>
      <c r="D50" s="19">
        <v>87.83</v>
      </c>
      <c r="E50" s="19">
        <v>16.54</v>
      </c>
      <c r="F50" s="19">
        <v>8673.34</v>
      </c>
      <c r="G50" s="20"/>
      <c r="H50" s="19">
        <v>8777.7099999999991</v>
      </c>
    </row>
    <row r="51" spans="1:8" x14ac:dyDescent="0.2">
      <c r="A51" s="17">
        <v>18</v>
      </c>
      <c r="B51" s="18" t="s">
        <v>56</v>
      </c>
      <c r="C51" s="18" t="s">
        <v>57</v>
      </c>
      <c r="D51" s="19">
        <v>61.92</v>
      </c>
      <c r="E51" s="19">
        <v>15.36</v>
      </c>
      <c r="F51" s="19">
        <v>4135.75</v>
      </c>
      <c r="G51" s="20"/>
      <c r="H51" s="19">
        <v>4213.03</v>
      </c>
    </row>
    <row r="52" spans="1:8" x14ac:dyDescent="0.2">
      <c r="A52" s="17">
        <v>19</v>
      </c>
      <c r="B52" s="18" t="s">
        <v>58</v>
      </c>
      <c r="C52" s="18" t="s">
        <v>59</v>
      </c>
      <c r="D52" s="19">
        <v>53.88</v>
      </c>
      <c r="E52" s="19">
        <v>14.62</v>
      </c>
      <c r="F52" s="19">
        <v>3256.98</v>
      </c>
      <c r="G52" s="20"/>
      <c r="H52" s="19">
        <v>3325.48</v>
      </c>
    </row>
    <row r="53" spans="1:8" ht="27.95" customHeight="1" x14ac:dyDescent="0.2">
      <c r="A53" s="25"/>
      <c r="B53" s="291" t="s">
        <v>60</v>
      </c>
      <c r="C53" s="292"/>
      <c r="D53" s="19">
        <v>1186.22</v>
      </c>
      <c r="E53" s="19">
        <v>2006.8</v>
      </c>
      <c r="F53" s="19">
        <v>37366.58</v>
      </c>
      <c r="G53" s="20"/>
      <c r="H53" s="19">
        <v>40559.599999999999</v>
      </c>
    </row>
    <row r="54" spans="1:8" x14ac:dyDescent="0.2">
      <c r="A54" s="287" t="s">
        <v>61</v>
      </c>
      <c r="B54" s="288"/>
      <c r="C54" s="288"/>
      <c r="D54" s="288"/>
      <c r="E54" s="288"/>
      <c r="F54" s="288"/>
      <c r="G54" s="288"/>
      <c r="H54" s="288"/>
    </row>
    <row r="55" spans="1:8" x14ac:dyDescent="0.2">
      <c r="A55" s="17">
        <v>20</v>
      </c>
      <c r="B55" s="18" t="s">
        <v>62</v>
      </c>
      <c r="C55" s="18" t="s">
        <v>63</v>
      </c>
      <c r="D55" s="19">
        <v>66.47</v>
      </c>
      <c r="E55" s="19">
        <v>1320.15</v>
      </c>
      <c r="F55" s="20"/>
      <c r="G55" s="20"/>
      <c r="H55" s="19">
        <v>1386.62</v>
      </c>
    </row>
    <row r="56" spans="1:8" x14ac:dyDescent="0.2">
      <c r="A56" s="17">
        <v>21</v>
      </c>
      <c r="B56" s="18" t="s">
        <v>64</v>
      </c>
      <c r="C56" s="18" t="s">
        <v>65</v>
      </c>
      <c r="D56" s="19">
        <v>1378.81</v>
      </c>
      <c r="E56" s="19">
        <v>438.93</v>
      </c>
      <c r="F56" s="19">
        <v>643.45000000000005</v>
      </c>
      <c r="G56" s="20"/>
      <c r="H56" s="19">
        <v>2461.19</v>
      </c>
    </row>
    <row r="57" spans="1:8" ht="27.95" customHeight="1" x14ac:dyDescent="0.2">
      <c r="A57" s="25"/>
      <c r="B57" s="291" t="s">
        <v>66</v>
      </c>
      <c r="C57" s="292"/>
      <c r="D57" s="19">
        <v>1445.28</v>
      </c>
      <c r="E57" s="19">
        <v>1759.08</v>
      </c>
      <c r="F57" s="19">
        <v>643.45000000000005</v>
      </c>
      <c r="G57" s="20"/>
      <c r="H57" s="19">
        <v>3847.81</v>
      </c>
    </row>
    <row r="58" spans="1:8" x14ac:dyDescent="0.2">
      <c r="A58" s="287" t="s">
        <v>67</v>
      </c>
      <c r="B58" s="288"/>
      <c r="C58" s="288"/>
      <c r="D58" s="288"/>
      <c r="E58" s="288"/>
      <c r="F58" s="288"/>
      <c r="G58" s="288"/>
      <c r="H58" s="288"/>
    </row>
    <row r="59" spans="1:8" x14ac:dyDescent="0.2">
      <c r="A59" s="17">
        <v>22</v>
      </c>
      <c r="B59" s="18" t="s">
        <v>68</v>
      </c>
      <c r="C59" s="18" t="s">
        <v>69</v>
      </c>
      <c r="D59" s="19">
        <v>1670.74</v>
      </c>
      <c r="E59" s="19">
        <v>8.6999999999999993</v>
      </c>
      <c r="F59" s="20"/>
      <c r="G59" s="20"/>
      <c r="H59" s="19">
        <v>1679.44</v>
      </c>
    </row>
    <row r="60" spans="1:8" x14ac:dyDescent="0.2">
      <c r="A60" s="17">
        <v>23</v>
      </c>
      <c r="B60" s="18" t="s">
        <v>70</v>
      </c>
      <c r="C60" s="18" t="s">
        <v>71</v>
      </c>
      <c r="D60" s="19">
        <v>101</v>
      </c>
      <c r="E60" s="19">
        <v>5.7</v>
      </c>
      <c r="F60" s="19">
        <v>2394.85</v>
      </c>
      <c r="G60" s="20"/>
      <c r="H60" s="19">
        <v>2501.5500000000002</v>
      </c>
    </row>
    <row r="61" spans="1:8" x14ac:dyDescent="0.2">
      <c r="A61" s="17">
        <v>24</v>
      </c>
      <c r="B61" s="18" t="s">
        <v>72</v>
      </c>
      <c r="C61" s="18" t="s">
        <v>73</v>
      </c>
      <c r="D61" s="19">
        <v>4311.2</v>
      </c>
      <c r="E61" s="20"/>
      <c r="F61" s="20"/>
      <c r="G61" s="20"/>
      <c r="H61" s="19">
        <v>4311.2</v>
      </c>
    </row>
    <row r="62" spans="1:8" x14ac:dyDescent="0.2">
      <c r="A62" s="17">
        <v>25</v>
      </c>
      <c r="B62" s="18" t="s">
        <v>74</v>
      </c>
      <c r="C62" s="18" t="s">
        <v>75</v>
      </c>
      <c r="D62" s="19">
        <v>51.56</v>
      </c>
      <c r="E62" s="19">
        <v>9.9499999999999993</v>
      </c>
      <c r="F62" s="19">
        <v>1993.3</v>
      </c>
      <c r="G62" s="20"/>
      <c r="H62" s="19">
        <v>2054.81</v>
      </c>
    </row>
    <row r="63" spans="1:8" x14ac:dyDescent="0.2">
      <c r="A63" s="17">
        <v>26</v>
      </c>
      <c r="B63" s="18" t="s">
        <v>76</v>
      </c>
      <c r="C63" s="18" t="s">
        <v>77</v>
      </c>
      <c r="D63" s="19">
        <v>1043.6600000000001</v>
      </c>
      <c r="E63" s="20"/>
      <c r="F63" s="19">
        <v>14.92</v>
      </c>
      <c r="G63" s="20"/>
      <c r="H63" s="19">
        <v>1058.58</v>
      </c>
    </row>
    <row r="64" spans="1:8" x14ac:dyDescent="0.2">
      <c r="A64" s="17">
        <v>27</v>
      </c>
      <c r="B64" s="18" t="s">
        <v>78</v>
      </c>
      <c r="C64" s="18" t="s">
        <v>79</v>
      </c>
      <c r="D64" s="19">
        <v>1043.6600000000001</v>
      </c>
      <c r="E64" s="20"/>
      <c r="F64" s="19">
        <v>14.92</v>
      </c>
      <c r="G64" s="20"/>
      <c r="H64" s="19">
        <v>1058.58</v>
      </c>
    </row>
    <row r="65" spans="1:8" x14ac:dyDescent="0.2">
      <c r="A65" s="17">
        <v>28</v>
      </c>
      <c r="B65" s="18" t="s">
        <v>80</v>
      </c>
      <c r="C65" s="18" t="s">
        <v>81</v>
      </c>
      <c r="D65" s="19">
        <v>138.19</v>
      </c>
      <c r="E65" s="19">
        <v>5.03</v>
      </c>
      <c r="F65" s="19">
        <v>626.38</v>
      </c>
      <c r="G65" s="20"/>
      <c r="H65" s="19">
        <v>769.6</v>
      </c>
    </row>
    <row r="66" spans="1:8" x14ac:dyDescent="0.2">
      <c r="A66" s="17">
        <v>29</v>
      </c>
      <c r="B66" s="18" t="s">
        <v>82</v>
      </c>
      <c r="C66" s="18" t="s">
        <v>83</v>
      </c>
      <c r="D66" s="19">
        <v>4572.75</v>
      </c>
      <c r="E66" s="19">
        <v>8.74</v>
      </c>
      <c r="F66" s="19">
        <v>587.35</v>
      </c>
      <c r="G66" s="20"/>
      <c r="H66" s="19">
        <v>5168.84</v>
      </c>
    </row>
    <row r="67" spans="1:8" x14ac:dyDescent="0.2">
      <c r="A67" s="17">
        <v>30</v>
      </c>
      <c r="B67" s="18" t="s">
        <v>84</v>
      </c>
      <c r="C67" s="18" t="s">
        <v>85</v>
      </c>
      <c r="D67" s="19">
        <v>4339.22</v>
      </c>
      <c r="E67" s="20"/>
      <c r="F67" s="20"/>
      <c r="G67" s="20"/>
      <c r="H67" s="19">
        <v>4339.22</v>
      </c>
    </row>
    <row r="68" spans="1:8" x14ac:dyDescent="0.2">
      <c r="A68" s="17">
        <v>31</v>
      </c>
      <c r="B68" s="18" t="s">
        <v>86</v>
      </c>
      <c r="C68" s="18" t="s">
        <v>87</v>
      </c>
      <c r="D68" s="19">
        <v>1512.67</v>
      </c>
      <c r="E68" s="19">
        <v>8.36</v>
      </c>
      <c r="F68" s="19">
        <v>116.76</v>
      </c>
      <c r="G68" s="20"/>
      <c r="H68" s="19">
        <v>1637.79</v>
      </c>
    </row>
    <row r="69" spans="1:8" ht="27.95" customHeight="1" x14ac:dyDescent="0.2">
      <c r="A69" s="25"/>
      <c r="B69" s="291" t="s">
        <v>88</v>
      </c>
      <c r="C69" s="292"/>
      <c r="D69" s="19">
        <v>18784.650000000001</v>
      </c>
      <c r="E69" s="19">
        <v>46.48</v>
      </c>
      <c r="F69" s="19">
        <v>5748.48</v>
      </c>
      <c r="G69" s="20"/>
      <c r="H69" s="19">
        <v>24579.61</v>
      </c>
    </row>
    <row r="70" spans="1:8" x14ac:dyDescent="0.2">
      <c r="A70" s="287" t="s">
        <v>89</v>
      </c>
      <c r="B70" s="288"/>
      <c r="C70" s="288"/>
      <c r="D70" s="288"/>
      <c r="E70" s="288"/>
      <c r="F70" s="288"/>
      <c r="G70" s="288"/>
      <c r="H70" s="288"/>
    </row>
    <row r="71" spans="1:8" x14ac:dyDescent="0.2">
      <c r="A71" s="17">
        <v>32</v>
      </c>
      <c r="B71" s="18" t="s">
        <v>90</v>
      </c>
      <c r="C71" s="18" t="s">
        <v>91</v>
      </c>
      <c r="D71" s="19">
        <v>260.93</v>
      </c>
      <c r="E71" s="19">
        <v>483.93</v>
      </c>
      <c r="F71" s="19">
        <v>64.38</v>
      </c>
      <c r="G71" s="20"/>
      <c r="H71" s="19">
        <v>809.24</v>
      </c>
    </row>
    <row r="72" spans="1:8" x14ac:dyDescent="0.2">
      <c r="A72" s="17">
        <v>33</v>
      </c>
      <c r="B72" s="18" t="s">
        <v>92</v>
      </c>
      <c r="C72" s="18" t="s">
        <v>93</v>
      </c>
      <c r="D72" s="19">
        <v>1146.3</v>
      </c>
      <c r="E72" s="20"/>
      <c r="F72" s="20"/>
      <c r="G72" s="20"/>
      <c r="H72" s="19">
        <v>1146.3</v>
      </c>
    </row>
    <row r="73" spans="1:8" ht="25.5" x14ac:dyDescent="0.2">
      <c r="A73" s="17">
        <v>34</v>
      </c>
      <c r="B73" s="18" t="s">
        <v>94</v>
      </c>
      <c r="C73" s="18" t="s">
        <v>95</v>
      </c>
      <c r="D73" s="19">
        <v>123.23</v>
      </c>
      <c r="E73" s="20"/>
      <c r="F73" s="20"/>
      <c r="G73" s="20"/>
      <c r="H73" s="19">
        <v>123.23</v>
      </c>
    </row>
    <row r="74" spans="1:8" ht="27.95" customHeight="1" x14ac:dyDescent="0.2">
      <c r="A74" s="25"/>
      <c r="B74" s="291" t="s">
        <v>96</v>
      </c>
      <c r="C74" s="292"/>
      <c r="D74" s="19">
        <v>1530.46</v>
      </c>
      <c r="E74" s="19">
        <v>483.93</v>
      </c>
      <c r="F74" s="19">
        <v>64.38</v>
      </c>
      <c r="G74" s="20"/>
      <c r="H74" s="19">
        <v>2078.77</v>
      </c>
    </row>
    <row r="75" spans="1:8" x14ac:dyDescent="0.2">
      <c r="A75" s="25"/>
      <c r="B75" s="291" t="s">
        <v>97</v>
      </c>
      <c r="C75" s="292"/>
      <c r="D75" s="19">
        <v>51084.27</v>
      </c>
      <c r="E75" s="19">
        <v>4296.29</v>
      </c>
      <c r="F75" s="19">
        <v>43822.89</v>
      </c>
      <c r="G75" s="19">
        <v>4270.07</v>
      </c>
      <c r="H75" s="19">
        <v>103473.52</v>
      </c>
    </row>
    <row r="76" spans="1:8" x14ac:dyDescent="0.2">
      <c r="A76" s="287" t="s">
        <v>98</v>
      </c>
      <c r="B76" s="288"/>
      <c r="C76" s="288"/>
      <c r="D76" s="288"/>
      <c r="E76" s="288"/>
      <c r="F76" s="288"/>
      <c r="G76" s="288"/>
      <c r="H76" s="288"/>
    </row>
    <row r="77" spans="1:8" ht="38.25" x14ac:dyDescent="0.2">
      <c r="A77" s="17">
        <v>35</v>
      </c>
      <c r="B77" s="18" t="s">
        <v>99</v>
      </c>
      <c r="C77" s="18" t="s">
        <v>100</v>
      </c>
      <c r="D77" s="19">
        <v>1174.94</v>
      </c>
      <c r="E77" s="19">
        <v>98.81</v>
      </c>
      <c r="F77" s="20"/>
      <c r="G77" s="20"/>
      <c r="H77" s="19">
        <v>1273.75</v>
      </c>
    </row>
    <row r="78" spans="1:8" x14ac:dyDescent="0.2">
      <c r="A78" s="21">
        <v>36</v>
      </c>
      <c r="B78" s="22"/>
      <c r="C78" s="23" t="s">
        <v>101</v>
      </c>
      <c r="D78" s="24">
        <v>176.24</v>
      </c>
      <c r="E78" s="24">
        <v>14.82</v>
      </c>
      <c r="F78" s="20"/>
      <c r="G78" s="20"/>
      <c r="H78" s="24">
        <v>191.06</v>
      </c>
    </row>
    <row r="79" spans="1:8" x14ac:dyDescent="0.2">
      <c r="A79" s="25"/>
      <c r="B79" s="291" t="s">
        <v>102</v>
      </c>
      <c r="C79" s="292"/>
      <c r="D79" s="19">
        <v>1174.94</v>
      </c>
      <c r="E79" s="19">
        <v>98.81</v>
      </c>
      <c r="F79" s="20"/>
      <c r="G79" s="20"/>
      <c r="H79" s="19">
        <v>1273.75</v>
      </c>
    </row>
    <row r="80" spans="1:8" x14ac:dyDescent="0.2">
      <c r="A80" s="25"/>
      <c r="B80" s="291" t="s">
        <v>103</v>
      </c>
      <c r="C80" s="292"/>
      <c r="D80" s="19">
        <v>52259.21</v>
      </c>
      <c r="E80" s="19">
        <v>4395.1000000000004</v>
      </c>
      <c r="F80" s="19">
        <v>43822.89</v>
      </c>
      <c r="G80" s="19">
        <v>4270.07</v>
      </c>
      <c r="H80" s="19">
        <v>104747.27</v>
      </c>
    </row>
    <row r="81" spans="1:8" x14ac:dyDescent="0.2">
      <c r="A81" s="287" t="s">
        <v>104</v>
      </c>
      <c r="B81" s="288"/>
      <c r="C81" s="288"/>
      <c r="D81" s="288"/>
      <c r="E81" s="288"/>
      <c r="F81" s="288"/>
      <c r="G81" s="288"/>
      <c r="H81" s="288"/>
    </row>
    <row r="82" spans="1:8" ht="63.75" x14ac:dyDescent="0.2">
      <c r="A82" s="17">
        <v>37</v>
      </c>
      <c r="B82" s="18" t="s">
        <v>105</v>
      </c>
      <c r="C82" s="18" t="s">
        <v>106</v>
      </c>
      <c r="D82" s="19">
        <v>287.43</v>
      </c>
      <c r="E82" s="19">
        <v>24.17</v>
      </c>
      <c r="F82" s="20"/>
      <c r="G82" s="20"/>
      <c r="H82" s="19">
        <v>311.60000000000002</v>
      </c>
    </row>
    <row r="83" spans="1:8" x14ac:dyDescent="0.2">
      <c r="A83" s="17">
        <v>38</v>
      </c>
      <c r="B83" s="18" t="s">
        <v>107</v>
      </c>
      <c r="C83" s="18" t="s">
        <v>108</v>
      </c>
      <c r="D83" s="20"/>
      <c r="E83" s="20"/>
      <c r="F83" s="20"/>
      <c r="G83" s="19">
        <v>418.08</v>
      </c>
      <c r="H83" s="19">
        <v>418.08</v>
      </c>
    </row>
    <row r="84" spans="1:8" ht="38.25" x14ac:dyDescent="0.2">
      <c r="A84" s="17">
        <v>39</v>
      </c>
      <c r="B84" s="18" t="s">
        <v>109</v>
      </c>
      <c r="C84" s="18" t="s">
        <v>110</v>
      </c>
      <c r="D84" s="20"/>
      <c r="E84" s="20"/>
      <c r="F84" s="20"/>
      <c r="G84" s="19">
        <v>2619.23</v>
      </c>
      <c r="H84" s="19">
        <v>2619.23</v>
      </c>
    </row>
    <row r="85" spans="1:8" ht="38.25" x14ac:dyDescent="0.2">
      <c r="A85" s="17">
        <v>40</v>
      </c>
      <c r="B85" s="18" t="s">
        <v>111</v>
      </c>
      <c r="C85" s="18" t="s">
        <v>112</v>
      </c>
      <c r="D85" s="20"/>
      <c r="E85" s="20"/>
      <c r="F85" s="20"/>
      <c r="G85" s="19">
        <v>0.03</v>
      </c>
      <c r="H85" s="19">
        <v>0.03</v>
      </c>
    </row>
    <row r="86" spans="1:8" ht="25.5" x14ac:dyDescent="0.2">
      <c r="A86" s="17">
        <v>41</v>
      </c>
      <c r="B86" s="18" t="s">
        <v>113</v>
      </c>
      <c r="C86" s="18" t="s">
        <v>114</v>
      </c>
      <c r="D86" s="20"/>
      <c r="E86" s="20"/>
      <c r="F86" s="20"/>
      <c r="G86" s="19">
        <v>22.53</v>
      </c>
      <c r="H86" s="19">
        <v>22.53</v>
      </c>
    </row>
    <row r="87" spans="1:8" x14ac:dyDescent="0.2">
      <c r="A87" s="17">
        <v>42</v>
      </c>
      <c r="B87" s="18" t="s">
        <v>115</v>
      </c>
      <c r="C87" s="18" t="s">
        <v>116</v>
      </c>
      <c r="D87" s="20"/>
      <c r="E87" s="20"/>
      <c r="F87" s="20"/>
      <c r="G87" s="19">
        <v>67.48</v>
      </c>
      <c r="H87" s="19">
        <v>67.48</v>
      </c>
    </row>
    <row r="88" spans="1:8" ht="25.5" x14ac:dyDescent="0.2">
      <c r="A88" s="17">
        <v>43</v>
      </c>
      <c r="B88" s="18" t="s">
        <v>117</v>
      </c>
      <c r="C88" s="18" t="s">
        <v>118</v>
      </c>
      <c r="D88" s="20"/>
      <c r="E88" s="20"/>
      <c r="F88" s="20"/>
      <c r="G88" s="19">
        <v>53.5</v>
      </c>
      <c r="H88" s="19">
        <v>53.5</v>
      </c>
    </row>
    <row r="89" spans="1:8" x14ac:dyDescent="0.2">
      <c r="A89" s="25"/>
      <c r="B89" s="291" t="s">
        <v>119</v>
      </c>
      <c r="C89" s="292"/>
      <c r="D89" s="19">
        <v>287.43</v>
      </c>
      <c r="E89" s="19">
        <v>24.17</v>
      </c>
      <c r="F89" s="20"/>
      <c r="G89" s="19">
        <v>3180.85</v>
      </c>
      <c r="H89" s="19">
        <v>3492.45</v>
      </c>
    </row>
    <row r="90" spans="1:8" x14ac:dyDescent="0.2">
      <c r="A90" s="25"/>
      <c r="B90" s="291" t="s">
        <v>120</v>
      </c>
      <c r="C90" s="292"/>
      <c r="D90" s="19">
        <v>52546.64</v>
      </c>
      <c r="E90" s="19">
        <v>4419.2700000000004</v>
      </c>
      <c r="F90" s="19">
        <v>43822.89</v>
      </c>
      <c r="G90" s="19">
        <v>7450.92</v>
      </c>
      <c r="H90" s="19">
        <v>108239.72</v>
      </c>
    </row>
    <row r="91" spans="1:8" x14ac:dyDescent="0.2">
      <c r="A91" s="287" t="s">
        <v>121</v>
      </c>
      <c r="B91" s="288"/>
      <c r="C91" s="288"/>
      <c r="D91" s="288"/>
      <c r="E91" s="288"/>
      <c r="F91" s="288"/>
      <c r="G91" s="288"/>
      <c r="H91" s="288"/>
    </row>
    <row r="92" spans="1:8" ht="51" x14ac:dyDescent="0.2">
      <c r="A92" s="17">
        <v>44</v>
      </c>
      <c r="B92" s="18" t="s">
        <v>122</v>
      </c>
      <c r="C92" s="18" t="s">
        <v>123</v>
      </c>
      <c r="D92" s="20"/>
      <c r="E92" s="20"/>
      <c r="F92" s="20"/>
      <c r="G92" s="19">
        <v>2004.7</v>
      </c>
      <c r="H92" s="19">
        <v>2004.7</v>
      </c>
    </row>
    <row r="93" spans="1:8" ht="27.95" customHeight="1" x14ac:dyDescent="0.2">
      <c r="A93" s="25"/>
      <c r="B93" s="291" t="s">
        <v>124</v>
      </c>
      <c r="C93" s="292"/>
      <c r="D93" s="20"/>
      <c r="E93" s="20"/>
      <c r="F93" s="20"/>
      <c r="G93" s="19">
        <v>2004.7</v>
      </c>
      <c r="H93" s="19">
        <v>2004.7</v>
      </c>
    </row>
    <row r="94" spans="1:8" x14ac:dyDescent="0.2">
      <c r="A94" s="287" t="s">
        <v>125</v>
      </c>
      <c r="B94" s="288"/>
      <c r="C94" s="288"/>
      <c r="D94" s="288"/>
      <c r="E94" s="288"/>
      <c r="F94" s="288"/>
      <c r="G94" s="288"/>
      <c r="H94" s="288"/>
    </row>
    <row r="95" spans="1:8" ht="63.75" x14ac:dyDescent="0.2">
      <c r="A95" s="17">
        <v>45</v>
      </c>
      <c r="B95" s="18" t="s">
        <v>126</v>
      </c>
      <c r="C95" s="18" t="s">
        <v>127</v>
      </c>
      <c r="D95" s="20"/>
      <c r="E95" s="20"/>
      <c r="F95" s="20"/>
      <c r="G95" s="19">
        <v>1549.37</v>
      </c>
      <c r="H95" s="19">
        <v>1549.37</v>
      </c>
    </row>
    <row r="96" spans="1:8" ht="63.75" x14ac:dyDescent="0.2">
      <c r="A96" s="17">
        <v>46</v>
      </c>
      <c r="B96" s="18" t="s">
        <v>128</v>
      </c>
      <c r="C96" s="18" t="s">
        <v>129</v>
      </c>
      <c r="D96" s="20"/>
      <c r="E96" s="20"/>
      <c r="F96" s="20"/>
      <c r="G96" s="19">
        <v>1324.34</v>
      </c>
      <c r="H96" s="19">
        <v>1324.34</v>
      </c>
    </row>
    <row r="97" spans="1:8" ht="63.75" x14ac:dyDescent="0.2">
      <c r="A97" s="17">
        <v>47</v>
      </c>
      <c r="B97" s="18" t="s">
        <v>130</v>
      </c>
      <c r="C97" s="18" t="s">
        <v>131</v>
      </c>
      <c r="D97" s="20"/>
      <c r="E97" s="20"/>
      <c r="F97" s="20"/>
      <c r="G97" s="19">
        <v>6722.87</v>
      </c>
      <c r="H97" s="19">
        <v>6722.87</v>
      </c>
    </row>
    <row r="98" spans="1:8" ht="63.75" x14ac:dyDescent="0.2">
      <c r="A98" s="17">
        <v>48</v>
      </c>
      <c r="B98" s="18" t="s">
        <v>132</v>
      </c>
      <c r="C98" s="18" t="s">
        <v>133</v>
      </c>
      <c r="D98" s="20"/>
      <c r="E98" s="20"/>
      <c r="F98" s="20"/>
      <c r="G98" s="19">
        <v>5937.8</v>
      </c>
      <c r="H98" s="19">
        <v>5937.8</v>
      </c>
    </row>
    <row r="99" spans="1:8" ht="38.25" x14ac:dyDescent="0.2">
      <c r="A99" s="17">
        <v>49</v>
      </c>
      <c r="B99" s="18" t="s">
        <v>134</v>
      </c>
      <c r="C99" s="18" t="s">
        <v>135</v>
      </c>
      <c r="D99" s="20"/>
      <c r="E99" s="20"/>
      <c r="F99" s="20"/>
      <c r="G99" s="19">
        <v>715.76</v>
      </c>
      <c r="H99" s="19">
        <v>715.76</v>
      </c>
    </row>
    <row r="100" spans="1:8" ht="76.5" x14ac:dyDescent="0.2">
      <c r="A100" s="17">
        <v>50</v>
      </c>
      <c r="B100" s="18" t="s">
        <v>136</v>
      </c>
      <c r="C100" s="18" t="s">
        <v>137</v>
      </c>
      <c r="D100" s="20"/>
      <c r="E100" s="20"/>
      <c r="F100" s="20"/>
      <c r="G100" s="19">
        <v>25.45</v>
      </c>
      <c r="H100" s="19">
        <v>25.45</v>
      </c>
    </row>
    <row r="101" spans="1:8" ht="27.95" customHeight="1" x14ac:dyDescent="0.2">
      <c r="A101" s="25"/>
      <c r="B101" s="291" t="s">
        <v>138</v>
      </c>
      <c r="C101" s="292"/>
      <c r="D101" s="20"/>
      <c r="E101" s="20"/>
      <c r="F101" s="20"/>
      <c r="G101" s="19">
        <v>16275.59</v>
      </c>
      <c r="H101" s="19">
        <v>16275.59</v>
      </c>
    </row>
    <row r="102" spans="1:8" x14ac:dyDescent="0.2">
      <c r="A102" s="25"/>
      <c r="B102" s="291" t="s">
        <v>139</v>
      </c>
      <c r="C102" s="292"/>
      <c r="D102" s="19">
        <v>52546.64</v>
      </c>
      <c r="E102" s="19">
        <v>4419.2700000000004</v>
      </c>
      <c r="F102" s="19">
        <v>43822.89</v>
      </c>
      <c r="G102" s="19">
        <v>25731.21</v>
      </c>
      <c r="H102" s="19">
        <v>126520.01</v>
      </c>
    </row>
    <row r="103" spans="1:8" x14ac:dyDescent="0.2">
      <c r="A103" s="287" t="s">
        <v>140</v>
      </c>
      <c r="B103" s="288"/>
      <c r="C103" s="288"/>
      <c r="D103" s="288"/>
      <c r="E103" s="288"/>
      <c r="F103" s="288"/>
      <c r="G103" s="288"/>
      <c r="H103" s="288"/>
    </row>
    <row r="104" spans="1:8" ht="25.5" x14ac:dyDescent="0.2">
      <c r="A104" s="17">
        <v>51</v>
      </c>
      <c r="B104" s="18" t="s">
        <v>141</v>
      </c>
      <c r="C104" s="18" t="s">
        <v>142</v>
      </c>
      <c r="D104" s="19">
        <v>1050.93</v>
      </c>
      <c r="E104" s="19">
        <v>88.39</v>
      </c>
      <c r="F104" s="19">
        <v>876.46</v>
      </c>
      <c r="G104" s="19">
        <v>514.62</v>
      </c>
      <c r="H104" s="19">
        <v>2530.4</v>
      </c>
    </row>
    <row r="105" spans="1:8" x14ac:dyDescent="0.2">
      <c r="A105" s="25"/>
      <c r="B105" s="291" t="s">
        <v>143</v>
      </c>
      <c r="C105" s="292"/>
      <c r="D105" s="19">
        <v>1050.93</v>
      </c>
      <c r="E105" s="19">
        <v>88.39</v>
      </c>
      <c r="F105" s="19">
        <v>876.46</v>
      </c>
      <c r="G105" s="19">
        <v>514.62</v>
      </c>
      <c r="H105" s="19">
        <v>2530.4</v>
      </c>
    </row>
    <row r="106" spans="1:8" x14ac:dyDescent="0.2">
      <c r="A106" s="25"/>
      <c r="B106" s="291" t="s">
        <v>144</v>
      </c>
      <c r="C106" s="292"/>
      <c r="D106" s="19">
        <v>53597.57</v>
      </c>
      <c r="E106" s="19">
        <v>4507.66</v>
      </c>
      <c r="F106" s="19">
        <v>44699.35</v>
      </c>
      <c r="G106" s="19">
        <v>26245.83</v>
      </c>
      <c r="H106" s="19">
        <v>129050.41</v>
      </c>
    </row>
    <row r="107" spans="1:8" x14ac:dyDescent="0.2">
      <c r="A107" s="287" t="s">
        <v>145</v>
      </c>
      <c r="B107" s="288"/>
      <c r="C107" s="288"/>
      <c r="D107" s="288"/>
      <c r="E107" s="288"/>
      <c r="F107" s="288"/>
      <c r="G107" s="288"/>
      <c r="H107" s="288"/>
    </row>
    <row r="108" spans="1:8" x14ac:dyDescent="0.2">
      <c r="A108" s="25"/>
      <c r="B108" s="291" t="s">
        <v>146</v>
      </c>
      <c r="C108" s="292"/>
      <c r="D108" s="19">
        <v>53597.57</v>
      </c>
      <c r="E108" s="19">
        <v>4507.66</v>
      </c>
      <c r="F108" s="19">
        <v>44699.35</v>
      </c>
      <c r="G108" s="19">
        <v>26245.83</v>
      </c>
      <c r="H108" s="19">
        <v>129050.41</v>
      </c>
    </row>
    <row r="109" spans="1:8" x14ac:dyDescent="0.2">
      <c r="A109" s="287" t="s">
        <v>147</v>
      </c>
      <c r="B109" s="288"/>
      <c r="C109" s="288"/>
      <c r="D109" s="288"/>
      <c r="E109" s="288"/>
      <c r="F109" s="288"/>
      <c r="G109" s="288"/>
      <c r="H109" s="288"/>
    </row>
    <row r="110" spans="1:8" x14ac:dyDescent="0.2">
      <c r="A110" s="21">
        <v>52</v>
      </c>
      <c r="B110" s="22"/>
      <c r="C110" s="23" t="s">
        <v>148</v>
      </c>
      <c r="D110" s="24">
        <v>484.13</v>
      </c>
      <c r="E110" s="24">
        <v>14.82</v>
      </c>
      <c r="F110" s="20"/>
      <c r="G110" s="20"/>
      <c r="H110" s="24">
        <v>498.95</v>
      </c>
    </row>
    <row r="111" spans="1:8" x14ac:dyDescent="0.2">
      <c r="A111" s="17">
        <v>53</v>
      </c>
      <c r="B111" s="22"/>
      <c r="C111" s="18" t="s">
        <v>149</v>
      </c>
      <c r="D111" s="20"/>
      <c r="E111" s="20"/>
      <c r="F111" s="20"/>
      <c r="G111" s="20"/>
      <c r="H111" s="20"/>
    </row>
    <row r="112" spans="1:8" ht="51" x14ac:dyDescent="0.2">
      <c r="A112" s="17">
        <v>54</v>
      </c>
      <c r="B112" s="18" t="s">
        <v>150</v>
      </c>
      <c r="C112" s="18" t="s">
        <v>151</v>
      </c>
      <c r="D112" s="19">
        <v>375182.99</v>
      </c>
      <c r="E112" s="19">
        <v>31553.62</v>
      </c>
      <c r="F112" s="20"/>
      <c r="G112" s="20"/>
      <c r="H112" s="19">
        <v>406736.61</v>
      </c>
    </row>
    <row r="113" spans="1:9" ht="51" x14ac:dyDescent="0.2">
      <c r="A113" s="17">
        <v>55</v>
      </c>
      <c r="B113" s="18" t="s">
        <v>152</v>
      </c>
      <c r="C113" s="18" t="s">
        <v>153</v>
      </c>
      <c r="D113" s="20"/>
      <c r="E113" s="20"/>
      <c r="F113" s="19">
        <v>177903.41</v>
      </c>
      <c r="G113" s="20"/>
      <c r="H113" s="19">
        <v>177903.41</v>
      </c>
    </row>
    <row r="114" spans="1:9" ht="51" x14ac:dyDescent="0.2">
      <c r="A114" s="17">
        <v>56</v>
      </c>
      <c r="B114" s="18" t="s">
        <v>150</v>
      </c>
      <c r="C114" s="18" t="s">
        <v>541</v>
      </c>
      <c r="D114" s="20"/>
      <c r="E114" s="20"/>
      <c r="F114" s="20"/>
      <c r="G114" s="19">
        <v>6460.59</v>
      </c>
      <c r="H114" s="19">
        <v>6460.59</v>
      </c>
    </row>
    <row r="115" spans="1:9" ht="51" x14ac:dyDescent="0.2">
      <c r="A115" s="17">
        <v>57</v>
      </c>
      <c r="B115" s="18" t="s">
        <v>154</v>
      </c>
      <c r="C115" s="18" t="s">
        <v>155</v>
      </c>
      <c r="D115" s="20"/>
      <c r="E115" s="20"/>
      <c r="F115" s="20"/>
      <c r="G115" s="19">
        <v>29728.83</v>
      </c>
      <c r="H115" s="19">
        <v>29728.83</v>
      </c>
    </row>
    <row r="116" spans="1:9" ht="38.25" x14ac:dyDescent="0.2">
      <c r="A116" s="17">
        <v>58</v>
      </c>
      <c r="B116" s="18" t="s">
        <v>156</v>
      </c>
      <c r="C116" s="18" t="s">
        <v>157</v>
      </c>
      <c r="D116" s="20"/>
      <c r="E116" s="20"/>
      <c r="F116" s="20"/>
      <c r="G116" s="19">
        <v>967.64</v>
      </c>
      <c r="H116" s="19">
        <v>967.64</v>
      </c>
    </row>
    <row r="117" spans="1:9" ht="63.75" x14ac:dyDescent="0.2">
      <c r="A117" s="17">
        <v>59</v>
      </c>
      <c r="B117" s="18" t="s">
        <v>126</v>
      </c>
      <c r="C117" s="18" t="s">
        <v>158</v>
      </c>
      <c r="D117" s="20"/>
      <c r="E117" s="20"/>
      <c r="F117" s="20"/>
      <c r="G117" s="19">
        <v>8463.1</v>
      </c>
      <c r="H117" s="19">
        <v>8463.1</v>
      </c>
    </row>
    <row r="118" spans="1:9" ht="63.75" x14ac:dyDescent="0.2">
      <c r="A118" s="17">
        <v>60</v>
      </c>
      <c r="B118" s="18" t="s">
        <v>128</v>
      </c>
      <c r="C118" s="18" t="s">
        <v>159</v>
      </c>
      <c r="D118" s="20"/>
      <c r="E118" s="20"/>
      <c r="F118" s="20"/>
      <c r="G118" s="19">
        <v>7233.92</v>
      </c>
      <c r="H118" s="19">
        <v>7233.92</v>
      </c>
    </row>
    <row r="119" spans="1:9" ht="63.75" x14ac:dyDescent="0.2">
      <c r="A119" s="17">
        <v>61</v>
      </c>
      <c r="B119" s="18" t="s">
        <v>130</v>
      </c>
      <c r="C119" s="18" t="s">
        <v>160</v>
      </c>
      <c r="D119" s="20"/>
      <c r="E119" s="20"/>
      <c r="F119" s="20"/>
      <c r="G119" s="19">
        <v>33864.910000000003</v>
      </c>
      <c r="H119" s="19">
        <v>33864.910000000003</v>
      </c>
    </row>
    <row r="120" spans="1:9" ht="63.75" x14ac:dyDescent="0.2">
      <c r="A120" s="17">
        <v>62</v>
      </c>
      <c r="B120" s="18" t="s">
        <v>132</v>
      </c>
      <c r="C120" s="18" t="s">
        <v>161</v>
      </c>
      <c r="D120" s="20"/>
      <c r="E120" s="20"/>
      <c r="F120" s="20"/>
      <c r="G120" s="19">
        <v>29910.3</v>
      </c>
      <c r="H120" s="19">
        <v>29910.3</v>
      </c>
      <c r="I120" s="5">
        <f>SUM(H117:H120)/1.02</f>
        <v>77913.950980392197</v>
      </c>
    </row>
    <row r="121" spans="1:9" ht="76.5" x14ac:dyDescent="0.2">
      <c r="A121" s="17">
        <v>63</v>
      </c>
      <c r="B121" s="18" t="s">
        <v>136</v>
      </c>
      <c r="C121" s="18" t="s">
        <v>162</v>
      </c>
      <c r="D121" s="20"/>
      <c r="E121" s="20"/>
      <c r="F121" s="20"/>
      <c r="G121" s="19">
        <v>272.83</v>
      </c>
      <c r="H121" s="19">
        <v>272.83</v>
      </c>
    </row>
    <row r="122" spans="1:9" ht="38.25" x14ac:dyDescent="0.2">
      <c r="A122" s="17">
        <v>64</v>
      </c>
      <c r="B122" s="18" t="s">
        <v>134</v>
      </c>
      <c r="C122" s="18" t="s">
        <v>163</v>
      </c>
      <c r="D122" s="20"/>
      <c r="E122" s="20"/>
      <c r="F122" s="20"/>
      <c r="G122" s="19">
        <v>3862.1</v>
      </c>
      <c r="H122" s="19">
        <v>3862.1</v>
      </c>
    </row>
    <row r="123" spans="1:9" ht="25.5" x14ac:dyDescent="0.2">
      <c r="A123" s="17">
        <v>65</v>
      </c>
      <c r="B123" s="18" t="s">
        <v>23</v>
      </c>
      <c r="C123" s="18" t="s">
        <v>164</v>
      </c>
      <c r="D123" s="20"/>
      <c r="E123" s="20"/>
      <c r="F123" s="20"/>
      <c r="G123" s="19">
        <v>22299.94</v>
      </c>
      <c r="H123" s="19">
        <v>22299.94</v>
      </c>
    </row>
    <row r="124" spans="1:9" ht="51" x14ac:dyDescent="0.2">
      <c r="A124" s="17">
        <v>66</v>
      </c>
      <c r="B124" s="18" t="s">
        <v>165</v>
      </c>
      <c r="C124" s="18" t="s">
        <v>123</v>
      </c>
      <c r="D124" s="20"/>
      <c r="E124" s="20"/>
      <c r="F124" s="20"/>
      <c r="G124" s="19">
        <v>21490.78</v>
      </c>
      <c r="H124" s="19">
        <v>21490.78</v>
      </c>
    </row>
    <row r="125" spans="1:9" x14ac:dyDescent="0.2">
      <c r="A125" s="17">
        <v>67</v>
      </c>
      <c r="B125" s="22"/>
      <c r="C125" s="18" t="s">
        <v>166</v>
      </c>
      <c r="D125" s="19">
        <v>375182.99</v>
      </c>
      <c r="E125" s="19">
        <v>31553.62</v>
      </c>
      <c r="F125" s="19">
        <v>177903.41</v>
      </c>
      <c r="G125" s="19">
        <v>164554.94</v>
      </c>
      <c r="H125" s="19">
        <v>749194.96</v>
      </c>
    </row>
    <row r="126" spans="1:9" ht="38.25" x14ac:dyDescent="0.2">
      <c r="A126" s="17">
        <v>68</v>
      </c>
      <c r="B126" s="18" t="s">
        <v>167</v>
      </c>
      <c r="C126" s="18" t="s">
        <v>168</v>
      </c>
      <c r="D126" s="19">
        <v>75036.600000000006</v>
      </c>
      <c r="E126" s="19">
        <v>6310.72</v>
      </c>
      <c r="F126" s="19">
        <v>35580.68</v>
      </c>
      <c r="G126" s="19">
        <v>32910.99</v>
      </c>
      <c r="H126" s="19">
        <v>149838.99</v>
      </c>
    </row>
    <row r="127" spans="1:9" x14ac:dyDescent="0.2">
      <c r="A127" s="17">
        <v>69</v>
      </c>
      <c r="B127" s="22"/>
      <c r="C127" s="18" t="s">
        <v>169</v>
      </c>
      <c r="D127" s="19">
        <v>450219.59</v>
      </c>
      <c r="E127" s="19">
        <v>37864.339999999997</v>
      </c>
      <c r="F127" s="19">
        <v>213484.09</v>
      </c>
      <c r="G127" s="19">
        <v>197465.93</v>
      </c>
      <c r="H127" s="19">
        <v>899033.95</v>
      </c>
    </row>
    <row r="128" spans="1:9" x14ac:dyDescent="0.2">
      <c r="A128" s="17">
        <v>70</v>
      </c>
      <c r="B128" s="22"/>
      <c r="C128" s="18" t="s">
        <v>170</v>
      </c>
      <c r="D128" s="19">
        <v>1868.37</v>
      </c>
      <c r="E128" s="19">
        <v>124.5</v>
      </c>
      <c r="F128" s="20"/>
      <c r="G128" s="20"/>
      <c r="H128" s="19">
        <v>1992.87</v>
      </c>
    </row>
    <row r="131" spans="1:8" x14ac:dyDescent="0.2">
      <c r="C131" s="2" t="s">
        <v>182</v>
      </c>
    </row>
    <row r="132" spans="1:8" ht="27.95" customHeight="1" x14ac:dyDescent="0.2">
      <c r="A132" s="298" t="s">
        <v>183</v>
      </c>
      <c r="B132" s="299"/>
      <c r="C132" s="299"/>
      <c r="D132" s="299"/>
      <c r="E132" s="299"/>
      <c r="F132" s="299"/>
      <c r="G132" s="299"/>
      <c r="H132" s="299"/>
    </row>
    <row r="133" spans="1:8" x14ac:dyDescent="0.2">
      <c r="A133" s="300" t="s">
        <v>171</v>
      </c>
      <c r="B133" s="299"/>
      <c r="C133" s="299"/>
      <c r="D133" s="299"/>
      <c r="E133" s="299"/>
      <c r="F133" s="299"/>
      <c r="G133" s="299"/>
      <c r="H133" s="299"/>
    </row>
    <row r="135" spans="1:8" x14ac:dyDescent="0.2">
      <c r="A135" s="298" t="s">
        <v>172</v>
      </c>
      <c r="B135" s="299"/>
      <c r="C135" s="299"/>
      <c r="D135" s="299"/>
      <c r="E135" s="299"/>
      <c r="F135" s="299"/>
      <c r="G135" s="299"/>
      <c r="H135" s="299"/>
    </row>
    <row r="136" spans="1:8" x14ac:dyDescent="0.2">
      <c r="A136" s="300" t="s">
        <v>171</v>
      </c>
      <c r="B136" s="299"/>
      <c r="C136" s="299"/>
      <c r="D136" s="299"/>
      <c r="E136" s="299"/>
      <c r="F136" s="299"/>
      <c r="G136" s="299"/>
      <c r="H136" s="299"/>
    </row>
    <row r="138" spans="1:8" x14ac:dyDescent="0.2">
      <c r="A138" s="298" t="s">
        <v>173</v>
      </c>
      <c r="B138" s="299"/>
      <c r="C138" s="299"/>
      <c r="D138" s="299"/>
      <c r="E138" s="299"/>
      <c r="F138" s="299"/>
      <c r="G138" s="299"/>
      <c r="H138" s="299"/>
    </row>
    <row r="139" spans="1:8" x14ac:dyDescent="0.2">
      <c r="A139" s="300" t="s">
        <v>171</v>
      </c>
      <c r="B139" s="299"/>
      <c r="C139" s="299"/>
      <c r="D139" s="299"/>
      <c r="E139" s="299"/>
      <c r="F139" s="299"/>
      <c r="G139" s="299"/>
      <c r="H139" s="299"/>
    </row>
    <row r="141" spans="1:8" x14ac:dyDescent="0.2">
      <c r="A141" s="298" t="s">
        <v>174</v>
      </c>
      <c r="B141" s="299"/>
      <c r="C141" s="299"/>
      <c r="D141" s="299"/>
      <c r="E141" s="299"/>
      <c r="F141" s="299"/>
      <c r="G141" s="299"/>
      <c r="H141" s="299"/>
    </row>
    <row r="142" spans="1:8" x14ac:dyDescent="0.2">
      <c r="A142" s="300" t="s">
        <v>171</v>
      </c>
      <c r="B142" s="299"/>
      <c r="C142" s="299"/>
      <c r="D142" s="299"/>
      <c r="E142" s="299"/>
      <c r="F142" s="299"/>
      <c r="G142" s="299"/>
      <c r="H142" s="299"/>
    </row>
    <row r="144" spans="1:8" x14ac:dyDescent="0.2">
      <c r="A144" s="298" t="s">
        <v>175</v>
      </c>
      <c r="B144" s="299"/>
      <c r="C144" s="299"/>
      <c r="D144" s="299"/>
      <c r="E144" s="299"/>
      <c r="F144" s="299"/>
      <c r="G144" s="299"/>
      <c r="H144" s="299"/>
    </row>
    <row r="145" spans="1:8" x14ac:dyDescent="0.2">
      <c r="A145" s="300" t="s">
        <v>171</v>
      </c>
      <c r="B145" s="299"/>
      <c r="C145" s="299"/>
      <c r="D145" s="299"/>
      <c r="E145" s="299"/>
      <c r="F145" s="299"/>
      <c r="G145" s="299"/>
      <c r="H145" s="299"/>
    </row>
    <row r="149" spans="1:8" x14ac:dyDescent="0.2">
      <c r="A149" s="298"/>
      <c r="B149" s="299"/>
      <c r="C149" s="299"/>
      <c r="D149" s="299"/>
      <c r="E149" s="299"/>
      <c r="F149" s="299"/>
      <c r="G149" s="299"/>
      <c r="H149" s="299"/>
    </row>
    <row r="150" spans="1:8" x14ac:dyDescent="0.2">
      <c r="A150" s="300"/>
      <c r="B150" s="299"/>
      <c r="C150" s="299"/>
      <c r="D150" s="299"/>
      <c r="E150" s="299"/>
      <c r="F150" s="299"/>
      <c r="G150" s="299"/>
      <c r="H150" s="299"/>
    </row>
    <row r="152" spans="1:8" x14ac:dyDescent="0.2">
      <c r="A152" s="298"/>
      <c r="B152" s="299"/>
      <c r="C152" s="299"/>
      <c r="D152" s="299"/>
      <c r="E152" s="299"/>
      <c r="F152" s="299"/>
      <c r="G152" s="299"/>
      <c r="H152" s="299"/>
    </row>
  </sheetData>
  <mergeCells count="53">
    <mergeCell ref="B53:C53"/>
    <mergeCell ref="A24:A27"/>
    <mergeCell ref="B24:B27"/>
    <mergeCell ref="C24:C27"/>
    <mergeCell ref="D24:G24"/>
    <mergeCell ref="A29:H29"/>
    <mergeCell ref="B36:C36"/>
    <mergeCell ref="A37:H37"/>
    <mergeCell ref="B39:C39"/>
    <mergeCell ref="A40:H40"/>
    <mergeCell ref="H24:H27"/>
    <mergeCell ref="D25:D27"/>
    <mergeCell ref="E25:E27"/>
    <mergeCell ref="F25:F27"/>
    <mergeCell ref="G25:G27"/>
    <mergeCell ref="B89:C89"/>
    <mergeCell ref="A54:H54"/>
    <mergeCell ref="B57:C57"/>
    <mergeCell ref="A58:H58"/>
    <mergeCell ref="B69:C69"/>
    <mergeCell ref="A70:H70"/>
    <mergeCell ref="B74:C74"/>
    <mergeCell ref="B75:C75"/>
    <mergeCell ref="A76:H76"/>
    <mergeCell ref="B79:C79"/>
    <mergeCell ref="B80:C80"/>
    <mergeCell ref="A81:H81"/>
    <mergeCell ref="B106:C106"/>
    <mergeCell ref="A107:H107"/>
    <mergeCell ref="B108:C108"/>
    <mergeCell ref="A109:H109"/>
    <mergeCell ref="B90:C90"/>
    <mergeCell ref="A91:H91"/>
    <mergeCell ref="B93:C93"/>
    <mergeCell ref="A94:H94"/>
    <mergeCell ref="B101:C101"/>
    <mergeCell ref="B102:C102"/>
    <mergeCell ref="A152:H152"/>
    <mergeCell ref="C18:G18"/>
    <mergeCell ref="A141:H141"/>
    <mergeCell ref="A142:H142"/>
    <mergeCell ref="A144:H144"/>
    <mergeCell ref="A145:H145"/>
    <mergeCell ref="A149:H149"/>
    <mergeCell ref="A150:H150"/>
    <mergeCell ref="A132:H132"/>
    <mergeCell ref="A133:H133"/>
    <mergeCell ref="A135:H135"/>
    <mergeCell ref="A136:H136"/>
    <mergeCell ref="A138:H138"/>
    <mergeCell ref="A139:H139"/>
    <mergeCell ref="A103:H103"/>
    <mergeCell ref="B105:C10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rstPageNumber="6" fitToHeight="10000" orientation="landscape" useFirstPageNumber="1" r:id="rId1"/>
  <headerFooter alignWithMargins="0">
    <oddFooter>&amp;R&amp;P</oddFooter>
  </headerFooter>
  <rowBreaks count="1" manualBreakCount="1"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21" workbookViewId="0">
      <selection activeCell="C32" sqref="A1:C32"/>
    </sheetView>
  </sheetViews>
  <sheetFormatPr defaultColWidth="9.140625" defaultRowHeight="15" x14ac:dyDescent="0.25"/>
  <cols>
    <col min="1" max="1" width="22" style="60" customWidth="1"/>
    <col min="2" max="2" width="21.28515625" style="60" customWidth="1"/>
    <col min="3" max="3" width="62.28515625" style="60" customWidth="1"/>
    <col min="4" max="16384" width="9.140625" style="60"/>
  </cols>
  <sheetData>
    <row r="1" spans="1:3" x14ac:dyDescent="0.25">
      <c r="A1" s="248" t="s">
        <v>476</v>
      </c>
      <c r="B1" s="248"/>
      <c r="C1" s="248"/>
    </row>
    <row r="2" spans="1:3" x14ac:dyDescent="0.25">
      <c r="A2" s="248" t="s">
        <v>477</v>
      </c>
      <c r="B2" s="248"/>
      <c r="C2" s="248"/>
    </row>
    <row r="3" spans="1:3" ht="37.5" customHeight="1" x14ac:dyDescent="0.25">
      <c r="A3" s="249" t="s">
        <v>475</v>
      </c>
      <c r="B3" s="245"/>
      <c r="C3" s="245"/>
    </row>
    <row r="4" spans="1:3" ht="116.25" customHeight="1" x14ac:dyDescent="0.25">
      <c r="A4" s="243" t="s">
        <v>632</v>
      </c>
      <c r="B4" s="243"/>
      <c r="C4" s="243"/>
    </row>
    <row r="5" spans="1:3" ht="18" customHeight="1" x14ac:dyDescent="0.25">
      <c r="A5" s="250" t="s">
        <v>478</v>
      </c>
      <c r="B5" s="250"/>
      <c r="C5" s="250"/>
    </row>
    <row r="6" spans="1:3" ht="85.15" customHeight="1" x14ac:dyDescent="0.25">
      <c r="A6" s="246" t="s">
        <v>633</v>
      </c>
      <c r="B6" s="246"/>
      <c r="C6" s="246"/>
    </row>
    <row r="7" spans="1:3" ht="22.15" customHeight="1" x14ac:dyDescent="0.25">
      <c r="A7" s="245" t="s">
        <v>634</v>
      </c>
      <c r="B7" s="245"/>
      <c r="C7" s="245"/>
    </row>
    <row r="8" spans="1:3" ht="54" customHeight="1" x14ac:dyDescent="0.25">
      <c r="A8" s="243" t="s">
        <v>644</v>
      </c>
      <c r="B8" s="243"/>
      <c r="C8" s="243"/>
    </row>
    <row r="9" spans="1:3" ht="27.75" customHeight="1" x14ac:dyDescent="0.25">
      <c r="A9" s="247" t="s">
        <v>635</v>
      </c>
      <c r="B9" s="247"/>
      <c r="C9" s="247"/>
    </row>
    <row r="10" spans="1:3" ht="36.6" customHeight="1" x14ac:dyDescent="0.25">
      <c r="A10" s="242" t="s">
        <v>479</v>
      </c>
      <c r="B10" s="242"/>
      <c r="C10" s="242"/>
    </row>
    <row r="11" spans="1:3" ht="45.75" customHeight="1" x14ac:dyDescent="0.25">
      <c r="A11" s="242" t="s">
        <v>636</v>
      </c>
      <c r="B11" s="242"/>
      <c r="C11" s="242"/>
    </row>
    <row r="12" spans="1:3" ht="29.25" customHeight="1" x14ac:dyDescent="0.25">
      <c r="A12" s="243" t="s">
        <v>480</v>
      </c>
      <c r="B12" s="243"/>
      <c r="C12" s="243"/>
    </row>
    <row r="13" spans="1:3" ht="22.15" customHeight="1" x14ac:dyDescent="0.25">
      <c r="A13" s="245" t="s">
        <v>637</v>
      </c>
      <c r="B13" s="245"/>
      <c r="C13" s="245"/>
    </row>
    <row r="14" spans="1:3" ht="54" customHeight="1" x14ac:dyDescent="0.25">
      <c r="A14" s="243" t="s">
        <v>638</v>
      </c>
      <c r="B14" s="243"/>
      <c r="C14" s="243"/>
    </row>
    <row r="15" spans="1:3" ht="27.75" customHeight="1" x14ac:dyDescent="0.25">
      <c r="A15" s="247" t="s">
        <v>635</v>
      </c>
      <c r="B15" s="247"/>
      <c r="C15" s="247"/>
    </row>
    <row r="16" spans="1:3" ht="36.6" customHeight="1" x14ac:dyDescent="0.25">
      <c r="A16" s="242" t="s">
        <v>479</v>
      </c>
      <c r="B16" s="242"/>
      <c r="C16" s="242"/>
    </row>
    <row r="17" spans="1:15" ht="45.75" customHeight="1" x14ac:dyDescent="0.25">
      <c r="A17" s="242" t="s">
        <v>636</v>
      </c>
      <c r="B17" s="242"/>
      <c r="C17" s="242"/>
    </row>
    <row r="18" spans="1:15" ht="29.25" customHeight="1" x14ac:dyDescent="0.25">
      <c r="A18" s="243" t="s">
        <v>480</v>
      </c>
      <c r="B18" s="243"/>
      <c r="C18" s="243"/>
    </row>
    <row r="19" spans="1:15" ht="27" customHeight="1" x14ac:dyDescent="0.25">
      <c r="A19" s="245" t="s">
        <v>639</v>
      </c>
      <c r="B19" s="245"/>
      <c r="C19" s="245"/>
    </row>
    <row r="20" spans="1:15" ht="55.5" customHeight="1" x14ac:dyDescent="0.25">
      <c r="A20" s="246" t="s">
        <v>645</v>
      </c>
      <c r="B20" s="246"/>
      <c r="C20" s="246"/>
    </row>
    <row r="21" spans="1:15" ht="30.6" customHeight="1" x14ac:dyDescent="0.25">
      <c r="A21" s="246" t="s">
        <v>640</v>
      </c>
      <c r="B21" s="246"/>
      <c r="C21" s="246"/>
    </row>
    <row r="22" spans="1:15" ht="28.15" customHeight="1" x14ac:dyDescent="0.25">
      <c r="A22" s="247" t="s">
        <v>641</v>
      </c>
      <c r="B22" s="247"/>
      <c r="C22" s="247"/>
    </row>
    <row r="23" spans="1:15" ht="28.15" customHeight="1" x14ac:dyDescent="0.25">
      <c r="A23" s="247" t="s">
        <v>642</v>
      </c>
      <c r="B23" s="247"/>
      <c r="C23" s="247"/>
    </row>
    <row r="24" spans="1:15" ht="28.9" customHeight="1" x14ac:dyDescent="0.25">
      <c r="A24" s="242" t="s">
        <v>479</v>
      </c>
      <c r="B24" s="242"/>
      <c r="C24" s="242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1:15" ht="42" customHeight="1" x14ac:dyDescent="0.25">
      <c r="A25" s="242" t="s">
        <v>636</v>
      </c>
      <c r="B25" s="242"/>
      <c r="C25" s="242"/>
      <c r="D25" s="66"/>
      <c r="E25" s="66"/>
      <c r="F25" s="66"/>
      <c r="G25" s="66"/>
      <c r="H25" s="66"/>
      <c r="I25" s="66"/>
      <c r="J25" s="66"/>
      <c r="K25" s="66"/>
    </row>
    <row r="26" spans="1:15" ht="28.5" customHeight="1" x14ac:dyDescent="0.25">
      <c r="A26" s="243" t="s">
        <v>480</v>
      </c>
      <c r="B26" s="243"/>
      <c r="C26" s="243"/>
    </row>
    <row r="27" spans="1:15" ht="15" customHeight="1" x14ac:dyDescent="0.25">
      <c r="A27" s="243" t="s">
        <v>643</v>
      </c>
      <c r="B27" s="243"/>
      <c r="C27" s="243"/>
    </row>
    <row r="28" spans="1:15" x14ac:dyDescent="0.25">
      <c r="A28" s="243" t="s">
        <v>481</v>
      </c>
      <c r="B28" s="243"/>
      <c r="C28" s="243"/>
    </row>
    <row r="29" spans="1:15" x14ac:dyDescent="0.25">
      <c r="A29" s="74"/>
      <c r="B29" s="74"/>
      <c r="C29" s="74"/>
    </row>
    <row r="30" spans="1:15" x14ac:dyDescent="0.25">
      <c r="A30" s="72" t="s">
        <v>482</v>
      </c>
      <c r="B30" s="73"/>
      <c r="C30" s="72"/>
    </row>
    <row r="31" spans="1:15" x14ac:dyDescent="0.25">
      <c r="A31" s="244"/>
      <c r="B31" s="244"/>
      <c r="C31" s="244"/>
    </row>
    <row r="32" spans="1:15" x14ac:dyDescent="0.25">
      <c r="A32" s="72"/>
      <c r="B32" s="73">
        <f>НМЦ!E15</f>
        <v>871045956</v>
      </c>
      <c r="C32" s="72" t="s">
        <v>483</v>
      </c>
    </row>
  </sheetData>
  <mergeCells count="29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5"/>
    <mergeCell ref="A26:C26"/>
    <mergeCell ref="A27:C27"/>
    <mergeCell ref="A28:C28"/>
    <mergeCell ref="A31:C31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E18" sqref="A1:E18"/>
    </sheetView>
  </sheetViews>
  <sheetFormatPr defaultRowHeight="15.75" x14ac:dyDescent="0.25"/>
  <cols>
    <col min="1" max="1" width="9.140625" style="75"/>
    <col min="2" max="2" width="43" style="75" customWidth="1"/>
    <col min="3" max="3" width="22" style="75" customWidth="1"/>
    <col min="4" max="4" width="20" style="75" customWidth="1"/>
    <col min="5" max="5" width="20.7109375" style="75" customWidth="1"/>
    <col min="6" max="16384" width="9.140625" style="75"/>
  </cols>
  <sheetData>
    <row r="1" spans="1:5" x14ac:dyDescent="0.25">
      <c r="A1" s="76"/>
      <c r="B1" s="76"/>
      <c r="C1" s="76"/>
      <c r="D1" s="76"/>
      <c r="E1" s="76"/>
    </row>
    <row r="2" spans="1:5" x14ac:dyDescent="0.25">
      <c r="A2" s="251" t="s">
        <v>461</v>
      </c>
      <c r="B2" s="251"/>
      <c r="C2" s="251"/>
      <c r="D2" s="251"/>
      <c r="E2" s="251"/>
    </row>
    <row r="3" spans="1:5" ht="51" customHeight="1" x14ac:dyDescent="0.25">
      <c r="A3" s="252" t="s">
        <v>475</v>
      </c>
      <c r="B3" s="252"/>
      <c r="C3" s="252"/>
      <c r="D3" s="252"/>
      <c r="E3" s="252"/>
    </row>
    <row r="4" spans="1:5" x14ac:dyDescent="0.25">
      <c r="A4" s="196"/>
      <c r="B4" s="196"/>
      <c r="C4" s="196"/>
      <c r="D4" s="196"/>
      <c r="E4" s="196"/>
    </row>
    <row r="5" spans="1:5" x14ac:dyDescent="0.25">
      <c r="A5" s="70" t="s">
        <v>462</v>
      </c>
      <c r="B5" s="70"/>
      <c r="C5" s="212" t="s">
        <v>615</v>
      </c>
      <c r="D5" s="70"/>
      <c r="E5" s="76"/>
    </row>
    <row r="6" spans="1:5" x14ac:dyDescent="0.25">
      <c r="A6" s="70" t="s">
        <v>463</v>
      </c>
      <c r="B6" s="70"/>
      <c r="C6" s="213">
        <v>44211</v>
      </c>
      <c r="D6" s="70"/>
      <c r="E6" s="76"/>
    </row>
    <row r="7" spans="1:5" x14ac:dyDescent="0.25">
      <c r="A7" s="70" t="s">
        <v>464</v>
      </c>
      <c r="B7" s="70"/>
      <c r="C7" s="213">
        <v>44837</v>
      </c>
      <c r="D7" s="71"/>
      <c r="E7" s="76"/>
    </row>
    <row r="8" spans="1:5" x14ac:dyDescent="0.25">
      <c r="A8" s="70"/>
      <c r="B8" s="197"/>
      <c r="C8" s="197"/>
      <c r="D8" s="76"/>
      <c r="E8" s="76"/>
    </row>
    <row r="9" spans="1:5" x14ac:dyDescent="0.25">
      <c r="A9" s="253" t="s">
        <v>465</v>
      </c>
      <c r="B9" s="254" t="s">
        <v>466</v>
      </c>
      <c r="C9" s="253" t="s">
        <v>467</v>
      </c>
      <c r="D9" s="253"/>
      <c r="E9" s="253"/>
    </row>
    <row r="10" spans="1:5" x14ac:dyDescent="0.25">
      <c r="A10" s="253"/>
      <c r="B10" s="255"/>
      <c r="C10" s="198" t="s">
        <v>468</v>
      </c>
      <c r="D10" s="198" t="s">
        <v>469</v>
      </c>
      <c r="E10" s="198" t="s">
        <v>470</v>
      </c>
    </row>
    <row r="11" spans="1:5" x14ac:dyDescent="0.25">
      <c r="A11" s="198">
        <v>1</v>
      </c>
      <c r="B11" s="198">
        <v>2</v>
      </c>
      <c r="C11" s="198">
        <v>3</v>
      </c>
      <c r="D11" s="199">
        <v>4</v>
      </c>
      <c r="E11" s="199">
        <v>5</v>
      </c>
    </row>
    <row r="12" spans="1:5" x14ac:dyDescent="0.25">
      <c r="A12" s="200">
        <v>1</v>
      </c>
      <c r="B12" s="194" t="s">
        <v>613</v>
      </c>
      <c r="C12" s="201">
        <f>'Расчет НМЦК'!G12+'Расчет НМЦК'!G13</f>
        <v>32575933</v>
      </c>
      <c r="D12" s="202">
        <f>C12*0.2</f>
        <v>6515186.5999999996</v>
      </c>
      <c r="E12" s="202">
        <f>C12+D12</f>
        <v>39091119.600000001</v>
      </c>
    </row>
    <row r="13" spans="1:5" ht="23.45" customHeight="1" x14ac:dyDescent="0.25">
      <c r="A13" s="203" t="s">
        <v>368</v>
      </c>
      <c r="B13" s="194" t="s">
        <v>471</v>
      </c>
      <c r="C13" s="201">
        <f>'Расчет НМЦК'!G14+'Расчет НМЦК'!G15</f>
        <v>1056943</v>
      </c>
      <c r="D13" s="201">
        <f>C13*0.2</f>
        <v>211388.6</v>
      </c>
      <c r="E13" s="201">
        <f>C13+D13</f>
        <v>1268331.6000000001</v>
      </c>
    </row>
    <row r="14" spans="1:5" ht="126.75" thickBot="1" x14ac:dyDescent="0.3">
      <c r="A14" s="203" t="s">
        <v>374</v>
      </c>
      <c r="B14" s="195" t="s">
        <v>614</v>
      </c>
      <c r="C14" s="201">
        <f>'Расчет НМЦК'!G16+'Расчет НМЦК'!G17+'Расчет НМЦК'!G18+'Расчет НМЦК'!G19+'Расчет НМЦК'!G20+'Расчет НМЦК'!G21+'Расчет НМЦК'!G22+'Расчет НМЦК'!G23+'Расчет НМЦК'!G24</f>
        <v>692238754</v>
      </c>
      <c r="D14" s="201">
        <f>C14*0.2</f>
        <v>138447750.80000001</v>
      </c>
      <c r="E14" s="201">
        <f>C14+D14</f>
        <v>830686504.79999995</v>
      </c>
    </row>
    <row r="15" spans="1:5" x14ac:dyDescent="0.25">
      <c r="A15" s="204"/>
      <c r="B15" s="204" t="s">
        <v>472</v>
      </c>
      <c r="C15" s="205">
        <f>C12+C13+C14</f>
        <v>725871630</v>
      </c>
      <c r="D15" s="205">
        <f>D12+D13+D14</f>
        <v>145174326</v>
      </c>
      <c r="E15" s="205">
        <f>E12+E13+E14</f>
        <v>871045956</v>
      </c>
    </row>
    <row r="16" spans="1:5" ht="42" customHeight="1" x14ac:dyDescent="0.25">
      <c r="A16" s="206"/>
      <c r="B16" s="207" t="s">
        <v>473</v>
      </c>
      <c r="C16" s="208">
        <f>'Расчет НМЦК'!G25-'Расчет НМЦК'!D25</f>
        <v>26297162</v>
      </c>
      <c r="D16" s="209">
        <f>C16*0.2</f>
        <v>5259432.4000000004</v>
      </c>
      <c r="E16" s="209">
        <f>C16+D16</f>
        <v>31556594.399999999</v>
      </c>
    </row>
    <row r="17" spans="1:5" x14ac:dyDescent="0.25">
      <c r="A17" s="76"/>
      <c r="B17" s="76"/>
      <c r="C17" s="76"/>
      <c r="D17" s="76"/>
      <c r="E17" s="76"/>
    </row>
    <row r="18" spans="1:5" x14ac:dyDescent="0.25">
      <c r="A18" s="76" t="s">
        <v>474</v>
      </c>
      <c r="C18" s="210">
        <f>'Расчет НМЦК'!G13+'Расчет НМЦК'!G15+'Расчет НМЦК'!G24</f>
        <v>14328556</v>
      </c>
      <c r="D18" s="211">
        <f>C18*0.2</f>
        <v>2865711.2</v>
      </c>
      <c r="E18" s="211">
        <f>C18+D18</f>
        <v>17194267.199999999</v>
      </c>
    </row>
  </sheetData>
  <mergeCells count="5">
    <mergeCell ref="A2:E2"/>
    <mergeCell ref="A3:E3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C5" sqref="C5"/>
    </sheetView>
  </sheetViews>
  <sheetFormatPr defaultRowHeight="12.75" x14ac:dyDescent="0.2"/>
  <cols>
    <col min="7" max="7" width="13.7109375" customWidth="1"/>
  </cols>
  <sheetData>
    <row r="1" spans="1:15" ht="15" x14ac:dyDescent="0.25">
      <c r="A1" s="259" t="s">
        <v>434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5" x14ac:dyDescent="0.25">
      <c r="A2" s="259" t="s">
        <v>435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5" ht="1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37.5" customHeight="1" x14ac:dyDescent="0.25">
      <c r="A4" s="64" t="s">
        <v>436</v>
      </c>
      <c r="B4" s="60"/>
      <c r="C4" s="260" t="s">
        <v>14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5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" x14ac:dyDescent="0.25">
      <c r="A6" s="261" t="s">
        <v>437</v>
      </c>
      <c r="B6" s="261"/>
      <c r="C6" s="261"/>
      <c r="D6" s="261"/>
      <c r="E6" s="261"/>
      <c r="F6" s="261"/>
      <c r="G6" s="193">
        <f>'Расчет НМЦК'!G27</f>
        <v>871045956</v>
      </c>
      <c r="H6" s="60"/>
      <c r="I6" s="60"/>
      <c r="J6" s="60"/>
      <c r="K6" s="60"/>
      <c r="L6" s="60"/>
      <c r="M6" s="60"/>
      <c r="N6" s="60"/>
      <c r="O6" s="60"/>
    </row>
    <row r="7" spans="1:15" ht="15" x14ac:dyDescent="0.2">
      <c r="A7" s="262" t="s">
        <v>609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5" x14ac:dyDescent="0.25">
      <c r="A8" s="61" t="s">
        <v>438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" x14ac:dyDescent="0.25">
      <c r="A9" s="67" t="s">
        <v>439</v>
      </c>
      <c r="B9" s="66"/>
      <c r="C9" s="66"/>
      <c r="D9" s="66"/>
      <c r="E9" s="66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" x14ac:dyDescent="0.25">
      <c r="A10" s="67" t="s">
        <v>451</v>
      </c>
      <c r="B10" s="66"/>
      <c r="C10" s="66"/>
      <c r="D10" s="66"/>
      <c r="E10" s="66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5" x14ac:dyDescent="0.25">
      <c r="A11" s="67" t="s">
        <v>456</v>
      </c>
      <c r="B11" s="66"/>
      <c r="C11" s="66"/>
      <c r="D11" s="66"/>
      <c r="E11" s="66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5" x14ac:dyDescent="0.25">
      <c r="A12" s="67" t="s">
        <v>452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5" x14ac:dyDescent="0.25">
      <c r="A13" s="67" t="s">
        <v>453</v>
      </c>
      <c r="B13" s="66"/>
      <c r="C13" s="66"/>
      <c r="D13" s="66"/>
      <c r="E13" s="66"/>
      <c r="F13" s="66"/>
      <c r="G13" s="66"/>
      <c r="H13" s="66"/>
      <c r="I13" s="66"/>
      <c r="J13" s="60"/>
      <c r="K13" s="60"/>
      <c r="L13" s="60"/>
      <c r="M13" s="60"/>
      <c r="N13" s="60"/>
      <c r="O13" s="60"/>
    </row>
    <row r="14" spans="1:15" ht="15" x14ac:dyDescent="0.25">
      <c r="A14" s="67" t="s">
        <v>440</v>
      </c>
      <c r="B14" s="66"/>
      <c r="C14" s="66"/>
      <c r="D14" s="66"/>
      <c r="E14" s="66"/>
      <c r="F14" s="66"/>
      <c r="G14" s="66"/>
      <c r="H14" s="66"/>
      <c r="I14" s="66"/>
      <c r="J14" s="60"/>
      <c r="K14" s="60"/>
      <c r="L14" s="60"/>
      <c r="M14" s="60"/>
      <c r="N14" s="60"/>
      <c r="O14" s="60"/>
    </row>
    <row r="15" spans="1:15" ht="15" x14ac:dyDescent="0.25">
      <c r="A15" s="67" t="s">
        <v>454</v>
      </c>
      <c r="B15" s="66"/>
      <c r="C15" s="66"/>
      <c r="D15" s="66"/>
      <c r="E15" s="66"/>
      <c r="F15" s="66"/>
      <c r="G15" s="66"/>
      <c r="H15" s="66"/>
      <c r="I15" s="66"/>
      <c r="J15" s="60"/>
      <c r="K15" s="60"/>
      <c r="L15" s="60"/>
      <c r="M15" s="60"/>
      <c r="N15" s="60"/>
      <c r="O15" s="60"/>
    </row>
    <row r="16" spans="1:15" ht="15" x14ac:dyDescent="0.25">
      <c r="A16" s="67" t="s">
        <v>441</v>
      </c>
      <c r="B16" s="66"/>
      <c r="C16" s="66"/>
      <c r="D16" s="66"/>
      <c r="E16" s="66"/>
      <c r="F16" s="66"/>
      <c r="G16" s="66"/>
      <c r="H16" s="66"/>
      <c r="I16" s="66"/>
      <c r="J16" s="60"/>
      <c r="K16" s="60"/>
      <c r="L16" s="60"/>
      <c r="M16" s="60"/>
      <c r="N16" s="60"/>
      <c r="O16" s="60"/>
    </row>
    <row r="17" spans="1:15" ht="15" x14ac:dyDescent="0.25">
      <c r="A17" s="67" t="s">
        <v>442</v>
      </c>
      <c r="B17" s="66"/>
      <c r="C17" s="66"/>
      <c r="D17" s="66"/>
      <c r="E17" s="66"/>
      <c r="F17" s="66"/>
      <c r="G17" s="66"/>
      <c r="H17" s="66"/>
      <c r="I17" s="66"/>
      <c r="J17" s="60"/>
      <c r="K17" s="60"/>
      <c r="L17" s="60"/>
      <c r="M17" s="60"/>
      <c r="N17" s="60"/>
      <c r="O17" s="60"/>
    </row>
    <row r="18" spans="1:15" ht="15" x14ac:dyDescent="0.25">
      <c r="A18" s="67" t="s">
        <v>443</v>
      </c>
      <c r="B18" s="65"/>
      <c r="C18" s="65"/>
      <c r="D18" s="65"/>
      <c r="E18" s="65"/>
      <c r="F18" s="65"/>
      <c r="G18" s="65"/>
      <c r="H18" s="65"/>
      <c r="I18" s="65"/>
      <c r="J18" s="62"/>
      <c r="K18" s="62"/>
      <c r="L18" s="62"/>
      <c r="M18" s="62"/>
      <c r="N18" s="62"/>
      <c r="O18" s="62"/>
    </row>
    <row r="19" spans="1:15" ht="15" x14ac:dyDescent="0.25">
      <c r="A19" s="67" t="s">
        <v>444</v>
      </c>
      <c r="B19" s="66"/>
      <c r="C19" s="66"/>
      <c r="D19" s="66"/>
      <c r="E19" s="66"/>
      <c r="F19" s="66"/>
      <c r="G19" s="66"/>
      <c r="H19" s="66"/>
      <c r="I19" s="66"/>
      <c r="J19" s="60"/>
      <c r="K19" s="60"/>
      <c r="L19" s="60"/>
      <c r="M19" s="60"/>
      <c r="N19" s="60"/>
      <c r="O19" s="60"/>
    </row>
    <row r="20" spans="1:15" ht="15" x14ac:dyDescent="0.25">
      <c r="A20" s="67" t="s">
        <v>445</v>
      </c>
      <c r="B20" s="66"/>
      <c r="C20" s="66"/>
      <c r="D20" s="66"/>
      <c r="E20" s="66"/>
      <c r="F20" s="66"/>
      <c r="G20" s="66"/>
      <c r="H20" s="66"/>
      <c r="I20" s="66"/>
      <c r="J20" s="60"/>
      <c r="K20" s="60"/>
      <c r="L20" s="60"/>
      <c r="M20" s="60"/>
      <c r="N20" s="60"/>
      <c r="O20" s="60"/>
    </row>
    <row r="21" spans="1:15" ht="15" x14ac:dyDescent="0.25">
      <c r="A21" s="67" t="s">
        <v>446</v>
      </c>
      <c r="B21" s="66"/>
      <c r="C21" s="66"/>
      <c r="D21" s="66"/>
      <c r="E21" s="66"/>
      <c r="F21" s="66"/>
      <c r="G21" s="66"/>
      <c r="H21" s="66"/>
      <c r="I21" s="66"/>
      <c r="J21" s="60"/>
      <c r="K21" s="60"/>
      <c r="L21" s="60"/>
      <c r="M21" s="60"/>
      <c r="N21" s="60"/>
      <c r="O21" s="60"/>
    </row>
    <row r="22" spans="1:15" ht="15" x14ac:dyDescent="0.25">
      <c r="A22" s="67" t="s">
        <v>455</v>
      </c>
      <c r="B22" s="66"/>
      <c r="C22" s="66"/>
      <c r="D22" s="66"/>
      <c r="E22" s="66"/>
      <c r="F22" s="66"/>
      <c r="G22" s="66"/>
      <c r="H22" s="66"/>
      <c r="I22" s="66"/>
      <c r="J22" s="60"/>
      <c r="K22" s="60"/>
      <c r="L22" s="60"/>
      <c r="M22" s="60"/>
      <c r="N22" s="60"/>
      <c r="O22" s="60"/>
    </row>
    <row r="23" spans="1:15" ht="15" x14ac:dyDescent="0.25">
      <c r="A23" s="67" t="s">
        <v>457</v>
      </c>
      <c r="B23" s="66"/>
      <c r="C23" s="66"/>
      <c r="D23" s="66"/>
      <c r="E23" s="66"/>
      <c r="F23" s="66"/>
      <c r="G23" s="66"/>
      <c r="H23" s="66"/>
      <c r="I23" s="66"/>
      <c r="J23" s="60"/>
      <c r="K23" s="60"/>
      <c r="L23" s="60"/>
      <c r="M23" s="60"/>
      <c r="N23" s="60"/>
      <c r="O23" s="60"/>
    </row>
    <row r="24" spans="1:15" ht="15" x14ac:dyDescent="0.25">
      <c r="A24" s="67" t="s">
        <v>458</v>
      </c>
      <c r="B24" s="66"/>
      <c r="C24" s="66"/>
      <c r="D24" s="66"/>
      <c r="E24" s="66"/>
      <c r="F24" s="66"/>
      <c r="G24" s="66"/>
      <c r="H24" s="66"/>
      <c r="I24" s="66"/>
      <c r="J24" s="60"/>
      <c r="K24" s="60"/>
      <c r="L24" s="60"/>
      <c r="M24" s="60"/>
      <c r="N24" s="60"/>
      <c r="O24" s="60"/>
    </row>
    <row r="25" spans="1:15" ht="19.899999999999999" customHeight="1" x14ac:dyDescent="0.25">
      <c r="A25" s="257" t="s">
        <v>610</v>
      </c>
      <c r="B25" s="258"/>
      <c r="C25" s="258"/>
      <c r="D25" s="258"/>
      <c r="E25" s="258"/>
      <c r="F25" s="258"/>
      <c r="G25" s="258"/>
      <c r="H25" s="258"/>
      <c r="I25" s="258"/>
      <c r="J25" s="258"/>
      <c r="K25" s="60"/>
      <c r="L25" s="60"/>
      <c r="M25" s="60"/>
      <c r="N25" s="60"/>
      <c r="O25" s="60"/>
    </row>
    <row r="26" spans="1:15" ht="19.899999999999999" customHeight="1" x14ac:dyDescent="0.25">
      <c r="A26" s="69" t="s">
        <v>459</v>
      </c>
      <c r="B26" s="69"/>
      <c r="C26" s="69"/>
      <c r="D26" s="69"/>
      <c r="E26" s="69"/>
      <c r="F26" s="69"/>
      <c r="G26" s="69"/>
      <c r="H26" s="69"/>
      <c r="I26" s="69"/>
      <c r="J26" s="69"/>
      <c r="K26" s="60"/>
      <c r="L26" s="60"/>
      <c r="M26" s="60"/>
      <c r="N26" s="60"/>
      <c r="O26" s="60"/>
    </row>
    <row r="27" spans="1:15" ht="19.899999999999999" customHeight="1" x14ac:dyDescent="0.25">
      <c r="A27" s="69" t="s">
        <v>460</v>
      </c>
      <c r="B27" s="69"/>
      <c r="C27" s="69"/>
      <c r="D27" s="69"/>
      <c r="E27" s="69"/>
      <c r="F27" s="69"/>
      <c r="G27" s="69"/>
      <c r="H27" s="69"/>
      <c r="I27" s="69"/>
      <c r="J27" s="69"/>
      <c r="K27" s="60"/>
      <c r="L27" s="60"/>
      <c r="M27" s="60"/>
      <c r="N27" s="60"/>
      <c r="O27" s="60"/>
    </row>
    <row r="28" spans="1:15" ht="15" x14ac:dyDescent="0.25">
      <c r="A28" s="67" t="s">
        <v>447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0"/>
      <c r="M28" s="60"/>
      <c r="N28" s="60"/>
      <c r="O28" s="60"/>
    </row>
    <row r="29" spans="1:15" ht="35.25" customHeight="1" x14ac:dyDescent="0.25">
      <c r="A29" s="263" t="s">
        <v>611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</row>
    <row r="30" spans="1:15" ht="15" x14ac:dyDescent="0.25">
      <c r="A30" s="67" t="s">
        <v>612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0"/>
      <c r="M30" s="60"/>
      <c r="N30" s="60"/>
      <c r="O30" s="60"/>
    </row>
    <row r="31" spans="1:15" ht="15" x14ac:dyDescent="0.25">
      <c r="A31" s="67" t="s">
        <v>448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0"/>
      <c r="M31" s="60"/>
      <c r="N31" s="60"/>
      <c r="O31" s="60"/>
    </row>
    <row r="32" spans="1:15" ht="15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0"/>
      <c r="M32" s="60"/>
      <c r="N32" s="60"/>
      <c r="O32" s="60"/>
    </row>
    <row r="33" spans="1:15" ht="15" x14ac:dyDescent="0.25">
      <c r="A33" s="67" t="s">
        <v>449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0"/>
      <c r="M33" s="60"/>
      <c r="N33" s="60"/>
      <c r="O33" s="60"/>
    </row>
    <row r="34" spans="1:15" ht="15" x14ac:dyDescent="0.25">
      <c r="A34" s="67" t="s">
        <v>450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0"/>
      <c r="M34" s="60"/>
      <c r="N34" s="60"/>
      <c r="O34" s="60"/>
    </row>
    <row r="35" spans="1:15" ht="15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0"/>
      <c r="M35" s="60"/>
      <c r="N35" s="60"/>
      <c r="O35" s="60"/>
    </row>
    <row r="36" spans="1:15" ht="15" x14ac:dyDescent="0.25">
      <c r="A36" s="61" t="s">
        <v>329</v>
      </c>
      <c r="B36" s="60"/>
      <c r="C36" s="60"/>
      <c r="D36" s="60"/>
      <c r="E36" s="60"/>
      <c r="F36" s="60"/>
      <c r="G36" s="66"/>
      <c r="H36" s="66"/>
      <c r="I36" s="66"/>
      <c r="J36" s="256"/>
      <c r="K36" s="256"/>
      <c r="L36" s="256"/>
      <c r="M36" s="256"/>
      <c r="N36" s="256"/>
      <c r="O36" s="256"/>
    </row>
    <row r="37" spans="1:15" ht="15" x14ac:dyDescent="0.25">
      <c r="A37" s="61"/>
      <c r="B37" s="60"/>
      <c r="C37" s="60"/>
      <c r="D37" s="60"/>
      <c r="E37" s="60"/>
      <c r="F37" s="60"/>
      <c r="G37" s="66"/>
      <c r="H37" s="66"/>
      <c r="I37" s="66"/>
      <c r="J37" s="68" t="s">
        <v>330</v>
      </c>
      <c r="K37" s="68"/>
      <c r="L37" s="68"/>
      <c r="M37" s="60"/>
      <c r="N37" s="60"/>
      <c r="O37" s="60"/>
    </row>
    <row r="38" spans="1:15" ht="15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</sheetData>
  <mergeCells count="8">
    <mergeCell ref="J36:O36"/>
    <mergeCell ref="A25:J25"/>
    <mergeCell ref="A1:O1"/>
    <mergeCell ref="A2:O2"/>
    <mergeCell ref="C4:O4"/>
    <mergeCell ref="A6:F6"/>
    <mergeCell ref="A7:O7"/>
    <mergeCell ref="A29:O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workbookViewId="0">
      <selection activeCell="C46" sqref="C46"/>
    </sheetView>
  </sheetViews>
  <sheetFormatPr defaultRowHeight="15.75" outlineLevelCol="1" x14ac:dyDescent="0.25"/>
  <cols>
    <col min="1" max="1" width="6.28515625" style="75" customWidth="1"/>
    <col min="2" max="2" width="24.5703125" style="108" customWidth="1"/>
    <col min="3" max="3" width="55.28515625" style="110" customWidth="1"/>
    <col min="4" max="4" width="13.42578125" style="75" customWidth="1"/>
    <col min="5" max="5" width="13.28515625" style="75" customWidth="1"/>
    <col min="6" max="6" width="13.140625" style="75" hidden="1" customWidth="1" outlineLevel="1"/>
    <col min="7" max="7" width="11.7109375" style="75" hidden="1" customWidth="1" outlineLevel="1"/>
    <col min="8" max="8" width="12.140625" style="75" hidden="1" customWidth="1" outlineLevel="1"/>
    <col min="9" max="9" width="12.5703125" style="75" hidden="1" customWidth="1" outlineLevel="1"/>
    <col min="10" max="11" width="12" style="75" hidden="1" customWidth="1" outlineLevel="1"/>
    <col min="12" max="12" width="10.42578125" style="75" hidden="1" customWidth="1" outlineLevel="1"/>
    <col min="13" max="14" width="12.42578125" style="75" hidden="1" customWidth="1" outlineLevel="1"/>
    <col min="15" max="15" width="10.7109375" style="75" hidden="1" customWidth="1" outlineLevel="1"/>
    <col min="16" max="16" width="11.7109375" style="75" hidden="1" customWidth="1" outlineLevel="1"/>
    <col min="17" max="17" width="15.140625" style="75" hidden="1" customWidth="1" outlineLevel="1"/>
    <col min="18" max="18" width="13" style="75" hidden="1" customWidth="1" collapsed="1"/>
    <col min="19" max="19" width="12.42578125" style="75" hidden="1" customWidth="1"/>
    <col min="20" max="20" width="10.7109375" style="75" hidden="1" customWidth="1"/>
    <col min="21" max="21" width="11.85546875" style="75" hidden="1" customWidth="1"/>
    <col min="22" max="16384" width="9.140625" style="75"/>
  </cols>
  <sheetData>
    <row r="1" spans="1:21" ht="25.5" customHeight="1" x14ac:dyDescent="0.25">
      <c r="A1" s="264" t="s">
        <v>544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55.5" customHeight="1" x14ac:dyDescent="0.25">
      <c r="A2" s="265" t="s">
        <v>14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 x14ac:dyDescent="0.25">
      <c r="A3" s="76"/>
      <c r="B3" s="107"/>
      <c r="C3" s="10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x14ac:dyDescent="0.25">
      <c r="A4" s="76"/>
      <c r="B4" s="107"/>
      <c r="C4" s="10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x14ac:dyDescent="0.25">
      <c r="A5" s="266" t="s">
        <v>343</v>
      </c>
      <c r="B5" s="268" t="s">
        <v>344</v>
      </c>
      <c r="C5" s="268" t="s">
        <v>345</v>
      </c>
      <c r="D5" s="268" t="s">
        <v>346</v>
      </c>
      <c r="E5" s="268" t="s">
        <v>347</v>
      </c>
      <c r="F5" s="268" t="s">
        <v>361</v>
      </c>
      <c r="G5" s="268" t="s">
        <v>362</v>
      </c>
      <c r="H5" s="268" t="s">
        <v>334</v>
      </c>
      <c r="I5" s="268" t="s">
        <v>349</v>
      </c>
      <c r="J5" s="268" t="s">
        <v>350</v>
      </c>
      <c r="K5" s="268" t="s">
        <v>351</v>
      </c>
      <c r="L5" s="268" t="s">
        <v>352</v>
      </c>
      <c r="M5" s="268" t="s">
        <v>353</v>
      </c>
      <c r="N5" s="268" t="s">
        <v>354</v>
      </c>
      <c r="O5" s="270" t="s">
        <v>360</v>
      </c>
      <c r="P5" s="270"/>
      <c r="Q5" s="270"/>
      <c r="R5" s="268" t="s">
        <v>359</v>
      </c>
      <c r="S5" s="268" t="s">
        <v>358</v>
      </c>
      <c r="T5" s="271" t="s">
        <v>355</v>
      </c>
      <c r="U5" s="271"/>
    </row>
    <row r="6" spans="1:21" ht="152.25" customHeight="1" x14ac:dyDescent="0.25">
      <c r="A6" s="267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77" t="s">
        <v>348</v>
      </c>
      <c r="P6" s="77" t="s">
        <v>334</v>
      </c>
      <c r="Q6" s="77" t="s">
        <v>349</v>
      </c>
      <c r="R6" s="269"/>
      <c r="S6" s="269"/>
      <c r="T6" s="77" t="s">
        <v>356</v>
      </c>
      <c r="U6" s="78" t="s">
        <v>357</v>
      </c>
    </row>
    <row r="7" spans="1:21" x14ac:dyDescent="0.25">
      <c r="A7" s="79">
        <v>1</v>
      </c>
      <c r="B7" s="78">
        <v>2</v>
      </c>
      <c r="C7" s="78">
        <v>3</v>
      </c>
      <c r="D7" s="79">
        <v>4</v>
      </c>
      <c r="E7" s="79">
        <v>5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>
        <v>5</v>
      </c>
      <c r="U7" s="79">
        <v>6</v>
      </c>
    </row>
    <row r="8" spans="1:21" ht="78.75" x14ac:dyDescent="0.25">
      <c r="A8" s="78">
        <v>1</v>
      </c>
      <c r="B8" s="80" t="s">
        <v>132</v>
      </c>
      <c r="C8" s="81" t="s">
        <v>331</v>
      </c>
      <c r="D8" s="78" t="s">
        <v>494</v>
      </c>
      <c r="E8" s="78">
        <v>1</v>
      </c>
    </row>
    <row r="9" spans="1:21" ht="31.5" x14ac:dyDescent="0.25">
      <c r="A9" s="78">
        <v>2</v>
      </c>
      <c r="B9" s="82" t="s">
        <v>141</v>
      </c>
      <c r="C9" s="83" t="s">
        <v>569</v>
      </c>
      <c r="D9" s="102" t="s">
        <v>494</v>
      </c>
      <c r="E9" s="102">
        <v>1</v>
      </c>
    </row>
    <row r="10" spans="1:21" x14ac:dyDescent="0.25">
      <c r="A10" s="78">
        <v>3</v>
      </c>
      <c r="B10" s="82" t="s">
        <v>19</v>
      </c>
      <c r="C10" s="82" t="s">
        <v>20</v>
      </c>
      <c r="D10" s="103" t="s">
        <v>494</v>
      </c>
      <c r="E10" s="103">
        <v>1</v>
      </c>
    </row>
    <row r="11" spans="1:21" x14ac:dyDescent="0.25">
      <c r="A11" s="78">
        <v>4</v>
      </c>
      <c r="B11" s="82" t="s">
        <v>21</v>
      </c>
      <c r="C11" s="82" t="s">
        <v>332</v>
      </c>
      <c r="D11" s="103" t="s">
        <v>494</v>
      </c>
      <c r="E11" s="103">
        <v>1</v>
      </c>
    </row>
    <row r="12" spans="1:21" ht="31.5" x14ac:dyDescent="0.25">
      <c r="A12" s="78">
        <v>5</v>
      </c>
      <c r="B12" s="82" t="s">
        <v>141</v>
      </c>
      <c r="C12" s="82" t="s">
        <v>563</v>
      </c>
      <c r="D12" s="103" t="s">
        <v>494</v>
      </c>
      <c r="E12" s="103">
        <v>1</v>
      </c>
    </row>
    <row r="13" spans="1:21" ht="31.5" x14ac:dyDescent="0.25">
      <c r="A13" s="78">
        <v>6</v>
      </c>
      <c r="B13" s="82" t="s">
        <v>27</v>
      </c>
      <c r="C13" s="82" t="s">
        <v>28</v>
      </c>
      <c r="D13" s="103" t="s">
        <v>494</v>
      </c>
      <c r="E13" s="103">
        <v>1</v>
      </c>
    </row>
    <row r="14" spans="1:21" x14ac:dyDescent="0.25">
      <c r="A14" s="78">
        <v>7</v>
      </c>
      <c r="B14" s="82" t="s">
        <v>32</v>
      </c>
      <c r="C14" s="82" t="s">
        <v>527</v>
      </c>
      <c r="D14" s="103"/>
      <c r="E14" s="103"/>
    </row>
    <row r="15" spans="1:21" x14ac:dyDescent="0.25">
      <c r="A15" s="157" t="s">
        <v>484</v>
      </c>
      <c r="B15" s="158" t="s">
        <v>184</v>
      </c>
      <c r="C15" s="158" t="s">
        <v>185</v>
      </c>
      <c r="D15" s="159" t="s">
        <v>494</v>
      </c>
      <c r="E15" s="159">
        <v>1</v>
      </c>
    </row>
    <row r="16" spans="1:21" ht="31.5" x14ac:dyDescent="0.25">
      <c r="A16" s="157" t="s">
        <v>596</v>
      </c>
      <c r="B16" s="158" t="s">
        <v>498</v>
      </c>
      <c r="C16" s="158" t="s">
        <v>495</v>
      </c>
      <c r="D16" s="159" t="s">
        <v>494</v>
      </c>
      <c r="E16" s="159">
        <v>1</v>
      </c>
    </row>
    <row r="17" spans="1:5" x14ac:dyDescent="0.25">
      <c r="A17" s="157" t="s">
        <v>597</v>
      </c>
      <c r="B17" s="158" t="s">
        <v>499</v>
      </c>
      <c r="C17" s="158" t="s">
        <v>496</v>
      </c>
      <c r="D17" s="159" t="s">
        <v>494</v>
      </c>
      <c r="E17" s="159">
        <v>1</v>
      </c>
    </row>
    <row r="18" spans="1:5" x14ac:dyDescent="0.25">
      <c r="A18" s="157" t="s">
        <v>598</v>
      </c>
      <c r="B18" s="158" t="s">
        <v>500</v>
      </c>
      <c r="C18" s="158" t="s">
        <v>497</v>
      </c>
      <c r="D18" s="159" t="s">
        <v>494</v>
      </c>
      <c r="E18" s="159">
        <v>1</v>
      </c>
    </row>
    <row r="19" spans="1:5" x14ac:dyDescent="0.25">
      <c r="A19" s="157" t="s">
        <v>485</v>
      </c>
      <c r="B19" s="158" t="s">
        <v>186</v>
      </c>
      <c r="C19" s="158" t="s">
        <v>187</v>
      </c>
      <c r="D19" s="159" t="s">
        <v>494</v>
      </c>
      <c r="E19" s="159">
        <v>1</v>
      </c>
    </row>
    <row r="20" spans="1:5" x14ac:dyDescent="0.25">
      <c r="A20" s="157" t="s">
        <v>486</v>
      </c>
      <c r="B20" s="158" t="s">
        <v>188</v>
      </c>
      <c r="C20" s="158" t="s">
        <v>189</v>
      </c>
      <c r="D20" s="159" t="s">
        <v>494</v>
      </c>
      <c r="E20" s="159">
        <v>1</v>
      </c>
    </row>
    <row r="21" spans="1:5" x14ac:dyDescent="0.25">
      <c r="A21" s="157" t="s">
        <v>570</v>
      </c>
      <c r="B21" s="158" t="s">
        <v>190</v>
      </c>
      <c r="C21" s="158" t="s">
        <v>191</v>
      </c>
      <c r="D21" s="159" t="s">
        <v>494</v>
      </c>
      <c r="E21" s="159">
        <v>1</v>
      </c>
    </row>
    <row r="22" spans="1:5" x14ac:dyDescent="0.25">
      <c r="A22" s="157" t="s">
        <v>571</v>
      </c>
      <c r="B22" s="158" t="s">
        <v>192</v>
      </c>
      <c r="C22" s="158" t="s">
        <v>193</v>
      </c>
      <c r="D22" s="159" t="s">
        <v>494</v>
      </c>
      <c r="E22" s="159">
        <v>1</v>
      </c>
    </row>
    <row r="23" spans="1:5" ht="47.25" x14ac:dyDescent="0.25">
      <c r="A23" s="157" t="s">
        <v>599</v>
      </c>
      <c r="B23" s="158" t="s">
        <v>505</v>
      </c>
      <c r="C23" s="158" t="s">
        <v>512</v>
      </c>
      <c r="D23" s="159" t="s">
        <v>494</v>
      </c>
      <c r="E23" s="159">
        <v>1</v>
      </c>
    </row>
    <row r="24" spans="1:5" ht="47.25" x14ac:dyDescent="0.25">
      <c r="A24" s="157" t="s">
        <v>600</v>
      </c>
      <c r="B24" s="158" t="s">
        <v>506</v>
      </c>
      <c r="C24" s="158" t="s">
        <v>511</v>
      </c>
      <c r="D24" s="159" t="s">
        <v>494</v>
      </c>
      <c r="E24" s="159">
        <v>1</v>
      </c>
    </row>
    <row r="25" spans="1:5" x14ac:dyDescent="0.25">
      <c r="A25" s="157" t="s">
        <v>601</v>
      </c>
      <c r="B25" s="158" t="s">
        <v>501</v>
      </c>
      <c r="C25" s="158" t="s">
        <v>507</v>
      </c>
      <c r="D25" s="159" t="s">
        <v>494</v>
      </c>
      <c r="E25" s="159">
        <v>1</v>
      </c>
    </row>
    <row r="26" spans="1:5" ht="31.5" x14ac:dyDescent="0.25">
      <c r="A26" s="157" t="s">
        <v>602</v>
      </c>
      <c r="B26" s="158" t="s">
        <v>508</v>
      </c>
      <c r="C26" s="158" t="s">
        <v>513</v>
      </c>
      <c r="D26" s="159" t="s">
        <v>494</v>
      </c>
      <c r="E26" s="159">
        <v>1</v>
      </c>
    </row>
    <row r="27" spans="1:5" ht="31.5" x14ac:dyDescent="0.25">
      <c r="A27" s="157" t="s">
        <v>603</v>
      </c>
      <c r="B27" s="158" t="s">
        <v>502</v>
      </c>
      <c r="C27" s="158" t="s">
        <v>509</v>
      </c>
      <c r="D27" s="159" t="s">
        <v>494</v>
      </c>
      <c r="E27" s="159">
        <v>1</v>
      </c>
    </row>
    <row r="28" spans="1:5" ht="31.5" x14ac:dyDescent="0.25">
      <c r="A28" s="157" t="s">
        <v>604</v>
      </c>
      <c r="B28" s="158" t="s">
        <v>503</v>
      </c>
      <c r="C28" s="158" t="s">
        <v>514</v>
      </c>
      <c r="D28" s="159" t="s">
        <v>494</v>
      </c>
      <c r="E28" s="159">
        <v>1</v>
      </c>
    </row>
    <row r="29" spans="1:5" x14ac:dyDescent="0.25">
      <c r="A29" s="157" t="s">
        <v>605</v>
      </c>
      <c r="B29" s="158" t="s">
        <v>504</v>
      </c>
      <c r="C29" s="158" t="s">
        <v>510</v>
      </c>
      <c r="D29" s="159" t="s">
        <v>494</v>
      </c>
      <c r="E29" s="159">
        <v>1</v>
      </c>
    </row>
    <row r="30" spans="1:5" x14ac:dyDescent="0.25">
      <c r="A30" s="157" t="s">
        <v>572</v>
      </c>
      <c r="B30" s="158" t="s">
        <v>194</v>
      </c>
      <c r="C30" s="158" t="s">
        <v>195</v>
      </c>
      <c r="D30" s="159" t="s">
        <v>494</v>
      </c>
      <c r="E30" s="159">
        <v>1</v>
      </c>
    </row>
    <row r="31" spans="1:5" x14ac:dyDescent="0.25">
      <c r="A31" s="157" t="s">
        <v>606</v>
      </c>
      <c r="B31" s="158"/>
      <c r="C31" s="158" t="s">
        <v>515</v>
      </c>
      <c r="D31" s="159" t="s">
        <v>494</v>
      </c>
      <c r="E31" s="159">
        <v>1</v>
      </c>
    </row>
    <row r="32" spans="1:5" x14ac:dyDescent="0.25">
      <c r="A32" s="157" t="s">
        <v>607</v>
      </c>
      <c r="B32" s="158"/>
      <c r="C32" s="158" t="s">
        <v>516</v>
      </c>
      <c r="D32" s="159" t="s">
        <v>494</v>
      </c>
      <c r="E32" s="159">
        <v>1</v>
      </c>
    </row>
    <row r="33" spans="1:5" x14ac:dyDescent="0.25">
      <c r="A33" s="157" t="s">
        <v>608</v>
      </c>
      <c r="B33" s="158"/>
      <c r="C33" s="158" t="s">
        <v>517</v>
      </c>
      <c r="D33" s="159" t="s">
        <v>494</v>
      </c>
      <c r="E33" s="159">
        <v>1</v>
      </c>
    </row>
    <row r="34" spans="1:5" x14ac:dyDescent="0.25">
      <c r="A34" s="92" t="s">
        <v>366</v>
      </c>
      <c r="B34" s="82" t="s">
        <v>36</v>
      </c>
      <c r="C34" s="82" t="s">
        <v>37</v>
      </c>
      <c r="D34" s="103"/>
      <c r="E34" s="103"/>
    </row>
    <row r="35" spans="1:5" x14ac:dyDescent="0.25">
      <c r="A35" s="157" t="s">
        <v>371</v>
      </c>
      <c r="B35" s="158" t="s">
        <v>196</v>
      </c>
      <c r="C35" s="158" t="s">
        <v>518</v>
      </c>
      <c r="D35" s="159" t="s">
        <v>494</v>
      </c>
      <c r="E35" s="159">
        <v>1</v>
      </c>
    </row>
    <row r="36" spans="1:5" ht="31.5" x14ac:dyDescent="0.25">
      <c r="A36" s="157" t="s">
        <v>373</v>
      </c>
      <c r="B36" s="158" t="s">
        <v>198</v>
      </c>
      <c r="C36" s="158" t="s">
        <v>199</v>
      </c>
      <c r="D36" s="159" t="s">
        <v>494</v>
      </c>
      <c r="E36" s="159">
        <v>1</v>
      </c>
    </row>
    <row r="37" spans="1:5" ht="31.5" x14ac:dyDescent="0.25">
      <c r="A37" s="157" t="s">
        <v>375</v>
      </c>
      <c r="B37" s="158" t="s">
        <v>200</v>
      </c>
      <c r="C37" s="158" t="s">
        <v>201</v>
      </c>
      <c r="D37" s="159" t="s">
        <v>494</v>
      </c>
      <c r="E37" s="159">
        <v>1</v>
      </c>
    </row>
    <row r="38" spans="1:5" x14ac:dyDescent="0.25">
      <c r="A38" s="92" t="s">
        <v>367</v>
      </c>
      <c r="B38" s="82" t="s">
        <v>38</v>
      </c>
      <c r="C38" s="82" t="s">
        <v>39</v>
      </c>
      <c r="D38" s="103"/>
      <c r="E38" s="103"/>
    </row>
    <row r="39" spans="1:5" x14ac:dyDescent="0.25">
      <c r="A39" s="157" t="s">
        <v>376</v>
      </c>
      <c r="B39" s="158" t="s">
        <v>202</v>
      </c>
      <c r="C39" s="158" t="s">
        <v>519</v>
      </c>
      <c r="D39" s="159" t="s">
        <v>494</v>
      </c>
      <c r="E39" s="159">
        <v>1</v>
      </c>
    </row>
    <row r="40" spans="1:5" ht="31.5" x14ac:dyDescent="0.25">
      <c r="A40" s="157" t="s">
        <v>372</v>
      </c>
      <c r="B40" s="158" t="s">
        <v>203</v>
      </c>
      <c r="C40" s="158" t="s">
        <v>204</v>
      </c>
      <c r="D40" s="159" t="s">
        <v>494</v>
      </c>
      <c r="E40" s="159">
        <v>1</v>
      </c>
    </row>
    <row r="41" spans="1:5" ht="31.5" x14ac:dyDescent="0.25">
      <c r="A41" s="157" t="s">
        <v>377</v>
      </c>
      <c r="B41" s="158" t="s">
        <v>205</v>
      </c>
      <c r="C41" s="158" t="s">
        <v>206</v>
      </c>
      <c r="D41" s="159" t="s">
        <v>494</v>
      </c>
      <c r="E41" s="159">
        <v>1</v>
      </c>
    </row>
    <row r="42" spans="1:5" x14ac:dyDescent="0.25">
      <c r="A42" s="92" t="s">
        <v>378</v>
      </c>
      <c r="B42" s="82" t="s">
        <v>40</v>
      </c>
      <c r="C42" s="82" t="s">
        <v>41</v>
      </c>
      <c r="D42" s="103"/>
      <c r="E42" s="103"/>
    </row>
    <row r="43" spans="1:5" x14ac:dyDescent="0.25">
      <c r="A43" s="157" t="s">
        <v>379</v>
      </c>
      <c r="B43" s="158" t="s">
        <v>207</v>
      </c>
      <c r="C43" s="158" t="s">
        <v>520</v>
      </c>
      <c r="D43" s="159" t="s">
        <v>494</v>
      </c>
      <c r="E43" s="159">
        <v>1</v>
      </c>
    </row>
    <row r="44" spans="1:5" ht="31.5" x14ac:dyDescent="0.25">
      <c r="A44" s="157" t="s">
        <v>380</v>
      </c>
      <c r="B44" s="158" t="s">
        <v>208</v>
      </c>
      <c r="C44" s="158" t="s">
        <v>209</v>
      </c>
      <c r="D44" s="159" t="s">
        <v>494</v>
      </c>
      <c r="E44" s="159">
        <v>1</v>
      </c>
    </row>
    <row r="45" spans="1:5" ht="31.5" x14ac:dyDescent="0.25">
      <c r="A45" s="157" t="s">
        <v>381</v>
      </c>
      <c r="B45" s="158" t="s">
        <v>210</v>
      </c>
      <c r="C45" s="158" t="s">
        <v>211</v>
      </c>
      <c r="D45" s="159" t="s">
        <v>494</v>
      </c>
      <c r="E45" s="159">
        <v>1</v>
      </c>
    </row>
    <row r="46" spans="1:5" ht="31.5" x14ac:dyDescent="0.25">
      <c r="A46" s="92" t="s">
        <v>382</v>
      </c>
      <c r="B46" s="82" t="s">
        <v>42</v>
      </c>
      <c r="C46" s="82" t="s">
        <v>43</v>
      </c>
      <c r="D46" s="103" t="s">
        <v>494</v>
      </c>
      <c r="E46" s="103">
        <v>1</v>
      </c>
    </row>
    <row r="47" spans="1:5" x14ac:dyDescent="0.25">
      <c r="A47" s="92" t="s">
        <v>383</v>
      </c>
      <c r="B47" s="82" t="s">
        <v>44</v>
      </c>
      <c r="C47" s="82" t="s">
        <v>45</v>
      </c>
      <c r="D47" s="103" t="s">
        <v>494</v>
      </c>
      <c r="E47" s="103">
        <v>1</v>
      </c>
    </row>
    <row r="48" spans="1:5" x14ac:dyDescent="0.25">
      <c r="A48" s="92" t="s">
        <v>384</v>
      </c>
      <c r="B48" s="82" t="s">
        <v>46</v>
      </c>
      <c r="C48" s="82" t="s">
        <v>47</v>
      </c>
      <c r="D48" s="103" t="s">
        <v>494</v>
      </c>
      <c r="E48" s="103">
        <v>1</v>
      </c>
    </row>
    <row r="49" spans="1:5" ht="31.5" x14ac:dyDescent="0.25">
      <c r="A49" s="92" t="s">
        <v>385</v>
      </c>
      <c r="B49" s="82" t="s">
        <v>48</v>
      </c>
      <c r="C49" s="82" t="s">
        <v>49</v>
      </c>
      <c r="D49" s="103" t="s">
        <v>494</v>
      </c>
      <c r="E49" s="103">
        <v>1</v>
      </c>
    </row>
    <row r="50" spans="1:5" ht="31.5" x14ac:dyDescent="0.25">
      <c r="A50" s="92" t="s">
        <v>386</v>
      </c>
      <c r="B50" s="82" t="s">
        <v>50</v>
      </c>
      <c r="C50" s="82" t="s">
        <v>51</v>
      </c>
      <c r="D50" s="103" t="s">
        <v>494</v>
      </c>
      <c r="E50" s="103">
        <v>1</v>
      </c>
    </row>
    <row r="51" spans="1:5" ht="31.5" x14ac:dyDescent="0.25">
      <c r="A51" s="92" t="s">
        <v>387</v>
      </c>
      <c r="B51" s="82" t="s">
        <v>52</v>
      </c>
      <c r="C51" s="82" t="s">
        <v>53</v>
      </c>
      <c r="D51" s="103"/>
      <c r="E51" s="103"/>
    </row>
    <row r="52" spans="1:5" x14ac:dyDescent="0.25">
      <c r="A52" s="157" t="s">
        <v>487</v>
      </c>
      <c r="B52" s="158" t="s">
        <v>212</v>
      </c>
      <c r="C52" s="158" t="s">
        <v>521</v>
      </c>
      <c r="D52" s="159" t="s">
        <v>494</v>
      </c>
      <c r="E52" s="159">
        <v>1</v>
      </c>
    </row>
    <row r="53" spans="1:5" ht="47.25" x14ac:dyDescent="0.25">
      <c r="A53" s="157" t="s">
        <v>488</v>
      </c>
      <c r="B53" s="158" t="s">
        <v>213</v>
      </c>
      <c r="C53" s="158" t="s">
        <v>214</v>
      </c>
      <c r="D53" s="159" t="s">
        <v>494</v>
      </c>
      <c r="E53" s="159">
        <v>1</v>
      </c>
    </row>
    <row r="54" spans="1:5" ht="31.5" x14ac:dyDescent="0.25">
      <c r="A54" s="157" t="s">
        <v>489</v>
      </c>
      <c r="B54" s="158" t="s">
        <v>215</v>
      </c>
      <c r="C54" s="158" t="s">
        <v>216</v>
      </c>
      <c r="D54" s="159" t="s">
        <v>494</v>
      </c>
      <c r="E54" s="159">
        <v>1</v>
      </c>
    </row>
    <row r="55" spans="1:5" ht="31.5" x14ac:dyDescent="0.25">
      <c r="A55" s="92" t="s">
        <v>388</v>
      </c>
      <c r="B55" s="82" t="s">
        <v>54</v>
      </c>
      <c r="C55" s="82" t="s">
        <v>55</v>
      </c>
      <c r="D55" s="103"/>
      <c r="E55" s="103"/>
    </row>
    <row r="56" spans="1:5" x14ac:dyDescent="0.25">
      <c r="A56" s="157" t="s">
        <v>389</v>
      </c>
      <c r="B56" s="158" t="s">
        <v>217</v>
      </c>
      <c r="C56" s="158" t="s">
        <v>522</v>
      </c>
      <c r="D56" s="159" t="s">
        <v>494</v>
      </c>
      <c r="E56" s="159">
        <v>1</v>
      </c>
    </row>
    <row r="57" spans="1:5" ht="47.25" x14ac:dyDescent="0.25">
      <c r="A57" s="157" t="s">
        <v>390</v>
      </c>
      <c r="B57" s="158" t="s">
        <v>218</v>
      </c>
      <c r="C57" s="158" t="s">
        <v>219</v>
      </c>
      <c r="D57" s="159" t="s">
        <v>494</v>
      </c>
      <c r="E57" s="159">
        <v>1</v>
      </c>
    </row>
    <row r="58" spans="1:5" ht="31.5" x14ac:dyDescent="0.25">
      <c r="A58" s="157" t="s">
        <v>391</v>
      </c>
      <c r="B58" s="158" t="s">
        <v>220</v>
      </c>
      <c r="C58" s="158" t="s">
        <v>221</v>
      </c>
      <c r="D58" s="159" t="s">
        <v>494</v>
      </c>
      <c r="E58" s="159">
        <v>1</v>
      </c>
    </row>
    <row r="59" spans="1:5" x14ac:dyDescent="0.25">
      <c r="A59" s="92" t="s">
        <v>392</v>
      </c>
      <c r="B59" s="82" t="s">
        <v>56</v>
      </c>
      <c r="C59" s="82" t="s">
        <v>57</v>
      </c>
      <c r="D59" s="103"/>
      <c r="E59" s="103"/>
    </row>
    <row r="60" spans="1:5" x14ac:dyDescent="0.25">
      <c r="A60" s="157" t="s">
        <v>393</v>
      </c>
      <c r="B60" s="158" t="s">
        <v>222</v>
      </c>
      <c r="C60" s="158" t="s">
        <v>523</v>
      </c>
      <c r="D60" s="159" t="s">
        <v>494</v>
      </c>
      <c r="E60" s="159">
        <v>1</v>
      </c>
    </row>
    <row r="61" spans="1:5" ht="31.5" x14ac:dyDescent="0.25">
      <c r="A61" s="157" t="s">
        <v>394</v>
      </c>
      <c r="B61" s="158" t="s">
        <v>223</v>
      </c>
      <c r="C61" s="158" t="s">
        <v>224</v>
      </c>
      <c r="D61" s="159" t="s">
        <v>494</v>
      </c>
      <c r="E61" s="159">
        <v>1</v>
      </c>
    </row>
    <row r="62" spans="1:5" ht="31.5" x14ac:dyDescent="0.25">
      <c r="A62" s="157" t="s">
        <v>395</v>
      </c>
      <c r="B62" s="158" t="s">
        <v>225</v>
      </c>
      <c r="C62" s="158" t="s">
        <v>226</v>
      </c>
      <c r="D62" s="159" t="s">
        <v>494</v>
      </c>
      <c r="E62" s="159">
        <v>1</v>
      </c>
    </row>
    <row r="63" spans="1:5" x14ac:dyDescent="0.25">
      <c r="A63" s="92" t="s">
        <v>396</v>
      </c>
      <c r="B63" s="82" t="s">
        <v>58</v>
      </c>
      <c r="C63" s="82" t="s">
        <v>59</v>
      </c>
      <c r="D63" s="103"/>
      <c r="E63" s="103"/>
    </row>
    <row r="64" spans="1:5" x14ac:dyDescent="0.25">
      <c r="A64" s="157" t="s">
        <v>397</v>
      </c>
      <c r="B64" s="158" t="s">
        <v>227</v>
      </c>
      <c r="C64" s="158" t="s">
        <v>524</v>
      </c>
      <c r="D64" s="159" t="s">
        <v>494</v>
      </c>
      <c r="E64" s="159">
        <v>1</v>
      </c>
    </row>
    <row r="65" spans="1:5" ht="31.5" x14ac:dyDescent="0.25">
      <c r="A65" s="157" t="s">
        <v>398</v>
      </c>
      <c r="B65" s="158" t="s">
        <v>228</v>
      </c>
      <c r="C65" s="158" t="s">
        <v>229</v>
      </c>
      <c r="D65" s="159" t="s">
        <v>494</v>
      </c>
      <c r="E65" s="159">
        <v>1</v>
      </c>
    </row>
    <row r="66" spans="1:5" ht="31.5" x14ac:dyDescent="0.25">
      <c r="A66" s="157" t="s">
        <v>399</v>
      </c>
      <c r="B66" s="158" t="s">
        <v>230</v>
      </c>
      <c r="C66" s="158" t="s">
        <v>231</v>
      </c>
      <c r="D66" s="159" t="s">
        <v>494</v>
      </c>
      <c r="E66" s="159">
        <v>1</v>
      </c>
    </row>
    <row r="67" spans="1:5" x14ac:dyDescent="0.25">
      <c r="A67" s="92" t="s">
        <v>400</v>
      </c>
      <c r="B67" s="82" t="s">
        <v>62</v>
      </c>
      <c r="C67" s="82" t="s">
        <v>63</v>
      </c>
      <c r="D67" s="103"/>
      <c r="E67" s="103"/>
    </row>
    <row r="68" spans="1:5" x14ac:dyDescent="0.25">
      <c r="A68" s="157" t="s">
        <v>401</v>
      </c>
      <c r="B68" s="158"/>
      <c r="C68" s="158" t="s">
        <v>525</v>
      </c>
      <c r="D68" s="159" t="s">
        <v>494</v>
      </c>
      <c r="E68" s="159">
        <v>1</v>
      </c>
    </row>
    <row r="69" spans="1:5" x14ac:dyDescent="0.25">
      <c r="A69" s="157" t="s">
        <v>402</v>
      </c>
      <c r="B69" s="158"/>
      <c r="C69" s="158" t="s">
        <v>526</v>
      </c>
      <c r="D69" s="159" t="s">
        <v>494</v>
      </c>
      <c r="E69" s="159">
        <v>1</v>
      </c>
    </row>
    <row r="70" spans="1:5" x14ac:dyDescent="0.25">
      <c r="A70" s="92" t="s">
        <v>403</v>
      </c>
      <c r="B70" s="82" t="s">
        <v>64</v>
      </c>
      <c r="C70" s="82" t="s">
        <v>65</v>
      </c>
      <c r="D70" s="103"/>
      <c r="E70" s="103"/>
    </row>
    <row r="71" spans="1:5" ht="31.5" x14ac:dyDescent="0.25">
      <c r="A71" s="157" t="s">
        <v>490</v>
      </c>
      <c r="B71" s="158" t="s">
        <v>232</v>
      </c>
      <c r="C71" s="158" t="s">
        <v>233</v>
      </c>
      <c r="D71" s="159" t="s">
        <v>494</v>
      </c>
      <c r="E71" s="159">
        <v>1</v>
      </c>
    </row>
    <row r="72" spans="1:5" ht="47.25" x14ac:dyDescent="0.25">
      <c r="A72" s="157" t="s">
        <v>491</v>
      </c>
      <c r="B72" s="158" t="s">
        <v>234</v>
      </c>
      <c r="C72" s="158" t="s">
        <v>235</v>
      </c>
      <c r="D72" s="159" t="s">
        <v>494</v>
      </c>
      <c r="E72" s="159">
        <v>1</v>
      </c>
    </row>
    <row r="73" spans="1:5" ht="47.25" x14ac:dyDescent="0.25">
      <c r="A73" s="157" t="s">
        <v>573</v>
      </c>
      <c r="B73" s="158" t="s">
        <v>236</v>
      </c>
      <c r="C73" s="158" t="s">
        <v>237</v>
      </c>
      <c r="D73" s="159" t="s">
        <v>494</v>
      </c>
      <c r="E73" s="159">
        <v>1</v>
      </c>
    </row>
    <row r="74" spans="1:5" ht="47.25" x14ac:dyDescent="0.25">
      <c r="A74" s="157" t="s">
        <v>574</v>
      </c>
      <c r="B74" s="158" t="s">
        <v>238</v>
      </c>
      <c r="C74" s="158" t="s">
        <v>239</v>
      </c>
      <c r="D74" s="159" t="s">
        <v>494</v>
      </c>
      <c r="E74" s="159">
        <v>1</v>
      </c>
    </row>
    <row r="75" spans="1:5" ht="47.25" x14ac:dyDescent="0.25">
      <c r="A75" s="157" t="s">
        <v>575</v>
      </c>
      <c r="B75" s="158" t="s">
        <v>240</v>
      </c>
      <c r="C75" s="158" t="s">
        <v>241</v>
      </c>
      <c r="D75" s="159" t="s">
        <v>494</v>
      </c>
      <c r="E75" s="159">
        <v>1</v>
      </c>
    </row>
    <row r="76" spans="1:5" ht="31.5" x14ac:dyDescent="0.25">
      <c r="A76" s="157" t="s">
        <v>576</v>
      </c>
      <c r="B76" s="158" t="s">
        <v>242</v>
      </c>
      <c r="C76" s="158" t="s">
        <v>243</v>
      </c>
      <c r="D76" s="159" t="s">
        <v>494</v>
      </c>
      <c r="E76" s="159">
        <v>1</v>
      </c>
    </row>
    <row r="77" spans="1:5" ht="47.25" x14ac:dyDescent="0.25">
      <c r="A77" s="157" t="s">
        <v>577</v>
      </c>
      <c r="B77" s="158" t="s">
        <v>244</v>
      </c>
      <c r="C77" s="158" t="s">
        <v>245</v>
      </c>
      <c r="D77" s="159" t="s">
        <v>494</v>
      </c>
      <c r="E77" s="159">
        <v>1</v>
      </c>
    </row>
    <row r="78" spans="1:5" ht="47.25" x14ac:dyDescent="0.25">
      <c r="A78" s="157" t="s">
        <v>578</v>
      </c>
      <c r="B78" s="158" t="s">
        <v>246</v>
      </c>
      <c r="C78" s="158" t="s">
        <v>247</v>
      </c>
      <c r="D78" s="159" t="s">
        <v>494</v>
      </c>
      <c r="E78" s="159">
        <v>1</v>
      </c>
    </row>
    <row r="79" spans="1:5" ht="31.5" x14ac:dyDescent="0.25">
      <c r="A79" s="157" t="s">
        <v>579</v>
      </c>
      <c r="B79" s="158" t="s">
        <v>248</v>
      </c>
      <c r="C79" s="158" t="s">
        <v>249</v>
      </c>
      <c r="D79" s="159" t="s">
        <v>494</v>
      </c>
      <c r="E79" s="159">
        <v>1</v>
      </c>
    </row>
    <row r="80" spans="1:5" ht="47.25" x14ac:dyDescent="0.25">
      <c r="A80" s="157" t="s">
        <v>580</v>
      </c>
      <c r="B80" s="158" t="s">
        <v>250</v>
      </c>
      <c r="C80" s="158" t="s">
        <v>251</v>
      </c>
      <c r="D80" s="159" t="s">
        <v>494</v>
      </c>
      <c r="E80" s="159">
        <v>1</v>
      </c>
    </row>
    <row r="81" spans="1:5" ht="47.25" x14ac:dyDescent="0.25">
      <c r="A81" s="157" t="s">
        <v>581</v>
      </c>
      <c r="B81" s="158" t="s">
        <v>252</v>
      </c>
      <c r="C81" s="158" t="s">
        <v>253</v>
      </c>
      <c r="D81" s="159" t="s">
        <v>494</v>
      </c>
      <c r="E81" s="159">
        <v>1</v>
      </c>
    </row>
    <row r="82" spans="1:5" ht="47.25" x14ac:dyDescent="0.25">
      <c r="A82" s="157" t="s">
        <v>582</v>
      </c>
      <c r="B82" s="158" t="s">
        <v>254</v>
      </c>
      <c r="C82" s="158" t="s">
        <v>255</v>
      </c>
      <c r="D82" s="159" t="s">
        <v>494</v>
      </c>
      <c r="E82" s="159">
        <v>1</v>
      </c>
    </row>
    <row r="83" spans="1:5" ht="47.25" x14ac:dyDescent="0.25">
      <c r="A83" s="157" t="s">
        <v>583</v>
      </c>
      <c r="B83" s="158" t="s">
        <v>256</v>
      </c>
      <c r="C83" s="158" t="s">
        <v>257</v>
      </c>
      <c r="D83" s="159" t="s">
        <v>494</v>
      </c>
      <c r="E83" s="159">
        <v>1</v>
      </c>
    </row>
    <row r="84" spans="1:5" ht="47.25" x14ac:dyDescent="0.25">
      <c r="A84" s="157" t="s">
        <v>584</v>
      </c>
      <c r="B84" s="158" t="s">
        <v>258</v>
      </c>
      <c r="C84" s="158" t="s">
        <v>259</v>
      </c>
      <c r="D84" s="159" t="s">
        <v>494</v>
      </c>
      <c r="E84" s="159">
        <v>1</v>
      </c>
    </row>
    <row r="85" spans="1:5" ht="31.5" x14ac:dyDescent="0.25">
      <c r="A85" s="157" t="s">
        <v>585</v>
      </c>
      <c r="B85" s="158" t="s">
        <v>260</v>
      </c>
      <c r="C85" s="158" t="s">
        <v>261</v>
      </c>
      <c r="D85" s="159" t="s">
        <v>494</v>
      </c>
      <c r="E85" s="159">
        <v>1</v>
      </c>
    </row>
    <row r="86" spans="1:5" x14ac:dyDescent="0.25">
      <c r="A86" s="92" t="s">
        <v>404</v>
      </c>
      <c r="B86" s="90" t="s">
        <v>68</v>
      </c>
      <c r="C86" s="90" t="s">
        <v>69</v>
      </c>
      <c r="D86" s="104"/>
      <c r="E86" s="104"/>
    </row>
    <row r="87" spans="1:5" x14ac:dyDescent="0.25">
      <c r="A87" s="160" t="s">
        <v>405</v>
      </c>
      <c r="B87" s="158" t="s">
        <v>262</v>
      </c>
      <c r="C87" s="158" t="s">
        <v>197</v>
      </c>
      <c r="D87" s="159" t="s">
        <v>494</v>
      </c>
      <c r="E87" s="159">
        <v>1</v>
      </c>
    </row>
    <row r="88" spans="1:5" x14ac:dyDescent="0.25">
      <c r="A88" s="160" t="s">
        <v>406</v>
      </c>
      <c r="B88" s="158" t="s">
        <v>263</v>
      </c>
      <c r="C88" s="158" t="s">
        <v>264</v>
      </c>
      <c r="D88" s="159" t="s">
        <v>494</v>
      </c>
      <c r="E88" s="159">
        <v>1</v>
      </c>
    </row>
    <row r="89" spans="1:5" x14ac:dyDescent="0.25">
      <c r="A89" s="92" t="s">
        <v>407</v>
      </c>
      <c r="B89" s="90" t="s">
        <v>70</v>
      </c>
      <c r="C89" s="90" t="s">
        <v>71</v>
      </c>
      <c r="D89" s="104"/>
      <c r="E89" s="104"/>
    </row>
    <row r="90" spans="1:5" x14ac:dyDescent="0.25">
      <c r="A90" s="160" t="s">
        <v>408</v>
      </c>
      <c r="B90" s="158" t="s">
        <v>265</v>
      </c>
      <c r="C90" s="158" t="s">
        <v>197</v>
      </c>
      <c r="D90" s="159" t="s">
        <v>494</v>
      </c>
      <c r="E90" s="159">
        <v>1</v>
      </c>
    </row>
    <row r="91" spans="1:5" x14ac:dyDescent="0.25">
      <c r="A91" s="160" t="s">
        <v>409</v>
      </c>
      <c r="B91" s="158" t="s">
        <v>266</v>
      </c>
      <c r="C91" s="158" t="s">
        <v>267</v>
      </c>
      <c r="D91" s="159" t="s">
        <v>494</v>
      </c>
      <c r="E91" s="159">
        <v>1</v>
      </c>
    </row>
    <row r="92" spans="1:5" ht="47.25" x14ac:dyDescent="0.25">
      <c r="A92" s="160" t="s">
        <v>586</v>
      </c>
      <c r="B92" s="158" t="s">
        <v>268</v>
      </c>
      <c r="C92" s="158" t="s">
        <v>269</v>
      </c>
      <c r="D92" s="159" t="s">
        <v>494</v>
      </c>
      <c r="E92" s="159">
        <v>1</v>
      </c>
    </row>
    <row r="93" spans="1:5" x14ac:dyDescent="0.25">
      <c r="A93" s="92" t="s">
        <v>410</v>
      </c>
      <c r="B93" s="90" t="s">
        <v>72</v>
      </c>
      <c r="C93" s="90" t="s">
        <v>73</v>
      </c>
      <c r="D93" s="104" t="s">
        <v>494</v>
      </c>
      <c r="E93" s="104">
        <v>1</v>
      </c>
    </row>
    <row r="94" spans="1:5" x14ac:dyDescent="0.25">
      <c r="A94" s="92" t="s">
        <v>411</v>
      </c>
      <c r="B94" s="90" t="s">
        <v>74</v>
      </c>
      <c r="C94" s="90" t="s">
        <v>75</v>
      </c>
      <c r="D94" s="104"/>
      <c r="E94" s="104"/>
    </row>
    <row r="95" spans="1:5" x14ac:dyDescent="0.25">
      <c r="A95" s="157" t="s">
        <v>492</v>
      </c>
      <c r="B95" s="158" t="s">
        <v>270</v>
      </c>
      <c r="C95" s="158" t="s">
        <v>197</v>
      </c>
      <c r="D95" s="159" t="s">
        <v>494</v>
      </c>
      <c r="E95" s="159">
        <v>1</v>
      </c>
    </row>
    <row r="96" spans="1:5" x14ac:dyDescent="0.25">
      <c r="A96" s="157" t="s">
        <v>493</v>
      </c>
      <c r="B96" s="158" t="s">
        <v>271</v>
      </c>
      <c r="C96" s="158" t="s">
        <v>272</v>
      </c>
      <c r="D96" s="159" t="s">
        <v>494</v>
      </c>
      <c r="E96" s="159">
        <v>1</v>
      </c>
    </row>
    <row r="97" spans="1:5" x14ac:dyDescent="0.25">
      <c r="A97" s="92" t="s">
        <v>412</v>
      </c>
      <c r="B97" s="90" t="s">
        <v>76</v>
      </c>
      <c r="C97" s="90" t="s">
        <v>77</v>
      </c>
      <c r="D97" s="104"/>
      <c r="E97" s="104"/>
    </row>
    <row r="98" spans="1:5" x14ac:dyDescent="0.25">
      <c r="A98" s="157" t="s">
        <v>413</v>
      </c>
      <c r="B98" s="158" t="s">
        <v>273</v>
      </c>
      <c r="C98" s="158" t="s">
        <v>274</v>
      </c>
      <c r="D98" s="159" t="s">
        <v>494</v>
      </c>
      <c r="E98" s="159">
        <v>1</v>
      </c>
    </row>
    <row r="99" spans="1:5" x14ac:dyDescent="0.25">
      <c r="A99" s="157" t="s">
        <v>414</v>
      </c>
      <c r="B99" s="158" t="s">
        <v>275</v>
      </c>
      <c r="C99" s="158" t="s">
        <v>276</v>
      </c>
      <c r="D99" s="159" t="s">
        <v>494</v>
      </c>
      <c r="E99" s="159">
        <v>1</v>
      </c>
    </row>
    <row r="100" spans="1:5" x14ac:dyDescent="0.25">
      <c r="A100" s="92" t="s">
        <v>415</v>
      </c>
      <c r="B100" s="90" t="s">
        <v>78</v>
      </c>
      <c r="C100" s="90" t="s">
        <v>79</v>
      </c>
      <c r="D100" s="104"/>
      <c r="E100" s="104"/>
    </row>
    <row r="101" spans="1:5" x14ac:dyDescent="0.25">
      <c r="A101" s="160" t="s">
        <v>416</v>
      </c>
      <c r="B101" s="158" t="s">
        <v>277</v>
      </c>
      <c r="C101" s="158" t="s">
        <v>278</v>
      </c>
      <c r="D101" s="159" t="s">
        <v>494</v>
      </c>
      <c r="E101" s="159">
        <v>1</v>
      </c>
    </row>
    <row r="102" spans="1:5" x14ac:dyDescent="0.25">
      <c r="A102" s="160" t="s">
        <v>417</v>
      </c>
      <c r="B102" s="158" t="s">
        <v>279</v>
      </c>
      <c r="C102" s="158" t="s">
        <v>280</v>
      </c>
      <c r="D102" s="159" t="s">
        <v>494</v>
      </c>
      <c r="E102" s="159">
        <v>1</v>
      </c>
    </row>
    <row r="103" spans="1:5" x14ac:dyDescent="0.25">
      <c r="A103" s="92" t="s">
        <v>418</v>
      </c>
      <c r="B103" s="90" t="s">
        <v>80</v>
      </c>
      <c r="C103" s="90" t="s">
        <v>81</v>
      </c>
      <c r="D103" s="104"/>
      <c r="E103" s="104"/>
    </row>
    <row r="104" spans="1:5" x14ac:dyDescent="0.25">
      <c r="A104" s="157" t="s">
        <v>419</v>
      </c>
      <c r="B104" s="158" t="s">
        <v>281</v>
      </c>
      <c r="C104" s="158" t="s">
        <v>282</v>
      </c>
      <c r="D104" s="159" t="s">
        <v>494</v>
      </c>
      <c r="E104" s="159">
        <v>1</v>
      </c>
    </row>
    <row r="105" spans="1:5" x14ac:dyDescent="0.25">
      <c r="A105" s="157" t="s">
        <v>420</v>
      </c>
      <c r="B105" s="158" t="s">
        <v>283</v>
      </c>
      <c r="C105" s="158" t="s">
        <v>284</v>
      </c>
      <c r="D105" s="159" t="s">
        <v>494</v>
      </c>
      <c r="E105" s="159">
        <v>1</v>
      </c>
    </row>
    <row r="106" spans="1:5" x14ac:dyDescent="0.25">
      <c r="A106" s="87" t="s">
        <v>421</v>
      </c>
      <c r="B106" s="90" t="s">
        <v>82</v>
      </c>
      <c r="C106" s="90" t="s">
        <v>83</v>
      </c>
      <c r="D106" s="104" t="s">
        <v>494</v>
      </c>
      <c r="E106" s="104">
        <v>1</v>
      </c>
    </row>
    <row r="107" spans="1:5" ht="31.5" x14ac:dyDescent="0.25">
      <c r="A107" s="87" t="s">
        <v>422</v>
      </c>
      <c r="B107" s="90" t="s">
        <v>84</v>
      </c>
      <c r="C107" s="90" t="s">
        <v>85</v>
      </c>
      <c r="D107" s="104" t="s">
        <v>494</v>
      </c>
      <c r="E107" s="104">
        <v>1</v>
      </c>
    </row>
    <row r="108" spans="1:5" x14ac:dyDescent="0.25">
      <c r="A108" s="87" t="s">
        <v>423</v>
      </c>
      <c r="B108" s="90" t="s">
        <v>86</v>
      </c>
      <c r="C108" s="90" t="s">
        <v>87</v>
      </c>
      <c r="D108" s="104" t="s">
        <v>494</v>
      </c>
      <c r="E108" s="104">
        <v>1</v>
      </c>
    </row>
    <row r="109" spans="1:5" x14ac:dyDescent="0.25">
      <c r="A109" s="87" t="s">
        <v>424</v>
      </c>
      <c r="B109" s="82" t="s">
        <v>90</v>
      </c>
      <c r="C109" s="82" t="s">
        <v>91</v>
      </c>
      <c r="D109" s="103" t="s">
        <v>494</v>
      </c>
      <c r="E109" s="103">
        <v>1</v>
      </c>
    </row>
    <row r="110" spans="1:5" x14ac:dyDescent="0.25">
      <c r="A110" s="87" t="s">
        <v>425</v>
      </c>
      <c r="B110" s="82" t="s">
        <v>92</v>
      </c>
      <c r="C110" s="82" t="s">
        <v>93</v>
      </c>
      <c r="D110" s="103" t="s">
        <v>494</v>
      </c>
      <c r="E110" s="103">
        <v>1</v>
      </c>
    </row>
    <row r="111" spans="1:5" ht="31.5" x14ac:dyDescent="0.25">
      <c r="A111" s="87" t="s">
        <v>426</v>
      </c>
      <c r="B111" s="82" t="s">
        <v>94</v>
      </c>
      <c r="C111" s="82" t="s">
        <v>95</v>
      </c>
      <c r="D111" s="103" t="s">
        <v>494</v>
      </c>
      <c r="E111" s="103">
        <v>1</v>
      </c>
    </row>
    <row r="112" spans="1:5" x14ac:dyDescent="0.25">
      <c r="A112" s="87" t="s">
        <v>427</v>
      </c>
      <c r="B112" s="82" t="s">
        <v>107</v>
      </c>
      <c r="C112" s="82" t="s">
        <v>108</v>
      </c>
      <c r="D112" s="103"/>
      <c r="E112" s="103"/>
    </row>
    <row r="113" spans="1:5" ht="47.25" x14ac:dyDescent="0.25">
      <c r="A113" s="157" t="s">
        <v>587</v>
      </c>
      <c r="B113" s="158" t="s">
        <v>285</v>
      </c>
      <c r="C113" s="158" t="s">
        <v>286</v>
      </c>
      <c r="D113" s="159" t="s">
        <v>494</v>
      </c>
      <c r="E113" s="159">
        <v>1</v>
      </c>
    </row>
    <row r="114" spans="1:5" ht="47.25" x14ac:dyDescent="0.25">
      <c r="A114" s="157" t="s">
        <v>588</v>
      </c>
      <c r="B114" s="158" t="s">
        <v>287</v>
      </c>
      <c r="C114" s="158" t="s">
        <v>288</v>
      </c>
      <c r="D114" s="159" t="s">
        <v>494</v>
      </c>
      <c r="E114" s="159">
        <v>1</v>
      </c>
    </row>
    <row r="115" spans="1:5" ht="31.5" x14ac:dyDescent="0.25">
      <c r="A115" s="157" t="s">
        <v>589</v>
      </c>
      <c r="B115" s="158" t="s">
        <v>289</v>
      </c>
      <c r="C115" s="158" t="s">
        <v>290</v>
      </c>
      <c r="D115" s="159" t="s">
        <v>494</v>
      </c>
      <c r="E115" s="159">
        <v>1</v>
      </c>
    </row>
    <row r="116" spans="1:5" ht="31.5" x14ac:dyDescent="0.25">
      <c r="A116" s="157" t="s">
        <v>590</v>
      </c>
      <c r="B116" s="158" t="s">
        <v>291</v>
      </c>
      <c r="C116" s="158" t="s">
        <v>292</v>
      </c>
      <c r="D116" s="159" t="s">
        <v>494</v>
      </c>
      <c r="E116" s="159">
        <v>1</v>
      </c>
    </row>
    <row r="117" spans="1:5" ht="31.5" x14ac:dyDescent="0.25">
      <c r="A117" s="157" t="s">
        <v>591</v>
      </c>
      <c r="B117" s="158" t="s">
        <v>293</v>
      </c>
      <c r="C117" s="158" t="s">
        <v>294</v>
      </c>
      <c r="D117" s="159" t="s">
        <v>494</v>
      </c>
      <c r="E117" s="159">
        <v>1</v>
      </c>
    </row>
    <row r="118" spans="1:5" ht="31.5" x14ac:dyDescent="0.25">
      <c r="A118" s="157" t="s">
        <v>592</v>
      </c>
      <c r="B118" s="158" t="s">
        <v>295</v>
      </c>
      <c r="C118" s="158" t="s">
        <v>296</v>
      </c>
      <c r="D118" s="159" t="s">
        <v>494</v>
      </c>
      <c r="E118" s="159">
        <v>1</v>
      </c>
    </row>
    <row r="119" spans="1:5" ht="31.5" x14ac:dyDescent="0.25">
      <c r="A119" s="157" t="s">
        <v>593</v>
      </c>
      <c r="B119" s="158" t="s">
        <v>297</v>
      </c>
      <c r="C119" s="158" t="s">
        <v>298</v>
      </c>
      <c r="D119" s="159" t="s">
        <v>494</v>
      </c>
      <c r="E119" s="159">
        <v>1</v>
      </c>
    </row>
    <row r="120" spans="1:5" ht="47.25" x14ac:dyDescent="0.25">
      <c r="A120" s="157" t="s">
        <v>594</v>
      </c>
      <c r="B120" s="158" t="s">
        <v>299</v>
      </c>
      <c r="C120" s="158" t="s">
        <v>300</v>
      </c>
      <c r="D120" s="159" t="s">
        <v>494</v>
      </c>
      <c r="E120" s="159">
        <v>1</v>
      </c>
    </row>
    <row r="121" spans="1:5" x14ac:dyDescent="0.25">
      <c r="A121" s="157" t="s">
        <v>595</v>
      </c>
      <c r="B121" s="158" t="s">
        <v>301</v>
      </c>
      <c r="C121" s="158" t="s">
        <v>302</v>
      </c>
      <c r="D121" s="159" t="s">
        <v>494</v>
      </c>
      <c r="E121" s="159">
        <v>1</v>
      </c>
    </row>
    <row r="122" spans="1:5" ht="47.25" x14ac:dyDescent="0.25">
      <c r="A122" s="92" t="s">
        <v>428</v>
      </c>
      <c r="B122" s="94" t="s">
        <v>109</v>
      </c>
      <c r="C122" s="82" t="s">
        <v>363</v>
      </c>
      <c r="D122" s="103" t="s">
        <v>494</v>
      </c>
      <c r="E122" s="103">
        <v>1</v>
      </c>
    </row>
    <row r="123" spans="1:5" ht="31.5" x14ac:dyDescent="0.25">
      <c r="A123" s="92" t="s">
        <v>429</v>
      </c>
      <c r="B123" s="94" t="s">
        <v>111</v>
      </c>
      <c r="C123" s="82" t="s">
        <v>336</v>
      </c>
      <c r="D123" s="103" t="s">
        <v>494</v>
      </c>
      <c r="E123" s="103">
        <v>1</v>
      </c>
    </row>
    <row r="124" spans="1:5" ht="47.25" x14ac:dyDescent="0.25">
      <c r="A124" s="92" t="s">
        <v>430</v>
      </c>
      <c r="B124" s="94" t="s">
        <v>113</v>
      </c>
      <c r="C124" s="82" t="s">
        <v>337</v>
      </c>
      <c r="D124" s="103" t="s">
        <v>494</v>
      </c>
      <c r="E124" s="103">
        <v>1</v>
      </c>
    </row>
    <row r="125" spans="1:5" x14ac:dyDescent="0.25">
      <c r="A125" s="92" t="s">
        <v>431</v>
      </c>
      <c r="B125" s="96" t="s">
        <v>364</v>
      </c>
      <c r="C125" s="96" t="s">
        <v>338</v>
      </c>
      <c r="D125" s="105" t="s">
        <v>494</v>
      </c>
      <c r="E125" s="105">
        <v>1</v>
      </c>
    </row>
    <row r="126" spans="1:5" ht="47.25" x14ac:dyDescent="0.25">
      <c r="A126" s="92" t="s">
        <v>432</v>
      </c>
      <c r="B126" s="96" t="s">
        <v>25</v>
      </c>
      <c r="C126" s="96" t="s">
        <v>365</v>
      </c>
      <c r="D126" s="105" t="s">
        <v>494</v>
      </c>
      <c r="E126" s="105">
        <v>1</v>
      </c>
    </row>
    <row r="127" spans="1:5" ht="31.5" x14ac:dyDescent="0.25">
      <c r="A127" s="92" t="s">
        <v>433</v>
      </c>
      <c r="B127" s="94" t="s">
        <v>141</v>
      </c>
      <c r="C127" s="96" t="s">
        <v>339</v>
      </c>
      <c r="D127" s="105" t="s">
        <v>494</v>
      </c>
      <c r="E127" s="105">
        <v>1</v>
      </c>
    </row>
  </sheetData>
  <mergeCells count="20">
    <mergeCell ref="K5:K6"/>
    <mergeCell ref="L5:L6"/>
    <mergeCell ref="M5:M6"/>
    <mergeCell ref="N5:N6"/>
    <mergeCell ref="A1:U1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O5:Q5"/>
    <mergeCell ref="R5:R6"/>
    <mergeCell ref="S5:S6"/>
    <mergeCell ref="T5:U5"/>
    <mergeCell ref="I5:I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6"/>
  <sheetViews>
    <sheetView topLeftCell="A121" zoomScale="85" zoomScaleNormal="85" workbookViewId="0">
      <selection activeCell="U156" sqref="U156"/>
    </sheetView>
  </sheetViews>
  <sheetFormatPr defaultRowHeight="15.75" outlineLevelRow="1" outlineLevelCol="1" x14ac:dyDescent="0.25"/>
  <cols>
    <col min="1" max="1" width="6.28515625" style="75" customWidth="1"/>
    <col min="2" max="2" width="22" style="75" hidden="1" customWidth="1"/>
    <col min="3" max="3" width="48.5703125" style="75" customWidth="1"/>
    <col min="4" max="4" width="13.42578125" style="75" customWidth="1"/>
    <col min="5" max="5" width="13.28515625" style="75" customWidth="1"/>
    <col min="6" max="6" width="13.140625" style="75" hidden="1" customWidth="1" outlineLevel="1"/>
    <col min="7" max="7" width="11.7109375" style="75" hidden="1" customWidth="1" outlineLevel="1"/>
    <col min="8" max="8" width="12.140625" style="75" hidden="1" customWidth="1" outlineLevel="1"/>
    <col min="9" max="9" width="12.5703125" style="75" hidden="1" customWidth="1" outlineLevel="1"/>
    <col min="10" max="11" width="12" style="75" hidden="1" customWidth="1" outlineLevel="1"/>
    <col min="12" max="12" width="10.42578125" style="75" hidden="1" customWidth="1" outlineLevel="1"/>
    <col min="13" max="14" width="12.42578125" style="75" hidden="1" customWidth="1" outlineLevel="1"/>
    <col min="15" max="15" width="12" style="75" hidden="1" customWidth="1" outlineLevel="1"/>
    <col min="16" max="16" width="11.7109375" style="75" hidden="1" customWidth="1" outlineLevel="1"/>
    <col min="17" max="17" width="15.140625" style="75" hidden="1" customWidth="1" outlineLevel="1"/>
    <col min="18" max="18" width="14.5703125" style="75" hidden="1" customWidth="1" outlineLevel="1"/>
    <col min="19" max="19" width="12.42578125" style="75" hidden="1" customWidth="1" outlineLevel="1"/>
    <col min="20" max="20" width="18" style="75" customWidth="1" collapsed="1"/>
    <col min="21" max="21" width="20.7109375" style="75" customWidth="1"/>
    <col min="22" max="16384" width="9.140625" style="75"/>
  </cols>
  <sheetData>
    <row r="1" spans="1:21" ht="36.75" customHeight="1" x14ac:dyDescent="0.25">
      <c r="A1" s="264" t="s">
        <v>342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 ht="52.5" customHeight="1" x14ac:dyDescent="0.25">
      <c r="A2" s="265" t="s">
        <v>14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x14ac:dyDescent="0.25">
      <c r="A5" s="266" t="s">
        <v>343</v>
      </c>
      <c r="B5" s="268" t="s">
        <v>344</v>
      </c>
      <c r="C5" s="268" t="s">
        <v>345</v>
      </c>
      <c r="D5" s="268" t="s">
        <v>346</v>
      </c>
      <c r="E5" s="268" t="s">
        <v>347</v>
      </c>
      <c r="F5" s="268" t="s">
        <v>361</v>
      </c>
      <c r="G5" s="268" t="s">
        <v>362</v>
      </c>
      <c r="H5" s="268" t="s">
        <v>334</v>
      </c>
      <c r="I5" s="268" t="s">
        <v>349</v>
      </c>
      <c r="J5" s="268" t="s">
        <v>350</v>
      </c>
      <c r="K5" s="268" t="s">
        <v>351</v>
      </c>
      <c r="L5" s="268" t="s">
        <v>352</v>
      </c>
      <c r="M5" s="268" t="s">
        <v>353</v>
      </c>
      <c r="N5" s="268" t="s">
        <v>543</v>
      </c>
      <c r="O5" s="270" t="s">
        <v>360</v>
      </c>
      <c r="P5" s="270"/>
      <c r="Q5" s="270"/>
      <c r="R5" s="268" t="s">
        <v>540</v>
      </c>
      <c r="S5" s="268" t="s">
        <v>358</v>
      </c>
      <c r="T5" s="271" t="s">
        <v>355</v>
      </c>
      <c r="U5" s="271"/>
    </row>
    <row r="6" spans="1:21" ht="31.5" x14ac:dyDescent="0.25">
      <c r="A6" s="267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77" t="s">
        <v>348</v>
      </c>
      <c r="P6" s="77" t="s">
        <v>334</v>
      </c>
      <c r="Q6" s="77" t="s">
        <v>349</v>
      </c>
      <c r="R6" s="269"/>
      <c r="S6" s="269"/>
      <c r="T6" s="77" t="s">
        <v>356</v>
      </c>
      <c r="U6" s="78" t="s">
        <v>357</v>
      </c>
    </row>
    <row r="7" spans="1:21" x14ac:dyDescent="0.25">
      <c r="A7" s="79">
        <v>1</v>
      </c>
      <c r="B7" s="79"/>
      <c r="C7" s="79">
        <v>2</v>
      </c>
      <c r="D7" s="79">
        <v>3</v>
      </c>
      <c r="E7" s="79">
        <v>4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>
        <v>5</v>
      </c>
      <c r="U7" s="79">
        <v>6</v>
      </c>
    </row>
    <row r="8" spans="1:21" ht="78.75" x14ac:dyDescent="0.25">
      <c r="A8" s="78">
        <v>1</v>
      </c>
      <c r="B8" s="80" t="s">
        <v>132</v>
      </c>
      <c r="C8" s="81" t="s">
        <v>331</v>
      </c>
      <c r="D8" s="78" t="s">
        <v>494</v>
      </c>
      <c r="E8" s="78">
        <v>1</v>
      </c>
      <c r="F8" s="78"/>
      <c r="G8" s="78"/>
      <c r="H8" s="78"/>
      <c r="I8" s="161">
        <f>'Затраты Подрядчика по ССР'!H162</f>
        <v>5937.8</v>
      </c>
      <c r="J8" s="161"/>
      <c r="K8" s="161"/>
      <c r="L8" s="161"/>
      <c r="M8" s="161"/>
      <c r="N8" s="161"/>
      <c r="O8" s="161"/>
      <c r="P8" s="161"/>
      <c r="Q8" s="134">
        <f>'Затраты Подрядчика по ССР'!H181*1000</f>
        <v>29323820</v>
      </c>
      <c r="R8" s="132">
        <f>Q8</f>
        <v>29323820</v>
      </c>
      <c r="S8" s="134">
        <f>R8*'Расчет НМЦК'!$C$12*'Расчет НМЦК'!$E$12*'Расчет НМЦК'!$I$12</f>
        <v>31937189</v>
      </c>
      <c r="T8" s="161">
        <f>S8/E8</f>
        <v>31937189</v>
      </c>
      <c r="U8" s="161">
        <f>S8</f>
        <v>31937189</v>
      </c>
    </row>
    <row r="9" spans="1:21" ht="31.5" x14ac:dyDescent="0.25">
      <c r="A9" s="78">
        <v>2</v>
      </c>
      <c r="B9" s="82" t="s">
        <v>141</v>
      </c>
      <c r="C9" s="83" t="s">
        <v>569</v>
      </c>
      <c r="D9" s="102" t="s">
        <v>494</v>
      </c>
      <c r="E9" s="102">
        <v>1</v>
      </c>
      <c r="F9" s="85"/>
      <c r="G9" s="85"/>
      <c r="H9" s="85"/>
      <c r="I9" s="86">
        <f>I8*0.02</f>
        <v>118.76</v>
      </c>
      <c r="J9" s="86"/>
      <c r="K9" s="86"/>
      <c r="L9" s="86"/>
      <c r="M9" s="86"/>
      <c r="N9" s="86"/>
      <c r="O9" s="86"/>
      <c r="P9" s="86"/>
      <c r="Q9" s="162">
        <f>Q8*0.02</f>
        <v>586476</v>
      </c>
      <c r="R9" s="163">
        <f>Q9</f>
        <v>586476</v>
      </c>
      <c r="S9" s="134">
        <f>R9*'Расчет НМЦК'!$C$13*'Расчет НМЦК'!$E$13*'Расчет НМЦК'!$I$13+1</f>
        <v>638744</v>
      </c>
      <c r="T9" s="164">
        <f t="shared" ref="T9:T72" si="0">S9/E9</f>
        <v>638744</v>
      </c>
      <c r="U9" s="164">
        <f t="shared" ref="U9:U72" si="1">S9</f>
        <v>638744</v>
      </c>
    </row>
    <row r="10" spans="1:21" x14ac:dyDescent="0.25">
      <c r="A10" s="78">
        <v>3</v>
      </c>
      <c r="B10" s="82" t="s">
        <v>19</v>
      </c>
      <c r="C10" s="82" t="s">
        <v>20</v>
      </c>
      <c r="D10" s="103" t="s">
        <v>494</v>
      </c>
      <c r="E10" s="103">
        <v>1</v>
      </c>
      <c r="F10" s="84">
        <f>'Затраты Подрядчика по ССР'!D30</f>
        <v>18.68</v>
      </c>
      <c r="G10" s="84"/>
      <c r="H10" s="85"/>
      <c r="I10" s="86"/>
      <c r="J10" s="86">
        <f>(F10+G10)*0.023</f>
        <v>0.43</v>
      </c>
      <c r="K10" s="86">
        <f>F10+G10+J10</f>
        <v>19.11</v>
      </c>
      <c r="L10" s="86">
        <f>K10*0.0055</f>
        <v>0.11</v>
      </c>
      <c r="M10" s="86">
        <f>-J10*0.15</f>
        <v>-0.06</v>
      </c>
      <c r="N10" s="86">
        <f>K10+L10+M10</f>
        <v>19.16</v>
      </c>
      <c r="O10" s="162">
        <f>N10*7*1000</f>
        <v>134120</v>
      </c>
      <c r="P10" s="162">
        <f>H10*3.98</f>
        <v>0</v>
      </c>
      <c r="Q10" s="162"/>
      <c r="R10" s="162">
        <f>O10+P10+Q10</f>
        <v>134120</v>
      </c>
      <c r="S10" s="134">
        <f>O10*'Расчет НМЦК'!$C$16*'Расчет НМЦК'!$E$16*'Расчет НМЦК'!$I$16+P10*'Расчет НМЦК'!$C$17*'Расчет НМЦК'!$E$17*'Расчет НМЦК'!$I$17</f>
        <v>150602</v>
      </c>
      <c r="T10" s="165">
        <f t="shared" si="0"/>
        <v>150602</v>
      </c>
      <c r="U10" s="165">
        <f t="shared" si="1"/>
        <v>150602</v>
      </c>
    </row>
    <row r="11" spans="1:21" x14ac:dyDescent="0.25">
      <c r="A11" s="78">
        <v>4</v>
      </c>
      <c r="B11" s="82" t="s">
        <v>21</v>
      </c>
      <c r="C11" s="82" t="s">
        <v>332</v>
      </c>
      <c r="D11" s="103" t="s">
        <v>494</v>
      </c>
      <c r="E11" s="103">
        <v>1</v>
      </c>
      <c r="F11" s="85"/>
      <c r="G11" s="85"/>
      <c r="H11" s="85"/>
      <c r="I11" s="86">
        <f>'Затраты Подрядчика по ССР'!H31</f>
        <v>177.15</v>
      </c>
      <c r="J11" s="86"/>
      <c r="K11" s="86"/>
      <c r="L11" s="86"/>
      <c r="M11" s="86"/>
      <c r="N11" s="86"/>
      <c r="O11" s="162"/>
      <c r="P11" s="162"/>
      <c r="Q11" s="162">
        <f>'Затраты Подрядчика по ССР'!H180*1000</f>
        <v>948670</v>
      </c>
      <c r="R11" s="163">
        <f>O11+P11+Q11</f>
        <v>948670</v>
      </c>
      <c r="S11" s="134">
        <f>R11*'Расчет НМЦК'!$C$14*'Расчет НМЦК'!$E$14*'Расчет НМЦК'!$I$14</f>
        <v>1036219</v>
      </c>
      <c r="T11" s="165">
        <f t="shared" si="0"/>
        <v>1036219</v>
      </c>
      <c r="U11" s="165">
        <f t="shared" si="1"/>
        <v>1036219</v>
      </c>
    </row>
    <row r="12" spans="1:21" ht="31.5" x14ac:dyDescent="0.25">
      <c r="A12" s="78">
        <v>5</v>
      </c>
      <c r="B12" s="82" t="s">
        <v>141</v>
      </c>
      <c r="C12" s="82" t="s">
        <v>563</v>
      </c>
      <c r="D12" s="103" t="s">
        <v>494</v>
      </c>
      <c r="E12" s="103">
        <v>1</v>
      </c>
      <c r="F12" s="85"/>
      <c r="G12" s="85"/>
      <c r="H12" s="85"/>
      <c r="I12" s="86"/>
      <c r="J12" s="86"/>
      <c r="K12" s="86"/>
      <c r="L12" s="86"/>
      <c r="M12" s="86"/>
      <c r="N12" s="86"/>
      <c r="O12" s="162"/>
      <c r="P12" s="162"/>
      <c r="Q12" s="162">
        <f>Q11*0.02</f>
        <v>18973</v>
      </c>
      <c r="R12" s="163">
        <f>Q12</f>
        <v>18973</v>
      </c>
      <c r="S12" s="134">
        <f>R12*'Расчет НМЦК'!$C$15*'Расчет НМЦК'!$E$15*'Расчет НМЦК'!$I$15</f>
        <v>20724</v>
      </c>
      <c r="T12" s="165">
        <f t="shared" si="0"/>
        <v>20724</v>
      </c>
      <c r="U12" s="165">
        <f t="shared" si="1"/>
        <v>20724</v>
      </c>
    </row>
    <row r="13" spans="1:21" ht="31.5" x14ac:dyDescent="0.25">
      <c r="A13" s="78">
        <v>6</v>
      </c>
      <c r="B13" s="82" t="s">
        <v>27</v>
      </c>
      <c r="C13" s="82" t="s">
        <v>28</v>
      </c>
      <c r="D13" s="103" t="s">
        <v>494</v>
      </c>
      <c r="E13" s="103">
        <v>1</v>
      </c>
      <c r="F13" s="84">
        <f>'Затраты Подрядчика по ССР'!H34</f>
        <v>7.76</v>
      </c>
      <c r="G13" s="84"/>
      <c r="H13" s="85"/>
      <c r="I13" s="86"/>
      <c r="J13" s="86">
        <f>(F13+G13)*0.023</f>
        <v>0.18</v>
      </c>
      <c r="K13" s="86">
        <f>F13+G13+J13</f>
        <v>7.94</v>
      </c>
      <c r="L13" s="86">
        <f>K13*0.0055</f>
        <v>0.04</v>
      </c>
      <c r="M13" s="86">
        <f>-J13*0.15</f>
        <v>-0.03</v>
      </c>
      <c r="N13" s="86">
        <f>K13+L13+M13</f>
        <v>7.95</v>
      </c>
      <c r="O13" s="162">
        <f>N13*7*1000</f>
        <v>55650</v>
      </c>
      <c r="P13" s="162">
        <f>H13*3.98</f>
        <v>0</v>
      </c>
      <c r="Q13" s="162"/>
      <c r="R13" s="162">
        <f>O13+P13+Q13</f>
        <v>55650</v>
      </c>
      <c r="S13" s="166">
        <f>O13*'Расчет НМЦК'!$C$16*'Расчет НМЦК'!$E$16*'Расчет НМЦК'!$I$16+P13*'Расчет НМЦК'!$C$17*'Расчет НМЦК'!$E$17*'Расчет НМЦК'!$I$17</f>
        <v>62489</v>
      </c>
      <c r="T13" s="165">
        <f t="shared" si="0"/>
        <v>62489</v>
      </c>
      <c r="U13" s="165">
        <f t="shared" si="1"/>
        <v>62489</v>
      </c>
    </row>
    <row r="14" spans="1:21" x14ac:dyDescent="0.25">
      <c r="A14" s="78">
        <v>7</v>
      </c>
      <c r="B14" s="82" t="s">
        <v>32</v>
      </c>
      <c r="C14" s="82" t="s">
        <v>527</v>
      </c>
      <c r="D14" s="103"/>
      <c r="E14" s="103"/>
      <c r="F14" s="167">
        <f>F15+F19+F20+F21+F22+F30</f>
        <v>28111.22</v>
      </c>
      <c r="G14" s="167"/>
      <c r="H14" s="88"/>
      <c r="I14" s="89"/>
      <c r="J14" s="86">
        <f t="shared" ref="J14:P14" si="2">J15+J19+J20+J21+J22+J30</f>
        <v>646.57000000000005</v>
      </c>
      <c r="K14" s="86">
        <f t="shared" si="2"/>
        <v>28757.79</v>
      </c>
      <c r="L14" s="86">
        <f t="shared" si="2"/>
        <v>158.16</v>
      </c>
      <c r="M14" s="86">
        <f t="shared" si="2"/>
        <v>-96.99</v>
      </c>
      <c r="N14" s="86">
        <f t="shared" si="2"/>
        <v>28818.959999999999</v>
      </c>
      <c r="O14" s="162">
        <f>O15+O19+O20+O21+O22+O30</f>
        <v>201733010</v>
      </c>
      <c r="P14" s="162">
        <f t="shared" si="2"/>
        <v>0</v>
      </c>
      <c r="Q14" s="162"/>
      <c r="R14" s="162">
        <f>R15+R19+R20+R21+R22+R30</f>
        <v>201733010</v>
      </c>
      <c r="S14" s="166">
        <f>O14*'Расчет НМЦК'!$C$16*'Расчет НМЦК'!$E$16*'Расчет НМЦК'!$I$16+P14*'Расчет НМЦК'!$C$17*'Расчет НМЦК'!$E$17*'Расчет НМЦК'!$I$17</f>
        <v>226524077</v>
      </c>
      <c r="T14" s="165"/>
      <c r="U14" s="165">
        <f t="shared" si="1"/>
        <v>226524077</v>
      </c>
    </row>
    <row r="15" spans="1:21" ht="31.5" x14ac:dyDescent="0.25">
      <c r="A15" s="157" t="s">
        <v>484</v>
      </c>
      <c r="B15" s="158" t="s">
        <v>184</v>
      </c>
      <c r="C15" s="158" t="s">
        <v>185</v>
      </c>
      <c r="D15" s="159" t="s">
        <v>494</v>
      </c>
      <c r="E15" s="159">
        <v>1</v>
      </c>
      <c r="F15" s="168">
        <v>6842.83</v>
      </c>
      <c r="G15" s="168"/>
      <c r="H15" s="88"/>
      <c r="I15" s="89"/>
      <c r="J15" s="91">
        <f>(F15+G15)*0.023</f>
        <v>157.38999999999999</v>
      </c>
      <c r="K15" s="91">
        <f>F15+G15+J15</f>
        <v>7000.22</v>
      </c>
      <c r="L15" s="91">
        <f>K15*0.0055</f>
        <v>38.5</v>
      </c>
      <c r="M15" s="91">
        <f>-J15*0.15</f>
        <v>-23.61</v>
      </c>
      <c r="N15" s="91">
        <f>K15+L15+M15</f>
        <v>7015.11</v>
      </c>
      <c r="O15" s="169">
        <f>(N15*7+0.07)*1000+220</f>
        <v>49106060</v>
      </c>
      <c r="P15" s="170">
        <f>H15*3.98</f>
        <v>0</v>
      </c>
      <c r="Q15" s="170"/>
      <c r="R15" s="170">
        <f>O15+P15+Q15</f>
        <v>49106060</v>
      </c>
      <c r="S15" s="134">
        <f>O15*'Расчет НМЦК'!$C$16*'Расчет НМЦК'!$E$16*'Расчет НМЦК'!$I$16+P15*'Расчет НМЦК'!$C$17*'Расчет НМЦК'!$E$17*'Расчет НМЦК'!$I$17</f>
        <v>55140727</v>
      </c>
      <c r="T15" s="171">
        <f t="shared" si="0"/>
        <v>55140727</v>
      </c>
      <c r="U15" s="171">
        <f t="shared" si="1"/>
        <v>55140727</v>
      </c>
    </row>
    <row r="16" spans="1:21" ht="31.5" outlineLevel="1" x14ac:dyDescent="0.25">
      <c r="A16" s="157" t="s">
        <v>596</v>
      </c>
      <c r="B16" s="158" t="s">
        <v>498</v>
      </c>
      <c r="C16" s="158" t="s">
        <v>495</v>
      </c>
      <c r="D16" s="159" t="s">
        <v>494</v>
      </c>
      <c r="E16" s="159">
        <v>1</v>
      </c>
      <c r="F16" s="172">
        <v>281.93</v>
      </c>
      <c r="G16" s="168"/>
      <c r="H16" s="88"/>
      <c r="I16" s="89"/>
      <c r="J16" s="91">
        <f>(F16+G16)*0.023</f>
        <v>6.48</v>
      </c>
      <c r="K16" s="91">
        <f>F16+G16+J16</f>
        <v>288.41000000000003</v>
      </c>
      <c r="L16" s="91">
        <f>K16*0.0055</f>
        <v>1.59</v>
      </c>
      <c r="M16" s="91">
        <f>-J16*0.15</f>
        <v>-0.97</v>
      </c>
      <c r="N16" s="91">
        <f>K16+L16+M16</f>
        <v>289.02999999999997</v>
      </c>
      <c r="O16" s="169">
        <f>(N16*7+0.22)*1000</f>
        <v>2023430</v>
      </c>
      <c r="P16" s="170">
        <f>H16*3.98</f>
        <v>0</v>
      </c>
      <c r="Q16" s="170"/>
      <c r="R16" s="170">
        <f>O16+P16+Q16</f>
        <v>2023430</v>
      </c>
      <c r="S16" s="134">
        <f>O16*'Расчет НМЦК'!$C$16*'Расчет НМЦК'!$E$16*'Расчет НМЦК'!$I$16+P16*'Расчет НМЦК'!$C$17*'Расчет НМЦК'!$E$17*'Расчет НМЦК'!$I$17</f>
        <v>2272090</v>
      </c>
      <c r="T16" s="171">
        <f t="shared" si="0"/>
        <v>2272090</v>
      </c>
      <c r="U16" s="171">
        <f t="shared" si="1"/>
        <v>2272090</v>
      </c>
    </row>
    <row r="17" spans="1:21" outlineLevel="1" x14ac:dyDescent="0.25">
      <c r="A17" s="157" t="s">
        <v>597</v>
      </c>
      <c r="B17" s="158" t="s">
        <v>499</v>
      </c>
      <c r="C17" s="158" t="s">
        <v>496</v>
      </c>
      <c r="D17" s="159" t="s">
        <v>494</v>
      </c>
      <c r="E17" s="159">
        <v>1</v>
      </c>
      <c r="F17" s="172">
        <v>6235.97</v>
      </c>
      <c r="G17" s="168"/>
      <c r="H17" s="88"/>
      <c r="I17" s="89"/>
      <c r="J17" s="91">
        <f>(F17+G17)*0.023</f>
        <v>143.43</v>
      </c>
      <c r="K17" s="91">
        <f>F17+G17+J17</f>
        <v>6379.4</v>
      </c>
      <c r="L17" s="91">
        <f>K17*0.0055</f>
        <v>35.090000000000003</v>
      </c>
      <c r="M17" s="91">
        <f>-J17*0.15</f>
        <v>-21.51</v>
      </c>
      <c r="N17" s="91">
        <f>K17+L17+M17</f>
        <v>6392.98</v>
      </c>
      <c r="O17" s="170">
        <f t="shared" ref="O17:O30" si="3">N17*7*1000</f>
        <v>44750860</v>
      </c>
      <c r="P17" s="170">
        <f>H17*3.98</f>
        <v>0</v>
      </c>
      <c r="Q17" s="170"/>
      <c r="R17" s="170">
        <f>O17+P17+Q17</f>
        <v>44750860</v>
      </c>
      <c r="S17" s="134">
        <f>O17*'Расчет НМЦК'!$C$16*'Расчет НМЦК'!$E$16*'Расчет НМЦК'!$I$16+P17*'Расчет НМЦК'!$C$17*'Расчет НМЦК'!$E$17*'Расчет НМЦК'!$I$17</f>
        <v>50250315</v>
      </c>
      <c r="T17" s="171">
        <f t="shared" si="0"/>
        <v>50250315</v>
      </c>
      <c r="U17" s="171">
        <f t="shared" si="1"/>
        <v>50250315</v>
      </c>
    </row>
    <row r="18" spans="1:21" outlineLevel="1" x14ac:dyDescent="0.25">
      <c r="A18" s="157" t="s">
        <v>598</v>
      </c>
      <c r="B18" s="158" t="s">
        <v>500</v>
      </c>
      <c r="C18" s="158" t="s">
        <v>497</v>
      </c>
      <c r="D18" s="159" t="s">
        <v>494</v>
      </c>
      <c r="E18" s="159">
        <v>1</v>
      </c>
      <c r="F18" s="172">
        <v>324.93</v>
      </c>
      <c r="G18" s="168"/>
      <c r="H18" s="88"/>
      <c r="I18" s="89"/>
      <c r="J18" s="91">
        <f>(F18+G18)*0.023</f>
        <v>7.47</v>
      </c>
      <c r="K18" s="91">
        <f>F18+G18+J18</f>
        <v>332.4</v>
      </c>
      <c r="L18" s="91">
        <f>K18*0.0055</f>
        <v>1.83</v>
      </c>
      <c r="M18" s="91">
        <f>-J18*0.15</f>
        <v>-1.1200000000000001</v>
      </c>
      <c r="N18" s="91">
        <f>K18+L18+M18</f>
        <v>333.11</v>
      </c>
      <c r="O18" s="170">
        <f t="shared" si="3"/>
        <v>2331770</v>
      </c>
      <c r="P18" s="170">
        <f>H18*3.98</f>
        <v>0</v>
      </c>
      <c r="Q18" s="170"/>
      <c r="R18" s="170">
        <f>O18+P18+Q18</f>
        <v>2331770</v>
      </c>
      <c r="S18" s="134">
        <f>O18*'Расчет НМЦК'!$C$16*'Расчет НМЦК'!$E$16*'Расчет НМЦК'!$I$16+P18*'Расчет НМЦК'!$C$17*'Расчет НМЦК'!$E$17*'Расчет НМЦК'!$I$17</f>
        <v>2618322</v>
      </c>
      <c r="T18" s="171">
        <f t="shared" si="0"/>
        <v>2618322</v>
      </c>
      <c r="U18" s="171">
        <f t="shared" si="1"/>
        <v>2618322</v>
      </c>
    </row>
    <row r="19" spans="1:21" x14ac:dyDescent="0.25">
      <c r="A19" s="157" t="s">
        <v>485</v>
      </c>
      <c r="B19" s="158" t="s">
        <v>186</v>
      </c>
      <c r="C19" s="158" t="s">
        <v>187</v>
      </c>
      <c r="D19" s="159" t="s">
        <v>494</v>
      </c>
      <c r="E19" s="159">
        <v>1</v>
      </c>
      <c r="F19" s="168">
        <v>983</v>
      </c>
      <c r="G19" s="168"/>
      <c r="H19" s="88"/>
      <c r="I19" s="89"/>
      <c r="J19" s="91">
        <f t="shared" ref="J19:J33" si="4">(F19+G19)*0.023</f>
        <v>22.61</v>
      </c>
      <c r="K19" s="91">
        <f t="shared" ref="K19:K33" si="5">F19+G19+J19</f>
        <v>1005.61</v>
      </c>
      <c r="L19" s="91">
        <f t="shared" ref="L19:L39" si="6">K19*0.0055</f>
        <v>5.53</v>
      </c>
      <c r="M19" s="91">
        <f t="shared" ref="M19:M33" si="7">-J19*0.15</f>
        <v>-3.39</v>
      </c>
      <c r="N19" s="91">
        <f t="shared" ref="N19:N33" si="8">K19+L19+M19</f>
        <v>1007.75</v>
      </c>
      <c r="O19" s="170">
        <f t="shared" si="3"/>
        <v>7054250</v>
      </c>
      <c r="P19" s="170">
        <f t="shared" ref="P19:P33" si="9">H19*3.98</f>
        <v>0</v>
      </c>
      <c r="Q19" s="170"/>
      <c r="R19" s="170">
        <f t="shared" ref="R19:R33" si="10">O19+P19+Q19</f>
        <v>7054250</v>
      </c>
      <c r="S19" s="134">
        <f>O19*'Расчет НМЦК'!$C$16*'Расчет НМЦК'!$E$16*'Расчет НМЦК'!$I$16+P19*'Расчет НМЦК'!$C$17*'Расчет НМЦК'!$E$17*'Расчет НМЦК'!$I$17</f>
        <v>7921150</v>
      </c>
      <c r="T19" s="171">
        <f t="shared" si="0"/>
        <v>7921150</v>
      </c>
      <c r="U19" s="171">
        <f t="shared" si="1"/>
        <v>7921150</v>
      </c>
    </row>
    <row r="20" spans="1:21" x14ac:dyDescent="0.25">
      <c r="A20" s="157" t="s">
        <v>486</v>
      </c>
      <c r="B20" s="158" t="s">
        <v>188</v>
      </c>
      <c r="C20" s="158" t="s">
        <v>189</v>
      </c>
      <c r="D20" s="159" t="s">
        <v>494</v>
      </c>
      <c r="E20" s="159">
        <v>1</v>
      </c>
      <c r="F20" s="168">
        <v>6121.37</v>
      </c>
      <c r="G20" s="168"/>
      <c r="H20" s="88"/>
      <c r="I20" s="89"/>
      <c r="J20" s="91">
        <f t="shared" si="4"/>
        <v>140.79</v>
      </c>
      <c r="K20" s="91">
        <f t="shared" si="5"/>
        <v>6262.16</v>
      </c>
      <c r="L20" s="91">
        <f t="shared" si="6"/>
        <v>34.44</v>
      </c>
      <c r="M20" s="91">
        <f t="shared" si="7"/>
        <v>-21.12</v>
      </c>
      <c r="N20" s="91">
        <f t="shared" si="8"/>
        <v>6275.48</v>
      </c>
      <c r="O20" s="170">
        <f t="shared" si="3"/>
        <v>43928360</v>
      </c>
      <c r="P20" s="170">
        <f t="shared" si="9"/>
        <v>0</v>
      </c>
      <c r="Q20" s="170"/>
      <c r="R20" s="170">
        <f t="shared" si="10"/>
        <v>43928360</v>
      </c>
      <c r="S20" s="134">
        <f>O20*'Расчет НМЦК'!$C$16*'Расчет НМЦК'!$E$16*'Расчет НМЦК'!$I$16+P20*'Расчет НМЦК'!$C$17*'Расчет НМЦК'!$E$17*'Расчет НМЦК'!$I$17+1</f>
        <v>49326738</v>
      </c>
      <c r="T20" s="171">
        <f t="shared" si="0"/>
        <v>49326738</v>
      </c>
      <c r="U20" s="171">
        <f t="shared" si="1"/>
        <v>49326738</v>
      </c>
    </row>
    <row r="21" spans="1:21" x14ac:dyDescent="0.25">
      <c r="A21" s="157" t="s">
        <v>570</v>
      </c>
      <c r="B21" s="158" t="s">
        <v>190</v>
      </c>
      <c r="C21" s="158" t="s">
        <v>191</v>
      </c>
      <c r="D21" s="159" t="s">
        <v>494</v>
      </c>
      <c r="E21" s="159">
        <v>1</v>
      </c>
      <c r="F21" s="168">
        <v>493.08</v>
      </c>
      <c r="G21" s="168"/>
      <c r="H21" s="88"/>
      <c r="I21" s="89"/>
      <c r="J21" s="91">
        <f t="shared" si="4"/>
        <v>11.34</v>
      </c>
      <c r="K21" s="91">
        <f t="shared" si="5"/>
        <v>504.42</v>
      </c>
      <c r="L21" s="91">
        <f t="shared" si="6"/>
        <v>2.77</v>
      </c>
      <c r="M21" s="91">
        <f t="shared" si="7"/>
        <v>-1.7</v>
      </c>
      <c r="N21" s="91">
        <f t="shared" si="8"/>
        <v>505.49</v>
      </c>
      <c r="O21" s="170">
        <f t="shared" si="3"/>
        <v>3538430</v>
      </c>
      <c r="P21" s="170">
        <f t="shared" si="9"/>
        <v>0</v>
      </c>
      <c r="Q21" s="170"/>
      <c r="R21" s="170">
        <f t="shared" si="10"/>
        <v>3538430</v>
      </c>
      <c r="S21" s="134">
        <f>O21*'Расчет НМЦК'!$C$16*'Расчет НМЦК'!$E$16*'Расчет НМЦК'!$I$16+P21*'Расчет НМЦК'!$C$17*'Расчет НМЦК'!$E$17*'Расчет НМЦК'!$I$17</f>
        <v>3973269</v>
      </c>
      <c r="T21" s="171">
        <f t="shared" si="0"/>
        <v>3973269</v>
      </c>
      <c r="U21" s="171">
        <f t="shared" si="1"/>
        <v>3973269</v>
      </c>
    </row>
    <row r="22" spans="1:21" x14ac:dyDescent="0.25">
      <c r="A22" s="157" t="s">
        <v>571</v>
      </c>
      <c r="B22" s="158" t="s">
        <v>192</v>
      </c>
      <c r="C22" s="158" t="s">
        <v>193</v>
      </c>
      <c r="D22" s="159" t="s">
        <v>494</v>
      </c>
      <c r="E22" s="159">
        <v>1</v>
      </c>
      <c r="F22" s="168">
        <v>11468.96</v>
      </c>
      <c r="G22" s="168"/>
      <c r="H22" s="88"/>
      <c r="I22" s="89"/>
      <c r="J22" s="91">
        <f t="shared" si="4"/>
        <v>263.79000000000002</v>
      </c>
      <c r="K22" s="91">
        <f t="shared" si="5"/>
        <v>11732.75</v>
      </c>
      <c r="L22" s="91">
        <f t="shared" si="6"/>
        <v>64.53</v>
      </c>
      <c r="M22" s="91">
        <f t="shared" si="7"/>
        <v>-39.57</v>
      </c>
      <c r="N22" s="91">
        <f t="shared" si="8"/>
        <v>11757.71</v>
      </c>
      <c r="O22" s="170">
        <f t="shared" si="3"/>
        <v>82303970</v>
      </c>
      <c r="P22" s="170">
        <f t="shared" si="9"/>
        <v>0</v>
      </c>
      <c r="Q22" s="170"/>
      <c r="R22" s="170">
        <f t="shared" si="10"/>
        <v>82303970</v>
      </c>
      <c r="S22" s="134">
        <f>O22*'Расчет НМЦК'!$C$16*'Расчет НМЦК'!$E$16*'Расчет НМЦК'!$I$16+P22*'Расчет НМЦК'!$C$17*'Расчет НМЦК'!$E$17*'Расчет НМЦК'!$I$17</f>
        <v>92418345</v>
      </c>
      <c r="T22" s="171">
        <f t="shared" si="0"/>
        <v>92418345</v>
      </c>
      <c r="U22" s="171">
        <f t="shared" si="1"/>
        <v>92418345</v>
      </c>
    </row>
    <row r="23" spans="1:21" ht="47.25" outlineLevel="1" x14ac:dyDescent="0.25">
      <c r="A23" s="157" t="s">
        <v>599</v>
      </c>
      <c r="B23" s="158" t="s">
        <v>505</v>
      </c>
      <c r="C23" s="158" t="s">
        <v>512</v>
      </c>
      <c r="D23" s="159" t="s">
        <v>494</v>
      </c>
      <c r="E23" s="159">
        <v>1</v>
      </c>
      <c r="F23" s="173">
        <f>3634048/1000+344787/1000+(381321+36179)/1000-0.04</f>
        <v>4396.3</v>
      </c>
      <c r="G23" s="168"/>
      <c r="H23" s="88"/>
      <c r="I23" s="89"/>
      <c r="J23" s="91">
        <f t="shared" ref="J23:J29" si="11">(F23+G23)*0.023</f>
        <v>101.11</v>
      </c>
      <c r="K23" s="91">
        <f t="shared" ref="K23:K29" si="12">F23+G23+J23</f>
        <v>4497.41</v>
      </c>
      <c r="L23" s="91">
        <f t="shared" ref="L23:L29" si="13">K23*0.0055</f>
        <v>24.74</v>
      </c>
      <c r="M23" s="91">
        <f t="shared" ref="M23:M29" si="14">-J23*0.15</f>
        <v>-15.17</v>
      </c>
      <c r="N23" s="91">
        <f t="shared" ref="N23:N29" si="15">K23+L23+M23</f>
        <v>4506.9799999999996</v>
      </c>
      <c r="O23" s="170">
        <f t="shared" si="3"/>
        <v>31548860</v>
      </c>
      <c r="P23" s="170">
        <f t="shared" ref="P23:P29" si="16">H23*3.98</f>
        <v>0</v>
      </c>
      <c r="Q23" s="170"/>
      <c r="R23" s="170">
        <f t="shared" ref="R23:R29" si="17">O23+P23+Q23</f>
        <v>31548860</v>
      </c>
      <c r="S23" s="134">
        <f>O23*'Расчет НМЦК'!$C$16*'Расчет НМЦК'!$E$16*'Расчет НМЦК'!$I$16+P23*'Расчет НМЦК'!$C$17*'Расчет НМЦК'!$E$17*'Расчет НМЦК'!$I$17</f>
        <v>35425915</v>
      </c>
      <c r="T23" s="171">
        <f t="shared" si="0"/>
        <v>35425915</v>
      </c>
      <c r="U23" s="171">
        <f t="shared" si="1"/>
        <v>35425915</v>
      </c>
    </row>
    <row r="24" spans="1:21" ht="47.25" outlineLevel="1" x14ac:dyDescent="0.25">
      <c r="A24" s="157" t="s">
        <v>600</v>
      </c>
      <c r="B24" s="158" t="s">
        <v>506</v>
      </c>
      <c r="C24" s="158" t="s">
        <v>511</v>
      </c>
      <c r="D24" s="159" t="s">
        <v>494</v>
      </c>
      <c r="E24" s="159">
        <v>1</v>
      </c>
      <c r="F24" s="172">
        <f>1376837/1000+106221/1000+(144472+11146)/1000</f>
        <v>1638.68</v>
      </c>
      <c r="G24" s="168"/>
      <c r="H24" s="88"/>
      <c r="I24" s="89"/>
      <c r="J24" s="91">
        <f t="shared" si="11"/>
        <v>37.69</v>
      </c>
      <c r="K24" s="91">
        <f t="shared" si="12"/>
        <v>1676.37</v>
      </c>
      <c r="L24" s="91">
        <f t="shared" si="13"/>
        <v>9.2200000000000006</v>
      </c>
      <c r="M24" s="91">
        <f t="shared" si="14"/>
        <v>-5.65</v>
      </c>
      <c r="N24" s="91">
        <f t="shared" si="15"/>
        <v>1679.94</v>
      </c>
      <c r="O24" s="170">
        <f t="shared" si="3"/>
        <v>11759580</v>
      </c>
      <c r="P24" s="170">
        <f t="shared" si="16"/>
        <v>0</v>
      </c>
      <c r="Q24" s="170"/>
      <c r="R24" s="170">
        <f t="shared" si="17"/>
        <v>11759580</v>
      </c>
      <c r="S24" s="134">
        <f>O24*'Расчет НМЦК'!$C$16*'Расчет НМЦК'!$E$16*'Расчет НМЦК'!$I$16+P24*'Расчет НМЦК'!$C$17*'Расчет НМЦК'!$E$17*'Расчет НМЦК'!$I$17</f>
        <v>13204720</v>
      </c>
      <c r="T24" s="171">
        <f t="shared" si="0"/>
        <v>13204720</v>
      </c>
      <c r="U24" s="171">
        <f t="shared" si="1"/>
        <v>13204720</v>
      </c>
    </row>
    <row r="25" spans="1:21" outlineLevel="1" x14ac:dyDescent="0.25">
      <c r="A25" s="157" t="s">
        <v>601</v>
      </c>
      <c r="B25" s="158" t="s">
        <v>501</v>
      </c>
      <c r="C25" s="158" t="s">
        <v>507</v>
      </c>
      <c r="D25" s="159" t="s">
        <v>494</v>
      </c>
      <c r="E25" s="159">
        <v>1</v>
      </c>
      <c r="F25" s="172">
        <f>12470/1000+1308/1000</f>
        <v>13.78</v>
      </c>
      <c r="G25" s="168"/>
      <c r="H25" s="88"/>
      <c r="I25" s="89"/>
      <c r="J25" s="91">
        <f t="shared" si="11"/>
        <v>0.32</v>
      </c>
      <c r="K25" s="91">
        <f t="shared" si="12"/>
        <v>14.1</v>
      </c>
      <c r="L25" s="91">
        <f t="shared" si="13"/>
        <v>0.08</v>
      </c>
      <c r="M25" s="91">
        <f t="shared" si="14"/>
        <v>-0.05</v>
      </c>
      <c r="N25" s="91">
        <f t="shared" si="15"/>
        <v>14.13</v>
      </c>
      <c r="O25" s="170">
        <f t="shared" si="3"/>
        <v>98910</v>
      </c>
      <c r="P25" s="170">
        <f t="shared" si="16"/>
        <v>0</v>
      </c>
      <c r="Q25" s="170"/>
      <c r="R25" s="170">
        <f t="shared" si="17"/>
        <v>98910</v>
      </c>
      <c r="S25" s="134">
        <f>O25*'Расчет НМЦК'!$C$16*'Расчет НМЦК'!$E$16*'Расчет НМЦК'!$I$16+P25*'Расчет НМЦК'!$C$17*'Расчет НМЦК'!$E$17*'Расчет НМЦК'!$I$17</f>
        <v>111065</v>
      </c>
      <c r="T25" s="171">
        <f t="shared" si="0"/>
        <v>111065</v>
      </c>
      <c r="U25" s="171">
        <f t="shared" si="1"/>
        <v>111065</v>
      </c>
    </row>
    <row r="26" spans="1:21" ht="47.25" outlineLevel="1" x14ac:dyDescent="0.25">
      <c r="A26" s="157" t="s">
        <v>602</v>
      </c>
      <c r="B26" s="158" t="s">
        <v>508</v>
      </c>
      <c r="C26" s="158" t="s">
        <v>513</v>
      </c>
      <c r="D26" s="159" t="s">
        <v>494</v>
      </c>
      <c r="E26" s="159">
        <v>1</v>
      </c>
      <c r="F26" s="172">
        <f>85722/1000+12712/1000+(8995+1334)/1000</f>
        <v>108.76</v>
      </c>
      <c r="G26" s="168"/>
      <c r="H26" s="88"/>
      <c r="I26" s="89"/>
      <c r="J26" s="91">
        <f t="shared" si="11"/>
        <v>2.5</v>
      </c>
      <c r="K26" s="91">
        <f t="shared" si="12"/>
        <v>111.26</v>
      </c>
      <c r="L26" s="91">
        <f t="shared" si="13"/>
        <v>0.61</v>
      </c>
      <c r="M26" s="91">
        <f t="shared" si="14"/>
        <v>-0.38</v>
      </c>
      <c r="N26" s="91">
        <f t="shared" si="15"/>
        <v>111.49</v>
      </c>
      <c r="O26" s="170">
        <f t="shared" si="3"/>
        <v>780430</v>
      </c>
      <c r="P26" s="170">
        <f t="shared" si="16"/>
        <v>0</v>
      </c>
      <c r="Q26" s="170"/>
      <c r="R26" s="170">
        <f t="shared" si="17"/>
        <v>780430</v>
      </c>
      <c r="S26" s="134">
        <f>O26*'Расчет НМЦК'!$C$16*'Расчет НМЦК'!$E$16*'Расчет НМЦК'!$I$16+P26*'Расчет НМЦК'!$C$17*'Расчет НМЦК'!$E$17*'Расчет НМЦК'!$I$17</f>
        <v>876337</v>
      </c>
      <c r="T26" s="171">
        <f t="shared" si="0"/>
        <v>876337</v>
      </c>
      <c r="U26" s="171">
        <f t="shared" si="1"/>
        <v>876337</v>
      </c>
    </row>
    <row r="27" spans="1:21" ht="31.5" outlineLevel="1" x14ac:dyDescent="0.25">
      <c r="A27" s="157" t="s">
        <v>603</v>
      </c>
      <c r="B27" s="158" t="s">
        <v>502</v>
      </c>
      <c r="C27" s="158" t="s">
        <v>509</v>
      </c>
      <c r="D27" s="159" t="s">
        <v>494</v>
      </c>
      <c r="E27" s="159">
        <v>1</v>
      </c>
      <c r="F27" s="172">
        <f>2303375/1000+241693/1000</f>
        <v>2545.0700000000002</v>
      </c>
      <c r="G27" s="168"/>
      <c r="H27" s="88"/>
      <c r="I27" s="89"/>
      <c r="J27" s="91">
        <f t="shared" si="11"/>
        <v>58.54</v>
      </c>
      <c r="K27" s="91">
        <f t="shared" si="12"/>
        <v>2603.61</v>
      </c>
      <c r="L27" s="91">
        <f t="shared" si="13"/>
        <v>14.32</v>
      </c>
      <c r="M27" s="91">
        <f t="shared" si="14"/>
        <v>-8.7799999999999994</v>
      </c>
      <c r="N27" s="91">
        <f t="shared" si="15"/>
        <v>2609.15</v>
      </c>
      <c r="O27" s="170">
        <f t="shared" si="3"/>
        <v>18264050</v>
      </c>
      <c r="P27" s="170">
        <f t="shared" si="16"/>
        <v>0</v>
      </c>
      <c r="Q27" s="170"/>
      <c r="R27" s="170">
        <f t="shared" si="17"/>
        <v>18264050</v>
      </c>
      <c r="S27" s="134">
        <f>O27*'Расчет НМЦК'!$C$16*'Расчет НМЦК'!$E$16*'Расчет НМЦК'!$I$16+P27*'Расчет НМЦК'!$C$17*'Расчет НМЦК'!$E$17*'Расчет НМЦК'!$I$17</f>
        <v>20508528</v>
      </c>
      <c r="T27" s="171">
        <f t="shared" si="0"/>
        <v>20508528</v>
      </c>
      <c r="U27" s="171">
        <f t="shared" si="1"/>
        <v>20508528</v>
      </c>
    </row>
    <row r="28" spans="1:21" ht="31.5" outlineLevel="1" x14ac:dyDescent="0.25">
      <c r="A28" s="157" t="s">
        <v>604</v>
      </c>
      <c r="B28" s="158" t="s">
        <v>503</v>
      </c>
      <c r="C28" s="158" t="s">
        <v>514</v>
      </c>
      <c r="D28" s="159" t="s">
        <v>494</v>
      </c>
      <c r="E28" s="159">
        <v>1</v>
      </c>
      <c r="F28" s="172">
        <f>233180/1000+24468/1000</f>
        <v>257.64999999999998</v>
      </c>
      <c r="G28" s="168"/>
      <c r="H28" s="88"/>
      <c r="I28" s="89"/>
      <c r="J28" s="91">
        <f t="shared" si="11"/>
        <v>5.93</v>
      </c>
      <c r="K28" s="91">
        <f t="shared" si="12"/>
        <v>263.58</v>
      </c>
      <c r="L28" s="91">
        <f t="shared" si="13"/>
        <v>1.45</v>
      </c>
      <c r="M28" s="91">
        <f t="shared" si="14"/>
        <v>-0.89</v>
      </c>
      <c r="N28" s="91">
        <f t="shared" si="15"/>
        <v>264.14</v>
      </c>
      <c r="O28" s="170">
        <f t="shared" si="3"/>
        <v>1848980</v>
      </c>
      <c r="P28" s="170">
        <f t="shared" si="16"/>
        <v>0</v>
      </c>
      <c r="Q28" s="170"/>
      <c r="R28" s="170">
        <f t="shared" si="17"/>
        <v>1848980</v>
      </c>
      <c r="S28" s="134">
        <f>O28*'Расчет НМЦК'!$C$16*'Расчет НМЦК'!$E$16*'Расчет НМЦК'!$I$16+P28*'Расчет НМЦК'!$C$17*'Расчет НМЦК'!$E$17*'Расчет НМЦК'!$I$17</f>
        <v>2076202</v>
      </c>
      <c r="T28" s="171">
        <f t="shared" si="0"/>
        <v>2076202</v>
      </c>
      <c r="U28" s="171">
        <f t="shared" si="1"/>
        <v>2076202</v>
      </c>
    </row>
    <row r="29" spans="1:21" ht="31.5" outlineLevel="1" x14ac:dyDescent="0.25">
      <c r="A29" s="157" t="s">
        <v>605</v>
      </c>
      <c r="B29" s="158" t="s">
        <v>504</v>
      </c>
      <c r="C29" s="158" t="s">
        <v>510</v>
      </c>
      <c r="D29" s="159" t="s">
        <v>494</v>
      </c>
      <c r="E29" s="159">
        <v>1</v>
      </c>
      <c r="F29" s="172">
        <f>2270478/1000+238239/1000</f>
        <v>2508.7199999999998</v>
      </c>
      <c r="G29" s="168"/>
      <c r="H29" s="88"/>
      <c r="I29" s="89"/>
      <c r="J29" s="91">
        <f t="shared" si="11"/>
        <v>57.7</v>
      </c>
      <c r="K29" s="91">
        <f t="shared" si="12"/>
        <v>2566.42</v>
      </c>
      <c r="L29" s="91">
        <f t="shared" si="13"/>
        <v>14.12</v>
      </c>
      <c r="M29" s="91">
        <f t="shared" si="14"/>
        <v>-8.66</v>
      </c>
      <c r="N29" s="91">
        <f t="shared" si="15"/>
        <v>2571.88</v>
      </c>
      <c r="O29" s="170">
        <f t="shared" si="3"/>
        <v>18003160</v>
      </c>
      <c r="P29" s="170">
        <f t="shared" si="16"/>
        <v>0</v>
      </c>
      <c r="Q29" s="170"/>
      <c r="R29" s="170">
        <f t="shared" si="17"/>
        <v>18003160</v>
      </c>
      <c r="S29" s="134">
        <f>O29*'Расчет НМЦК'!$C$16*'Расчет НМЦК'!$E$16*'Расчет НМЦК'!$I$16+P29*'Расчет НМЦК'!$C$17*'Расчет НМЦК'!$E$17*'Расчет НМЦК'!$I$17</f>
        <v>20215577</v>
      </c>
      <c r="T29" s="171">
        <f t="shared" si="0"/>
        <v>20215577</v>
      </c>
      <c r="U29" s="171">
        <f t="shared" si="1"/>
        <v>20215577</v>
      </c>
    </row>
    <row r="30" spans="1:21" x14ac:dyDescent="0.25">
      <c r="A30" s="157" t="s">
        <v>572</v>
      </c>
      <c r="B30" s="158" t="s">
        <v>194</v>
      </c>
      <c r="C30" s="158" t="s">
        <v>195</v>
      </c>
      <c r="D30" s="159" t="s">
        <v>494</v>
      </c>
      <c r="E30" s="159">
        <v>1</v>
      </c>
      <c r="F30" s="168">
        <v>2201.98</v>
      </c>
      <c r="G30" s="168"/>
      <c r="H30" s="88"/>
      <c r="I30" s="89"/>
      <c r="J30" s="91">
        <f t="shared" si="4"/>
        <v>50.65</v>
      </c>
      <c r="K30" s="91">
        <f t="shared" si="5"/>
        <v>2252.63</v>
      </c>
      <c r="L30" s="91">
        <f t="shared" si="6"/>
        <v>12.39</v>
      </c>
      <c r="M30" s="91">
        <f t="shared" si="7"/>
        <v>-7.6</v>
      </c>
      <c r="N30" s="91">
        <f t="shared" si="8"/>
        <v>2257.42</v>
      </c>
      <c r="O30" s="170">
        <f t="shared" si="3"/>
        <v>15801940</v>
      </c>
      <c r="P30" s="170">
        <f t="shared" si="9"/>
        <v>0</v>
      </c>
      <c r="Q30" s="170"/>
      <c r="R30" s="170">
        <f t="shared" si="10"/>
        <v>15801940</v>
      </c>
      <c r="S30" s="134">
        <f>O30*'Расчет НМЦК'!$C$16*'Расчет НМЦК'!$E$16*'Расчет НМЦК'!$I$16+P30*'Расчет НМЦК'!$C$17*'Расчет НМЦК'!$E$17*'Расчет НМЦК'!$I$17</f>
        <v>17743848</v>
      </c>
      <c r="T30" s="171">
        <f t="shared" si="0"/>
        <v>17743848</v>
      </c>
      <c r="U30" s="171">
        <f t="shared" si="1"/>
        <v>17743848</v>
      </c>
    </row>
    <row r="31" spans="1:21" outlineLevel="1" x14ac:dyDescent="0.25">
      <c r="A31" s="157" t="s">
        <v>606</v>
      </c>
      <c r="B31" s="158"/>
      <c r="C31" s="158" t="s">
        <v>515</v>
      </c>
      <c r="D31" s="159" t="s">
        <v>494</v>
      </c>
      <c r="E31" s="159">
        <v>1</v>
      </c>
      <c r="F31" s="173">
        <f>419718/1000-0.02</f>
        <v>419.7</v>
      </c>
      <c r="G31" s="168"/>
      <c r="H31" s="88"/>
      <c r="I31" s="89"/>
      <c r="J31" s="91">
        <f t="shared" si="4"/>
        <v>9.65</v>
      </c>
      <c r="K31" s="91">
        <f t="shared" si="5"/>
        <v>429.35</v>
      </c>
      <c r="L31" s="91">
        <f t="shared" si="6"/>
        <v>2.36</v>
      </c>
      <c r="M31" s="91">
        <f t="shared" si="7"/>
        <v>-1.45</v>
      </c>
      <c r="N31" s="91">
        <f t="shared" si="8"/>
        <v>430.26</v>
      </c>
      <c r="O31" s="169">
        <f>(N31*7+0.07)*1000</f>
        <v>3011890</v>
      </c>
      <c r="P31" s="170">
        <f t="shared" si="9"/>
        <v>0</v>
      </c>
      <c r="Q31" s="170"/>
      <c r="R31" s="170">
        <f t="shared" si="10"/>
        <v>3011890</v>
      </c>
      <c r="S31" s="134">
        <f>O31*'Расчет НМЦК'!$C$16*'Расчет НМЦК'!$E$16*'Расчет НМЦК'!$I$16+P31*'Расчет НМЦК'!$C$17*'Расчет НМЦК'!$E$17*'Расчет НМЦК'!$I$17</f>
        <v>3382023</v>
      </c>
      <c r="T31" s="171">
        <f t="shared" si="0"/>
        <v>3382023</v>
      </c>
      <c r="U31" s="171">
        <f t="shared" si="1"/>
        <v>3382023</v>
      </c>
    </row>
    <row r="32" spans="1:21" outlineLevel="1" x14ac:dyDescent="0.25">
      <c r="A32" s="157" t="s">
        <v>607</v>
      </c>
      <c r="B32" s="158"/>
      <c r="C32" s="158" t="s">
        <v>516</v>
      </c>
      <c r="D32" s="159" t="s">
        <v>494</v>
      </c>
      <c r="E32" s="159">
        <v>1</v>
      </c>
      <c r="F32" s="172">
        <f>904895/1000</f>
        <v>904.9</v>
      </c>
      <c r="G32" s="168"/>
      <c r="H32" s="88"/>
      <c r="I32" s="89"/>
      <c r="J32" s="91">
        <f t="shared" si="4"/>
        <v>20.81</v>
      </c>
      <c r="K32" s="91">
        <f t="shared" si="5"/>
        <v>925.71</v>
      </c>
      <c r="L32" s="91">
        <f t="shared" si="6"/>
        <v>5.09</v>
      </c>
      <c r="M32" s="91">
        <f t="shared" si="7"/>
        <v>-3.12</v>
      </c>
      <c r="N32" s="91">
        <f t="shared" si="8"/>
        <v>927.68</v>
      </c>
      <c r="O32" s="170">
        <f>N32*7*1000</f>
        <v>6493760</v>
      </c>
      <c r="P32" s="170">
        <f t="shared" si="9"/>
        <v>0</v>
      </c>
      <c r="Q32" s="170"/>
      <c r="R32" s="170">
        <f t="shared" si="10"/>
        <v>6493760</v>
      </c>
      <c r="S32" s="134">
        <f>O32*'Расчет НМЦК'!$C$16*'Расчет НМЦК'!$E$16*'Расчет НМЦК'!$I$16+P32*'Расчет НМЦК'!$C$17*'Расчет НМЦК'!$E$17*'Расчет НМЦК'!$I$17</f>
        <v>7291781</v>
      </c>
      <c r="T32" s="171">
        <f t="shared" si="0"/>
        <v>7291781</v>
      </c>
      <c r="U32" s="171">
        <f t="shared" si="1"/>
        <v>7291781</v>
      </c>
    </row>
    <row r="33" spans="1:21" outlineLevel="1" x14ac:dyDescent="0.25">
      <c r="A33" s="157" t="s">
        <v>608</v>
      </c>
      <c r="B33" s="158"/>
      <c r="C33" s="158" t="s">
        <v>517</v>
      </c>
      <c r="D33" s="159" t="s">
        <v>494</v>
      </c>
      <c r="E33" s="159">
        <v>1</v>
      </c>
      <c r="F33" s="172">
        <f>877375/1000</f>
        <v>877.38</v>
      </c>
      <c r="G33" s="168"/>
      <c r="H33" s="88"/>
      <c r="I33" s="89"/>
      <c r="J33" s="91">
        <f t="shared" si="4"/>
        <v>20.18</v>
      </c>
      <c r="K33" s="91">
        <f t="shared" si="5"/>
        <v>897.56</v>
      </c>
      <c r="L33" s="91">
        <f t="shared" si="6"/>
        <v>4.9400000000000004</v>
      </c>
      <c r="M33" s="91">
        <f t="shared" si="7"/>
        <v>-3.03</v>
      </c>
      <c r="N33" s="91">
        <f t="shared" si="8"/>
        <v>899.47</v>
      </c>
      <c r="O33" s="170">
        <f>N33*7*1000</f>
        <v>6296290</v>
      </c>
      <c r="P33" s="170">
        <f t="shared" si="9"/>
        <v>0</v>
      </c>
      <c r="Q33" s="170"/>
      <c r="R33" s="170">
        <f t="shared" si="10"/>
        <v>6296290</v>
      </c>
      <c r="S33" s="134">
        <f>O33*'Расчет НМЦК'!$C$16*'Расчет НМЦК'!$E$16*'Расчет НМЦК'!$I$16+P33*'Расчет НМЦК'!$C$17*'Расчет НМЦК'!$E$17*'Расчет НМЦК'!$I$17</f>
        <v>7070044</v>
      </c>
      <c r="T33" s="171">
        <f t="shared" si="0"/>
        <v>7070044</v>
      </c>
      <c r="U33" s="171">
        <f t="shared" si="1"/>
        <v>7070044</v>
      </c>
    </row>
    <row r="34" spans="1:21" x14ac:dyDescent="0.25">
      <c r="A34" s="92" t="s">
        <v>366</v>
      </c>
      <c r="B34" s="82" t="s">
        <v>36</v>
      </c>
      <c r="C34" s="82" t="s">
        <v>37</v>
      </c>
      <c r="D34" s="103"/>
      <c r="E34" s="103"/>
      <c r="F34" s="167">
        <f>F35+F36+F37</f>
        <v>54.07</v>
      </c>
      <c r="G34" s="167">
        <f>G35+G36+G37</f>
        <v>14.11</v>
      </c>
      <c r="H34" s="167">
        <f>H35+H36+H37</f>
        <v>2890.96</v>
      </c>
      <c r="I34" s="148"/>
      <c r="J34" s="89">
        <f t="shared" ref="J34:P34" si="18">J35+J36+J37</f>
        <v>1.57</v>
      </c>
      <c r="K34" s="89">
        <f t="shared" si="18"/>
        <v>69.75</v>
      </c>
      <c r="L34" s="89">
        <f t="shared" si="18"/>
        <v>0.38</v>
      </c>
      <c r="M34" s="89">
        <f t="shared" si="18"/>
        <v>-0.25</v>
      </c>
      <c r="N34" s="89">
        <f t="shared" si="18"/>
        <v>69.88</v>
      </c>
      <c r="O34" s="174">
        <f t="shared" si="18"/>
        <v>489160</v>
      </c>
      <c r="P34" s="174">
        <f t="shared" si="18"/>
        <v>11506029</v>
      </c>
      <c r="Q34" s="174"/>
      <c r="R34" s="174">
        <f>R35+R36+R37</f>
        <v>11995189</v>
      </c>
      <c r="S34" s="166">
        <f>O34*'Расчет НМЦК'!$C$16*'Расчет НМЦК'!$E$16*'Расчет НМЦК'!$I$16+P34*'Расчет НМЦК'!$C$17*'Расчет НМЦК'!$E$17*'Расчет НМЦК'!$I$17</f>
        <v>13469284</v>
      </c>
      <c r="T34" s="165"/>
      <c r="U34" s="165">
        <f t="shared" si="1"/>
        <v>13469284</v>
      </c>
    </row>
    <row r="35" spans="1:21" x14ac:dyDescent="0.25">
      <c r="A35" s="157" t="s">
        <v>371</v>
      </c>
      <c r="B35" s="158" t="s">
        <v>196</v>
      </c>
      <c r="C35" s="158" t="s">
        <v>518</v>
      </c>
      <c r="D35" s="159" t="s">
        <v>494</v>
      </c>
      <c r="E35" s="159">
        <v>1</v>
      </c>
      <c r="F35" s="168">
        <v>47.88</v>
      </c>
      <c r="G35" s="168"/>
      <c r="H35" s="168"/>
      <c r="I35" s="175"/>
      <c r="J35" s="91">
        <f>(F35+G35)*0.023</f>
        <v>1.1000000000000001</v>
      </c>
      <c r="K35" s="91">
        <f>F35+G35+J35</f>
        <v>48.98</v>
      </c>
      <c r="L35" s="91">
        <f t="shared" si="6"/>
        <v>0.27</v>
      </c>
      <c r="M35" s="91">
        <f>-J35*0.15</f>
        <v>-0.17</v>
      </c>
      <c r="N35" s="91">
        <f>K35+L35+M35</f>
        <v>49.08</v>
      </c>
      <c r="O35" s="170">
        <f>N35*7*1000</f>
        <v>343560</v>
      </c>
      <c r="P35" s="170">
        <f>H35*3.98*1000</f>
        <v>0</v>
      </c>
      <c r="Q35" s="170"/>
      <c r="R35" s="170">
        <f>O35+P35+Q35</f>
        <v>343560</v>
      </c>
      <c r="S35" s="134">
        <f>O35*'Расчет НМЦК'!$C$16*'Расчет НМЦК'!$E$16*'Расчет НМЦК'!$I$16+P35*'Расчет НМЦК'!$C$17*'Расчет НМЦК'!$E$17*'Расчет НМЦК'!$I$17</f>
        <v>385780</v>
      </c>
      <c r="T35" s="171">
        <f t="shared" si="0"/>
        <v>385780</v>
      </c>
      <c r="U35" s="171">
        <f t="shared" si="1"/>
        <v>385780</v>
      </c>
    </row>
    <row r="36" spans="1:21" ht="47.25" x14ac:dyDescent="0.25">
      <c r="A36" s="157" t="s">
        <v>373</v>
      </c>
      <c r="B36" s="158" t="s">
        <v>198</v>
      </c>
      <c r="C36" s="158" t="s">
        <v>199</v>
      </c>
      <c r="D36" s="159" t="s">
        <v>494</v>
      </c>
      <c r="E36" s="159">
        <v>1</v>
      </c>
      <c r="F36" s="168">
        <v>5.87</v>
      </c>
      <c r="G36" s="172">
        <v>10.1</v>
      </c>
      <c r="H36" s="168">
        <v>2877.06</v>
      </c>
      <c r="I36" s="175"/>
      <c r="J36" s="91">
        <f>(F36+G36)*0.023</f>
        <v>0.37</v>
      </c>
      <c r="K36" s="91">
        <f>F36+G36+J36</f>
        <v>16.34</v>
      </c>
      <c r="L36" s="91">
        <f t="shared" si="6"/>
        <v>0.09</v>
      </c>
      <c r="M36" s="91">
        <f>-J36*0.15</f>
        <v>-0.06</v>
      </c>
      <c r="N36" s="91">
        <f>K36+L36+M36</f>
        <v>16.37</v>
      </c>
      <c r="O36" s="170">
        <f>N36*7*1000</f>
        <v>114590</v>
      </c>
      <c r="P36" s="169">
        <f>(H36*3.98+0.01)*1000-2</f>
        <v>11450707</v>
      </c>
      <c r="Q36" s="170"/>
      <c r="R36" s="170">
        <f>O36+P36+Q36</f>
        <v>11565297</v>
      </c>
      <c r="S36" s="134">
        <f>O36*'Расчет НМЦК'!$C$16*'Расчет НМЦК'!$E$16*'Расчет НМЦК'!$I$16+P36*'Расчет НМЦК'!$C$17*'Расчет НМЦК'!$E$17*'Расчет НМЦК'!$I$17+1</f>
        <v>12986563</v>
      </c>
      <c r="T36" s="171">
        <f t="shared" si="0"/>
        <v>12986563</v>
      </c>
      <c r="U36" s="171">
        <f t="shared" si="1"/>
        <v>12986563</v>
      </c>
    </row>
    <row r="37" spans="1:21" ht="31.5" x14ac:dyDescent="0.25">
      <c r="A37" s="157" t="s">
        <v>375</v>
      </c>
      <c r="B37" s="158" t="s">
        <v>200</v>
      </c>
      <c r="C37" s="158" t="s">
        <v>201</v>
      </c>
      <c r="D37" s="159" t="s">
        <v>494</v>
      </c>
      <c r="E37" s="159">
        <v>1</v>
      </c>
      <c r="F37" s="168">
        <v>0.32</v>
      </c>
      <c r="G37" s="168">
        <v>4.01</v>
      </c>
      <c r="H37" s="168">
        <v>13.9</v>
      </c>
      <c r="I37" s="175"/>
      <c r="J37" s="91">
        <f>(F37+G37)*0.023</f>
        <v>0.1</v>
      </c>
      <c r="K37" s="91">
        <f>F37+G37+J37</f>
        <v>4.43</v>
      </c>
      <c r="L37" s="91">
        <f t="shared" si="6"/>
        <v>0.02</v>
      </c>
      <c r="M37" s="91">
        <f>-J37*0.15</f>
        <v>-0.02</v>
      </c>
      <c r="N37" s="91">
        <f>K37+L37+M37</f>
        <v>4.43</v>
      </c>
      <c r="O37" s="170">
        <f>N37*7*1000</f>
        <v>31010</v>
      </c>
      <c r="P37" s="170">
        <f>H37*3.98*1000</f>
        <v>55322</v>
      </c>
      <c r="Q37" s="170"/>
      <c r="R37" s="170">
        <f>O37+P37+Q37</f>
        <v>86332</v>
      </c>
      <c r="S37" s="134">
        <f>O37*'Расчет НМЦК'!$C$16*'Расчет НМЦК'!$E$16*'Расчет НМЦК'!$I$16+P37*'Расчет НМЦК'!$C$17*'Расчет НМЦК'!$E$17*'Расчет НМЦК'!$I$17</f>
        <v>96941</v>
      </c>
      <c r="T37" s="171">
        <f t="shared" si="0"/>
        <v>96941</v>
      </c>
      <c r="U37" s="171">
        <f t="shared" si="1"/>
        <v>96941</v>
      </c>
    </row>
    <row r="38" spans="1:21" x14ac:dyDescent="0.25">
      <c r="A38" s="92" t="s">
        <v>367</v>
      </c>
      <c r="B38" s="82" t="s">
        <v>38</v>
      </c>
      <c r="C38" s="82" t="s">
        <v>39</v>
      </c>
      <c r="D38" s="103"/>
      <c r="E38" s="103"/>
      <c r="F38" s="167">
        <f>F39+F40+F41</f>
        <v>61.38</v>
      </c>
      <c r="G38" s="167">
        <f>G39+G40+G41</f>
        <v>15.42</v>
      </c>
      <c r="H38" s="176">
        <f>H39+H40+H41</f>
        <v>4113.1099999999997</v>
      </c>
      <c r="I38" s="148"/>
      <c r="J38" s="89">
        <f t="shared" ref="J38:N38" si="19">J39+J40+J41</f>
        <v>1.77</v>
      </c>
      <c r="K38" s="89">
        <f t="shared" si="19"/>
        <v>78.569999999999993</v>
      </c>
      <c r="L38" s="89">
        <f t="shared" si="19"/>
        <v>0.43</v>
      </c>
      <c r="M38" s="89">
        <f t="shared" si="19"/>
        <v>-0.27</v>
      </c>
      <c r="N38" s="89">
        <f t="shared" si="19"/>
        <v>78.73</v>
      </c>
      <c r="O38" s="174">
        <f>O39+O40+O41</f>
        <v>551110</v>
      </c>
      <c r="P38" s="174">
        <f>P39+P40+P41</f>
        <v>16370178</v>
      </c>
      <c r="Q38" s="174"/>
      <c r="R38" s="174">
        <f>R39+R40+R41</f>
        <v>16921288</v>
      </c>
      <c r="S38" s="166">
        <f>O38*'Расчет НМЦК'!$C$16*'Расчет НМЦК'!$E$16*'Расчет НМЦК'!$I$16+P38*'Расчет НМЦК'!$C$17*'Расчет НМЦК'!$E$17*'Расчет НМЦК'!$I$17</f>
        <v>19000753</v>
      </c>
      <c r="T38" s="165"/>
      <c r="U38" s="165">
        <f t="shared" si="1"/>
        <v>19000753</v>
      </c>
    </row>
    <row r="39" spans="1:21" x14ac:dyDescent="0.25">
      <c r="A39" s="157" t="s">
        <v>376</v>
      </c>
      <c r="B39" s="158" t="s">
        <v>202</v>
      </c>
      <c r="C39" s="158" t="s">
        <v>519</v>
      </c>
      <c r="D39" s="159" t="s">
        <v>494</v>
      </c>
      <c r="E39" s="159">
        <v>1</v>
      </c>
      <c r="F39" s="168">
        <v>55.15</v>
      </c>
      <c r="G39" s="168"/>
      <c r="H39" s="168"/>
      <c r="I39" s="175"/>
      <c r="J39" s="91">
        <f>(F39+G39)*0.023</f>
        <v>1.27</v>
      </c>
      <c r="K39" s="91">
        <f>F39+G39+J39</f>
        <v>56.42</v>
      </c>
      <c r="L39" s="91">
        <f t="shared" si="6"/>
        <v>0.31</v>
      </c>
      <c r="M39" s="91">
        <f>-J39*0.15</f>
        <v>-0.19</v>
      </c>
      <c r="N39" s="91">
        <f>K39+L39+M39</f>
        <v>56.54</v>
      </c>
      <c r="O39" s="170">
        <f>N39*7*1000</f>
        <v>395780</v>
      </c>
      <c r="P39" s="170">
        <f>H39*3.98*1000</f>
        <v>0</v>
      </c>
      <c r="Q39" s="170"/>
      <c r="R39" s="170">
        <f>O39+P39+Q39</f>
        <v>395780</v>
      </c>
      <c r="S39" s="134">
        <f>O39*'Расчет НМЦК'!$C$16*'Расчет НМЦК'!$E$16*'Расчет НМЦК'!$I$16+P39*'Расчет НМЦК'!$C$17*'Расчет НМЦК'!$E$17*'Расчет НМЦК'!$I$17</f>
        <v>444418</v>
      </c>
      <c r="T39" s="171">
        <f t="shared" si="0"/>
        <v>444418</v>
      </c>
      <c r="U39" s="171">
        <f t="shared" si="1"/>
        <v>444418</v>
      </c>
    </row>
    <row r="40" spans="1:21" ht="47.25" x14ac:dyDescent="0.25">
      <c r="A40" s="157" t="s">
        <v>372</v>
      </c>
      <c r="B40" s="158" t="s">
        <v>203</v>
      </c>
      <c r="C40" s="158" t="s">
        <v>204</v>
      </c>
      <c r="D40" s="159" t="s">
        <v>494</v>
      </c>
      <c r="E40" s="159">
        <v>1</v>
      </c>
      <c r="F40" s="168">
        <v>5.91</v>
      </c>
      <c r="G40" s="168">
        <v>11.41</v>
      </c>
      <c r="H40" s="168">
        <v>4099.21</v>
      </c>
      <c r="I40" s="175"/>
      <c r="J40" s="91">
        <f>(F40+G40)*0.023</f>
        <v>0.4</v>
      </c>
      <c r="K40" s="91">
        <f>F40+G40+J40</f>
        <v>17.72</v>
      </c>
      <c r="L40" s="91">
        <f t="shared" ref="L40:L111" si="20">K40*0.0055</f>
        <v>0.1</v>
      </c>
      <c r="M40" s="91">
        <f>-J40*0.15</f>
        <v>-0.06</v>
      </c>
      <c r="N40" s="91">
        <f>K40+L40+M40</f>
        <v>17.760000000000002</v>
      </c>
      <c r="O40" s="170">
        <f>N40*7*1000</f>
        <v>124320</v>
      </c>
      <c r="P40" s="170">
        <f>H40*3.98*1000</f>
        <v>16314856</v>
      </c>
      <c r="Q40" s="170"/>
      <c r="R40" s="170">
        <f>O40+P40+Q40</f>
        <v>16439176</v>
      </c>
      <c r="S40" s="134">
        <f>O40*'Расчет НМЦК'!$C$16*'Расчет НМЦК'!$E$16*'Расчет НМЦК'!$I$16+P40*'Расчет НМЦК'!$C$17*'Расчет НМЦК'!$E$17*'Расчет НМЦК'!$I$17</f>
        <v>18459394</v>
      </c>
      <c r="T40" s="171">
        <f t="shared" si="0"/>
        <v>18459394</v>
      </c>
      <c r="U40" s="171">
        <f t="shared" si="1"/>
        <v>18459394</v>
      </c>
    </row>
    <row r="41" spans="1:21" ht="31.5" x14ac:dyDescent="0.25">
      <c r="A41" s="157" t="s">
        <v>377</v>
      </c>
      <c r="B41" s="158" t="s">
        <v>205</v>
      </c>
      <c r="C41" s="158" t="s">
        <v>206</v>
      </c>
      <c r="D41" s="159" t="s">
        <v>494</v>
      </c>
      <c r="E41" s="159">
        <v>1</v>
      </c>
      <c r="F41" s="168">
        <v>0.32</v>
      </c>
      <c r="G41" s="168">
        <v>4.01</v>
      </c>
      <c r="H41" s="172">
        <v>13.9</v>
      </c>
      <c r="I41" s="175"/>
      <c r="J41" s="91">
        <f>(F41+G41)*0.023</f>
        <v>0.1</v>
      </c>
      <c r="K41" s="91">
        <f>F41+G41+J41</f>
        <v>4.43</v>
      </c>
      <c r="L41" s="91">
        <f t="shared" si="20"/>
        <v>0.02</v>
      </c>
      <c r="M41" s="91">
        <f>-J41*0.15</f>
        <v>-0.02</v>
      </c>
      <c r="N41" s="91">
        <f>K41+L41+M41</f>
        <v>4.43</v>
      </c>
      <c r="O41" s="170">
        <f>N41*7*1000</f>
        <v>31010</v>
      </c>
      <c r="P41" s="170">
        <f>H41*3.98*1000</f>
        <v>55322</v>
      </c>
      <c r="Q41" s="170"/>
      <c r="R41" s="170">
        <f>O41+P41+Q41</f>
        <v>86332</v>
      </c>
      <c r="S41" s="134">
        <f>O41*'Расчет НМЦК'!$C$16*'Расчет НМЦК'!$E$16*'Расчет НМЦК'!$I$16+P41*'Расчет НМЦК'!$C$17*'Расчет НМЦК'!$E$17*'Расчет НМЦК'!$I$17</f>
        <v>96941</v>
      </c>
      <c r="T41" s="171">
        <f t="shared" si="0"/>
        <v>96941</v>
      </c>
      <c r="U41" s="171">
        <f t="shared" si="1"/>
        <v>96941</v>
      </c>
    </row>
    <row r="42" spans="1:21" x14ac:dyDescent="0.25">
      <c r="A42" s="92" t="s">
        <v>378</v>
      </c>
      <c r="B42" s="82" t="s">
        <v>40</v>
      </c>
      <c r="C42" s="82" t="s">
        <v>41</v>
      </c>
      <c r="D42" s="103"/>
      <c r="E42" s="103"/>
      <c r="F42" s="167">
        <f>F43+F44+F45</f>
        <v>61.5</v>
      </c>
      <c r="G42" s="167">
        <f>G43+G44+G45</f>
        <v>15.37</v>
      </c>
      <c r="H42" s="176">
        <f>H43+H44+H45</f>
        <v>3711.62</v>
      </c>
      <c r="I42" s="148"/>
      <c r="J42" s="93">
        <f t="shared" ref="J42:O42" si="21">J43+J44+J45</f>
        <v>1.77</v>
      </c>
      <c r="K42" s="93">
        <f t="shared" si="21"/>
        <v>78.64</v>
      </c>
      <c r="L42" s="93">
        <f t="shared" si="21"/>
        <v>0.43</v>
      </c>
      <c r="M42" s="93">
        <f t="shared" si="21"/>
        <v>-0.26</v>
      </c>
      <c r="N42" s="93">
        <f t="shared" si="21"/>
        <v>78.81</v>
      </c>
      <c r="O42" s="177">
        <f t="shared" si="21"/>
        <v>551670</v>
      </c>
      <c r="P42" s="177">
        <f>P43+P44+P45</f>
        <v>14772248</v>
      </c>
      <c r="Q42" s="177"/>
      <c r="R42" s="177">
        <f>R43+R44+R45</f>
        <v>15323918</v>
      </c>
      <c r="S42" s="166">
        <f>O42*'Расчет НМЦК'!$C$16*'Расчет НМЦК'!$E$16*'Расчет НМЦК'!$I$16+P42*'Расчет НМЦК'!$C$17*'Расчет НМЦК'!$E$17*'Расчет НМЦК'!$I$17</f>
        <v>17207082</v>
      </c>
      <c r="T42" s="165"/>
      <c r="U42" s="165">
        <f t="shared" si="1"/>
        <v>17207082</v>
      </c>
    </row>
    <row r="43" spans="1:21" x14ac:dyDescent="0.25">
      <c r="A43" s="157" t="s">
        <v>379</v>
      </c>
      <c r="B43" s="158" t="s">
        <v>207</v>
      </c>
      <c r="C43" s="158" t="s">
        <v>520</v>
      </c>
      <c r="D43" s="159" t="s">
        <v>494</v>
      </c>
      <c r="E43" s="159">
        <v>1</v>
      </c>
      <c r="F43" s="168">
        <v>55.59</v>
      </c>
      <c r="G43" s="168"/>
      <c r="H43" s="168"/>
      <c r="I43" s="175"/>
      <c r="J43" s="91">
        <f>(F43+G43)*0.023</f>
        <v>1.28</v>
      </c>
      <c r="K43" s="91">
        <f>F43+G43+J43</f>
        <v>56.87</v>
      </c>
      <c r="L43" s="91">
        <f t="shared" si="20"/>
        <v>0.31</v>
      </c>
      <c r="M43" s="91">
        <f>-J43*0.15</f>
        <v>-0.19</v>
      </c>
      <c r="N43" s="91">
        <f>K43+L43+M43</f>
        <v>56.99</v>
      </c>
      <c r="O43" s="170">
        <f t="shared" ref="O43:O50" si="22">N43*7*1000</f>
        <v>398930</v>
      </c>
      <c r="P43" s="170">
        <f t="shared" ref="P43:P48" si="23">H43*3.98*1000</f>
        <v>0</v>
      </c>
      <c r="Q43" s="170"/>
      <c r="R43" s="170">
        <f>O43+P43+Q43</f>
        <v>398930</v>
      </c>
      <c r="S43" s="134">
        <f>O43*'Расчет НМЦК'!$C$16*'Расчет НМЦК'!$E$16*'Расчет НМЦК'!$I$16+P43*'Расчет НМЦК'!$C$17*'Расчет НМЦК'!$E$17*'Расчет НМЦК'!$I$17</f>
        <v>447955</v>
      </c>
      <c r="T43" s="171">
        <f t="shared" si="0"/>
        <v>447955</v>
      </c>
      <c r="U43" s="171">
        <f t="shared" si="1"/>
        <v>447955</v>
      </c>
    </row>
    <row r="44" spans="1:21" ht="47.25" x14ac:dyDescent="0.25">
      <c r="A44" s="157" t="s">
        <v>380</v>
      </c>
      <c r="B44" s="158" t="s">
        <v>208</v>
      </c>
      <c r="C44" s="158" t="s">
        <v>209</v>
      </c>
      <c r="D44" s="159" t="s">
        <v>494</v>
      </c>
      <c r="E44" s="159">
        <v>1</v>
      </c>
      <c r="F44" s="168">
        <v>5.91</v>
      </c>
      <c r="G44" s="168">
        <v>11.44</v>
      </c>
      <c r="H44" s="168">
        <v>3697.72</v>
      </c>
      <c r="I44" s="175"/>
      <c r="J44" s="91">
        <f>(F44+G44)*0.023</f>
        <v>0.4</v>
      </c>
      <c r="K44" s="91">
        <f>F44+G44+J44</f>
        <v>17.75</v>
      </c>
      <c r="L44" s="91">
        <f t="shared" si="20"/>
        <v>0.1</v>
      </c>
      <c r="M44" s="91">
        <f>-J44*0.15</f>
        <v>-0.06</v>
      </c>
      <c r="N44" s="91">
        <f>K44+L44+M44</f>
        <v>17.79</v>
      </c>
      <c r="O44" s="170">
        <f t="shared" si="22"/>
        <v>124530</v>
      </c>
      <c r="P44" s="170">
        <f t="shared" si="23"/>
        <v>14716926</v>
      </c>
      <c r="Q44" s="170"/>
      <c r="R44" s="170">
        <f>O44+P44+Q44</f>
        <v>14841456</v>
      </c>
      <c r="S44" s="134">
        <f>O44*'Расчет НМЦК'!$C$16*'Расчет НМЦК'!$E$16*'Расчет НМЦК'!$I$16+P44*'Расчет НМЦК'!$C$17*'Расчет НМЦК'!$E$17*'Расчет НМЦК'!$I$17</f>
        <v>16665330</v>
      </c>
      <c r="T44" s="171">
        <f t="shared" si="0"/>
        <v>16665330</v>
      </c>
      <c r="U44" s="171">
        <f t="shared" si="1"/>
        <v>16665330</v>
      </c>
    </row>
    <row r="45" spans="1:21" ht="31.5" x14ac:dyDescent="0.25">
      <c r="A45" s="157" t="s">
        <v>381</v>
      </c>
      <c r="B45" s="158" t="s">
        <v>210</v>
      </c>
      <c r="C45" s="158" t="s">
        <v>211</v>
      </c>
      <c r="D45" s="159" t="s">
        <v>494</v>
      </c>
      <c r="E45" s="159">
        <v>1</v>
      </c>
      <c r="F45" s="168"/>
      <c r="G45" s="168">
        <v>3.93</v>
      </c>
      <c r="H45" s="172">
        <v>13.9</v>
      </c>
      <c r="I45" s="175"/>
      <c r="J45" s="91">
        <f>(F45+G45)*0.023</f>
        <v>0.09</v>
      </c>
      <c r="K45" s="91">
        <f>F45+G45+J45</f>
        <v>4.0199999999999996</v>
      </c>
      <c r="L45" s="91">
        <f t="shared" si="20"/>
        <v>0.02</v>
      </c>
      <c r="M45" s="91">
        <f>-J45*0.15</f>
        <v>-0.01</v>
      </c>
      <c r="N45" s="91">
        <f>K45+L45+M45</f>
        <v>4.03</v>
      </c>
      <c r="O45" s="170">
        <f t="shared" si="22"/>
        <v>28210</v>
      </c>
      <c r="P45" s="170">
        <f t="shared" si="23"/>
        <v>55322</v>
      </c>
      <c r="Q45" s="170"/>
      <c r="R45" s="170">
        <f>O45+P45+Q45</f>
        <v>83532</v>
      </c>
      <c r="S45" s="134">
        <f>O45*'Расчет НМЦК'!$C$16*'Расчет НМЦК'!$E$16*'Расчет НМЦК'!$I$16+P45*'Расчет НМЦК'!$C$17*'Расчет НМЦК'!$E$17*'Расчет НМЦК'!$I$17</f>
        <v>93797</v>
      </c>
      <c r="T45" s="171">
        <f t="shared" si="0"/>
        <v>93797</v>
      </c>
      <c r="U45" s="171">
        <f t="shared" si="1"/>
        <v>93797</v>
      </c>
    </row>
    <row r="46" spans="1:21" ht="31.5" x14ac:dyDescent="0.25">
      <c r="A46" s="92" t="s">
        <v>382</v>
      </c>
      <c r="B46" s="82" t="s">
        <v>42</v>
      </c>
      <c r="C46" s="82" t="s">
        <v>43</v>
      </c>
      <c r="D46" s="103" t="s">
        <v>494</v>
      </c>
      <c r="E46" s="103">
        <v>1</v>
      </c>
      <c r="F46" s="148"/>
      <c r="G46" s="167">
        <v>21.61</v>
      </c>
      <c r="H46" s="167">
        <v>2388.0300000000002</v>
      </c>
      <c r="I46" s="148"/>
      <c r="J46" s="86">
        <f>(F46+G46)*0.023</f>
        <v>0.5</v>
      </c>
      <c r="K46" s="86">
        <f>F46+G46+J46</f>
        <v>22.11</v>
      </c>
      <c r="L46" s="86">
        <f t="shared" si="20"/>
        <v>0.12</v>
      </c>
      <c r="M46" s="86">
        <f>-J46*0.15</f>
        <v>-0.08</v>
      </c>
      <c r="N46" s="86">
        <f>K46+L46+M46</f>
        <v>22.15</v>
      </c>
      <c r="O46" s="162">
        <f t="shared" si="22"/>
        <v>155050</v>
      </c>
      <c r="P46" s="162">
        <f t="shared" si="23"/>
        <v>9504359</v>
      </c>
      <c r="Q46" s="162"/>
      <c r="R46" s="162">
        <f>O46+P46+Q46</f>
        <v>9659409</v>
      </c>
      <c r="S46" s="166">
        <f>O46*'Расчет НМЦК'!$C$16*'Расчет НМЦК'!$E$16*'Расчет НМЦК'!$I$16+P46*'Расчет НМЦК'!$C$17*'Расчет НМЦК'!$E$17*'Расчет НМЦК'!$I$17</f>
        <v>10846458</v>
      </c>
      <c r="T46" s="165">
        <f t="shared" si="0"/>
        <v>10846458</v>
      </c>
      <c r="U46" s="165">
        <f t="shared" si="1"/>
        <v>10846458</v>
      </c>
    </row>
    <row r="47" spans="1:21" x14ac:dyDescent="0.25">
      <c r="A47" s="92" t="s">
        <v>383</v>
      </c>
      <c r="B47" s="82" t="s">
        <v>44</v>
      </c>
      <c r="C47" s="82" t="s">
        <v>45</v>
      </c>
      <c r="D47" s="103" t="s">
        <v>494</v>
      </c>
      <c r="E47" s="103">
        <v>1</v>
      </c>
      <c r="F47" s="167">
        <v>149.63999999999999</v>
      </c>
      <c r="G47" s="167">
        <v>1621.89</v>
      </c>
      <c r="H47" s="148"/>
      <c r="I47" s="148"/>
      <c r="J47" s="86">
        <f t="shared" ref="J47:J54" si="24">(F47+G47)*0.023</f>
        <v>40.75</v>
      </c>
      <c r="K47" s="86">
        <f t="shared" ref="K47:K54" si="25">F47+G47+J47</f>
        <v>1812.28</v>
      </c>
      <c r="L47" s="86">
        <f t="shared" si="20"/>
        <v>9.9700000000000006</v>
      </c>
      <c r="M47" s="86">
        <f t="shared" ref="M47:M54" si="26">-J47*0.15</f>
        <v>-6.11</v>
      </c>
      <c r="N47" s="86">
        <f t="shared" ref="N47:N54" si="27">K47+L47+M47</f>
        <v>1816.14</v>
      </c>
      <c r="O47" s="162">
        <f t="shared" si="22"/>
        <v>12712980</v>
      </c>
      <c r="P47" s="162">
        <f t="shared" si="23"/>
        <v>0</v>
      </c>
      <c r="Q47" s="162"/>
      <c r="R47" s="162">
        <f t="shared" ref="R47:R54" si="28">O47+P47+Q47</f>
        <v>12712980</v>
      </c>
      <c r="S47" s="166">
        <f>O47*'Расчет НМЦК'!$C$16*'Расчет НМЦК'!$E$16*'Расчет НМЦК'!$I$16+P47*'Расчет НМЦК'!$C$17*'Расчет НМЦК'!$E$17*'Расчет НМЦК'!$I$17</f>
        <v>14275284</v>
      </c>
      <c r="T47" s="165">
        <f t="shared" si="0"/>
        <v>14275284</v>
      </c>
      <c r="U47" s="165">
        <f t="shared" si="1"/>
        <v>14275284</v>
      </c>
    </row>
    <row r="48" spans="1:21" ht="31.5" x14ac:dyDescent="0.25">
      <c r="A48" s="92" t="s">
        <v>384</v>
      </c>
      <c r="B48" s="82" t="s">
        <v>46</v>
      </c>
      <c r="C48" s="82" t="s">
        <v>47</v>
      </c>
      <c r="D48" s="103" t="s">
        <v>494</v>
      </c>
      <c r="E48" s="103">
        <v>1</v>
      </c>
      <c r="F48" s="167">
        <v>519.47</v>
      </c>
      <c r="G48" s="148"/>
      <c r="H48" s="148"/>
      <c r="I48" s="148"/>
      <c r="J48" s="86">
        <f t="shared" si="24"/>
        <v>11.95</v>
      </c>
      <c r="K48" s="86">
        <f t="shared" si="25"/>
        <v>531.41999999999996</v>
      </c>
      <c r="L48" s="86">
        <f t="shared" si="20"/>
        <v>2.92</v>
      </c>
      <c r="M48" s="86">
        <f t="shared" si="26"/>
        <v>-1.79</v>
      </c>
      <c r="N48" s="86">
        <f t="shared" si="27"/>
        <v>532.54999999999995</v>
      </c>
      <c r="O48" s="162">
        <f t="shared" si="22"/>
        <v>3727850</v>
      </c>
      <c r="P48" s="162">
        <f t="shared" si="23"/>
        <v>0</v>
      </c>
      <c r="Q48" s="162"/>
      <c r="R48" s="162">
        <f t="shared" si="28"/>
        <v>3727850</v>
      </c>
      <c r="S48" s="166">
        <f>O48*'Расчет НМЦК'!$C$16*'Расчет НМЦК'!$E$16*'Расчет НМЦК'!$I$16+P48*'Расчет НМЦК'!$C$17*'Расчет НМЦК'!$E$17*'Расчет НМЦК'!$I$17</f>
        <v>4185967</v>
      </c>
      <c r="T48" s="165">
        <f t="shared" si="0"/>
        <v>4185967</v>
      </c>
      <c r="U48" s="165">
        <f t="shared" si="1"/>
        <v>4185967</v>
      </c>
    </row>
    <row r="49" spans="1:21" ht="31.5" x14ac:dyDescent="0.25">
      <c r="A49" s="92" t="s">
        <v>385</v>
      </c>
      <c r="B49" s="82" t="s">
        <v>48</v>
      </c>
      <c r="C49" s="82" t="s">
        <v>49</v>
      </c>
      <c r="D49" s="103" t="s">
        <v>494</v>
      </c>
      <c r="E49" s="103">
        <v>1</v>
      </c>
      <c r="F49" s="167">
        <v>44.07</v>
      </c>
      <c r="G49" s="167">
        <v>247.16</v>
      </c>
      <c r="H49" s="148"/>
      <c r="I49" s="148"/>
      <c r="J49" s="86">
        <f t="shared" si="24"/>
        <v>6.7</v>
      </c>
      <c r="K49" s="86">
        <f t="shared" si="25"/>
        <v>297.93</v>
      </c>
      <c r="L49" s="86">
        <f t="shared" si="20"/>
        <v>1.64</v>
      </c>
      <c r="M49" s="86">
        <f t="shared" si="26"/>
        <v>-1.01</v>
      </c>
      <c r="N49" s="86">
        <f t="shared" si="27"/>
        <v>298.56</v>
      </c>
      <c r="O49" s="162">
        <f t="shared" si="22"/>
        <v>2089920</v>
      </c>
      <c r="P49" s="162">
        <f t="shared" ref="P49:P50" si="29">H49*3.98</f>
        <v>0</v>
      </c>
      <c r="Q49" s="162"/>
      <c r="R49" s="162">
        <f t="shared" si="28"/>
        <v>2089920</v>
      </c>
      <c r="S49" s="166">
        <f>O49*'Расчет НМЦК'!$C$16*'Расчет НМЦК'!$E$16*'Расчет НМЦК'!$I$16+P49*'Расчет НМЦК'!$C$17*'Расчет НМЦК'!$E$17*'Расчет НМЦК'!$I$17</f>
        <v>2346751</v>
      </c>
      <c r="T49" s="165">
        <f t="shared" si="0"/>
        <v>2346751</v>
      </c>
      <c r="U49" s="165">
        <f t="shared" si="1"/>
        <v>2346751</v>
      </c>
    </row>
    <row r="50" spans="1:21" ht="31.5" x14ac:dyDescent="0.25">
      <c r="A50" s="92" t="s">
        <v>386</v>
      </c>
      <c r="B50" s="82" t="s">
        <v>50</v>
      </c>
      <c r="C50" s="82" t="s">
        <v>51</v>
      </c>
      <c r="D50" s="103" t="s">
        <v>494</v>
      </c>
      <c r="E50" s="103">
        <v>1</v>
      </c>
      <c r="F50" s="167">
        <v>3.6</v>
      </c>
      <c r="G50" s="167">
        <v>8.7200000000000006</v>
      </c>
      <c r="H50" s="148"/>
      <c r="I50" s="148"/>
      <c r="J50" s="86">
        <f t="shared" si="24"/>
        <v>0.28000000000000003</v>
      </c>
      <c r="K50" s="86">
        <f t="shared" si="25"/>
        <v>12.6</v>
      </c>
      <c r="L50" s="86">
        <f t="shared" si="20"/>
        <v>7.0000000000000007E-2</v>
      </c>
      <c r="M50" s="86">
        <f t="shared" si="26"/>
        <v>-0.04</v>
      </c>
      <c r="N50" s="86">
        <f t="shared" si="27"/>
        <v>12.63</v>
      </c>
      <c r="O50" s="162">
        <f t="shared" si="22"/>
        <v>88410</v>
      </c>
      <c r="P50" s="162">
        <f t="shared" si="29"/>
        <v>0</v>
      </c>
      <c r="Q50" s="162"/>
      <c r="R50" s="162">
        <f t="shared" si="28"/>
        <v>88410</v>
      </c>
      <c r="S50" s="166">
        <f>O50*'Расчет НМЦК'!$C$16*'Расчет НМЦК'!$E$16*'Расчет НМЦК'!$I$16+P50*'Расчет НМЦК'!$C$17*'Расчет НМЦК'!$E$17*'Расчет НМЦК'!$I$17</f>
        <v>99275</v>
      </c>
      <c r="T50" s="165">
        <f t="shared" si="0"/>
        <v>99275</v>
      </c>
      <c r="U50" s="165">
        <f t="shared" si="1"/>
        <v>99275</v>
      </c>
    </row>
    <row r="51" spans="1:21" ht="31.5" x14ac:dyDescent="0.25">
      <c r="A51" s="92" t="s">
        <v>387</v>
      </c>
      <c r="B51" s="82" t="s">
        <v>52</v>
      </c>
      <c r="C51" s="82" t="s">
        <v>53</v>
      </c>
      <c r="D51" s="103"/>
      <c r="E51" s="103"/>
      <c r="F51" s="167">
        <f>F52+F53+F54</f>
        <v>88.86</v>
      </c>
      <c r="G51" s="167">
        <f>G52+G53+G54</f>
        <v>16</v>
      </c>
      <c r="H51" s="167">
        <f>H52+H53+H54</f>
        <v>8196.7900000000009</v>
      </c>
      <c r="I51" s="148"/>
      <c r="J51" s="86">
        <f t="shared" ref="J51:P51" si="30">J52+J53+J54</f>
        <v>2.42</v>
      </c>
      <c r="K51" s="86">
        <f t="shared" si="30"/>
        <v>107.28</v>
      </c>
      <c r="L51" s="86">
        <f t="shared" si="30"/>
        <v>0.59</v>
      </c>
      <c r="M51" s="86">
        <f t="shared" si="30"/>
        <v>-0.37</v>
      </c>
      <c r="N51" s="86">
        <f t="shared" si="30"/>
        <v>107.5</v>
      </c>
      <c r="O51" s="162">
        <f t="shared" si="30"/>
        <v>752500</v>
      </c>
      <c r="P51" s="162">
        <f t="shared" si="30"/>
        <v>32623224</v>
      </c>
      <c r="Q51" s="162"/>
      <c r="R51" s="162">
        <f>R52+R53+R54</f>
        <v>33375724</v>
      </c>
      <c r="S51" s="166">
        <f>O51*'Расчет НМЦК'!$C$16*'Расчет НМЦК'!$E$16*'Расчет НМЦК'!$I$16+P51*'Расчет НМЦК'!$C$17*'Расчет НМЦК'!$E$17*'Расчет НМЦК'!$I$17</f>
        <v>37477283</v>
      </c>
      <c r="T51" s="165"/>
      <c r="U51" s="165">
        <f t="shared" si="1"/>
        <v>37477283</v>
      </c>
    </row>
    <row r="52" spans="1:21" x14ac:dyDescent="0.25">
      <c r="A52" s="157" t="s">
        <v>487</v>
      </c>
      <c r="B52" s="158" t="s">
        <v>212</v>
      </c>
      <c r="C52" s="158" t="s">
        <v>521</v>
      </c>
      <c r="D52" s="159" t="s">
        <v>494</v>
      </c>
      <c r="E52" s="159">
        <v>1</v>
      </c>
      <c r="F52" s="172">
        <v>82.6</v>
      </c>
      <c r="G52" s="168"/>
      <c r="H52" s="168"/>
      <c r="I52" s="175"/>
      <c r="J52" s="91">
        <f t="shared" si="24"/>
        <v>1.9</v>
      </c>
      <c r="K52" s="91">
        <f t="shared" si="25"/>
        <v>84.5</v>
      </c>
      <c r="L52" s="91">
        <f t="shared" si="20"/>
        <v>0.46</v>
      </c>
      <c r="M52" s="91">
        <f t="shared" si="26"/>
        <v>-0.28999999999999998</v>
      </c>
      <c r="N52" s="91">
        <f t="shared" si="27"/>
        <v>84.67</v>
      </c>
      <c r="O52" s="170">
        <f>N52*7*1000</f>
        <v>592690</v>
      </c>
      <c r="P52" s="170">
        <f>H52*3.98*1000</f>
        <v>0</v>
      </c>
      <c r="Q52" s="170"/>
      <c r="R52" s="170">
        <f t="shared" si="28"/>
        <v>592690</v>
      </c>
      <c r="S52" s="134">
        <f>O52*'Расчет НМЦК'!$C$16*'Расчет НМЦК'!$E$16*'Расчет НМЦК'!$I$16+P52*'Расчет НМЦК'!$C$17*'Расчет НМЦК'!$E$17*'Расчет НМЦК'!$I$17</f>
        <v>665526</v>
      </c>
      <c r="T52" s="171">
        <f t="shared" si="0"/>
        <v>665526</v>
      </c>
      <c r="U52" s="171">
        <f t="shared" si="1"/>
        <v>665526</v>
      </c>
    </row>
    <row r="53" spans="1:21" ht="63" x14ac:dyDescent="0.25">
      <c r="A53" s="157" t="s">
        <v>488</v>
      </c>
      <c r="B53" s="158" t="s">
        <v>213</v>
      </c>
      <c r="C53" s="158" t="s">
        <v>214</v>
      </c>
      <c r="D53" s="159" t="s">
        <v>494</v>
      </c>
      <c r="E53" s="159">
        <v>1</v>
      </c>
      <c r="F53" s="168">
        <v>5.94</v>
      </c>
      <c r="G53" s="168">
        <v>11.72</v>
      </c>
      <c r="H53" s="168">
        <v>8182.44</v>
      </c>
      <c r="I53" s="175"/>
      <c r="J53" s="91">
        <f t="shared" si="24"/>
        <v>0.41</v>
      </c>
      <c r="K53" s="91">
        <f t="shared" si="25"/>
        <v>18.07</v>
      </c>
      <c r="L53" s="91">
        <f t="shared" si="20"/>
        <v>0.1</v>
      </c>
      <c r="M53" s="91">
        <f t="shared" si="26"/>
        <v>-0.06</v>
      </c>
      <c r="N53" s="91">
        <f t="shared" si="27"/>
        <v>18.11</v>
      </c>
      <c r="O53" s="170">
        <f>N53*7*1000</f>
        <v>126770</v>
      </c>
      <c r="P53" s="170">
        <f>H53*3.98*1000</f>
        <v>32566111</v>
      </c>
      <c r="Q53" s="170"/>
      <c r="R53" s="170">
        <f t="shared" si="28"/>
        <v>32692881</v>
      </c>
      <c r="S53" s="134">
        <f>O53*'Расчет НМЦК'!$C$16*'Расчет НМЦК'!$E$16*'Расчет НМЦК'!$I$16+P53*'Расчет НМЦК'!$C$17*'Расчет НМЦК'!$E$17*'Расчет НМЦК'!$I$17</f>
        <v>36710525</v>
      </c>
      <c r="T53" s="171">
        <f t="shared" si="0"/>
        <v>36710525</v>
      </c>
      <c r="U53" s="171">
        <f t="shared" si="1"/>
        <v>36710525</v>
      </c>
    </row>
    <row r="54" spans="1:21" ht="31.5" x14ac:dyDescent="0.25">
      <c r="A54" s="157" t="s">
        <v>489</v>
      </c>
      <c r="B54" s="158" t="s">
        <v>215</v>
      </c>
      <c r="C54" s="158" t="s">
        <v>216</v>
      </c>
      <c r="D54" s="159" t="s">
        <v>494</v>
      </c>
      <c r="E54" s="159">
        <v>1</v>
      </c>
      <c r="F54" s="168">
        <v>0.32</v>
      </c>
      <c r="G54" s="168">
        <v>4.28</v>
      </c>
      <c r="H54" s="168">
        <v>14.35</v>
      </c>
      <c r="I54" s="175"/>
      <c r="J54" s="91">
        <f t="shared" si="24"/>
        <v>0.11</v>
      </c>
      <c r="K54" s="91">
        <f t="shared" si="25"/>
        <v>4.71</v>
      </c>
      <c r="L54" s="91">
        <f t="shared" si="20"/>
        <v>0.03</v>
      </c>
      <c r="M54" s="91">
        <f t="shared" si="26"/>
        <v>-0.02</v>
      </c>
      <c r="N54" s="91">
        <f t="shared" si="27"/>
        <v>4.72</v>
      </c>
      <c r="O54" s="170">
        <f>N54*7*1000</f>
        <v>33040</v>
      </c>
      <c r="P54" s="170">
        <f>H54*3.98*1000</f>
        <v>57113</v>
      </c>
      <c r="Q54" s="170"/>
      <c r="R54" s="170">
        <f t="shared" si="28"/>
        <v>90153</v>
      </c>
      <c r="S54" s="134">
        <f>O54*'Расчет НМЦК'!$C$16*'Расчет НМЦК'!$E$16*'Расчет НМЦК'!$I$16+P54*'Расчет НМЦК'!$C$17*'Расчет НМЦК'!$E$17*'Расчет НМЦК'!$I$17</f>
        <v>101232</v>
      </c>
      <c r="T54" s="171">
        <f t="shared" si="0"/>
        <v>101232</v>
      </c>
      <c r="U54" s="171">
        <f t="shared" si="1"/>
        <v>101232</v>
      </c>
    </row>
    <row r="55" spans="1:21" ht="31.5" x14ac:dyDescent="0.25">
      <c r="A55" s="92" t="s">
        <v>388</v>
      </c>
      <c r="B55" s="82" t="s">
        <v>54</v>
      </c>
      <c r="C55" s="82" t="s">
        <v>55</v>
      </c>
      <c r="D55" s="103"/>
      <c r="E55" s="103"/>
      <c r="F55" s="167">
        <f>F56+F57+F58</f>
        <v>87.83</v>
      </c>
      <c r="G55" s="167">
        <f>G56+G57+G58</f>
        <v>16.54</v>
      </c>
      <c r="H55" s="167">
        <f>H56+H57+H58</f>
        <v>8673.34</v>
      </c>
      <c r="I55" s="148"/>
      <c r="J55" s="89">
        <f t="shared" ref="J55:P55" si="31">J56+J57+J58</f>
        <v>2.4</v>
      </c>
      <c r="K55" s="89">
        <f t="shared" si="31"/>
        <v>106.77</v>
      </c>
      <c r="L55" s="89">
        <f t="shared" si="31"/>
        <v>0.59</v>
      </c>
      <c r="M55" s="89">
        <f t="shared" si="31"/>
        <v>-0.36</v>
      </c>
      <c r="N55" s="89">
        <f t="shared" si="31"/>
        <v>107</v>
      </c>
      <c r="O55" s="174">
        <f t="shared" si="31"/>
        <v>749000</v>
      </c>
      <c r="P55" s="174">
        <f t="shared" si="31"/>
        <v>34519893</v>
      </c>
      <c r="Q55" s="174"/>
      <c r="R55" s="174">
        <f>R56+R57+R58</f>
        <v>35268893</v>
      </c>
      <c r="S55" s="166">
        <f>O55*'Расчет НМЦК'!$C$16*'Расчет НМЦК'!$E$16*'Расчет НМЦК'!$I$16+P55*'Расчет НМЦК'!$C$17*'Расчет НМЦК'!$E$17*'Расчет НМЦК'!$I$17+1</f>
        <v>39603105</v>
      </c>
      <c r="T55" s="165"/>
      <c r="U55" s="165">
        <f t="shared" si="1"/>
        <v>39603105</v>
      </c>
    </row>
    <row r="56" spans="1:21" x14ac:dyDescent="0.25">
      <c r="A56" s="157" t="s">
        <v>389</v>
      </c>
      <c r="B56" s="158" t="s">
        <v>217</v>
      </c>
      <c r="C56" s="158" t="s">
        <v>522</v>
      </c>
      <c r="D56" s="159" t="s">
        <v>494</v>
      </c>
      <c r="E56" s="159">
        <v>1</v>
      </c>
      <c r="F56" s="168">
        <v>81.56</v>
      </c>
      <c r="G56" s="168"/>
      <c r="H56" s="168"/>
      <c r="I56" s="175"/>
      <c r="J56" s="91">
        <f>(F56+G56)*0.023</f>
        <v>1.88</v>
      </c>
      <c r="K56" s="91">
        <f>F56+G56+J56</f>
        <v>83.44</v>
      </c>
      <c r="L56" s="91">
        <f t="shared" si="20"/>
        <v>0.46</v>
      </c>
      <c r="M56" s="91">
        <f>-J56*0.15</f>
        <v>-0.28000000000000003</v>
      </c>
      <c r="N56" s="91">
        <f>K56+L56+M56</f>
        <v>83.62</v>
      </c>
      <c r="O56" s="170">
        <f>N56*7*1000</f>
        <v>585340</v>
      </c>
      <c r="P56" s="170">
        <f>H56*3.98</f>
        <v>0</v>
      </c>
      <c r="Q56" s="170"/>
      <c r="R56" s="170">
        <f>O56+P56+Q56</f>
        <v>585340</v>
      </c>
      <c r="S56" s="134">
        <f>O56*'Расчет НМЦК'!$C$16*'Расчет НМЦК'!$E$16*'Расчет НМЦК'!$I$16+P56*'Расчет НМЦК'!$C$17*'Расчет НМЦК'!$E$17*'Расчет НМЦК'!$I$17</f>
        <v>657273</v>
      </c>
      <c r="T56" s="171">
        <f t="shared" si="0"/>
        <v>657273</v>
      </c>
      <c r="U56" s="171">
        <f t="shared" si="1"/>
        <v>657273</v>
      </c>
    </row>
    <row r="57" spans="1:21" ht="63" x14ac:dyDescent="0.25">
      <c r="A57" s="157" t="s">
        <v>390</v>
      </c>
      <c r="B57" s="158" t="s">
        <v>218</v>
      </c>
      <c r="C57" s="158" t="s">
        <v>219</v>
      </c>
      <c r="D57" s="159" t="s">
        <v>494</v>
      </c>
      <c r="E57" s="159">
        <v>1</v>
      </c>
      <c r="F57" s="168">
        <v>5.95</v>
      </c>
      <c r="G57" s="168">
        <v>12.3</v>
      </c>
      <c r="H57" s="168">
        <v>8665.0400000000009</v>
      </c>
      <c r="I57" s="175"/>
      <c r="J57" s="91">
        <f>(F57+G57)*0.023</f>
        <v>0.42</v>
      </c>
      <c r="K57" s="91">
        <f>F57+G57+J57</f>
        <v>18.670000000000002</v>
      </c>
      <c r="L57" s="91">
        <f t="shared" si="20"/>
        <v>0.1</v>
      </c>
      <c r="M57" s="91">
        <f>-J57*0.15</f>
        <v>-0.06</v>
      </c>
      <c r="N57" s="91">
        <f>K57+L57+M57</f>
        <v>18.71</v>
      </c>
      <c r="O57" s="170">
        <f>N57*7*1000</f>
        <v>130970</v>
      </c>
      <c r="P57" s="170">
        <f>H57*3.98*1000</f>
        <v>34486859</v>
      </c>
      <c r="Q57" s="170"/>
      <c r="R57" s="170">
        <f>O57+P57+Q57</f>
        <v>34617829</v>
      </c>
      <c r="S57" s="134">
        <f>O57*'Расчет НМЦК'!$C$16*'Расчет НМЦК'!$E$16*'Расчет НМЦК'!$I$16+P57*'Расчет НМЦК'!$C$17*'Расчет НМЦК'!$E$17*'Расчет НМЦК'!$I$17</f>
        <v>38872031</v>
      </c>
      <c r="T57" s="171">
        <f t="shared" si="0"/>
        <v>38872031</v>
      </c>
      <c r="U57" s="171">
        <f t="shared" si="1"/>
        <v>38872031</v>
      </c>
    </row>
    <row r="58" spans="1:21" ht="31.5" x14ac:dyDescent="0.25">
      <c r="A58" s="157" t="s">
        <v>391</v>
      </c>
      <c r="B58" s="158" t="s">
        <v>220</v>
      </c>
      <c r="C58" s="158" t="s">
        <v>221</v>
      </c>
      <c r="D58" s="159" t="s">
        <v>494</v>
      </c>
      <c r="E58" s="159">
        <v>1</v>
      </c>
      <c r="F58" s="168">
        <v>0.32</v>
      </c>
      <c r="G58" s="168">
        <v>4.24</v>
      </c>
      <c r="H58" s="168">
        <v>8.3000000000000007</v>
      </c>
      <c r="I58" s="175"/>
      <c r="J58" s="91">
        <f>(F58+G58)*0.023</f>
        <v>0.1</v>
      </c>
      <c r="K58" s="91">
        <f>F58+G58+J58</f>
        <v>4.66</v>
      </c>
      <c r="L58" s="91">
        <f t="shared" si="20"/>
        <v>0.03</v>
      </c>
      <c r="M58" s="91">
        <f>-J58*0.15</f>
        <v>-0.02</v>
      </c>
      <c r="N58" s="91">
        <f>K58+L58+M58</f>
        <v>4.67</v>
      </c>
      <c r="O58" s="170">
        <f>N58*7*1000</f>
        <v>32690</v>
      </c>
      <c r="P58" s="170">
        <f>H58*3.98*1000</f>
        <v>33034</v>
      </c>
      <c r="Q58" s="170"/>
      <c r="R58" s="170">
        <f>O58+P58+Q58</f>
        <v>65724</v>
      </c>
      <c r="S58" s="134">
        <f>O58*'Расчет НМЦК'!$C$16*'Расчет НМЦК'!$E$16*'Расчет НМЦК'!$I$16+P58*'Расчет НМЦК'!$C$17*'Расчет НМЦК'!$E$17*'Расчет НМЦК'!$I$17</f>
        <v>73801</v>
      </c>
      <c r="T58" s="171">
        <f t="shared" si="0"/>
        <v>73801</v>
      </c>
      <c r="U58" s="171">
        <f t="shared" si="1"/>
        <v>73801</v>
      </c>
    </row>
    <row r="59" spans="1:21" x14ac:dyDescent="0.25">
      <c r="A59" s="92" t="s">
        <v>392</v>
      </c>
      <c r="B59" s="82" t="s">
        <v>56</v>
      </c>
      <c r="C59" s="82" t="s">
        <v>57</v>
      </c>
      <c r="D59" s="103"/>
      <c r="E59" s="103"/>
      <c r="F59" s="167">
        <f>F60+F61+F62</f>
        <v>61.92</v>
      </c>
      <c r="G59" s="167">
        <f>G60+G61+G62</f>
        <v>15.36</v>
      </c>
      <c r="H59" s="167">
        <f>H60+H61+H62</f>
        <v>4135.75</v>
      </c>
      <c r="I59" s="148"/>
      <c r="J59" s="89">
        <f t="shared" ref="J59:P59" si="32">J60+J61+J62</f>
        <v>1.78</v>
      </c>
      <c r="K59" s="89">
        <f t="shared" si="32"/>
        <v>79.06</v>
      </c>
      <c r="L59" s="89">
        <f t="shared" si="32"/>
        <v>0.44</v>
      </c>
      <c r="M59" s="89">
        <f t="shared" si="32"/>
        <v>-0.26</v>
      </c>
      <c r="N59" s="89">
        <f t="shared" si="32"/>
        <v>79.239999999999995</v>
      </c>
      <c r="O59" s="174">
        <f>O60+O61+O62</f>
        <v>554680</v>
      </c>
      <c r="P59" s="174">
        <f t="shared" si="32"/>
        <v>16460285</v>
      </c>
      <c r="Q59" s="174"/>
      <c r="R59" s="174">
        <f>R60+R61+R62</f>
        <v>17014965</v>
      </c>
      <c r="S59" s="166">
        <f>O59*'Расчет НМЦК'!$C$16*'Расчет НМЦК'!$E$16*'Расчет НМЦК'!$I$16+P59*'Расчет НМЦК'!$C$17*'Расчет НМЦК'!$E$17*'Расчет НМЦК'!$I$17+1</f>
        <v>19105943</v>
      </c>
      <c r="T59" s="165"/>
      <c r="U59" s="165">
        <f t="shared" si="1"/>
        <v>19105943</v>
      </c>
    </row>
    <row r="60" spans="1:21" x14ac:dyDescent="0.25">
      <c r="A60" s="157" t="s">
        <v>393</v>
      </c>
      <c r="B60" s="158" t="s">
        <v>222</v>
      </c>
      <c r="C60" s="158" t="s">
        <v>523</v>
      </c>
      <c r="D60" s="159" t="s">
        <v>494</v>
      </c>
      <c r="E60" s="159">
        <v>1</v>
      </c>
      <c r="F60" s="172">
        <v>56</v>
      </c>
      <c r="G60" s="168"/>
      <c r="H60" s="168"/>
      <c r="I60" s="175"/>
      <c r="J60" s="91">
        <f>(F60+G60)*0.023</f>
        <v>1.29</v>
      </c>
      <c r="K60" s="91">
        <f>F60+G60+J60</f>
        <v>57.29</v>
      </c>
      <c r="L60" s="91">
        <f t="shared" si="20"/>
        <v>0.32</v>
      </c>
      <c r="M60" s="91">
        <f>-J60*0.15</f>
        <v>-0.19</v>
      </c>
      <c r="N60" s="91">
        <f>K60+L60+M60</f>
        <v>57.42</v>
      </c>
      <c r="O60" s="170">
        <f>N60*7*1000</f>
        <v>401940</v>
      </c>
      <c r="P60" s="170">
        <f>H60*3.98</f>
        <v>0</v>
      </c>
      <c r="Q60" s="170"/>
      <c r="R60" s="170">
        <f>O60+P60+Q60</f>
        <v>401940</v>
      </c>
      <c r="S60" s="134">
        <f>O60*'Расчет НМЦК'!$C$16*'Расчет НМЦК'!$E$16*'Расчет НМЦК'!$I$16+P60*'Расчет НМЦК'!$C$17*'Расчет НМЦК'!$E$17*'Расчет НМЦК'!$I$17</f>
        <v>451335</v>
      </c>
      <c r="T60" s="171">
        <f t="shared" si="0"/>
        <v>451335</v>
      </c>
      <c r="U60" s="171">
        <f t="shared" si="1"/>
        <v>451335</v>
      </c>
    </row>
    <row r="61" spans="1:21" ht="47.25" x14ac:dyDescent="0.25">
      <c r="A61" s="157" t="s">
        <v>394</v>
      </c>
      <c r="B61" s="158" t="s">
        <v>223</v>
      </c>
      <c r="C61" s="158" t="s">
        <v>224</v>
      </c>
      <c r="D61" s="159" t="s">
        <v>494</v>
      </c>
      <c r="E61" s="159">
        <v>1</v>
      </c>
      <c r="F61" s="168">
        <v>5.91</v>
      </c>
      <c r="G61" s="168">
        <v>11.41</v>
      </c>
      <c r="H61" s="168">
        <v>4121.8500000000004</v>
      </c>
      <c r="I61" s="175"/>
      <c r="J61" s="91">
        <f>(F61+G61)*0.023</f>
        <v>0.4</v>
      </c>
      <c r="K61" s="91">
        <f>F61+G61+J61</f>
        <v>17.72</v>
      </c>
      <c r="L61" s="91">
        <f t="shared" si="20"/>
        <v>0.1</v>
      </c>
      <c r="M61" s="91">
        <f>-J61*0.15</f>
        <v>-0.06</v>
      </c>
      <c r="N61" s="91">
        <f>K61+L61+M61</f>
        <v>17.760000000000002</v>
      </c>
      <c r="O61" s="170">
        <f>N61*7*1000</f>
        <v>124320</v>
      </c>
      <c r="P61" s="170">
        <f>H61*3.98*1000</f>
        <v>16404963</v>
      </c>
      <c r="Q61" s="170"/>
      <c r="R61" s="170">
        <f>O61+P61+Q61</f>
        <v>16529283</v>
      </c>
      <c r="S61" s="134">
        <f>O61*'Расчет НМЦК'!$C$16*'Расчет НМЦК'!$E$16*'Расчет НМЦК'!$I$16+P61*'Расчет НМЦК'!$C$17*'Расчет НМЦК'!$E$17*'Расчет НМЦК'!$I$17</f>
        <v>18560575</v>
      </c>
      <c r="T61" s="171">
        <f t="shared" si="0"/>
        <v>18560575</v>
      </c>
      <c r="U61" s="171">
        <f t="shared" si="1"/>
        <v>18560575</v>
      </c>
    </row>
    <row r="62" spans="1:21" ht="31.5" x14ac:dyDescent="0.25">
      <c r="A62" s="157" t="s">
        <v>395</v>
      </c>
      <c r="B62" s="158" t="s">
        <v>225</v>
      </c>
      <c r="C62" s="158" t="s">
        <v>226</v>
      </c>
      <c r="D62" s="159" t="s">
        <v>494</v>
      </c>
      <c r="E62" s="159">
        <v>1</v>
      </c>
      <c r="F62" s="168">
        <v>0.01</v>
      </c>
      <c r="G62" s="168">
        <v>3.95</v>
      </c>
      <c r="H62" s="172">
        <v>13.9</v>
      </c>
      <c r="I62" s="175"/>
      <c r="J62" s="91">
        <f>(F62+G62)*0.023</f>
        <v>0.09</v>
      </c>
      <c r="K62" s="91">
        <f>F62+G62+J62</f>
        <v>4.05</v>
      </c>
      <c r="L62" s="91">
        <f t="shared" si="20"/>
        <v>0.02</v>
      </c>
      <c r="M62" s="91">
        <f>-J62*0.15</f>
        <v>-0.01</v>
      </c>
      <c r="N62" s="91">
        <f>K62+L62+M62</f>
        <v>4.0599999999999996</v>
      </c>
      <c r="O62" s="170">
        <f>N62*7*1000</f>
        <v>28420</v>
      </c>
      <c r="P62" s="170">
        <f>H62*3.98*1000</f>
        <v>55322</v>
      </c>
      <c r="Q62" s="170"/>
      <c r="R62" s="170">
        <f>O62+P62+Q62</f>
        <v>83742</v>
      </c>
      <c r="S62" s="134">
        <f>O62*'Расчет НМЦК'!$C$16*'Расчет НМЦК'!$E$16*'Расчет НМЦК'!$I$16+P62*'Расчет НМЦК'!$C$17*'Расчет НМЦК'!$E$17*'Расчет НМЦК'!$I$17</f>
        <v>94033</v>
      </c>
      <c r="T62" s="171">
        <f t="shared" si="0"/>
        <v>94033</v>
      </c>
      <c r="U62" s="171">
        <f t="shared" si="1"/>
        <v>94033</v>
      </c>
    </row>
    <row r="63" spans="1:21" x14ac:dyDescent="0.25">
      <c r="A63" s="92" t="s">
        <v>396</v>
      </c>
      <c r="B63" s="82" t="s">
        <v>58</v>
      </c>
      <c r="C63" s="82" t="s">
        <v>59</v>
      </c>
      <c r="D63" s="103"/>
      <c r="E63" s="103"/>
      <c r="F63" s="167">
        <f>F64+F65+F66</f>
        <v>53.88</v>
      </c>
      <c r="G63" s="167">
        <f>G64+G65+G66</f>
        <v>14.62</v>
      </c>
      <c r="H63" s="176">
        <f>H64+H65+H66</f>
        <v>3256.98</v>
      </c>
      <c r="I63" s="148"/>
      <c r="J63" s="89">
        <f t="shared" ref="J63:P63" si="33">J64+J65+J66</f>
        <v>1.58</v>
      </c>
      <c r="K63" s="89">
        <f t="shared" si="33"/>
        <v>70.08</v>
      </c>
      <c r="L63" s="89">
        <f t="shared" si="33"/>
        <v>0.38</v>
      </c>
      <c r="M63" s="89">
        <f t="shared" si="33"/>
        <v>-0.25</v>
      </c>
      <c r="N63" s="89">
        <f t="shared" si="33"/>
        <v>70.209999999999994</v>
      </c>
      <c r="O63" s="174">
        <f t="shared" si="33"/>
        <v>491470</v>
      </c>
      <c r="P63" s="174">
        <f t="shared" si="33"/>
        <v>12962780</v>
      </c>
      <c r="Q63" s="174"/>
      <c r="R63" s="174">
        <f>R64+R65+R66</f>
        <v>13454250</v>
      </c>
      <c r="S63" s="166">
        <f>O63*'Расчет НМЦК'!$C$16*'Расчет НМЦК'!$E$16*'Расчет НМЦК'!$I$16+P63*'Расчет НМЦК'!$C$17*'Расчет НМЦК'!$E$17*'Расчет НМЦК'!$I$17</f>
        <v>15107649</v>
      </c>
      <c r="T63" s="165"/>
      <c r="U63" s="165">
        <f t="shared" si="1"/>
        <v>15107649</v>
      </c>
    </row>
    <row r="64" spans="1:21" x14ac:dyDescent="0.25">
      <c r="A64" s="157" t="s">
        <v>397</v>
      </c>
      <c r="B64" s="158" t="s">
        <v>227</v>
      </c>
      <c r="C64" s="158" t="s">
        <v>524</v>
      </c>
      <c r="D64" s="159" t="s">
        <v>494</v>
      </c>
      <c r="E64" s="159">
        <v>1</v>
      </c>
      <c r="F64" s="168">
        <v>47.62</v>
      </c>
      <c r="G64" s="168"/>
      <c r="H64" s="168"/>
      <c r="I64" s="175"/>
      <c r="J64" s="91">
        <f t="shared" ref="J64:J69" si="34">(F64+G64)*0.023</f>
        <v>1.1000000000000001</v>
      </c>
      <c r="K64" s="91">
        <f t="shared" ref="K64:K69" si="35">F64+G64+J64</f>
        <v>48.72</v>
      </c>
      <c r="L64" s="91">
        <f t="shared" si="20"/>
        <v>0.27</v>
      </c>
      <c r="M64" s="91">
        <f t="shared" ref="M64:M69" si="36">-J64*0.15</f>
        <v>-0.17</v>
      </c>
      <c r="N64" s="91">
        <f t="shared" ref="N64:N69" si="37">K64+L64+M64</f>
        <v>48.82</v>
      </c>
      <c r="O64" s="170">
        <f t="shared" ref="O64:O69" si="38">N64*7*1000</f>
        <v>341740</v>
      </c>
      <c r="P64" s="170">
        <f t="shared" ref="P64:P69" si="39">H64*3.98</f>
        <v>0</v>
      </c>
      <c r="Q64" s="170"/>
      <c r="R64" s="170">
        <f t="shared" ref="R64:R69" si="40">O64+P64+Q64</f>
        <v>341740</v>
      </c>
      <c r="S64" s="134">
        <f>O64*'Расчет НМЦК'!$C$16*'Расчет НМЦК'!$E$16*'Расчет НМЦК'!$I$16+P64*'Расчет НМЦК'!$C$17*'Расчет НМЦК'!$E$17*'Расчет НМЦК'!$I$17</f>
        <v>383737</v>
      </c>
      <c r="T64" s="171">
        <f t="shared" si="0"/>
        <v>383737</v>
      </c>
      <c r="U64" s="171">
        <f t="shared" si="1"/>
        <v>383737</v>
      </c>
    </row>
    <row r="65" spans="1:21" ht="47.25" x14ac:dyDescent="0.25">
      <c r="A65" s="157" t="s">
        <v>398</v>
      </c>
      <c r="B65" s="158" t="s">
        <v>228</v>
      </c>
      <c r="C65" s="158" t="s">
        <v>229</v>
      </c>
      <c r="D65" s="159" t="s">
        <v>494</v>
      </c>
      <c r="E65" s="159">
        <v>1</v>
      </c>
      <c r="F65" s="168">
        <v>5.94</v>
      </c>
      <c r="G65" s="168">
        <v>10.61</v>
      </c>
      <c r="H65" s="168">
        <v>3243.08</v>
      </c>
      <c r="I65" s="175"/>
      <c r="J65" s="91">
        <f t="shared" si="34"/>
        <v>0.38</v>
      </c>
      <c r="K65" s="91">
        <f t="shared" si="35"/>
        <v>16.93</v>
      </c>
      <c r="L65" s="91">
        <f t="shared" si="20"/>
        <v>0.09</v>
      </c>
      <c r="M65" s="91">
        <f t="shared" si="36"/>
        <v>-0.06</v>
      </c>
      <c r="N65" s="91">
        <f t="shared" si="37"/>
        <v>16.96</v>
      </c>
      <c r="O65" s="170">
        <f t="shared" si="38"/>
        <v>118720</v>
      </c>
      <c r="P65" s="170">
        <f>H65*3.98*1000</f>
        <v>12907458</v>
      </c>
      <c r="Q65" s="170"/>
      <c r="R65" s="170">
        <f t="shared" si="40"/>
        <v>13026178</v>
      </c>
      <c r="S65" s="134">
        <f>O65*'Расчет НМЦК'!$C$16*'Расчет НМЦК'!$E$16*'Расчет НМЦК'!$I$16+P65*'Расчет НМЦК'!$C$17*'Расчет НМЦК'!$E$17*'Расчет НМЦК'!$I$17</f>
        <v>14626971</v>
      </c>
      <c r="T65" s="171">
        <f t="shared" si="0"/>
        <v>14626971</v>
      </c>
      <c r="U65" s="171">
        <f t="shared" si="1"/>
        <v>14626971</v>
      </c>
    </row>
    <row r="66" spans="1:21" ht="31.5" x14ac:dyDescent="0.25">
      <c r="A66" s="157" t="s">
        <v>399</v>
      </c>
      <c r="B66" s="158" t="s">
        <v>230</v>
      </c>
      <c r="C66" s="158" t="s">
        <v>231</v>
      </c>
      <c r="D66" s="159" t="s">
        <v>494</v>
      </c>
      <c r="E66" s="159">
        <v>1</v>
      </c>
      <c r="F66" s="168">
        <v>0.32</v>
      </c>
      <c r="G66" s="168">
        <v>4.01</v>
      </c>
      <c r="H66" s="172">
        <v>13.9</v>
      </c>
      <c r="I66" s="175"/>
      <c r="J66" s="91">
        <f t="shared" si="34"/>
        <v>0.1</v>
      </c>
      <c r="K66" s="91">
        <f t="shared" si="35"/>
        <v>4.43</v>
      </c>
      <c r="L66" s="91">
        <f t="shared" si="20"/>
        <v>0.02</v>
      </c>
      <c r="M66" s="91">
        <f t="shared" si="36"/>
        <v>-0.02</v>
      </c>
      <c r="N66" s="91">
        <f t="shared" si="37"/>
        <v>4.43</v>
      </c>
      <c r="O66" s="170">
        <f t="shared" si="38"/>
        <v>31010</v>
      </c>
      <c r="P66" s="170">
        <f>H66*3.98*1000</f>
        <v>55322</v>
      </c>
      <c r="Q66" s="170"/>
      <c r="R66" s="170">
        <f t="shared" si="40"/>
        <v>86332</v>
      </c>
      <c r="S66" s="134">
        <f>O66*'Расчет НМЦК'!$C$16*'Расчет НМЦК'!$E$16*'Расчет НМЦК'!$I$16+P66*'Расчет НМЦК'!$C$17*'Расчет НМЦК'!$E$17*'Расчет НМЦК'!$I$17</f>
        <v>96941</v>
      </c>
      <c r="T66" s="171">
        <f t="shared" si="0"/>
        <v>96941</v>
      </c>
      <c r="U66" s="171">
        <f t="shared" si="1"/>
        <v>96941</v>
      </c>
    </row>
    <row r="67" spans="1:21" x14ac:dyDescent="0.25">
      <c r="A67" s="92" t="s">
        <v>400</v>
      </c>
      <c r="B67" s="82" t="s">
        <v>62</v>
      </c>
      <c r="C67" s="82" t="s">
        <v>63</v>
      </c>
      <c r="D67" s="103"/>
      <c r="E67" s="103"/>
      <c r="F67" s="167">
        <v>66.47</v>
      </c>
      <c r="G67" s="167">
        <v>1320.15</v>
      </c>
      <c r="H67" s="148"/>
      <c r="I67" s="89"/>
      <c r="J67" s="86">
        <f t="shared" si="34"/>
        <v>31.89</v>
      </c>
      <c r="K67" s="86">
        <f t="shared" si="35"/>
        <v>1418.51</v>
      </c>
      <c r="L67" s="86">
        <f t="shared" si="20"/>
        <v>7.8</v>
      </c>
      <c r="M67" s="86">
        <f t="shared" si="36"/>
        <v>-4.78</v>
      </c>
      <c r="N67" s="86">
        <f t="shared" si="37"/>
        <v>1421.53</v>
      </c>
      <c r="O67" s="162">
        <f t="shared" si="38"/>
        <v>9950710</v>
      </c>
      <c r="P67" s="162">
        <f>H67*3.98*1000</f>
        <v>0</v>
      </c>
      <c r="Q67" s="162"/>
      <c r="R67" s="162">
        <f t="shared" si="40"/>
        <v>9950710</v>
      </c>
      <c r="S67" s="166">
        <f>O67*'Расчет НМЦК'!$C$16*'Расчет НМЦК'!$E$16*'Расчет НМЦК'!$I$16+P67*'Расчет НМЦК'!$C$17*'Расчет НМЦК'!$E$17*'Расчет НМЦК'!$I$17</f>
        <v>11173558</v>
      </c>
      <c r="T67" s="165"/>
      <c r="U67" s="165">
        <f t="shared" si="1"/>
        <v>11173558</v>
      </c>
    </row>
    <row r="68" spans="1:21" x14ac:dyDescent="0.25">
      <c r="A68" s="157" t="s">
        <v>401</v>
      </c>
      <c r="B68" s="158"/>
      <c r="C68" s="158" t="s">
        <v>525</v>
      </c>
      <c r="D68" s="159" t="s">
        <v>494</v>
      </c>
      <c r="E68" s="159">
        <v>1</v>
      </c>
      <c r="F68" s="168">
        <v>0.3</v>
      </c>
      <c r="G68" s="168">
        <v>45.05</v>
      </c>
      <c r="H68" s="172"/>
      <c r="I68" s="175"/>
      <c r="J68" s="91">
        <f t="shared" si="34"/>
        <v>1.04</v>
      </c>
      <c r="K68" s="91">
        <f t="shared" si="35"/>
        <v>46.39</v>
      </c>
      <c r="L68" s="91">
        <f t="shared" ref="L68" si="41">K68*0.0055</f>
        <v>0.26</v>
      </c>
      <c r="M68" s="91">
        <f t="shared" si="36"/>
        <v>-0.16</v>
      </c>
      <c r="N68" s="91">
        <f t="shared" si="37"/>
        <v>46.49</v>
      </c>
      <c r="O68" s="170">
        <f t="shared" si="38"/>
        <v>325430</v>
      </c>
      <c r="P68" s="170">
        <f t="shared" si="39"/>
        <v>0</v>
      </c>
      <c r="Q68" s="170"/>
      <c r="R68" s="170">
        <f t="shared" si="40"/>
        <v>325430</v>
      </c>
      <c r="S68" s="134">
        <f>O68*'Расчет НМЦК'!$C$16*'Расчет НМЦК'!$E$16*'Расчет НМЦК'!$I$16+P68*'Расчет НМЦК'!$C$17*'Расчет НМЦК'!$E$17*'Расчет НМЦК'!$I$17</f>
        <v>365422</v>
      </c>
      <c r="T68" s="171">
        <f t="shared" si="0"/>
        <v>365422</v>
      </c>
      <c r="U68" s="171">
        <f t="shared" si="1"/>
        <v>365422</v>
      </c>
    </row>
    <row r="69" spans="1:21" x14ac:dyDescent="0.25">
      <c r="A69" s="157" t="s">
        <v>402</v>
      </c>
      <c r="B69" s="158"/>
      <c r="C69" s="158" t="s">
        <v>526</v>
      </c>
      <c r="D69" s="159" t="s">
        <v>494</v>
      </c>
      <c r="E69" s="159">
        <v>1</v>
      </c>
      <c r="F69" s="172">
        <v>66.17</v>
      </c>
      <c r="G69" s="168">
        <v>1275.0999999999999</v>
      </c>
      <c r="H69" s="172"/>
      <c r="I69" s="175"/>
      <c r="J69" s="91">
        <f t="shared" si="34"/>
        <v>30.85</v>
      </c>
      <c r="K69" s="91">
        <f t="shared" si="35"/>
        <v>1372.12</v>
      </c>
      <c r="L69" s="91">
        <f t="shared" ref="L69" si="42">K69*0.0055</f>
        <v>7.55</v>
      </c>
      <c r="M69" s="91">
        <f t="shared" si="36"/>
        <v>-4.63</v>
      </c>
      <c r="N69" s="91">
        <f t="shared" si="37"/>
        <v>1375.04</v>
      </c>
      <c r="O69" s="170">
        <f t="shared" si="38"/>
        <v>9625280</v>
      </c>
      <c r="P69" s="170">
        <f t="shared" si="39"/>
        <v>0</v>
      </c>
      <c r="Q69" s="170"/>
      <c r="R69" s="170">
        <f t="shared" si="40"/>
        <v>9625280</v>
      </c>
      <c r="S69" s="134">
        <f>O69*'Расчет НМЦК'!$C$16*'Расчет НМЦК'!$E$16*'Расчет НМЦК'!$I$16+P69*'Расчет НМЦК'!$C$17*'Расчет НМЦК'!$E$17*'Расчет НМЦК'!$I$17+1</f>
        <v>10808136</v>
      </c>
      <c r="T69" s="171">
        <f t="shared" si="0"/>
        <v>10808136</v>
      </c>
      <c r="U69" s="171">
        <f t="shared" si="1"/>
        <v>10808136</v>
      </c>
    </row>
    <row r="70" spans="1:21" x14ac:dyDescent="0.25">
      <c r="A70" s="92" t="s">
        <v>403</v>
      </c>
      <c r="B70" s="82" t="s">
        <v>64</v>
      </c>
      <c r="C70" s="82" t="s">
        <v>65</v>
      </c>
      <c r="D70" s="103"/>
      <c r="E70" s="103"/>
      <c r="F70" s="167">
        <f>F71+F72+F73+F74+F75+F76+F77+F78+F79+F80+F81+F82+F83+F84+F85</f>
        <v>1378.81</v>
      </c>
      <c r="G70" s="167">
        <f>G71+G72+G73+G74+G75+G76+G77+G78+G79+G80+G81+G82+G83+G84+G85</f>
        <v>438.93</v>
      </c>
      <c r="H70" s="167">
        <f>H71+H72+H73+H74+H75+H76+H77+H78+H79+H80+H81+H82+H83+H84+H85</f>
        <v>643.45000000000005</v>
      </c>
      <c r="I70" s="89"/>
      <c r="J70" s="89">
        <f t="shared" ref="J70:P70" si="43">J71+J72+J73+J74+J75+J76+J77+J78+J79+J80+J81+J82+J83+J84+J85</f>
        <v>41.8</v>
      </c>
      <c r="K70" s="89">
        <f t="shared" si="43"/>
        <v>1859.54</v>
      </c>
      <c r="L70" s="89">
        <f t="shared" si="43"/>
        <v>10.23</v>
      </c>
      <c r="M70" s="89">
        <f t="shared" si="43"/>
        <v>-6.29</v>
      </c>
      <c r="N70" s="89">
        <f t="shared" si="43"/>
        <v>1863.48</v>
      </c>
      <c r="O70" s="174">
        <f t="shared" si="43"/>
        <v>13044360</v>
      </c>
      <c r="P70" s="174">
        <f t="shared" si="43"/>
        <v>2560931</v>
      </c>
      <c r="Q70" s="174"/>
      <c r="R70" s="174">
        <f>R71+R72+R73+R74+R75+R76+R77+R78+R79+R80+R81+R82+R83+R84+R85</f>
        <v>15605291</v>
      </c>
      <c r="S70" s="166">
        <f>O70*'Расчет НМЦК'!$C$16*'Расчет НМЦК'!$E$16*'Расчет НМЦК'!$I$16+P70*'Расчет НМЦК'!$C$17*'Расчет НМЦК'!$E$17*'Расчет НМЦК'!$I$17</f>
        <v>17523033</v>
      </c>
      <c r="T70" s="165"/>
      <c r="U70" s="165">
        <f t="shared" si="1"/>
        <v>17523033</v>
      </c>
    </row>
    <row r="71" spans="1:21" ht="47.25" x14ac:dyDescent="0.25">
      <c r="A71" s="157" t="s">
        <v>490</v>
      </c>
      <c r="B71" s="158" t="s">
        <v>232</v>
      </c>
      <c r="C71" s="158" t="s">
        <v>233</v>
      </c>
      <c r="D71" s="159" t="s">
        <v>494</v>
      </c>
      <c r="E71" s="159">
        <v>1</v>
      </c>
      <c r="F71" s="168">
        <v>1347.6</v>
      </c>
      <c r="G71" s="168">
        <v>8.4600000000000009</v>
      </c>
      <c r="H71" s="168">
        <v>55.95</v>
      </c>
      <c r="I71" s="89"/>
      <c r="J71" s="91">
        <f t="shared" ref="J71:J85" si="44">(F71+G71)*0.023</f>
        <v>31.19</v>
      </c>
      <c r="K71" s="91">
        <f t="shared" ref="K71:K85" si="45">F71+G71+J71</f>
        <v>1387.25</v>
      </c>
      <c r="L71" s="91">
        <f t="shared" si="20"/>
        <v>7.63</v>
      </c>
      <c r="M71" s="91">
        <f t="shared" ref="M71:M85" si="46">-J71*0.15</f>
        <v>-4.68</v>
      </c>
      <c r="N71" s="91">
        <f t="shared" ref="N71:N85" si="47">K71+L71+M71</f>
        <v>1390.2</v>
      </c>
      <c r="O71" s="170">
        <f t="shared" ref="O71:O85" si="48">N71*7*1000</f>
        <v>9731400</v>
      </c>
      <c r="P71" s="170">
        <f t="shared" ref="P71:P85" si="49">H71*3.98*1000</f>
        <v>222681</v>
      </c>
      <c r="Q71" s="170"/>
      <c r="R71" s="170">
        <f t="shared" ref="R71:R85" si="50">O71+P71+Q71</f>
        <v>9954081</v>
      </c>
      <c r="S71" s="134">
        <f>O71*'Расчет НМЦК'!$C$16*'Расчет НМЦК'!$E$16*'Расчет НМЦК'!$I$16+P71*'Расчет НМЦК'!$C$17*'Расчет НМЦК'!$E$17*'Расчет НМЦК'!$I$17</f>
        <v>11177343</v>
      </c>
      <c r="T71" s="171">
        <f t="shared" si="0"/>
        <v>11177343</v>
      </c>
      <c r="U71" s="171">
        <f t="shared" si="1"/>
        <v>11177343</v>
      </c>
    </row>
    <row r="72" spans="1:21" ht="47.25" x14ac:dyDescent="0.25">
      <c r="A72" s="157" t="s">
        <v>491</v>
      </c>
      <c r="B72" s="158" t="s">
        <v>234</v>
      </c>
      <c r="C72" s="158" t="s">
        <v>235</v>
      </c>
      <c r="D72" s="159" t="s">
        <v>494</v>
      </c>
      <c r="E72" s="159">
        <v>1</v>
      </c>
      <c r="F72" s="168"/>
      <c r="G72" s="168">
        <v>0.16</v>
      </c>
      <c r="H72" s="168">
        <v>0.04</v>
      </c>
      <c r="I72" s="93"/>
      <c r="J72" s="91">
        <f t="shared" si="44"/>
        <v>0</v>
      </c>
      <c r="K72" s="91">
        <f t="shared" si="45"/>
        <v>0.16</v>
      </c>
      <c r="L72" s="91">
        <f t="shared" si="20"/>
        <v>0</v>
      </c>
      <c r="M72" s="91">
        <f t="shared" si="46"/>
        <v>0</v>
      </c>
      <c r="N72" s="91">
        <f t="shared" si="47"/>
        <v>0.16</v>
      </c>
      <c r="O72" s="170">
        <f t="shared" si="48"/>
        <v>1120</v>
      </c>
      <c r="P72" s="170">
        <f t="shared" si="49"/>
        <v>159</v>
      </c>
      <c r="Q72" s="170"/>
      <c r="R72" s="170">
        <f t="shared" si="50"/>
        <v>1279</v>
      </c>
      <c r="S72" s="134">
        <f>O72*'Расчет НМЦК'!$C$16*'Расчет НМЦК'!$E$16*'Расчет НМЦК'!$I$16+P72*'Расчет НМЦК'!$C$17*'Расчет НМЦК'!$E$17*'Расчет НМЦК'!$I$17</f>
        <v>1436</v>
      </c>
      <c r="T72" s="171">
        <f t="shared" si="0"/>
        <v>1436</v>
      </c>
      <c r="U72" s="171">
        <f t="shared" si="1"/>
        <v>1436</v>
      </c>
    </row>
    <row r="73" spans="1:21" ht="47.25" x14ac:dyDescent="0.25">
      <c r="A73" s="157" t="s">
        <v>573</v>
      </c>
      <c r="B73" s="158" t="s">
        <v>236</v>
      </c>
      <c r="C73" s="158" t="s">
        <v>237</v>
      </c>
      <c r="D73" s="159" t="s">
        <v>494</v>
      </c>
      <c r="E73" s="159">
        <v>1</v>
      </c>
      <c r="F73" s="168">
        <v>0.32</v>
      </c>
      <c r="G73" s="168">
        <v>42.05</v>
      </c>
      <c r="H73" s="168">
        <v>136.34</v>
      </c>
      <c r="I73" s="89"/>
      <c r="J73" s="91">
        <f t="shared" si="44"/>
        <v>0.97</v>
      </c>
      <c r="K73" s="91">
        <f t="shared" si="45"/>
        <v>43.34</v>
      </c>
      <c r="L73" s="91">
        <f t="shared" si="20"/>
        <v>0.24</v>
      </c>
      <c r="M73" s="91">
        <f t="shared" si="46"/>
        <v>-0.15</v>
      </c>
      <c r="N73" s="91">
        <f t="shared" si="47"/>
        <v>43.43</v>
      </c>
      <c r="O73" s="170">
        <f t="shared" si="48"/>
        <v>304010</v>
      </c>
      <c r="P73" s="170">
        <f t="shared" si="49"/>
        <v>542633</v>
      </c>
      <c r="Q73" s="170"/>
      <c r="R73" s="170">
        <f t="shared" si="50"/>
        <v>846643</v>
      </c>
      <c r="S73" s="134">
        <f>O73*'Расчет НМЦК'!$C$16*'Расчет НМЦК'!$E$16*'Расчет НМЦК'!$I$16+P73*'Расчет НМЦК'!$C$17*'Расчет НМЦК'!$E$17*'Расчет НМЦК'!$I$17</f>
        <v>950687</v>
      </c>
      <c r="T73" s="171">
        <f t="shared" ref="T73:T127" si="51">S73/E73</f>
        <v>950687</v>
      </c>
      <c r="U73" s="171">
        <f t="shared" ref="U73:U127" si="52">S73</f>
        <v>950687</v>
      </c>
    </row>
    <row r="74" spans="1:21" ht="47.25" x14ac:dyDescent="0.25">
      <c r="A74" s="157" t="s">
        <v>574</v>
      </c>
      <c r="B74" s="158" t="s">
        <v>238</v>
      </c>
      <c r="C74" s="158" t="s">
        <v>239</v>
      </c>
      <c r="D74" s="159" t="s">
        <v>494</v>
      </c>
      <c r="E74" s="159">
        <v>1</v>
      </c>
      <c r="F74" s="168">
        <v>0.46</v>
      </c>
      <c r="G74" s="168">
        <v>4.5199999999999996</v>
      </c>
      <c r="H74" s="168">
        <v>7.73</v>
      </c>
      <c r="I74" s="89"/>
      <c r="J74" s="91">
        <f t="shared" si="44"/>
        <v>0.11</v>
      </c>
      <c r="K74" s="91">
        <f t="shared" si="45"/>
        <v>5.09</v>
      </c>
      <c r="L74" s="91">
        <f t="shared" si="20"/>
        <v>0.03</v>
      </c>
      <c r="M74" s="91">
        <f t="shared" si="46"/>
        <v>-0.02</v>
      </c>
      <c r="N74" s="91">
        <f t="shared" si="47"/>
        <v>5.0999999999999996</v>
      </c>
      <c r="O74" s="170">
        <f t="shared" si="48"/>
        <v>35700</v>
      </c>
      <c r="P74" s="170">
        <f t="shared" si="49"/>
        <v>30765</v>
      </c>
      <c r="Q74" s="170"/>
      <c r="R74" s="170">
        <f t="shared" si="50"/>
        <v>66465</v>
      </c>
      <c r="S74" s="134">
        <f>O74*'Расчет НМЦК'!$C$16*'Расчет НМЦК'!$E$16*'Расчет НМЦК'!$I$16+P74*'Расчет НМЦК'!$C$17*'Расчет НМЦК'!$E$17*'Расчет НМЦК'!$I$17</f>
        <v>74633</v>
      </c>
      <c r="T74" s="171">
        <f t="shared" si="51"/>
        <v>74633</v>
      </c>
      <c r="U74" s="171">
        <f t="shared" si="52"/>
        <v>74633</v>
      </c>
    </row>
    <row r="75" spans="1:21" ht="47.25" x14ac:dyDescent="0.25">
      <c r="A75" s="157" t="s">
        <v>575</v>
      </c>
      <c r="B75" s="158" t="s">
        <v>240</v>
      </c>
      <c r="C75" s="158" t="s">
        <v>241</v>
      </c>
      <c r="D75" s="159" t="s">
        <v>494</v>
      </c>
      <c r="E75" s="159">
        <v>1</v>
      </c>
      <c r="F75" s="168">
        <v>0.61</v>
      </c>
      <c r="G75" s="168">
        <v>6.78</v>
      </c>
      <c r="H75" s="168">
        <v>7.73</v>
      </c>
      <c r="I75" s="89"/>
      <c r="J75" s="91">
        <f t="shared" si="44"/>
        <v>0.17</v>
      </c>
      <c r="K75" s="91">
        <f t="shared" si="45"/>
        <v>7.56</v>
      </c>
      <c r="L75" s="91">
        <f t="shared" si="20"/>
        <v>0.04</v>
      </c>
      <c r="M75" s="91">
        <f t="shared" si="46"/>
        <v>-0.03</v>
      </c>
      <c r="N75" s="91">
        <f t="shared" si="47"/>
        <v>7.57</v>
      </c>
      <c r="O75" s="170">
        <f t="shared" si="48"/>
        <v>52990</v>
      </c>
      <c r="P75" s="170">
        <f t="shared" si="49"/>
        <v>30765</v>
      </c>
      <c r="Q75" s="170"/>
      <c r="R75" s="170">
        <f t="shared" si="50"/>
        <v>83755</v>
      </c>
      <c r="S75" s="134">
        <f>O75*'Расчет НМЦК'!$C$16*'Расчет НМЦК'!$E$16*'Расчет НМЦК'!$I$16+P75*'Расчет НМЦК'!$C$17*'Расчет НМЦК'!$E$17*'Расчет НМЦК'!$I$17</f>
        <v>94048</v>
      </c>
      <c r="T75" s="171">
        <f t="shared" si="51"/>
        <v>94048</v>
      </c>
      <c r="U75" s="171">
        <f t="shared" si="52"/>
        <v>94048</v>
      </c>
    </row>
    <row r="76" spans="1:21" ht="47.25" x14ac:dyDescent="0.25">
      <c r="A76" s="157" t="s">
        <v>576</v>
      </c>
      <c r="B76" s="158" t="s">
        <v>242</v>
      </c>
      <c r="C76" s="158" t="s">
        <v>243</v>
      </c>
      <c r="D76" s="159" t="s">
        <v>494</v>
      </c>
      <c r="E76" s="159">
        <v>1</v>
      </c>
      <c r="F76" s="168">
        <v>11.62</v>
      </c>
      <c r="G76" s="168">
        <v>98.64</v>
      </c>
      <c r="H76" s="168">
        <v>85.09</v>
      </c>
      <c r="I76" s="89"/>
      <c r="J76" s="91">
        <f t="shared" si="44"/>
        <v>2.54</v>
      </c>
      <c r="K76" s="91">
        <f t="shared" si="45"/>
        <v>112.8</v>
      </c>
      <c r="L76" s="91">
        <f t="shared" si="20"/>
        <v>0.62</v>
      </c>
      <c r="M76" s="91">
        <f t="shared" si="46"/>
        <v>-0.38</v>
      </c>
      <c r="N76" s="91">
        <f t="shared" si="47"/>
        <v>113.04</v>
      </c>
      <c r="O76" s="170">
        <f t="shared" si="48"/>
        <v>791280</v>
      </c>
      <c r="P76" s="170">
        <f t="shared" si="49"/>
        <v>338658</v>
      </c>
      <c r="Q76" s="170"/>
      <c r="R76" s="170">
        <f t="shared" si="50"/>
        <v>1129938</v>
      </c>
      <c r="S76" s="134">
        <f>O76*'Расчет НМЦК'!$C$16*'Расчет НМЦК'!$E$16*'Расчет НМЦК'!$I$16+P76*'Расчет НМЦК'!$C$17*'Расчет НМЦК'!$E$17*'Расчет НМЦК'!$I$17</f>
        <v>1268797</v>
      </c>
      <c r="T76" s="171">
        <f t="shared" si="51"/>
        <v>1268797</v>
      </c>
      <c r="U76" s="171">
        <f t="shared" si="52"/>
        <v>1268797</v>
      </c>
    </row>
    <row r="77" spans="1:21" ht="63" x14ac:dyDescent="0.25">
      <c r="A77" s="157" t="s">
        <v>577</v>
      </c>
      <c r="B77" s="158" t="s">
        <v>244</v>
      </c>
      <c r="C77" s="158" t="s">
        <v>245</v>
      </c>
      <c r="D77" s="159" t="s">
        <v>494</v>
      </c>
      <c r="E77" s="159">
        <v>1</v>
      </c>
      <c r="F77" s="168">
        <v>2.0499999999999998</v>
      </c>
      <c r="G77" s="168">
        <v>8.32</v>
      </c>
      <c r="H77" s="168">
        <v>37.11</v>
      </c>
      <c r="I77" s="93"/>
      <c r="J77" s="91">
        <f t="shared" si="44"/>
        <v>0.24</v>
      </c>
      <c r="K77" s="91">
        <f t="shared" si="45"/>
        <v>10.61</v>
      </c>
      <c r="L77" s="91">
        <f t="shared" si="20"/>
        <v>0.06</v>
      </c>
      <c r="M77" s="91">
        <f t="shared" si="46"/>
        <v>-0.04</v>
      </c>
      <c r="N77" s="91">
        <f t="shared" si="47"/>
        <v>10.63</v>
      </c>
      <c r="O77" s="170">
        <f t="shared" si="48"/>
        <v>74410</v>
      </c>
      <c r="P77" s="170">
        <f t="shared" si="49"/>
        <v>147698</v>
      </c>
      <c r="Q77" s="170"/>
      <c r="R77" s="170">
        <f t="shared" si="50"/>
        <v>222108</v>
      </c>
      <c r="S77" s="134">
        <f>O77*'Расчет НМЦК'!$C$16*'Расчет НМЦК'!$E$16*'Расчет НМЦК'!$I$16+P77*'Расчет НМЦК'!$C$17*'Расчет НМЦК'!$E$17*'Расчет НМЦК'!$I$17</f>
        <v>249403</v>
      </c>
      <c r="T77" s="171">
        <f t="shared" si="51"/>
        <v>249403</v>
      </c>
      <c r="U77" s="171">
        <f t="shared" si="52"/>
        <v>249403</v>
      </c>
    </row>
    <row r="78" spans="1:21" ht="63" x14ac:dyDescent="0.25">
      <c r="A78" s="157" t="s">
        <v>578</v>
      </c>
      <c r="B78" s="158" t="s">
        <v>246</v>
      </c>
      <c r="C78" s="158" t="s">
        <v>247</v>
      </c>
      <c r="D78" s="159" t="s">
        <v>494</v>
      </c>
      <c r="E78" s="159">
        <v>1</v>
      </c>
      <c r="F78" s="168">
        <v>2.06</v>
      </c>
      <c r="G78" s="168">
        <v>10.34</v>
      </c>
      <c r="H78" s="168">
        <v>45.96</v>
      </c>
      <c r="I78" s="89"/>
      <c r="J78" s="91">
        <f t="shared" si="44"/>
        <v>0.28999999999999998</v>
      </c>
      <c r="K78" s="91">
        <f t="shared" si="45"/>
        <v>12.69</v>
      </c>
      <c r="L78" s="91">
        <f t="shared" si="20"/>
        <v>7.0000000000000007E-2</v>
      </c>
      <c r="M78" s="91">
        <f t="shared" si="46"/>
        <v>-0.04</v>
      </c>
      <c r="N78" s="91">
        <f t="shared" si="47"/>
        <v>12.72</v>
      </c>
      <c r="O78" s="170">
        <f t="shared" si="48"/>
        <v>89040</v>
      </c>
      <c r="P78" s="170">
        <f t="shared" si="49"/>
        <v>182921</v>
      </c>
      <c r="Q78" s="170"/>
      <c r="R78" s="170">
        <f t="shared" si="50"/>
        <v>271961</v>
      </c>
      <c r="S78" s="134">
        <f>O78*'Расчет НМЦК'!$C$16*'Расчет НМЦК'!$E$16*'Расчет НМЦК'!$I$16+P78*'Расчет НМЦК'!$C$17*'Расчет НМЦК'!$E$17*'Расчет НМЦК'!$I$17</f>
        <v>305382</v>
      </c>
      <c r="T78" s="171">
        <f t="shared" si="51"/>
        <v>305382</v>
      </c>
      <c r="U78" s="171">
        <f t="shared" si="52"/>
        <v>305382</v>
      </c>
    </row>
    <row r="79" spans="1:21" ht="47.25" x14ac:dyDescent="0.25">
      <c r="A79" s="157" t="s">
        <v>579</v>
      </c>
      <c r="B79" s="158" t="s">
        <v>248</v>
      </c>
      <c r="C79" s="158" t="s">
        <v>249</v>
      </c>
      <c r="D79" s="159" t="s">
        <v>494</v>
      </c>
      <c r="E79" s="159">
        <v>1</v>
      </c>
      <c r="F79" s="168">
        <v>2.61</v>
      </c>
      <c r="G79" s="168">
        <v>17.420000000000002</v>
      </c>
      <c r="H79" s="168">
        <v>30.42</v>
      </c>
      <c r="I79" s="89"/>
      <c r="J79" s="91">
        <f t="shared" si="44"/>
        <v>0.46</v>
      </c>
      <c r="K79" s="91">
        <f t="shared" si="45"/>
        <v>20.49</v>
      </c>
      <c r="L79" s="91">
        <f t="shared" si="20"/>
        <v>0.11</v>
      </c>
      <c r="M79" s="91">
        <f t="shared" si="46"/>
        <v>-7.0000000000000007E-2</v>
      </c>
      <c r="N79" s="91">
        <f t="shared" si="47"/>
        <v>20.53</v>
      </c>
      <c r="O79" s="170">
        <f t="shared" si="48"/>
        <v>143710</v>
      </c>
      <c r="P79" s="170">
        <f t="shared" si="49"/>
        <v>121072</v>
      </c>
      <c r="Q79" s="170"/>
      <c r="R79" s="170">
        <f t="shared" si="50"/>
        <v>264782</v>
      </c>
      <c r="S79" s="134">
        <f>O79*'Расчет НМЦК'!$C$16*'Расчет НМЦК'!$E$16*'Расчет НМЦК'!$I$16+P79*'Расчет НМЦК'!$C$17*'Расчет НМЦК'!$E$17*'Расчет НМЦК'!$I$17</f>
        <v>297321</v>
      </c>
      <c r="T79" s="171">
        <f t="shared" si="51"/>
        <v>297321</v>
      </c>
      <c r="U79" s="171">
        <f t="shared" si="52"/>
        <v>297321</v>
      </c>
    </row>
    <row r="80" spans="1:21" ht="63" x14ac:dyDescent="0.25">
      <c r="A80" s="157" t="s">
        <v>580</v>
      </c>
      <c r="B80" s="158" t="s">
        <v>250</v>
      </c>
      <c r="C80" s="158" t="s">
        <v>251</v>
      </c>
      <c r="D80" s="159" t="s">
        <v>494</v>
      </c>
      <c r="E80" s="159">
        <v>1</v>
      </c>
      <c r="F80" s="168">
        <v>2.12</v>
      </c>
      <c r="G80" s="168">
        <v>11.31</v>
      </c>
      <c r="H80" s="168">
        <v>45.96</v>
      </c>
      <c r="I80" s="89"/>
      <c r="J80" s="91">
        <f t="shared" si="44"/>
        <v>0.31</v>
      </c>
      <c r="K80" s="91">
        <f t="shared" si="45"/>
        <v>13.74</v>
      </c>
      <c r="L80" s="91">
        <f t="shared" si="20"/>
        <v>0.08</v>
      </c>
      <c r="M80" s="91">
        <f t="shared" si="46"/>
        <v>-0.05</v>
      </c>
      <c r="N80" s="91">
        <f t="shared" si="47"/>
        <v>13.77</v>
      </c>
      <c r="O80" s="170">
        <f t="shared" si="48"/>
        <v>96390</v>
      </c>
      <c r="P80" s="170">
        <f t="shared" si="49"/>
        <v>182921</v>
      </c>
      <c r="Q80" s="170"/>
      <c r="R80" s="170">
        <f t="shared" si="50"/>
        <v>279311</v>
      </c>
      <c r="S80" s="134">
        <f>O80*'Расчет НМЦК'!$C$16*'Расчет НМЦК'!$E$16*'Расчет НМЦК'!$I$16+P80*'Расчет НМЦК'!$C$17*'Расчет НМЦК'!$E$17*'Расчет НМЦК'!$I$17</f>
        <v>313636</v>
      </c>
      <c r="T80" s="171">
        <f t="shared" si="51"/>
        <v>313636</v>
      </c>
      <c r="U80" s="171">
        <f t="shared" si="52"/>
        <v>313636</v>
      </c>
    </row>
    <row r="81" spans="1:21" ht="63" x14ac:dyDescent="0.25">
      <c r="A81" s="157" t="s">
        <v>581</v>
      </c>
      <c r="B81" s="158" t="s">
        <v>252</v>
      </c>
      <c r="C81" s="158" t="s">
        <v>253</v>
      </c>
      <c r="D81" s="159" t="s">
        <v>494</v>
      </c>
      <c r="E81" s="159">
        <v>1</v>
      </c>
      <c r="F81" s="168">
        <v>2.06</v>
      </c>
      <c r="G81" s="168">
        <v>8.9</v>
      </c>
      <c r="H81" s="168">
        <v>41.03</v>
      </c>
      <c r="I81" s="89"/>
      <c r="J81" s="91">
        <f t="shared" si="44"/>
        <v>0.25</v>
      </c>
      <c r="K81" s="91">
        <f t="shared" si="45"/>
        <v>11.21</v>
      </c>
      <c r="L81" s="91">
        <f t="shared" si="20"/>
        <v>0.06</v>
      </c>
      <c r="M81" s="91">
        <f t="shared" si="46"/>
        <v>-0.04</v>
      </c>
      <c r="N81" s="91">
        <f t="shared" si="47"/>
        <v>11.23</v>
      </c>
      <c r="O81" s="170">
        <f t="shared" si="48"/>
        <v>78610</v>
      </c>
      <c r="P81" s="170">
        <f t="shared" si="49"/>
        <v>163299</v>
      </c>
      <c r="Q81" s="170"/>
      <c r="R81" s="170">
        <f t="shared" si="50"/>
        <v>241909</v>
      </c>
      <c r="S81" s="134">
        <f>O81*'Расчет НМЦК'!$C$16*'Расчет НМЦК'!$E$16*'Расчет НМЦК'!$I$16+P81*'Расчет НМЦК'!$C$17*'Расчет НМЦК'!$E$17*'Расчет НМЦК'!$I$17</f>
        <v>271637</v>
      </c>
      <c r="T81" s="171">
        <f t="shared" si="51"/>
        <v>271637</v>
      </c>
      <c r="U81" s="171">
        <f t="shared" si="52"/>
        <v>271637</v>
      </c>
    </row>
    <row r="82" spans="1:21" ht="63" x14ac:dyDescent="0.25">
      <c r="A82" s="157" t="s">
        <v>582</v>
      </c>
      <c r="B82" s="158" t="s">
        <v>254</v>
      </c>
      <c r="C82" s="158" t="s">
        <v>255</v>
      </c>
      <c r="D82" s="159" t="s">
        <v>494</v>
      </c>
      <c r="E82" s="159">
        <v>1</v>
      </c>
      <c r="F82" s="168">
        <v>2.0499999999999998</v>
      </c>
      <c r="G82" s="168">
        <v>8.5299999999999994</v>
      </c>
      <c r="H82" s="168">
        <v>37.17</v>
      </c>
      <c r="I82" s="93"/>
      <c r="J82" s="91">
        <f t="shared" si="44"/>
        <v>0.24</v>
      </c>
      <c r="K82" s="91">
        <f t="shared" si="45"/>
        <v>10.82</v>
      </c>
      <c r="L82" s="91">
        <f t="shared" si="20"/>
        <v>0.06</v>
      </c>
      <c r="M82" s="91">
        <f t="shared" si="46"/>
        <v>-0.04</v>
      </c>
      <c r="N82" s="91">
        <f t="shared" si="47"/>
        <v>10.84</v>
      </c>
      <c r="O82" s="170">
        <f t="shared" si="48"/>
        <v>75880</v>
      </c>
      <c r="P82" s="170">
        <f t="shared" si="49"/>
        <v>147937</v>
      </c>
      <c r="Q82" s="170"/>
      <c r="R82" s="170">
        <f t="shared" si="50"/>
        <v>223817</v>
      </c>
      <c r="S82" s="134">
        <f>O82*'Расчет НМЦК'!$C$16*'Расчет НМЦК'!$E$16*'Расчет НМЦК'!$I$16+P82*'Расчет НМЦК'!$C$17*'Расчет НМЦК'!$E$17*'Расчет НМЦК'!$I$17</f>
        <v>251322</v>
      </c>
      <c r="T82" s="171">
        <f t="shared" si="51"/>
        <v>251322</v>
      </c>
      <c r="U82" s="171">
        <f t="shared" si="52"/>
        <v>251322</v>
      </c>
    </row>
    <row r="83" spans="1:21" ht="63" x14ac:dyDescent="0.25">
      <c r="A83" s="157" t="s">
        <v>583</v>
      </c>
      <c r="B83" s="158" t="s">
        <v>256</v>
      </c>
      <c r="C83" s="158" t="s">
        <v>257</v>
      </c>
      <c r="D83" s="159" t="s">
        <v>494</v>
      </c>
      <c r="E83" s="159">
        <v>1</v>
      </c>
      <c r="F83" s="168">
        <v>2.06</v>
      </c>
      <c r="G83" s="168">
        <v>8.9</v>
      </c>
      <c r="H83" s="168">
        <v>41.03</v>
      </c>
      <c r="I83" s="89"/>
      <c r="J83" s="91">
        <f t="shared" si="44"/>
        <v>0.25</v>
      </c>
      <c r="K83" s="91">
        <f t="shared" si="45"/>
        <v>11.21</v>
      </c>
      <c r="L83" s="91">
        <f t="shared" si="20"/>
        <v>0.06</v>
      </c>
      <c r="M83" s="91">
        <f t="shared" si="46"/>
        <v>-0.04</v>
      </c>
      <c r="N83" s="91">
        <f t="shared" si="47"/>
        <v>11.23</v>
      </c>
      <c r="O83" s="170">
        <f t="shared" si="48"/>
        <v>78610</v>
      </c>
      <c r="P83" s="170">
        <f t="shared" si="49"/>
        <v>163299</v>
      </c>
      <c r="Q83" s="170"/>
      <c r="R83" s="170">
        <f t="shared" si="50"/>
        <v>241909</v>
      </c>
      <c r="S83" s="134">
        <f>O83*'Расчет НМЦК'!$C$16*'Расчет НМЦК'!$E$16*'Расчет НМЦК'!$I$16+P83*'Расчет НМЦК'!$C$17*'Расчет НМЦК'!$E$17*'Расчет НМЦК'!$I$17</f>
        <v>271637</v>
      </c>
      <c r="T83" s="171">
        <f t="shared" si="51"/>
        <v>271637</v>
      </c>
      <c r="U83" s="171">
        <f t="shared" si="52"/>
        <v>271637</v>
      </c>
    </row>
    <row r="84" spans="1:21" ht="63" x14ac:dyDescent="0.25">
      <c r="A84" s="157" t="s">
        <v>584</v>
      </c>
      <c r="B84" s="158" t="s">
        <v>258</v>
      </c>
      <c r="C84" s="158" t="s">
        <v>259</v>
      </c>
      <c r="D84" s="159" t="s">
        <v>494</v>
      </c>
      <c r="E84" s="159">
        <v>1</v>
      </c>
      <c r="F84" s="168">
        <v>2.04</v>
      </c>
      <c r="G84" s="168">
        <v>8.0500000000000007</v>
      </c>
      <c r="H84" s="168">
        <v>37.17</v>
      </c>
      <c r="I84" s="89"/>
      <c r="J84" s="91">
        <f t="shared" si="44"/>
        <v>0.23</v>
      </c>
      <c r="K84" s="91">
        <f t="shared" si="45"/>
        <v>10.32</v>
      </c>
      <c r="L84" s="91">
        <f t="shared" si="20"/>
        <v>0.06</v>
      </c>
      <c r="M84" s="91">
        <f t="shared" si="46"/>
        <v>-0.03</v>
      </c>
      <c r="N84" s="91">
        <f t="shared" si="47"/>
        <v>10.35</v>
      </c>
      <c r="O84" s="170">
        <f t="shared" si="48"/>
        <v>72450</v>
      </c>
      <c r="P84" s="170">
        <f t="shared" si="49"/>
        <v>147937</v>
      </c>
      <c r="Q84" s="170"/>
      <c r="R84" s="170">
        <f t="shared" si="50"/>
        <v>220387</v>
      </c>
      <c r="S84" s="134">
        <f>O84*'Расчет НМЦК'!$C$16*'Расчет НМЦК'!$E$16*'Расчет НМЦК'!$I$16+P84*'Расчет НМЦК'!$C$17*'Расчет НМЦК'!$E$17*'Расчет НМЦК'!$I$17</f>
        <v>247470</v>
      </c>
      <c r="T84" s="171">
        <f t="shared" si="51"/>
        <v>247470</v>
      </c>
      <c r="U84" s="171">
        <f t="shared" si="52"/>
        <v>247470</v>
      </c>
    </row>
    <row r="85" spans="1:21" ht="31.5" x14ac:dyDescent="0.25">
      <c r="A85" s="157" t="s">
        <v>585</v>
      </c>
      <c r="B85" s="158" t="s">
        <v>260</v>
      </c>
      <c r="C85" s="158" t="s">
        <v>261</v>
      </c>
      <c r="D85" s="159" t="s">
        <v>494</v>
      </c>
      <c r="E85" s="159">
        <v>1</v>
      </c>
      <c r="F85" s="168">
        <v>1.1499999999999999</v>
      </c>
      <c r="G85" s="168">
        <v>196.55</v>
      </c>
      <c r="H85" s="168">
        <v>34.72</v>
      </c>
      <c r="I85" s="89"/>
      <c r="J85" s="91">
        <f t="shared" si="44"/>
        <v>4.55</v>
      </c>
      <c r="K85" s="91">
        <f t="shared" si="45"/>
        <v>202.25</v>
      </c>
      <c r="L85" s="91">
        <f t="shared" si="20"/>
        <v>1.1100000000000001</v>
      </c>
      <c r="M85" s="91">
        <f t="shared" si="46"/>
        <v>-0.68</v>
      </c>
      <c r="N85" s="91">
        <f t="shared" si="47"/>
        <v>202.68</v>
      </c>
      <c r="O85" s="170">
        <f t="shared" si="48"/>
        <v>1418760</v>
      </c>
      <c r="P85" s="170">
        <f t="shared" si="49"/>
        <v>138186</v>
      </c>
      <c r="Q85" s="170"/>
      <c r="R85" s="170">
        <f t="shared" si="50"/>
        <v>1556946</v>
      </c>
      <c r="S85" s="134">
        <f>O85*'Расчет НМЦК'!$C$16*'Расчет НМЦК'!$E$16*'Расчет НМЦК'!$I$16+P85*'Расчет НМЦК'!$C$17*'Расчет НМЦК'!$E$17*'Расчет НМЦК'!$I$17+1</f>
        <v>1748281</v>
      </c>
      <c r="T85" s="171">
        <f t="shared" si="51"/>
        <v>1748281</v>
      </c>
      <c r="U85" s="171">
        <f t="shared" si="52"/>
        <v>1748281</v>
      </c>
    </row>
    <row r="86" spans="1:21" x14ac:dyDescent="0.25">
      <c r="A86" s="92" t="s">
        <v>404</v>
      </c>
      <c r="B86" s="90" t="s">
        <v>68</v>
      </c>
      <c r="C86" s="90" t="s">
        <v>69</v>
      </c>
      <c r="D86" s="104"/>
      <c r="E86" s="104"/>
      <c r="F86" s="178">
        <f>F87+F88</f>
        <v>1670.74</v>
      </c>
      <c r="G86" s="178">
        <f>G87+G88</f>
        <v>8.6999999999999993</v>
      </c>
      <c r="H86" s="179"/>
      <c r="I86" s="179"/>
      <c r="J86" s="89">
        <f t="shared" ref="J86:P86" si="53">J87+J88</f>
        <v>38.630000000000003</v>
      </c>
      <c r="K86" s="89">
        <f t="shared" si="53"/>
        <v>1718.07</v>
      </c>
      <c r="L86" s="89">
        <f t="shared" si="53"/>
        <v>9.4499999999999993</v>
      </c>
      <c r="M86" s="89">
        <f t="shared" si="53"/>
        <v>-5.79</v>
      </c>
      <c r="N86" s="89">
        <f t="shared" si="53"/>
        <v>1721.73</v>
      </c>
      <c r="O86" s="174">
        <f t="shared" si="53"/>
        <v>12052110</v>
      </c>
      <c r="P86" s="174">
        <f t="shared" si="53"/>
        <v>0</v>
      </c>
      <c r="Q86" s="174"/>
      <c r="R86" s="174">
        <f>R87+R88</f>
        <v>12052110</v>
      </c>
      <c r="S86" s="166">
        <f>O86*'Расчет НМЦК'!$C$16*'Расчет НМЦК'!$E$16*'Расчет НМЦК'!$I$16+P86*'Расчет НМЦК'!$C$17*'Расчет НМЦК'!$E$17*'Расчет НМЦК'!$I$17</f>
        <v>13533200</v>
      </c>
      <c r="T86" s="180"/>
      <c r="U86" s="180">
        <f t="shared" si="52"/>
        <v>13533200</v>
      </c>
    </row>
    <row r="87" spans="1:21" x14ac:dyDescent="0.25">
      <c r="A87" s="160" t="s">
        <v>405</v>
      </c>
      <c r="B87" s="158" t="s">
        <v>262</v>
      </c>
      <c r="C87" s="158" t="s">
        <v>197</v>
      </c>
      <c r="D87" s="159" t="s">
        <v>494</v>
      </c>
      <c r="E87" s="159">
        <v>1</v>
      </c>
      <c r="F87" s="168">
        <v>18.75</v>
      </c>
      <c r="G87" s="168"/>
      <c r="H87" s="175"/>
      <c r="I87" s="175"/>
      <c r="J87" s="91">
        <f>(F87+G87)*0.023</f>
        <v>0.43</v>
      </c>
      <c r="K87" s="91">
        <f>F87+G87+J87</f>
        <v>19.18</v>
      </c>
      <c r="L87" s="91">
        <f t="shared" si="20"/>
        <v>0.11</v>
      </c>
      <c r="M87" s="91">
        <f>-J87*0.15</f>
        <v>-0.06</v>
      </c>
      <c r="N87" s="91">
        <f>K87+L87+M87</f>
        <v>19.23</v>
      </c>
      <c r="O87" s="170">
        <f>N87*7*1000</f>
        <v>134610</v>
      </c>
      <c r="P87" s="170">
        <f>H87*3.98</f>
        <v>0</v>
      </c>
      <c r="Q87" s="170"/>
      <c r="R87" s="170">
        <f>O87+P87+Q87</f>
        <v>134610</v>
      </c>
      <c r="S87" s="134">
        <f>O87*'Расчет НМЦК'!$C$16*'Расчет НМЦК'!$E$16*'Расчет НМЦК'!$I$16+P87*'Расчет НМЦК'!$C$17*'Расчет НМЦК'!$E$17*'Расчет НМЦК'!$I$17</f>
        <v>151152</v>
      </c>
      <c r="T87" s="171">
        <f t="shared" si="51"/>
        <v>151152</v>
      </c>
      <c r="U87" s="171">
        <f t="shared" si="52"/>
        <v>151152</v>
      </c>
    </row>
    <row r="88" spans="1:21" x14ac:dyDescent="0.25">
      <c r="A88" s="160" t="s">
        <v>406</v>
      </c>
      <c r="B88" s="158" t="s">
        <v>263</v>
      </c>
      <c r="C88" s="158" t="s">
        <v>264</v>
      </c>
      <c r="D88" s="159" t="s">
        <v>494</v>
      </c>
      <c r="E88" s="159">
        <v>1</v>
      </c>
      <c r="F88" s="168">
        <v>1651.99</v>
      </c>
      <c r="G88" s="168">
        <v>8.6999999999999993</v>
      </c>
      <c r="H88" s="175"/>
      <c r="I88" s="175"/>
      <c r="J88" s="91">
        <f>(F88+G88)*0.023</f>
        <v>38.200000000000003</v>
      </c>
      <c r="K88" s="91">
        <f>F88+G88+J88</f>
        <v>1698.89</v>
      </c>
      <c r="L88" s="91">
        <f t="shared" si="20"/>
        <v>9.34</v>
      </c>
      <c r="M88" s="91">
        <f>-J88*0.15</f>
        <v>-5.73</v>
      </c>
      <c r="N88" s="91">
        <f>K88+L88+M88</f>
        <v>1702.5</v>
      </c>
      <c r="O88" s="170">
        <f>N88*7*1000</f>
        <v>11917500</v>
      </c>
      <c r="P88" s="170">
        <f>H88*3.98</f>
        <v>0</v>
      </c>
      <c r="Q88" s="170"/>
      <c r="R88" s="170">
        <f>O88+P88+Q88</f>
        <v>11917500</v>
      </c>
      <c r="S88" s="134">
        <f>O88*'Расчет НМЦК'!$C$16*'Расчет НМЦК'!$E$16*'Расчет НМЦК'!$I$16+P88*'Расчет НМЦК'!$C$17*'Расчет НМЦК'!$E$17*'Расчет НМЦК'!$I$17+1</f>
        <v>13382048</v>
      </c>
      <c r="T88" s="171">
        <f t="shared" si="51"/>
        <v>13382048</v>
      </c>
      <c r="U88" s="171">
        <f t="shared" si="52"/>
        <v>13382048</v>
      </c>
    </row>
    <row r="89" spans="1:21" x14ac:dyDescent="0.25">
      <c r="A89" s="92" t="s">
        <v>407</v>
      </c>
      <c r="B89" s="90" t="s">
        <v>70</v>
      </c>
      <c r="C89" s="90" t="s">
        <v>71</v>
      </c>
      <c r="D89" s="104"/>
      <c r="E89" s="104"/>
      <c r="F89" s="181">
        <f>F90+F91+F92</f>
        <v>101</v>
      </c>
      <c r="G89" s="181">
        <f>G90+G91+G92</f>
        <v>5.7</v>
      </c>
      <c r="H89" s="178">
        <f>H90+H91+H92</f>
        <v>2394.85</v>
      </c>
      <c r="I89" s="179"/>
      <c r="J89" s="89">
        <f t="shared" ref="J89:P89" si="54">J90+J91+J92</f>
        <v>2.46</v>
      </c>
      <c r="K89" s="89">
        <f t="shared" si="54"/>
        <v>109.16</v>
      </c>
      <c r="L89" s="89">
        <f t="shared" si="54"/>
        <v>0.6</v>
      </c>
      <c r="M89" s="89">
        <f t="shared" si="54"/>
        <v>-0.37</v>
      </c>
      <c r="N89" s="89">
        <f t="shared" si="54"/>
        <v>109.39</v>
      </c>
      <c r="O89" s="174">
        <f t="shared" si="54"/>
        <v>765730</v>
      </c>
      <c r="P89" s="174">
        <f t="shared" si="54"/>
        <v>9531503</v>
      </c>
      <c r="Q89" s="174"/>
      <c r="R89" s="174">
        <f>R90+R91+R92</f>
        <v>10297233</v>
      </c>
      <c r="S89" s="166">
        <f>O89*'Расчет НМЦК'!$C$16*'Расчет НМЦК'!$E$16*'Расчет НМЦК'!$I$16+P89*'Расчет НМЦК'!$C$17*'Расчет НМЦК'!$E$17*'Расчет НМЦК'!$I$17</f>
        <v>11562665</v>
      </c>
      <c r="T89" s="180"/>
      <c r="U89" s="180">
        <f t="shared" si="52"/>
        <v>11562665</v>
      </c>
    </row>
    <row r="90" spans="1:21" x14ac:dyDescent="0.25">
      <c r="A90" s="160" t="s">
        <v>408</v>
      </c>
      <c r="B90" s="158" t="s">
        <v>265</v>
      </c>
      <c r="C90" s="158" t="s">
        <v>197</v>
      </c>
      <c r="D90" s="159" t="s">
        <v>494</v>
      </c>
      <c r="E90" s="159">
        <v>1</v>
      </c>
      <c r="F90" s="168">
        <v>100.88</v>
      </c>
      <c r="G90" s="168"/>
      <c r="H90" s="168"/>
      <c r="I90" s="175"/>
      <c r="J90" s="91">
        <f>(F90+G90)*0.023</f>
        <v>2.3199999999999998</v>
      </c>
      <c r="K90" s="91">
        <f>F90+G90+J90</f>
        <v>103.2</v>
      </c>
      <c r="L90" s="91">
        <f t="shared" si="20"/>
        <v>0.56999999999999995</v>
      </c>
      <c r="M90" s="91">
        <f>-J90*0.15</f>
        <v>-0.35</v>
      </c>
      <c r="N90" s="91">
        <f>K90+L90+M90</f>
        <v>103.42</v>
      </c>
      <c r="O90" s="170">
        <f>N90*7*1000</f>
        <v>723940</v>
      </c>
      <c r="P90" s="170">
        <f>H90*3.98*1000</f>
        <v>0</v>
      </c>
      <c r="Q90" s="170"/>
      <c r="R90" s="170">
        <f>O90+P90+Q90</f>
        <v>723940</v>
      </c>
      <c r="S90" s="134">
        <f>O90*'Расчет НМЦК'!$C$16*'Расчет НМЦК'!$E$16*'Расчет НМЦК'!$I$16+P90*'Расчет НМЦК'!$C$17*'Расчет НМЦК'!$E$17*'Расчет НМЦК'!$I$17</f>
        <v>812905</v>
      </c>
      <c r="T90" s="171">
        <f t="shared" si="51"/>
        <v>812905</v>
      </c>
      <c r="U90" s="171">
        <f t="shared" si="52"/>
        <v>812905</v>
      </c>
    </row>
    <row r="91" spans="1:21" x14ac:dyDescent="0.25">
      <c r="A91" s="160" t="s">
        <v>409</v>
      </c>
      <c r="B91" s="158" t="s">
        <v>266</v>
      </c>
      <c r="C91" s="158" t="s">
        <v>267</v>
      </c>
      <c r="D91" s="159" t="s">
        <v>494</v>
      </c>
      <c r="E91" s="159">
        <v>1</v>
      </c>
      <c r="F91" s="168">
        <v>0.02</v>
      </c>
      <c r="G91" s="168">
        <v>5.03</v>
      </c>
      <c r="H91" s="168">
        <v>2243.11</v>
      </c>
      <c r="I91" s="175"/>
      <c r="J91" s="91">
        <f>(F91+G91)*0.023</f>
        <v>0.12</v>
      </c>
      <c r="K91" s="91">
        <f>F91+G91+J91</f>
        <v>5.17</v>
      </c>
      <c r="L91" s="91">
        <f t="shared" si="20"/>
        <v>0.03</v>
      </c>
      <c r="M91" s="91">
        <f>-J91*0.15</f>
        <v>-0.02</v>
      </c>
      <c r="N91" s="91">
        <f>K91+L91+M91</f>
        <v>5.18</v>
      </c>
      <c r="O91" s="170">
        <f>N91*7*1000</f>
        <v>36260</v>
      </c>
      <c r="P91" s="170">
        <f>H91*3.98*1000</f>
        <v>8927578</v>
      </c>
      <c r="Q91" s="170"/>
      <c r="R91" s="170">
        <f>O91+P91+Q91</f>
        <v>8963838</v>
      </c>
      <c r="S91" s="134">
        <f>O91*'Расчет НМЦК'!$C$16*'Расчет НМЦК'!$E$16*'Расчет НМЦК'!$I$16+P91*'Расчет НМЦК'!$C$17*'Расчет НМЦК'!$E$17*'Расчет НМЦК'!$I$17+1</f>
        <v>10065409</v>
      </c>
      <c r="T91" s="171">
        <f t="shared" si="51"/>
        <v>10065409</v>
      </c>
      <c r="U91" s="171">
        <f t="shared" si="52"/>
        <v>10065409</v>
      </c>
    </row>
    <row r="92" spans="1:21" ht="63" x14ac:dyDescent="0.25">
      <c r="A92" s="160" t="s">
        <v>586</v>
      </c>
      <c r="B92" s="158" t="s">
        <v>268</v>
      </c>
      <c r="C92" s="158" t="s">
        <v>269</v>
      </c>
      <c r="D92" s="159" t="s">
        <v>494</v>
      </c>
      <c r="E92" s="159">
        <v>1</v>
      </c>
      <c r="F92" s="172">
        <v>0.1</v>
      </c>
      <c r="G92" s="168">
        <v>0.67</v>
      </c>
      <c r="H92" s="168">
        <v>151.74</v>
      </c>
      <c r="I92" s="175"/>
      <c r="J92" s="91">
        <f>(F92+G92)*0.023</f>
        <v>0.02</v>
      </c>
      <c r="K92" s="91">
        <f>F92+G92+J92</f>
        <v>0.79</v>
      </c>
      <c r="L92" s="91">
        <f t="shared" si="20"/>
        <v>0</v>
      </c>
      <c r="M92" s="91">
        <f>-J92*0.15</f>
        <v>0</v>
      </c>
      <c r="N92" s="91">
        <f>K92+L92+M92</f>
        <v>0.79</v>
      </c>
      <c r="O92" s="170">
        <f>N92*7*1000</f>
        <v>5530</v>
      </c>
      <c r="P92" s="170">
        <f>H92*3.98*1000</f>
        <v>603925</v>
      </c>
      <c r="Q92" s="170"/>
      <c r="R92" s="170">
        <f>O92+P92+Q92</f>
        <v>609455</v>
      </c>
      <c r="S92" s="134">
        <f>O92*'Расчет НМЦК'!$C$16*'Расчет НМЦК'!$E$16*'Расчет НМЦК'!$I$16+P92*'Расчет НМЦК'!$C$17*'Расчет НМЦК'!$E$17*'Расчет НМЦК'!$I$17</f>
        <v>684351</v>
      </c>
      <c r="T92" s="171">
        <f t="shared" si="51"/>
        <v>684351</v>
      </c>
      <c r="U92" s="171">
        <f t="shared" si="52"/>
        <v>684351</v>
      </c>
    </row>
    <row r="93" spans="1:21" x14ac:dyDescent="0.25">
      <c r="A93" s="92" t="s">
        <v>410</v>
      </c>
      <c r="B93" s="90" t="s">
        <v>72</v>
      </c>
      <c r="C93" s="90" t="s">
        <v>73</v>
      </c>
      <c r="D93" s="104" t="s">
        <v>494</v>
      </c>
      <c r="E93" s="104">
        <v>1</v>
      </c>
      <c r="F93" s="178">
        <v>4311.2</v>
      </c>
      <c r="G93" s="179"/>
      <c r="H93" s="179"/>
      <c r="I93" s="179"/>
      <c r="J93" s="86">
        <f>(F93+G93)*0.023</f>
        <v>99.16</v>
      </c>
      <c r="K93" s="86">
        <f>F93+G93+J93</f>
        <v>4410.3599999999997</v>
      </c>
      <c r="L93" s="86">
        <f t="shared" si="20"/>
        <v>24.26</v>
      </c>
      <c r="M93" s="86">
        <f>-J93*0.15</f>
        <v>-14.87</v>
      </c>
      <c r="N93" s="86">
        <f>K93+L93+M93</f>
        <v>4419.75</v>
      </c>
      <c r="O93" s="162">
        <f>N93*7*1000</f>
        <v>30938250</v>
      </c>
      <c r="P93" s="162">
        <f>H93*3.98*1000</f>
        <v>0</v>
      </c>
      <c r="Q93" s="162"/>
      <c r="R93" s="162">
        <f>O93+P93+Q93</f>
        <v>30938250</v>
      </c>
      <c r="S93" s="166">
        <f>O93*'Расчет НМЦК'!$C$16*'Расчет НМЦК'!$E$16*'Расчет НМЦК'!$I$16+P93*'Расчет НМЦК'!$C$17*'Расчет НМЦК'!$E$17*'Расчет НМЦК'!$I$17</f>
        <v>34740266</v>
      </c>
      <c r="T93" s="180">
        <f t="shared" si="51"/>
        <v>34740266</v>
      </c>
      <c r="U93" s="180">
        <f t="shared" si="52"/>
        <v>34740266</v>
      </c>
    </row>
    <row r="94" spans="1:21" x14ac:dyDescent="0.25">
      <c r="A94" s="92" t="s">
        <v>411</v>
      </c>
      <c r="B94" s="90" t="s">
        <v>74</v>
      </c>
      <c r="C94" s="90" t="s">
        <v>75</v>
      </c>
      <c r="D94" s="104"/>
      <c r="E94" s="104"/>
      <c r="F94" s="178">
        <f>F95+F96</f>
        <v>51.56</v>
      </c>
      <c r="G94" s="178">
        <f>G95+G96</f>
        <v>9.9499999999999993</v>
      </c>
      <c r="H94" s="178">
        <f>H95+H96</f>
        <v>1993.3</v>
      </c>
      <c r="I94" s="179"/>
      <c r="J94" s="89">
        <f t="shared" ref="J94:P94" si="55">J95+J96</f>
        <v>1.42</v>
      </c>
      <c r="K94" s="89">
        <f t="shared" si="55"/>
        <v>62.93</v>
      </c>
      <c r="L94" s="89">
        <f t="shared" si="55"/>
        <v>0.35</v>
      </c>
      <c r="M94" s="89">
        <f t="shared" si="55"/>
        <v>-0.21</v>
      </c>
      <c r="N94" s="89">
        <f t="shared" si="55"/>
        <v>63.07</v>
      </c>
      <c r="O94" s="174">
        <f>O95+O96</f>
        <v>441490</v>
      </c>
      <c r="P94" s="174">
        <f t="shared" si="55"/>
        <v>7933334</v>
      </c>
      <c r="Q94" s="174"/>
      <c r="R94" s="174">
        <f>R95+R96</f>
        <v>8374824</v>
      </c>
      <c r="S94" s="166">
        <f>O94*'Расчет НМЦК'!$C$16*'Расчет НМЦК'!$E$16*'Расчет НМЦК'!$I$16+P94*'Расчет НМЦК'!$C$17*'Расчет НМЦК'!$E$17*'Расчет НМЦК'!$I$17</f>
        <v>9404010</v>
      </c>
      <c r="T94" s="180"/>
      <c r="U94" s="180">
        <f t="shared" si="52"/>
        <v>9404010</v>
      </c>
    </row>
    <row r="95" spans="1:21" x14ac:dyDescent="0.25">
      <c r="A95" s="157" t="s">
        <v>492</v>
      </c>
      <c r="B95" s="158" t="s">
        <v>270</v>
      </c>
      <c r="C95" s="158" t="s">
        <v>197</v>
      </c>
      <c r="D95" s="159" t="s">
        <v>494</v>
      </c>
      <c r="E95" s="159">
        <v>1</v>
      </c>
      <c r="F95" s="168">
        <v>51.54</v>
      </c>
      <c r="G95" s="168"/>
      <c r="H95" s="168"/>
      <c r="I95" s="175"/>
      <c r="J95" s="91">
        <f>(F95+G95)*0.023</f>
        <v>1.19</v>
      </c>
      <c r="K95" s="91">
        <f>F95+G95+J95</f>
        <v>52.73</v>
      </c>
      <c r="L95" s="91">
        <f t="shared" si="20"/>
        <v>0.28999999999999998</v>
      </c>
      <c r="M95" s="91">
        <f>-J95*0.15</f>
        <v>-0.18</v>
      </c>
      <c r="N95" s="91">
        <f>K95+L95+M95</f>
        <v>52.84</v>
      </c>
      <c r="O95" s="170">
        <f>N95*7*1000</f>
        <v>369880</v>
      </c>
      <c r="P95" s="170">
        <f>H95*3.98</f>
        <v>0</v>
      </c>
      <c r="Q95" s="170"/>
      <c r="R95" s="170">
        <f>O95+P95+Q95</f>
        <v>369880</v>
      </c>
      <c r="S95" s="134">
        <f>O95*'Расчет НМЦК'!$C$16*'Расчет НМЦК'!$E$16*'Расчет НМЦК'!$I$16+P95*'Расчет НМЦК'!$C$17*'Расчет НМЦК'!$E$17*'Расчет НМЦК'!$I$17</f>
        <v>415335</v>
      </c>
      <c r="T95" s="171">
        <f t="shared" si="51"/>
        <v>415335</v>
      </c>
      <c r="U95" s="171">
        <f t="shared" si="52"/>
        <v>415335</v>
      </c>
    </row>
    <row r="96" spans="1:21" x14ac:dyDescent="0.25">
      <c r="A96" s="157" t="s">
        <v>493</v>
      </c>
      <c r="B96" s="158" t="s">
        <v>271</v>
      </c>
      <c r="C96" s="158" t="s">
        <v>272</v>
      </c>
      <c r="D96" s="159" t="s">
        <v>494</v>
      </c>
      <c r="E96" s="159">
        <v>1</v>
      </c>
      <c r="F96" s="168">
        <v>0.02</v>
      </c>
      <c r="G96" s="168">
        <v>9.9499999999999993</v>
      </c>
      <c r="H96" s="168">
        <v>1993.3</v>
      </c>
      <c r="I96" s="175"/>
      <c r="J96" s="91">
        <f>(F96+G96)*0.023</f>
        <v>0.23</v>
      </c>
      <c r="K96" s="91">
        <f>F96+G96+J96</f>
        <v>10.199999999999999</v>
      </c>
      <c r="L96" s="91">
        <f t="shared" si="20"/>
        <v>0.06</v>
      </c>
      <c r="M96" s="91">
        <f>-J96*0.15</f>
        <v>-0.03</v>
      </c>
      <c r="N96" s="91">
        <f>K96+L96+M96</f>
        <v>10.23</v>
      </c>
      <c r="O96" s="170">
        <f>N96*7*1000</f>
        <v>71610</v>
      </c>
      <c r="P96" s="170">
        <f>H96*3.98*1000</f>
        <v>7933334</v>
      </c>
      <c r="Q96" s="170"/>
      <c r="R96" s="170">
        <f>O96+P96+Q96</f>
        <v>8004944</v>
      </c>
      <c r="S96" s="134">
        <f>O96*'Расчет НМЦК'!$C$16*'Расчет НМЦК'!$E$16*'Расчет НМЦК'!$I$16+P96*'Расчет НМЦК'!$C$17*'Расчет НМЦК'!$E$17*'Расчет НМЦК'!$I$17</f>
        <v>8988675</v>
      </c>
      <c r="T96" s="171">
        <f t="shared" si="51"/>
        <v>8988675</v>
      </c>
      <c r="U96" s="171">
        <f t="shared" si="52"/>
        <v>8988675</v>
      </c>
    </row>
    <row r="97" spans="1:21" x14ac:dyDescent="0.25">
      <c r="A97" s="92" t="s">
        <v>412</v>
      </c>
      <c r="B97" s="90" t="s">
        <v>76</v>
      </c>
      <c r="C97" s="90" t="s">
        <v>77</v>
      </c>
      <c r="D97" s="104"/>
      <c r="E97" s="104"/>
      <c r="F97" s="178">
        <f>F98+F99</f>
        <v>1043.6600000000001</v>
      </c>
      <c r="G97" s="179"/>
      <c r="H97" s="178">
        <f>H98+H99</f>
        <v>14.92</v>
      </c>
      <c r="I97" s="179"/>
      <c r="J97" s="89">
        <f t="shared" ref="J97:P97" si="56">J98+J99</f>
        <v>24</v>
      </c>
      <c r="K97" s="89">
        <f t="shared" si="56"/>
        <v>1067.6600000000001</v>
      </c>
      <c r="L97" s="89">
        <f t="shared" si="56"/>
        <v>5.87</v>
      </c>
      <c r="M97" s="89">
        <f t="shared" si="56"/>
        <v>-3.6</v>
      </c>
      <c r="N97" s="89">
        <f t="shared" si="56"/>
        <v>1069.93</v>
      </c>
      <c r="O97" s="174">
        <f>O98+O99</f>
        <v>7489510</v>
      </c>
      <c r="P97" s="174">
        <f t="shared" si="56"/>
        <v>59382</v>
      </c>
      <c r="Q97" s="174"/>
      <c r="R97" s="174">
        <f>R98+R99</f>
        <v>7548892</v>
      </c>
      <c r="S97" s="166">
        <f>O97*'Расчет НМЦК'!$C$16*'Расчет НМЦК'!$E$16*'Расчет НМЦК'!$I$16+P97*'Расчет НМЦК'!$C$17*'Расчет НМЦК'!$E$17*'Расчет НМЦК'!$I$17</f>
        <v>8476579</v>
      </c>
      <c r="T97" s="180"/>
      <c r="U97" s="180">
        <f t="shared" si="52"/>
        <v>8476579</v>
      </c>
    </row>
    <row r="98" spans="1:21" x14ac:dyDescent="0.25">
      <c r="A98" s="157" t="s">
        <v>413</v>
      </c>
      <c r="B98" s="158" t="s">
        <v>273</v>
      </c>
      <c r="C98" s="158" t="s">
        <v>274</v>
      </c>
      <c r="D98" s="159" t="s">
        <v>494</v>
      </c>
      <c r="E98" s="159">
        <v>1</v>
      </c>
      <c r="F98" s="168">
        <v>138.69</v>
      </c>
      <c r="G98" s="175"/>
      <c r="H98" s="168"/>
      <c r="I98" s="175"/>
      <c r="J98" s="91">
        <f>(F98+G98)*0.023</f>
        <v>3.19</v>
      </c>
      <c r="K98" s="91">
        <f>F98+G98+J98</f>
        <v>141.88</v>
      </c>
      <c r="L98" s="91">
        <f t="shared" si="20"/>
        <v>0.78</v>
      </c>
      <c r="M98" s="91">
        <f>-J98*0.15</f>
        <v>-0.48</v>
      </c>
      <c r="N98" s="91">
        <f>K98+L98+M98</f>
        <v>142.18</v>
      </c>
      <c r="O98" s="170">
        <f>N98*7*1000</f>
        <v>995260</v>
      </c>
      <c r="P98" s="170">
        <f>H98*3.98</f>
        <v>0</v>
      </c>
      <c r="Q98" s="170"/>
      <c r="R98" s="170">
        <f>O98+P98+Q98</f>
        <v>995260</v>
      </c>
      <c r="S98" s="134">
        <f>O98*'Расчет НМЦК'!$C$16*'Расчет НМЦК'!$E$16*'Расчет НМЦК'!$I$16+P98*'Расчет НМЦК'!$C$17*'Расчет НМЦК'!$E$17*'Расчет НМЦК'!$I$17</f>
        <v>1117568</v>
      </c>
      <c r="T98" s="171">
        <f t="shared" si="51"/>
        <v>1117568</v>
      </c>
      <c r="U98" s="171">
        <f t="shared" si="52"/>
        <v>1117568</v>
      </c>
    </row>
    <row r="99" spans="1:21" x14ac:dyDescent="0.25">
      <c r="A99" s="157" t="s">
        <v>414</v>
      </c>
      <c r="B99" s="158" t="s">
        <v>275</v>
      </c>
      <c r="C99" s="158" t="s">
        <v>276</v>
      </c>
      <c r="D99" s="159" t="s">
        <v>494</v>
      </c>
      <c r="E99" s="159">
        <v>1</v>
      </c>
      <c r="F99" s="168">
        <v>904.97</v>
      </c>
      <c r="G99" s="175"/>
      <c r="H99" s="168">
        <v>14.92</v>
      </c>
      <c r="I99" s="175"/>
      <c r="J99" s="91">
        <f>(F99+G99)*0.023</f>
        <v>20.81</v>
      </c>
      <c r="K99" s="91">
        <f>F99+G99+J99</f>
        <v>925.78</v>
      </c>
      <c r="L99" s="91">
        <f t="shared" si="20"/>
        <v>5.09</v>
      </c>
      <c r="M99" s="91">
        <f>-J99*0.15</f>
        <v>-3.12</v>
      </c>
      <c r="N99" s="91">
        <f>K99+L99+M99</f>
        <v>927.75</v>
      </c>
      <c r="O99" s="170">
        <f>N99*7*1000</f>
        <v>6494250</v>
      </c>
      <c r="P99" s="170">
        <f>H99*3.98*1000</f>
        <v>59382</v>
      </c>
      <c r="Q99" s="170"/>
      <c r="R99" s="170">
        <f>O99+P99+Q99</f>
        <v>6553632</v>
      </c>
      <c r="S99" s="134">
        <f>O99*'Расчет НМЦК'!$C$16*'Расчет НМЦК'!$E$16*'Расчет НМЦК'!$I$16+P99*'Расчет НМЦК'!$C$17*'Расчет НМЦК'!$E$17*'Расчет НМЦК'!$I$17</f>
        <v>7359011</v>
      </c>
      <c r="T99" s="171">
        <f t="shared" si="51"/>
        <v>7359011</v>
      </c>
      <c r="U99" s="171">
        <f t="shared" si="52"/>
        <v>7359011</v>
      </c>
    </row>
    <row r="100" spans="1:21" x14ac:dyDescent="0.25">
      <c r="A100" s="92" t="s">
        <v>415</v>
      </c>
      <c r="B100" s="90" t="s">
        <v>78</v>
      </c>
      <c r="C100" s="90" t="s">
        <v>79</v>
      </c>
      <c r="D100" s="104"/>
      <c r="E100" s="104"/>
      <c r="F100" s="178">
        <f>F101+F102</f>
        <v>1043.6600000000001</v>
      </c>
      <c r="G100" s="179"/>
      <c r="H100" s="178">
        <f>H102</f>
        <v>14.92</v>
      </c>
      <c r="I100" s="179"/>
      <c r="J100" s="89">
        <f t="shared" ref="J100:P100" si="57">J101+J102</f>
        <v>24</v>
      </c>
      <c r="K100" s="89">
        <f t="shared" si="57"/>
        <v>1067.6600000000001</v>
      </c>
      <c r="L100" s="89">
        <f t="shared" si="57"/>
        <v>5.87</v>
      </c>
      <c r="M100" s="89">
        <f t="shared" si="57"/>
        <v>-3.6</v>
      </c>
      <c r="N100" s="89">
        <f t="shared" si="57"/>
        <v>1069.93</v>
      </c>
      <c r="O100" s="174">
        <f t="shared" si="57"/>
        <v>7489510</v>
      </c>
      <c r="P100" s="174">
        <f t="shared" si="57"/>
        <v>59382</v>
      </c>
      <c r="Q100" s="174"/>
      <c r="R100" s="174">
        <f>R101+R102</f>
        <v>7548892</v>
      </c>
      <c r="S100" s="166">
        <f>O100*'Расчет НМЦК'!$C$16*'Расчет НМЦК'!$E$16*'Расчет НМЦК'!$I$16+P100*'Расчет НМЦК'!$C$17*'Расчет НМЦК'!$E$17*'Расчет НМЦК'!$I$17</f>
        <v>8476579</v>
      </c>
      <c r="T100" s="180"/>
      <c r="U100" s="180">
        <f t="shared" si="52"/>
        <v>8476579</v>
      </c>
    </row>
    <row r="101" spans="1:21" x14ac:dyDescent="0.25">
      <c r="A101" s="160" t="s">
        <v>416</v>
      </c>
      <c r="B101" s="158" t="s">
        <v>277</v>
      </c>
      <c r="C101" s="158" t="s">
        <v>278</v>
      </c>
      <c r="D101" s="159" t="s">
        <v>494</v>
      </c>
      <c r="E101" s="159">
        <v>1</v>
      </c>
      <c r="F101" s="168">
        <v>138.69</v>
      </c>
      <c r="G101" s="175"/>
      <c r="H101" s="168"/>
      <c r="I101" s="175"/>
      <c r="J101" s="91">
        <f>(F101+G101)*0.023</f>
        <v>3.19</v>
      </c>
      <c r="K101" s="91">
        <f>F101+G101+J101</f>
        <v>141.88</v>
      </c>
      <c r="L101" s="91">
        <f t="shared" si="20"/>
        <v>0.78</v>
      </c>
      <c r="M101" s="91">
        <f>-J101*0.15</f>
        <v>-0.48</v>
      </c>
      <c r="N101" s="91">
        <f>K101+L101+M101</f>
        <v>142.18</v>
      </c>
      <c r="O101" s="170">
        <f>N101*7*1000</f>
        <v>995260</v>
      </c>
      <c r="P101" s="170">
        <f>H101*3.98</f>
        <v>0</v>
      </c>
      <c r="Q101" s="170"/>
      <c r="R101" s="170">
        <f>O101+P101+Q101</f>
        <v>995260</v>
      </c>
      <c r="S101" s="134">
        <f>O101*'Расчет НМЦК'!$C$16*'Расчет НМЦК'!$E$16*'Расчет НМЦК'!$I$16+P101*'Расчет НМЦК'!$C$17*'Расчет НМЦК'!$E$17*'Расчет НМЦК'!$I$17</f>
        <v>1117568</v>
      </c>
      <c r="T101" s="171">
        <f t="shared" si="51"/>
        <v>1117568</v>
      </c>
      <c r="U101" s="171">
        <f t="shared" si="52"/>
        <v>1117568</v>
      </c>
    </row>
    <row r="102" spans="1:21" x14ac:dyDescent="0.25">
      <c r="A102" s="160" t="s">
        <v>417</v>
      </c>
      <c r="B102" s="158" t="s">
        <v>279</v>
      </c>
      <c r="C102" s="158" t="s">
        <v>280</v>
      </c>
      <c r="D102" s="159" t="s">
        <v>494</v>
      </c>
      <c r="E102" s="159">
        <v>1</v>
      </c>
      <c r="F102" s="168">
        <v>904.97</v>
      </c>
      <c r="G102" s="175"/>
      <c r="H102" s="168">
        <v>14.92</v>
      </c>
      <c r="I102" s="175"/>
      <c r="J102" s="91">
        <f>(F102+G102)*0.023</f>
        <v>20.81</v>
      </c>
      <c r="K102" s="91">
        <f>F102+G102+J102</f>
        <v>925.78</v>
      </c>
      <c r="L102" s="91">
        <f t="shared" si="20"/>
        <v>5.09</v>
      </c>
      <c r="M102" s="91">
        <f>-J102*0.15</f>
        <v>-3.12</v>
      </c>
      <c r="N102" s="91">
        <f>K102+L102+M102</f>
        <v>927.75</v>
      </c>
      <c r="O102" s="170">
        <f>N102*7*1000</f>
        <v>6494250</v>
      </c>
      <c r="P102" s="170">
        <f>H102*3.98*1000</f>
        <v>59382</v>
      </c>
      <c r="Q102" s="170"/>
      <c r="R102" s="170">
        <f>O102+P102+Q102</f>
        <v>6553632</v>
      </c>
      <c r="S102" s="134">
        <f>O102*'Расчет НМЦК'!$C$16*'Расчет НМЦК'!$E$16*'Расчет НМЦК'!$I$16+P102*'Расчет НМЦК'!$C$17*'Расчет НМЦК'!$E$17*'Расчет НМЦК'!$I$17</f>
        <v>7359011</v>
      </c>
      <c r="T102" s="171">
        <f t="shared" si="51"/>
        <v>7359011</v>
      </c>
      <c r="U102" s="171">
        <f t="shared" si="52"/>
        <v>7359011</v>
      </c>
    </row>
    <row r="103" spans="1:21" x14ac:dyDescent="0.25">
      <c r="A103" s="92" t="s">
        <v>418</v>
      </c>
      <c r="B103" s="90" t="s">
        <v>80</v>
      </c>
      <c r="C103" s="90" t="s">
        <v>81</v>
      </c>
      <c r="D103" s="104"/>
      <c r="E103" s="104"/>
      <c r="F103" s="178">
        <f>F104+F105</f>
        <v>138.19</v>
      </c>
      <c r="G103" s="178">
        <f>G105</f>
        <v>5.03</v>
      </c>
      <c r="H103" s="178">
        <f>H105</f>
        <v>626.38</v>
      </c>
      <c r="I103" s="179"/>
      <c r="J103" s="89">
        <f t="shared" ref="J103:P103" si="58">J104+J105</f>
        <v>3.29</v>
      </c>
      <c r="K103" s="89">
        <f t="shared" si="58"/>
        <v>146.51</v>
      </c>
      <c r="L103" s="89">
        <f t="shared" si="58"/>
        <v>0.8</v>
      </c>
      <c r="M103" s="89">
        <f t="shared" si="58"/>
        <v>-0.49</v>
      </c>
      <c r="N103" s="89">
        <f t="shared" si="58"/>
        <v>146.82</v>
      </c>
      <c r="O103" s="174">
        <f>O104+O105</f>
        <v>1027740</v>
      </c>
      <c r="P103" s="174">
        <f t="shared" si="58"/>
        <v>2492992</v>
      </c>
      <c r="Q103" s="174"/>
      <c r="R103" s="174">
        <f>R104+R105</f>
        <v>3520732</v>
      </c>
      <c r="S103" s="166">
        <f>O103*'Расчет НМЦК'!$C$16*'Расчет НМЦК'!$E$16*'Расчет НМЦК'!$I$16+P103*'Расчет НМЦК'!$C$17*'Расчет НМЦК'!$E$17*'Расчет НМЦК'!$I$17+1</f>
        <v>3953397</v>
      </c>
      <c r="T103" s="180"/>
      <c r="U103" s="180">
        <f t="shared" si="52"/>
        <v>3953397</v>
      </c>
    </row>
    <row r="104" spans="1:21" x14ac:dyDescent="0.25">
      <c r="A104" s="157" t="s">
        <v>419</v>
      </c>
      <c r="B104" s="158" t="s">
        <v>281</v>
      </c>
      <c r="C104" s="158" t="s">
        <v>282</v>
      </c>
      <c r="D104" s="159" t="s">
        <v>494</v>
      </c>
      <c r="E104" s="159">
        <v>1</v>
      </c>
      <c r="F104" s="168">
        <v>131.9</v>
      </c>
      <c r="G104" s="168"/>
      <c r="H104" s="168"/>
      <c r="I104" s="175"/>
      <c r="J104" s="91">
        <f t="shared" ref="J104:J111" si="59">(F104+G104)*0.023</f>
        <v>3.03</v>
      </c>
      <c r="K104" s="91">
        <f t="shared" ref="K104:K111" si="60">F104+G104+J104</f>
        <v>134.93</v>
      </c>
      <c r="L104" s="91">
        <f t="shared" si="20"/>
        <v>0.74</v>
      </c>
      <c r="M104" s="91">
        <f t="shared" ref="M104:M111" si="61">-J104*0.15</f>
        <v>-0.45</v>
      </c>
      <c r="N104" s="91">
        <f t="shared" ref="N104:N111" si="62">K104+L104+M104</f>
        <v>135.22</v>
      </c>
      <c r="O104" s="170">
        <f t="shared" ref="O104:O111" si="63">N104*7*1000</f>
        <v>946540</v>
      </c>
      <c r="P104" s="170">
        <f t="shared" ref="P104:P111" si="64">H104*3.98</f>
        <v>0</v>
      </c>
      <c r="Q104" s="170"/>
      <c r="R104" s="170">
        <f t="shared" ref="R104:R111" si="65">O104+P104+Q104</f>
        <v>946540</v>
      </c>
      <c r="S104" s="134">
        <f>O104*'Расчет НМЦК'!$C$16*'Расчет НМЦК'!$E$16*'Расчет НМЦК'!$I$16+P104*'Расчет НМЦК'!$C$17*'Расчет НМЦК'!$E$17*'Расчет НМЦК'!$I$17</f>
        <v>1062861</v>
      </c>
      <c r="T104" s="171">
        <f t="shared" si="51"/>
        <v>1062861</v>
      </c>
      <c r="U104" s="171">
        <f t="shared" si="52"/>
        <v>1062861</v>
      </c>
    </row>
    <row r="105" spans="1:21" x14ac:dyDescent="0.25">
      <c r="A105" s="157" t="s">
        <v>420</v>
      </c>
      <c r="B105" s="158" t="s">
        <v>283</v>
      </c>
      <c r="C105" s="158" t="s">
        <v>284</v>
      </c>
      <c r="D105" s="159" t="s">
        <v>494</v>
      </c>
      <c r="E105" s="159">
        <v>1</v>
      </c>
      <c r="F105" s="168">
        <v>6.29</v>
      </c>
      <c r="G105" s="168">
        <v>5.03</v>
      </c>
      <c r="H105" s="168">
        <v>626.38</v>
      </c>
      <c r="I105" s="175"/>
      <c r="J105" s="91">
        <f t="shared" si="59"/>
        <v>0.26</v>
      </c>
      <c r="K105" s="91">
        <f t="shared" si="60"/>
        <v>11.58</v>
      </c>
      <c r="L105" s="91">
        <f t="shared" si="20"/>
        <v>0.06</v>
      </c>
      <c r="M105" s="91">
        <f t="shared" si="61"/>
        <v>-0.04</v>
      </c>
      <c r="N105" s="91">
        <f t="shared" si="62"/>
        <v>11.6</v>
      </c>
      <c r="O105" s="170">
        <f t="shared" si="63"/>
        <v>81200</v>
      </c>
      <c r="P105" s="170">
        <f>H105*3.98*1000</f>
        <v>2492992</v>
      </c>
      <c r="Q105" s="170"/>
      <c r="R105" s="170">
        <f t="shared" si="65"/>
        <v>2574192</v>
      </c>
      <c r="S105" s="134">
        <f>O105*'Расчет НМЦК'!$C$16*'Расчет НМЦК'!$E$16*'Расчет НМЦК'!$I$16+P105*'Расчет НМЦК'!$C$17*'Расчет НМЦК'!$E$17*'Расчет НМЦК'!$I$17</f>
        <v>2890536</v>
      </c>
      <c r="T105" s="171">
        <f t="shared" si="51"/>
        <v>2890536</v>
      </c>
      <c r="U105" s="171">
        <f t="shared" si="52"/>
        <v>2890536</v>
      </c>
    </row>
    <row r="106" spans="1:21" x14ac:dyDescent="0.25">
      <c r="A106" s="87" t="s">
        <v>421</v>
      </c>
      <c r="B106" s="90" t="s">
        <v>82</v>
      </c>
      <c r="C106" s="90" t="s">
        <v>83</v>
      </c>
      <c r="D106" s="104" t="s">
        <v>494</v>
      </c>
      <c r="E106" s="104">
        <v>1</v>
      </c>
      <c r="F106" s="178">
        <v>4572.75</v>
      </c>
      <c r="G106" s="178">
        <v>8.74</v>
      </c>
      <c r="H106" s="178">
        <v>587.35</v>
      </c>
      <c r="I106" s="179"/>
      <c r="J106" s="86">
        <f t="shared" si="59"/>
        <v>105.37</v>
      </c>
      <c r="K106" s="86">
        <f t="shared" si="60"/>
        <v>4686.8599999999997</v>
      </c>
      <c r="L106" s="86">
        <f t="shared" si="20"/>
        <v>25.78</v>
      </c>
      <c r="M106" s="86">
        <f t="shared" si="61"/>
        <v>-15.81</v>
      </c>
      <c r="N106" s="86">
        <f t="shared" si="62"/>
        <v>4696.83</v>
      </c>
      <c r="O106" s="162">
        <f t="shared" si="63"/>
        <v>32877810</v>
      </c>
      <c r="P106" s="162">
        <f>H106*3.98*1000</f>
        <v>2337653</v>
      </c>
      <c r="Q106" s="162"/>
      <c r="R106" s="162">
        <f t="shared" si="65"/>
        <v>35215463</v>
      </c>
      <c r="S106" s="166">
        <f>O106*'Расчет НМЦК'!$C$16*'Расчет НМЦК'!$E$16*'Расчет НМЦК'!$I$16+P106*'Расчет НМЦК'!$C$17*'Расчет НМЦК'!$E$17*'Расчет НМЦК'!$I$17</f>
        <v>39543108</v>
      </c>
      <c r="T106" s="180">
        <f t="shared" si="51"/>
        <v>39543108</v>
      </c>
      <c r="U106" s="180">
        <f t="shared" si="52"/>
        <v>39543108</v>
      </c>
    </row>
    <row r="107" spans="1:21" ht="31.5" x14ac:dyDescent="0.25">
      <c r="A107" s="87" t="s">
        <v>422</v>
      </c>
      <c r="B107" s="90" t="s">
        <v>84</v>
      </c>
      <c r="C107" s="90" t="s">
        <v>85</v>
      </c>
      <c r="D107" s="104" t="s">
        <v>494</v>
      </c>
      <c r="E107" s="104">
        <v>1</v>
      </c>
      <c r="F107" s="178">
        <v>4339.22</v>
      </c>
      <c r="G107" s="179"/>
      <c r="H107" s="179"/>
      <c r="I107" s="179"/>
      <c r="J107" s="86">
        <f t="shared" si="59"/>
        <v>99.8</v>
      </c>
      <c r="K107" s="86">
        <f t="shared" si="60"/>
        <v>4439.0200000000004</v>
      </c>
      <c r="L107" s="86">
        <f t="shared" si="20"/>
        <v>24.41</v>
      </c>
      <c r="M107" s="86">
        <f t="shared" si="61"/>
        <v>-14.97</v>
      </c>
      <c r="N107" s="86">
        <f t="shared" si="62"/>
        <v>4448.46</v>
      </c>
      <c r="O107" s="162">
        <f t="shared" si="63"/>
        <v>31139220</v>
      </c>
      <c r="P107" s="162">
        <f t="shared" si="64"/>
        <v>0</v>
      </c>
      <c r="Q107" s="162"/>
      <c r="R107" s="162">
        <f t="shared" si="65"/>
        <v>31139220</v>
      </c>
      <c r="S107" s="166">
        <f>O107*'Расчет НМЦК'!$C$16*'Расчет НМЦК'!$E$16*'Расчет НМЦК'!$I$16+P107*'Расчет НМЦК'!$C$17*'Расчет НМЦК'!$E$17*'Расчет НМЦК'!$I$17</f>
        <v>34965934</v>
      </c>
      <c r="T107" s="180">
        <f t="shared" si="51"/>
        <v>34965934</v>
      </c>
      <c r="U107" s="180">
        <f t="shared" si="52"/>
        <v>34965934</v>
      </c>
    </row>
    <row r="108" spans="1:21" x14ac:dyDescent="0.25">
      <c r="A108" s="87" t="s">
        <v>423</v>
      </c>
      <c r="B108" s="90" t="s">
        <v>86</v>
      </c>
      <c r="C108" s="90" t="s">
        <v>87</v>
      </c>
      <c r="D108" s="104" t="s">
        <v>494</v>
      </c>
      <c r="E108" s="104">
        <v>1</v>
      </c>
      <c r="F108" s="178">
        <v>1512.67</v>
      </c>
      <c r="G108" s="178">
        <v>8.36</v>
      </c>
      <c r="H108" s="178">
        <v>116.76</v>
      </c>
      <c r="I108" s="179"/>
      <c r="J108" s="86">
        <f t="shared" si="59"/>
        <v>34.979999999999997</v>
      </c>
      <c r="K108" s="86">
        <f t="shared" si="60"/>
        <v>1556.01</v>
      </c>
      <c r="L108" s="86">
        <f t="shared" si="20"/>
        <v>8.56</v>
      </c>
      <c r="M108" s="86">
        <f t="shared" si="61"/>
        <v>-5.25</v>
      </c>
      <c r="N108" s="86">
        <f t="shared" si="62"/>
        <v>1559.32</v>
      </c>
      <c r="O108" s="162">
        <f t="shared" si="63"/>
        <v>10915240</v>
      </c>
      <c r="P108" s="162">
        <f>H108*3.98*1000</f>
        <v>464705</v>
      </c>
      <c r="Q108" s="162"/>
      <c r="R108" s="162">
        <f t="shared" si="65"/>
        <v>11379945</v>
      </c>
      <c r="S108" s="166">
        <f>O108*'Расчет НМЦК'!$C$16*'Расчет НМЦК'!$E$16*'Расчет НМЦК'!$I$16+P108*'Расчет НМЦК'!$C$17*'Расчет НМЦК'!$E$17*'Расчет НМЦК'!$I$17</f>
        <v>12778432</v>
      </c>
      <c r="T108" s="180">
        <f t="shared" si="51"/>
        <v>12778432</v>
      </c>
      <c r="U108" s="180">
        <f t="shared" si="52"/>
        <v>12778432</v>
      </c>
    </row>
    <row r="109" spans="1:21" x14ac:dyDescent="0.25">
      <c r="A109" s="87" t="s">
        <v>424</v>
      </c>
      <c r="B109" s="82" t="s">
        <v>90</v>
      </c>
      <c r="C109" s="82" t="s">
        <v>91</v>
      </c>
      <c r="D109" s="103" t="s">
        <v>494</v>
      </c>
      <c r="E109" s="103">
        <v>1</v>
      </c>
      <c r="F109" s="167">
        <v>260.93</v>
      </c>
      <c r="G109" s="167">
        <v>483.93</v>
      </c>
      <c r="H109" s="167">
        <v>64.38</v>
      </c>
      <c r="I109" s="89"/>
      <c r="J109" s="86">
        <f t="shared" si="59"/>
        <v>17.13</v>
      </c>
      <c r="K109" s="86">
        <f t="shared" si="60"/>
        <v>761.99</v>
      </c>
      <c r="L109" s="86">
        <f t="shared" si="20"/>
        <v>4.1900000000000004</v>
      </c>
      <c r="M109" s="86">
        <f t="shared" si="61"/>
        <v>-2.57</v>
      </c>
      <c r="N109" s="86">
        <f t="shared" si="62"/>
        <v>763.61</v>
      </c>
      <c r="O109" s="162">
        <f t="shared" si="63"/>
        <v>5345270</v>
      </c>
      <c r="P109" s="162">
        <f>H109*3.98*1000</f>
        <v>256232</v>
      </c>
      <c r="Q109" s="162"/>
      <c r="R109" s="162">
        <f t="shared" si="65"/>
        <v>5601502</v>
      </c>
      <c r="S109" s="166">
        <f>O109*'Расчет НМЦК'!$C$16*'Расчет НМЦК'!$E$16*'Расчет НМЦК'!$I$16+P109*'Расчет НМЦК'!$C$17*'Расчет НМЦК'!$E$17*'Расчет НМЦК'!$I$17</f>
        <v>6289873</v>
      </c>
      <c r="T109" s="165">
        <f t="shared" si="51"/>
        <v>6289873</v>
      </c>
      <c r="U109" s="165">
        <f t="shared" si="52"/>
        <v>6289873</v>
      </c>
    </row>
    <row r="110" spans="1:21" x14ac:dyDescent="0.25">
      <c r="A110" s="87" t="s">
        <v>425</v>
      </c>
      <c r="B110" s="82" t="s">
        <v>92</v>
      </c>
      <c r="C110" s="82" t="s">
        <v>93</v>
      </c>
      <c r="D110" s="103" t="s">
        <v>494</v>
      </c>
      <c r="E110" s="103">
        <v>1</v>
      </c>
      <c r="F110" s="167">
        <v>1146.3</v>
      </c>
      <c r="G110" s="148"/>
      <c r="H110" s="148"/>
      <c r="I110" s="89"/>
      <c r="J110" s="86">
        <f t="shared" si="59"/>
        <v>26.36</v>
      </c>
      <c r="K110" s="86">
        <f t="shared" si="60"/>
        <v>1172.6600000000001</v>
      </c>
      <c r="L110" s="86">
        <f t="shared" si="20"/>
        <v>6.45</v>
      </c>
      <c r="M110" s="86">
        <f t="shared" si="61"/>
        <v>-3.95</v>
      </c>
      <c r="N110" s="86">
        <f t="shared" si="62"/>
        <v>1175.1600000000001</v>
      </c>
      <c r="O110" s="162">
        <f t="shared" si="63"/>
        <v>8226120</v>
      </c>
      <c r="P110" s="162">
        <f>H110*3.98*1000</f>
        <v>0</v>
      </c>
      <c r="Q110" s="162"/>
      <c r="R110" s="162">
        <f t="shared" si="65"/>
        <v>8226120</v>
      </c>
      <c r="S110" s="166">
        <f>O110*'Расчет НМЦК'!$C$16*'Расчет НМЦК'!$E$16*'Расчет НМЦК'!$I$16+P110*'Расчет НМЦК'!$C$17*'Расчет НМЦК'!$E$17*'Расчет НМЦК'!$I$17</f>
        <v>9237032</v>
      </c>
      <c r="T110" s="165">
        <f t="shared" si="51"/>
        <v>9237032</v>
      </c>
      <c r="U110" s="165">
        <f t="shared" si="52"/>
        <v>9237032</v>
      </c>
    </row>
    <row r="111" spans="1:21" ht="31.5" x14ac:dyDescent="0.25">
      <c r="A111" s="87" t="s">
        <v>426</v>
      </c>
      <c r="B111" s="82" t="s">
        <v>94</v>
      </c>
      <c r="C111" s="82" t="s">
        <v>95</v>
      </c>
      <c r="D111" s="103" t="s">
        <v>494</v>
      </c>
      <c r="E111" s="103">
        <v>1</v>
      </c>
      <c r="F111" s="167">
        <v>123.23</v>
      </c>
      <c r="G111" s="148"/>
      <c r="H111" s="148"/>
      <c r="I111" s="89"/>
      <c r="J111" s="86">
        <f t="shared" si="59"/>
        <v>2.83</v>
      </c>
      <c r="K111" s="86">
        <f t="shared" si="60"/>
        <v>126.06</v>
      </c>
      <c r="L111" s="86">
        <f t="shared" si="20"/>
        <v>0.69</v>
      </c>
      <c r="M111" s="86">
        <f t="shared" si="61"/>
        <v>-0.42</v>
      </c>
      <c r="N111" s="86">
        <f t="shared" si="62"/>
        <v>126.33</v>
      </c>
      <c r="O111" s="162">
        <f t="shared" si="63"/>
        <v>884310</v>
      </c>
      <c r="P111" s="162">
        <f t="shared" si="64"/>
        <v>0</v>
      </c>
      <c r="Q111" s="162"/>
      <c r="R111" s="162">
        <f t="shared" si="65"/>
        <v>884310</v>
      </c>
      <c r="S111" s="166">
        <f>O111*'Расчет НМЦК'!$C$16*'Расчет НМЦК'!$E$16*'Расчет НМЦК'!$I$16+P111*'Расчет НМЦК'!$C$17*'Расчет НМЦК'!$E$17*'Расчет НМЦК'!$I$17</f>
        <v>992983</v>
      </c>
      <c r="T111" s="165">
        <f t="shared" si="51"/>
        <v>992983</v>
      </c>
      <c r="U111" s="165">
        <f t="shared" si="52"/>
        <v>992983</v>
      </c>
    </row>
    <row r="112" spans="1:21" x14ac:dyDescent="0.25">
      <c r="A112" s="87" t="s">
        <v>427</v>
      </c>
      <c r="B112" s="82" t="s">
        <v>107</v>
      </c>
      <c r="C112" s="82" t="s">
        <v>108</v>
      </c>
      <c r="D112" s="103"/>
      <c r="E112" s="103"/>
      <c r="F112" s="88"/>
      <c r="G112" s="88"/>
      <c r="H112" s="88"/>
      <c r="I112" s="176">
        <f>I113+I114+I115+I116+I117+I118+I119+I120+I121</f>
        <v>418.08</v>
      </c>
      <c r="J112" s="89"/>
      <c r="K112" s="89"/>
      <c r="L112" s="89"/>
      <c r="M112" s="89"/>
      <c r="N112" s="89"/>
      <c r="O112" s="174"/>
      <c r="P112" s="174"/>
      <c r="Q112" s="174">
        <f>Q113+Q114+Q115+Q116+Q117+Q118+Q119+Q120+Q121</f>
        <v>6333910</v>
      </c>
      <c r="R112" s="182">
        <f>R113+R114+R115+R116+R117+R118+R119+R120+R121</f>
        <v>6333910</v>
      </c>
      <c r="S112" s="134">
        <f>R112*'Расчет НМЦК'!$C$18*'Расчет НМЦК'!$E$18*'Расчет НМЦК'!$I$18+1</f>
        <v>7112287</v>
      </c>
      <c r="T112" s="165"/>
      <c r="U112" s="165">
        <f t="shared" si="52"/>
        <v>7112287</v>
      </c>
    </row>
    <row r="113" spans="1:21" ht="63" x14ac:dyDescent="0.25">
      <c r="A113" s="157" t="s">
        <v>587</v>
      </c>
      <c r="B113" s="158" t="s">
        <v>285</v>
      </c>
      <c r="C113" s="158" t="s">
        <v>286</v>
      </c>
      <c r="D113" s="159" t="s">
        <v>494</v>
      </c>
      <c r="E113" s="159">
        <v>1</v>
      </c>
      <c r="F113" s="88"/>
      <c r="G113" s="88"/>
      <c r="H113" s="88"/>
      <c r="I113" s="168">
        <f>73.18-0.02</f>
        <v>73.16</v>
      </c>
      <c r="J113" s="89"/>
      <c r="K113" s="89"/>
      <c r="L113" s="89"/>
      <c r="M113" s="89"/>
      <c r="N113" s="89"/>
      <c r="O113" s="174"/>
      <c r="P113" s="174"/>
      <c r="Q113" s="183">
        <f>ROUND(I113*15.15,2)*1000</f>
        <v>1108370</v>
      </c>
      <c r="R113" s="183">
        <f>Q113</f>
        <v>1108370</v>
      </c>
      <c r="S113" s="134">
        <f>R113*'Расчет НМЦК'!$C$18*'Расчет НМЦК'!$E$18*'Расчет НМЦК'!$I$18</f>
        <v>1244578</v>
      </c>
      <c r="T113" s="171">
        <f t="shared" si="51"/>
        <v>1244578</v>
      </c>
      <c r="U113" s="171">
        <f t="shared" si="52"/>
        <v>1244578</v>
      </c>
    </row>
    <row r="114" spans="1:21" ht="63" x14ac:dyDescent="0.25">
      <c r="A114" s="157" t="s">
        <v>588</v>
      </c>
      <c r="B114" s="158" t="s">
        <v>287</v>
      </c>
      <c r="C114" s="158" t="s">
        <v>288</v>
      </c>
      <c r="D114" s="159" t="s">
        <v>494</v>
      </c>
      <c r="E114" s="159">
        <v>1</v>
      </c>
      <c r="F114" s="88"/>
      <c r="G114" s="88"/>
      <c r="H114" s="88"/>
      <c r="I114" s="168">
        <v>78.819999999999993</v>
      </c>
      <c r="J114" s="89"/>
      <c r="K114" s="89"/>
      <c r="L114" s="89"/>
      <c r="M114" s="89"/>
      <c r="N114" s="89"/>
      <c r="O114" s="174"/>
      <c r="P114" s="174"/>
      <c r="Q114" s="183">
        <f t="shared" ref="Q114:Q121" si="66">I114*15.15*1000</f>
        <v>1194123</v>
      </c>
      <c r="R114" s="183">
        <f t="shared" ref="R114:R123" si="67">Q114</f>
        <v>1194123</v>
      </c>
      <c r="S114" s="134">
        <f>R114*'Расчет НМЦК'!$C$18*'Расчет НМЦК'!$E$18*'Расчет НМЦК'!$I$18</f>
        <v>1340869</v>
      </c>
      <c r="T114" s="171">
        <f t="shared" si="51"/>
        <v>1340869</v>
      </c>
      <c r="U114" s="171">
        <f t="shared" si="52"/>
        <v>1340869</v>
      </c>
    </row>
    <row r="115" spans="1:21" ht="47.25" x14ac:dyDescent="0.25">
      <c r="A115" s="157" t="s">
        <v>589</v>
      </c>
      <c r="B115" s="158" t="s">
        <v>289</v>
      </c>
      <c r="C115" s="158" t="s">
        <v>290</v>
      </c>
      <c r="D115" s="159" t="s">
        <v>494</v>
      </c>
      <c r="E115" s="159">
        <v>1</v>
      </c>
      <c r="F115" s="88"/>
      <c r="G115" s="88"/>
      <c r="H115" s="88"/>
      <c r="I115" s="168">
        <v>42.84</v>
      </c>
      <c r="J115" s="89"/>
      <c r="K115" s="89"/>
      <c r="L115" s="89"/>
      <c r="M115" s="89"/>
      <c r="N115" s="89"/>
      <c r="O115" s="174"/>
      <c r="P115" s="174"/>
      <c r="Q115" s="183">
        <f t="shared" si="66"/>
        <v>649026</v>
      </c>
      <c r="R115" s="183">
        <f t="shared" si="67"/>
        <v>649026</v>
      </c>
      <c r="S115" s="134">
        <f>R115*'Расчет НМЦК'!$C$18*'Расчет НМЦК'!$E$18*'Расчет НМЦК'!$I$18</f>
        <v>728785</v>
      </c>
      <c r="T115" s="171">
        <f t="shared" si="51"/>
        <v>728785</v>
      </c>
      <c r="U115" s="171">
        <f t="shared" si="52"/>
        <v>728785</v>
      </c>
    </row>
    <row r="116" spans="1:21" ht="47.25" x14ac:dyDescent="0.25">
      <c r="A116" s="157" t="s">
        <v>590</v>
      </c>
      <c r="B116" s="158" t="s">
        <v>291</v>
      </c>
      <c r="C116" s="158" t="s">
        <v>292</v>
      </c>
      <c r="D116" s="159" t="s">
        <v>494</v>
      </c>
      <c r="E116" s="159">
        <v>1</v>
      </c>
      <c r="F116" s="88"/>
      <c r="G116" s="88"/>
      <c r="H116" s="88"/>
      <c r="I116" s="168">
        <v>36.99</v>
      </c>
      <c r="J116" s="89"/>
      <c r="K116" s="89"/>
      <c r="L116" s="89"/>
      <c r="M116" s="89"/>
      <c r="N116" s="89"/>
      <c r="O116" s="174"/>
      <c r="P116" s="174"/>
      <c r="Q116" s="183">
        <f t="shared" si="66"/>
        <v>560399</v>
      </c>
      <c r="R116" s="183">
        <f t="shared" si="67"/>
        <v>560399</v>
      </c>
      <c r="S116" s="134">
        <f>R116*'Расчет НМЦК'!$C$18*'Расчет НМЦК'!$E$18*'Расчет НМЦК'!$I$18</f>
        <v>629267</v>
      </c>
      <c r="T116" s="171">
        <f t="shared" si="51"/>
        <v>629267</v>
      </c>
      <c r="U116" s="171">
        <f t="shared" si="52"/>
        <v>629267</v>
      </c>
    </row>
    <row r="117" spans="1:21" ht="47.25" x14ac:dyDescent="0.25">
      <c r="A117" s="157" t="s">
        <v>591</v>
      </c>
      <c r="B117" s="158" t="s">
        <v>293</v>
      </c>
      <c r="C117" s="158" t="s">
        <v>294</v>
      </c>
      <c r="D117" s="159" t="s">
        <v>494</v>
      </c>
      <c r="E117" s="159">
        <v>1</v>
      </c>
      <c r="F117" s="88"/>
      <c r="G117" s="88"/>
      <c r="H117" s="88"/>
      <c r="I117" s="168">
        <v>36.49</v>
      </c>
      <c r="J117" s="89"/>
      <c r="K117" s="89"/>
      <c r="L117" s="89"/>
      <c r="M117" s="89"/>
      <c r="N117" s="89"/>
      <c r="O117" s="174"/>
      <c r="P117" s="174"/>
      <c r="Q117" s="183">
        <f t="shared" si="66"/>
        <v>552824</v>
      </c>
      <c r="R117" s="183">
        <f t="shared" si="67"/>
        <v>552824</v>
      </c>
      <c r="S117" s="134">
        <f>R117*'Расчет НМЦК'!$C$18*'Расчет НМЦК'!$E$18*'Расчет НМЦК'!$I$18</f>
        <v>620761</v>
      </c>
      <c r="T117" s="171">
        <f t="shared" si="51"/>
        <v>620761</v>
      </c>
      <c r="U117" s="171">
        <f t="shared" si="52"/>
        <v>620761</v>
      </c>
    </row>
    <row r="118" spans="1:21" ht="47.25" x14ac:dyDescent="0.25">
      <c r="A118" s="157" t="s">
        <v>592</v>
      </c>
      <c r="B118" s="158" t="s">
        <v>295</v>
      </c>
      <c r="C118" s="158" t="s">
        <v>296</v>
      </c>
      <c r="D118" s="159" t="s">
        <v>494</v>
      </c>
      <c r="E118" s="159">
        <v>1</v>
      </c>
      <c r="F118" s="88"/>
      <c r="G118" s="88"/>
      <c r="H118" s="88"/>
      <c r="I118" s="168">
        <v>41.33</v>
      </c>
      <c r="J118" s="89"/>
      <c r="K118" s="89"/>
      <c r="L118" s="89"/>
      <c r="M118" s="89"/>
      <c r="N118" s="89"/>
      <c r="O118" s="174"/>
      <c r="P118" s="174"/>
      <c r="Q118" s="183">
        <f t="shared" si="66"/>
        <v>626150</v>
      </c>
      <c r="R118" s="183">
        <f t="shared" si="67"/>
        <v>626150</v>
      </c>
      <c r="S118" s="134">
        <f>R118*'Расчет НМЦК'!$C$18*'Расчет НМЦК'!$E$18*'Расчет НМЦК'!$I$18</f>
        <v>703098</v>
      </c>
      <c r="T118" s="171">
        <f t="shared" si="51"/>
        <v>703098</v>
      </c>
      <c r="U118" s="171">
        <f t="shared" si="52"/>
        <v>703098</v>
      </c>
    </row>
    <row r="119" spans="1:21" ht="47.25" x14ac:dyDescent="0.25">
      <c r="A119" s="157" t="s">
        <v>593</v>
      </c>
      <c r="B119" s="158" t="s">
        <v>297</v>
      </c>
      <c r="C119" s="158" t="s">
        <v>298</v>
      </c>
      <c r="D119" s="159" t="s">
        <v>494</v>
      </c>
      <c r="E119" s="159">
        <v>1</v>
      </c>
      <c r="F119" s="88"/>
      <c r="G119" s="88"/>
      <c r="H119" s="88"/>
      <c r="I119" s="168">
        <v>40.22</v>
      </c>
      <c r="J119" s="89"/>
      <c r="K119" s="89"/>
      <c r="L119" s="89"/>
      <c r="M119" s="89"/>
      <c r="N119" s="89"/>
      <c r="O119" s="174"/>
      <c r="P119" s="174"/>
      <c r="Q119" s="183">
        <f t="shared" si="66"/>
        <v>609333</v>
      </c>
      <c r="R119" s="183">
        <f t="shared" si="67"/>
        <v>609333</v>
      </c>
      <c r="S119" s="134">
        <f>R119*'Расчет НМЦК'!$C$18*'Расчет НМЦК'!$E$18*'Расчет НМЦК'!$I$18</f>
        <v>684214</v>
      </c>
      <c r="T119" s="171">
        <f t="shared" si="51"/>
        <v>684214</v>
      </c>
      <c r="U119" s="171">
        <f t="shared" si="52"/>
        <v>684214</v>
      </c>
    </row>
    <row r="120" spans="1:21" ht="47.25" x14ac:dyDescent="0.25">
      <c r="A120" s="157" t="s">
        <v>594</v>
      </c>
      <c r="B120" s="158" t="s">
        <v>299</v>
      </c>
      <c r="C120" s="158" t="s">
        <v>300</v>
      </c>
      <c r="D120" s="159" t="s">
        <v>494</v>
      </c>
      <c r="E120" s="159">
        <v>1</v>
      </c>
      <c r="F120" s="88"/>
      <c r="G120" s="88"/>
      <c r="H120" s="88"/>
      <c r="I120" s="168">
        <v>44.89</v>
      </c>
      <c r="J120" s="89"/>
      <c r="K120" s="89"/>
      <c r="L120" s="89"/>
      <c r="M120" s="89"/>
      <c r="N120" s="89"/>
      <c r="O120" s="174"/>
      <c r="P120" s="174"/>
      <c r="Q120" s="183">
        <f t="shared" si="66"/>
        <v>680084</v>
      </c>
      <c r="R120" s="183">
        <f t="shared" si="67"/>
        <v>680084</v>
      </c>
      <c r="S120" s="134">
        <f>R120*'Расчет НМЦК'!$C$18*'Расчет НМЦК'!$E$18*'Расчет НМЦК'!$I$18</f>
        <v>763660</v>
      </c>
      <c r="T120" s="171">
        <f t="shared" si="51"/>
        <v>763660</v>
      </c>
      <c r="U120" s="171">
        <f t="shared" si="52"/>
        <v>763660</v>
      </c>
    </row>
    <row r="121" spans="1:21" ht="31.5" x14ac:dyDescent="0.25">
      <c r="A121" s="157" t="s">
        <v>595</v>
      </c>
      <c r="B121" s="158" t="s">
        <v>301</v>
      </c>
      <c r="C121" s="158" t="s">
        <v>302</v>
      </c>
      <c r="D121" s="159" t="s">
        <v>494</v>
      </c>
      <c r="E121" s="159">
        <v>1</v>
      </c>
      <c r="F121" s="88"/>
      <c r="G121" s="88"/>
      <c r="H121" s="88"/>
      <c r="I121" s="168">
        <v>23.34</v>
      </c>
      <c r="J121" s="89"/>
      <c r="K121" s="89"/>
      <c r="L121" s="89"/>
      <c r="M121" s="89"/>
      <c r="N121" s="89"/>
      <c r="O121" s="174"/>
      <c r="P121" s="174"/>
      <c r="Q121" s="183">
        <f t="shared" si="66"/>
        <v>353601</v>
      </c>
      <c r="R121" s="183">
        <f t="shared" si="67"/>
        <v>353601</v>
      </c>
      <c r="S121" s="134">
        <f>R121*'Расчет НМЦК'!$C$18*'Расчет НМЦК'!$E$18*'Расчет НМЦК'!$I$18</f>
        <v>397055</v>
      </c>
      <c r="T121" s="171">
        <f t="shared" si="51"/>
        <v>397055</v>
      </c>
      <c r="U121" s="171">
        <f t="shared" si="52"/>
        <v>397055</v>
      </c>
    </row>
    <row r="122" spans="1:21" ht="47.25" x14ac:dyDescent="0.25">
      <c r="A122" s="92" t="s">
        <v>428</v>
      </c>
      <c r="B122" s="94" t="s">
        <v>109</v>
      </c>
      <c r="C122" s="82" t="s">
        <v>363</v>
      </c>
      <c r="D122" s="103" t="s">
        <v>494</v>
      </c>
      <c r="E122" s="103">
        <v>1</v>
      </c>
      <c r="F122" s="95"/>
      <c r="G122" s="95"/>
      <c r="H122" s="95"/>
      <c r="I122" s="167">
        <v>2619.23</v>
      </c>
      <c r="J122" s="93"/>
      <c r="K122" s="93"/>
      <c r="L122" s="93"/>
      <c r="M122" s="93"/>
      <c r="N122" s="93"/>
      <c r="O122" s="177"/>
      <c r="P122" s="177"/>
      <c r="Q122" s="177">
        <f>I122*10.51*1000+3</f>
        <v>27528110</v>
      </c>
      <c r="R122" s="163">
        <f t="shared" si="67"/>
        <v>27528110</v>
      </c>
      <c r="S122" s="134">
        <f>R122</f>
        <v>27528110</v>
      </c>
      <c r="T122" s="165">
        <f t="shared" si="51"/>
        <v>27528110</v>
      </c>
      <c r="U122" s="165">
        <f t="shared" si="52"/>
        <v>27528110</v>
      </c>
    </row>
    <row r="123" spans="1:21" ht="31.5" x14ac:dyDescent="0.25">
      <c r="A123" s="92" t="s">
        <v>429</v>
      </c>
      <c r="B123" s="94" t="s">
        <v>111</v>
      </c>
      <c r="C123" s="82" t="s">
        <v>336</v>
      </c>
      <c r="D123" s="103" t="s">
        <v>494</v>
      </c>
      <c r="E123" s="103">
        <v>1</v>
      </c>
      <c r="F123" s="95"/>
      <c r="G123" s="95"/>
      <c r="H123" s="95"/>
      <c r="I123" s="167">
        <v>0.03</v>
      </c>
      <c r="J123" s="93"/>
      <c r="K123" s="93"/>
      <c r="L123" s="93"/>
      <c r="M123" s="93"/>
      <c r="N123" s="93"/>
      <c r="O123" s="177"/>
      <c r="P123" s="177"/>
      <c r="Q123" s="177">
        <f>I123*10.51*1000</f>
        <v>315</v>
      </c>
      <c r="R123" s="163">
        <f t="shared" si="67"/>
        <v>315</v>
      </c>
      <c r="S123" s="134">
        <f>R123*'Расчет НМЦК'!$C$20*'Расчет НМЦК'!$E$20*'Расчет НМЦК'!$I$20</f>
        <v>354</v>
      </c>
      <c r="T123" s="165">
        <f t="shared" si="51"/>
        <v>354</v>
      </c>
      <c r="U123" s="165">
        <f t="shared" si="52"/>
        <v>354</v>
      </c>
    </row>
    <row r="124" spans="1:21" ht="47.25" x14ac:dyDescent="0.25">
      <c r="A124" s="92" t="s">
        <v>430</v>
      </c>
      <c r="B124" s="94" t="s">
        <v>113</v>
      </c>
      <c r="C124" s="82" t="s">
        <v>337</v>
      </c>
      <c r="D124" s="103" t="s">
        <v>494</v>
      </c>
      <c r="E124" s="103">
        <v>1</v>
      </c>
      <c r="F124" s="95"/>
      <c r="G124" s="95"/>
      <c r="H124" s="95"/>
      <c r="I124" s="167">
        <v>22.53</v>
      </c>
      <c r="J124" s="93"/>
      <c r="K124" s="93"/>
      <c r="L124" s="93"/>
      <c r="M124" s="93"/>
      <c r="N124" s="93"/>
      <c r="O124" s="177"/>
      <c r="P124" s="177"/>
      <c r="Q124" s="177">
        <f>I124*10.51*1000</f>
        <v>236790</v>
      </c>
      <c r="R124" s="163">
        <f>Q124</f>
        <v>236790</v>
      </c>
      <c r="S124" s="134">
        <f>R124*'Расчет НМЦК'!$C$21*'Расчет НМЦК'!$E$21*'Расчет НМЦК'!$I$21</f>
        <v>265889</v>
      </c>
      <c r="T124" s="165">
        <f t="shared" si="51"/>
        <v>265889</v>
      </c>
      <c r="U124" s="165">
        <f t="shared" si="52"/>
        <v>265889</v>
      </c>
    </row>
    <row r="125" spans="1:21" x14ac:dyDescent="0.25">
      <c r="A125" s="92" t="s">
        <v>431</v>
      </c>
      <c r="B125" s="96" t="s">
        <v>364</v>
      </c>
      <c r="C125" s="96" t="s">
        <v>338</v>
      </c>
      <c r="D125" s="105" t="s">
        <v>494</v>
      </c>
      <c r="E125" s="105">
        <v>1</v>
      </c>
      <c r="F125" s="95"/>
      <c r="G125" s="95"/>
      <c r="H125" s="95"/>
      <c r="I125" s="93">
        <f>'Затраты Подрядчика по ССР'!H151+'Затраты Подрядчика по ССР'!H152</f>
        <v>120.98</v>
      </c>
      <c r="J125" s="93"/>
      <c r="K125" s="93"/>
      <c r="L125" s="93"/>
      <c r="M125" s="93"/>
      <c r="N125" s="93"/>
      <c r="O125" s="177"/>
      <c r="P125" s="177"/>
      <c r="Q125" s="177">
        <f>I125*10.51*1000</f>
        <v>1271500</v>
      </c>
      <c r="R125" s="163">
        <f>Q125</f>
        <v>1271500</v>
      </c>
      <c r="S125" s="134">
        <f>R125*'Расчет НМЦК'!$C$22*'Расчет НМЦК'!$E$22*'Расчет НМЦК'!$I$22+1</f>
        <v>1427756</v>
      </c>
      <c r="T125" s="184">
        <f t="shared" si="51"/>
        <v>1427756</v>
      </c>
      <c r="U125" s="184">
        <f t="shared" si="52"/>
        <v>1427756</v>
      </c>
    </row>
    <row r="126" spans="1:21" ht="47.25" x14ac:dyDescent="0.25">
      <c r="A126" s="92" t="s">
        <v>432</v>
      </c>
      <c r="B126" s="96" t="s">
        <v>25</v>
      </c>
      <c r="C126" s="96" t="s">
        <v>365</v>
      </c>
      <c r="D126" s="105" t="s">
        <v>494</v>
      </c>
      <c r="E126" s="105">
        <v>1</v>
      </c>
      <c r="F126" s="95"/>
      <c r="G126" s="95"/>
      <c r="H126" s="95"/>
      <c r="I126" s="93">
        <f>'Затраты Подрядчика по ССР'!H33</f>
        <v>10.39</v>
      </c>
      <c r="J126" s="93"/>
      <c r="K126" s="93"/>
      <c r="L126" s="93"/>
      <c r="M126" s="93"/>
      <c r="N126" s="93"/>
      <c r="O126" s="177"/>
      <c r="P126" s="177"/>
      <c r="Q126" s="177">
        <f>I126*10.51*1000</f>
        <v>109199</v>
      </c>
      <c r="R126" s="163">
        <f>Q126</f>
        <v>109199</v>
      </c>
      <c r="S126" s="134">
        <f>R126*'Расчет НМЦК'!$C$23*'Расчет НМЦК'!$E$23*'Расчет НМЦК'!$I$23</f>
        <v>122619</v>
      </c>
      <c r="T126" s="184">
        <f t="shared" si="51"/>
        <v>122619</v>
      </c>
      <c r="U126" s="184">
        <f t="shared" si="52"/>
        <v>122619</v>
      </c>
    </row>
    <row r="127" spans="1:21" ht="31.5" x14ac:dyDescent="0.25">
      <c r="A127" s="92" t="s">
        <v>433</v>
      </c>
      <c r="B127" s="94" t="s">
        <v>141</v>
      </c>
      <c r="C127" s="96" t="s">
        <v>339</v>
      </c>
      <c r="D127" s="105" t="s">
        <v>494</v>
      </c>
      <c r="E127" s="105">
        <v>1</v>
      </c>
      <c r="F127" s="95"/>
      <c r="G127" s="95"/>
      <c r="H127" s="95"/>
      <c r="I127" s="93"/>
      <c r="J127" s="93"/>
      <c r="K127" s="93"/>
      <c r="L127" s="93"/>
      <c r="M127" s="93"/>
      <c r="N127" s="93"/>
      <c r="O127" s="177"/>
      <c r="P127" s="177"/>
      <c r="Q127" s="177">
        <f>'Расчет НМЦК'!B24</f>
        <v>12173127</v>
      </c>
      <c r="R127" s="163">
        <f>Q127</f>
        <v>12173127</v>
      </c>
      <c r="S127" s="134">
        <f>R127*'Расчет НМЦК'!$C$24*'Расчет НМЦК'!$E$24*'Расчет НМЦК'!$I$24</f>
        <v>13669088</v>
      </c>
      <c r="T127" s="184">
        <f t="shared" si="51"/>
        <v>13669088</v>
      </c>
      <c r="U127" s="184">
        <f t="shared" si="52"/>
        <v>13669088</v>
      </c>
    </row>
    <row r="128" spans="1:21" ht="31.5" x14ac:dyDescent="0.25">
      <c r="A128" s="185"/>
      <c r="B128" s="186"/>
      <c r="C128" s="187" t="s">
        <v>369</v>
      </c>
      <c r="D128" s="78"/>
      <c r="E128" s="78"/>
      <c r="F128" s="161">
        <f>F8+F9+F10+F11+F13+F14+F34+F38+F42+F46+F47+F48+F49+F50+F51+F55+F59+F63+F67+F70+F86+F89+F93+F94+F97+F100+F103+F106+F107+F108+F109+F110+F111+F112+F122+F123+F124+F125+F126+F127</f>
        <v>51084.27</v>
      </c>
      <c r="G128" s="161">
        <f>G8+G9+G10+G11+G13+G14+G34+G38+G42+G46+G47+G48+G49+G50+G51+G55+G59+G63+G67+G70+G86+G89+G93+G94+G97+G100+G103+G106+G107+G108+G109+G110+G111+G112+G122+G123+G124+G125+G126+G127</f>
        <v>4296.29</v>
      </c>
      <c r="H128" s="161">
        <f>H8+H9+H10+H11+H13+H14+H34+H38+H42+H46+H47+H48+H49+H50+H51+H55+H59+H63+H67+H70+H86+H89+H93+H94+H97+H100+H103+H106+H107+H108+H109+H110+H111+H112+H122+H123+H124+H125+H126+H127</f>
        <v>43822.89</v>
      </c>
      <c r="I128" s="161">
        <f>I8+I10+I11+I13+I14+I34+I38+I42+I46+I47+I48+I49+I50+I51+I55+I59+I63+I67+I70+I86+I89+I93+I94+I97+I100+I103+I106+I107+I108+I109+I110+I111+I112+I122+I123+I124+I125+I126</f>
        <v>9306.19</v>
      </c>
      <c r="J128" s="161">
        <f t="shared" ref="J128:P128" si="68">J8+J9+J10+J11+J13+J14+J34+J38+J42+J46+J47+J48+J49+J50+J51+J55+J59+J63+J67+J70+J86+J89+J93+J94+J97+J100+J103+J106+J107+J108+J109+J110+J111+J112+J122+J123+J124+J125+J126+J127</f>
        <v>1273.77</v>
      </c>
      <c r="K128" s="161">
        <f t="shared" si="68"/>
        <v>56654.33</v>
      </c>
      <c r="L128" s="161">
        <f t="shared" si="68"/>
        <v>311.58</v>
      </c>
      <c r="M128" s="161">
        <f t="shared" si="68"/>
        <v>-191.1</v>
      </c>
      <c r="N128" s="161">
        <f t="shared" si="68"/>
        <v>56774.81</v>
      </c>
      <c r="O128" s="161">
        <f t="shared" si="68"/>
        <v>397423960</v>
      </c>
      <c r="P128" s="161">
        <f t="shared" si="68"/>
        <v>174415110</v>
      </c>
      <c r="Q128" s="161">
        <f>Q8+Q9+Q10+Q11+Q12+Q13+Q14+Q34+Q38+Q42+Q46+Q47+Q48+Q49+Q50+Q51+Q55+Q59+Q63+Q67+Q70+Q86+Q89+Q93+Q94+Q97+Q100+Q103+Q106+Q107+Q108+Q109+Q110+Q111+Q112+Q122+Q123+Q124+Q125+Q126+Q127</f>
        <v>78530890</v>
      </c>
      <c r="R128" s="161">
        <f>R8+R9+R10+R11+R12+R13+R14+R34+R38+R42+R46+R47+R48+R49+R50+R51+R55+R59+R63+R67+R70+R86+R89+R93+R94+R97+R100+R103+R106+R107+R108+R109+R110+R111+R112+R122+R123+R124+R125+R126+R127</f>
        <v>650369960</v>
      </c>
      <c r="S128" s="161">
        <f>S8+S9+S10+S11+S12+S13+S14+S34+S38+S42+S46+S47+S48+S49+S50+S51+S55+S59+S63+S67+S70+S86+S89+S93+S94+S97+S100+S103+S106+S107+S108+S109+S110+S111+S112+S122+S123+S124+S125+S126+S127</f>
        <v>725871630</v>
      </c>
      <c r="T128" s="131"/>
      <c r="U128" s="161">
        <f>U8+U9+U10+U11+U12+U13+U14+U34+U38+U42+U46+U47+U48+U49+U50+U51+U55+U59+U63+U67+U70+U86+U89+U93+U94+U97+U100+U103+U106+U107+U108+U109+U110+U111+U112+U122+U123+U124+U125+U126+U127</f>
        <v>725871630</v>
      </c>
    </row>
    <row r="129" spans="1:21" x14ac:dyDescent="0.25">
      <c r="A129" s="131"/>
      <c r="B129" s="131"/>
      <c r="C129" s="131" t="s">
        <v>322</v>
      </c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88"/>
      <c r="P129" s="189"/>
      <c r="Q129" s="131"/>
      <c r="R129" s="190">
        <f>R128*0.2</f>
        <v>130073992</v>
      </c>
      <c r="S129" s="190">
        <f>S128*0.2</f>
        <v>145174326</v>
      </c>
      <c r="T129" s="131"/>
      <c r="U129" s="190">
        <f>U128*0.2</f>
        <v>145174326</v>
      </c>
    </row>
    <row r="130" spans="1:21" ht="31.5" x14ac:dyDescent="0.25">
      <c r="A130" s="131"/>
      <c r="B130" s="131"/>
      <c r="C130" s="187" t="s">
        <v>370</v>
      </c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90">
        <f>R128+R129</f>
        <v>780443952</v>
      </c>
      <c r="S130" s="190">
        <f>S128+S129</f>
        <v>871045956</v>
      </c>
      <c r="T130" s="131"/>
      <c r="U130" s="190">
        <f>U128+U129</f>
        <v>871045956</v>
      </c>
    </row>
    <row r="131" spans="1:21" x14ac:dyDescent="0.25">
      <c r="A131" s="97"/>
      <c r="B131" s="97"/>
      <c r="C131" s="9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9"/>
    </row>
    <row r="132" spans="1:21" x14ac:dyDescent="0.25">
      <c r="A132" s="76" t="s">
        <v>329</v>
      </c>
      <c r="B132" s="76"/>
      <c r="C132" s="76"/>
      <c r="D132" s="76"/>
      <c r="E132" s="100"/>
      <c r="F132" s="191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92"/>
      <c r="S132" s="100"/>
      <c r="T132" s="100"/>
      <c r="U132" s="100"/>
    </row>
    <row r="133" spans="1:21" x14ac:dyDescent="0.25">
      <c r="A133" s="76"/>
      <c r="B133" s="76"/>
      <c r="C133" s="76"/>
      <c r="D133" s="76"/>
      <c r="E133" s="272" t="s">
        <v>330</v>
      </c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</row>
    <row r="134" spans="1:21" x14ac:dyDescent="0.25">
      <c r="R134" s="101"/>
    </row>
    <row r="136" spans="1:21" x14ac:dyDescent="0.25">
      <c r="O136" s="101"/>
    </row>
  </sheetData>
  <mergeCells count="21">
    <mergeCell ref="E133:U133"/>
    <mergeCell ref="J5:J6"/>
    <mergeCell ref="K5:K6"/>
    <mergeCell ref="L5:L6"/>
    <mergeCell ref="M5:M6"/>
    <mergeCell ref="N5:N6"/>
    <mergeCell ref="O5:Q5"/>
    <mergeCell ref="G5:G6"/>
    <mergeCell ref="A1:U1"/>
    <mergeCell ref="A2:U2"/>
    <mergeCell ref="A5:A6"/>
    <mergeCell ref="B5:B6"/>
    <mergeCell ref="C5:C6"/>
    <mergeCell ref="D5:D6"/>
    <mergeCell ref="E5:E6"/>
    <mergeCell ref="F5:F6"/>
    <mergeCell ref="H5:H6"/>
    <mergeCell ref="I5:I6"/>
    <mergeCell ref="R5:R6"/>
    <mergeCell ref="S5:S6"/>
    <mergeCell ref="T5:U5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zoomScale="85" zoomScaleNormal="85" workbookViewId="0">
      <selection activeCell="A11" sqref="A11"/>
    </sheetView>
  </sheetViews>
  <sheetFormatPr defaultRowHeight="15.75" x14ac:dyDescent="0.25"/>
  <cols>
    <col min="1" max="1" width="42.85546875" style="75" customWidth="1"/>
    <col min="2" max="2" width="30.7109375" style="75" customWidth="1"/>
    <col min="3" max="3" width="14.28515625" style="75" customWidth="1"/>
    <col min="4" max="4" width="17.42578125" style="75" customWidth="1"/>
    <col min="5" max="5" width="20.28515625" style="75" customWidth="1"/>
    <col min="6" max="6" width="18.42578125" style="75" customWidth="1"/>
    <col min="7" max="7" width="22" style="75" customWidth="1"/>
    <col min="8" max="8" width="9.28515625" style="75" customWidth="1"/>
    <col min="9" max="9" width="36.7109375" style="75" customWidth="1"/>
    <col min="10" max="16384" width="9.140625" style="75"/>
  </cols>
  <sheetData>
    <row r="1" spans="1:9" ht="30.75" customHeight="1" x14ac:dyDescent="0.25">
      <c r="A1" s="265" t="s">
        <v>310</v>
      </c>
      <c r="B1" s="265"/>
      <c r="C1" s="265"/>
      <c r="D1" s="265"/>
      <c r="E1" s="265"/>
      <c r="F1" s="265"/>
      <c r="G1" s="265"/>
    </row>
    <row r="2" spans="1:9" ht="43.15" customHeight="1" x14ac:dyDescent="0.25">
      <c r="A2" s="280" t="s">
        <v>555</v>
      </c>
      <c r="B2" s="280"/>
      <c r="C2" s="280"/>
      <c r="D2" s="280"/>
      <c r="E2" s="280"/>
      <c r="F2" s="280"/>
      <c r="G2" s="280"/>
    </row>
    <row r="3" spans="1:9" ht="53.45" customHeight="1" x14ac:dyDescent="0.25">
      <c r="A3" s="283" t="s">
        <v>556</v>
      </c>
      <c r="B3" s="283"/>
      <c r="C3" s="283"/>
      <c r="D3" s="283"/>
      <c r="E3" s="283"/>
      <c r="F3" s="283"/>
      <c r="G3" s="283"/>
    </row>
    <row r="4" spans="1:9" x14ac:dyDescent="0.25">
      <c r="A4" s="76"/>
      <c r="B4" s="76"/>
      <c r="C4" s="76"/>
      <c r="D4" s="76"/>
      <c r="E4" s="76"/>
      <c r="F4" s="76"/>
      <c r="G4" s="76"/>
    </row>
    <row r="5" spans="1:9" x14ac:dyDescent="0.25">
      <c r="A5" s="76" t="s">
        <v>311</v>
      </c>
      <c r="B5" s="76"/>
      <c r="C5" s="76"/>
      <c r="D5" s="76"/>
      <c r="E5" s="76"/>
      <c r="F5" s="76"/>
      <c r="G5" s="76"/>
    </row>
    <row r="6" spans="1:9" ht="36.6" customHeight="1" x14ac:dyDescent="0.25">
      <c r="A6" s="284" t="s">
        <v>539</v>
      </c>
      <c r="B6" s="284"/>
      <c r="C6" s="284"/>
      <c r="D6" s="284"/>
      <c r="E6" s="284"/>
      <c r="F6" s="284"/>
      <c r="G6" s="284"/>
    </row>
    <row r="7" spans="1:9" ht="39" customHeight="1" x14ac:dyDescent="0.25">
      <c r="A7" s="285" t="s">
        <v>340</v>
      </c>
      <c r="B7" s="285"/>
      <c r="C7" s="285"/>
      <c r="D7" s="285"/>
      <c r="E7" s="285"/>
      <c r="F7" s="285"/>
      <c r="G7" s="285"/>
    </row>
    <row r="8" spans="1:9" ht="53.45" customHeight="1" x14ac:dyDescent="0.25">
      <c r="A8" s="282" t="s">
        <v>341</v>
      </c>
      <c r="B8" s="282"/>
      <c r="C8" s="282"/>
      <c r="D8" s="282"/>
      <c r="E8" s="282"/>
      <c r="F8" s="282"/>
      <c r="G8" s="282"/>
    </row>
    <row r="9" spans="1:9" x14ac:dyDescent="0.25">
      <c r="A9" s="76"/>
      <c r="B9" s="76"/>
      <c r="C9" s="76"/>
      <c r="D9" s="76"/>
      <c r="E9" s="76"/>
      <c r="F9" s="106" t="s">
        <v>312</v>
      </c>
      <c r="G9" s="76"/>
    </row>
    <row r="10" spans="1:9" ht="150" customHeight="1" x14ac:dyDescent="0.25">
      <c r="A10" s="128" t="s">
        <v>313</v>
      </c>
      <c r="B10" s="129" t="s">
        <v>314</v>
      </c>
      <c r="C10" s="129" t="s">
        <v>315</v>
      </c>
      <c r="D10" s="129" t="s">
        <v>557</v>
      </c>
      <c r="E10" s="129" t="s">
        <v>316</v>
      </c>
      <c r="F10" s="129" t="s">
        <v>317</v>
      </c>
      <c r="G10" s="129" t="s">
        <v>318</v>
      </c>
    </row>
    <row r="11" spans="1:9" x14ac:dyDescent="0.25">
      <c r="A11" s="130">
        <v>1</v>
      </c>
      <c r="B11" s="130">
        <v>2</v>
      </c>
      <c r="C11" s="130">
        <v>3</v>
      </c>
      <c r="D11" s="130">
        <v>4</v>
      </c>
      <c r="E11" s="130">
        <v>5</v>
      </c>
      <c r="F11" s="130">
        <v>6</v>
      </c>
      <c r="G11" s="130">
        <v>7</v>
      </c>
    </row>
    <row r="12" spans="1:9" x14ac:dyDescent="0.25">
      <c r="A12" s="131" t="s">
        <v>331</v>
      </c>
      <c r="B12" s="138">
        <f>ROUND('Затраты Подрядчика по ССР'!H181*1000,-1)</f>
        <v>29323820</v>
      </c>
      <c r="C12" s="133">
        <f t="shared" ref="C12:C18" si="0">$C$29</f>
        <v>1.079</v>
      </c>
      <c r="D12" s="134">
        <f>B12*C12</f>
        <v>31640402</v>
      </c>
      <c r="E12" s="135">
        <f>E48</f>
        <v>1.0134000000000001</v>
      </c>
      <c r="F12" s="136">
        <f>D12*E12</f>
        <v>32064383</v>
      </c>
      <c r="G12" s="134">
        <f>D12+(F12-D12)*(1-30/100)</f>
        <v>31937189</v>
      </c>
      <c r="I12" s="75">
        <f>G12/F12</f>
        <v>0.99603316864073099</v>
      </c>
    </row>
    <row r="13" spans="1:9" ht="47.25" x14ac:dyDescent="0.25">
      <c r="A13" s="137" t="s">
        <v>569</v>
      </c>
      <c r="B13" s="138">
        <f>B12*0.02</f>
        <v>586476</v>
      </c>
      <c r="C13" s="133">
        <f t="shared" si="0"/>
        <v>1.079</v>
      </c>
      <c r="D13" s="138">
        <f>D12*0.02</f>
        <v>632808</v>
      </c>
      <c r="E13" s="135">
        <f>E48</f>
        <v>1.0134000000000001</v>
      </c>
      <c r="F13" s="138">
        <f>F12*0.02</f>
        <v>641288</v>
      </c>
      <c r="G13" s="134">
        <f>D13+(F13-D13)*(1-30/100)</f>
        <v>638744</v>
      </c>
      <c r="I13" s="75">
        <f t="shared" ref="I13:I24" si="1">G13/F13</f>
        <v>0.996032983620464</v>
      </c>
    </row>
    <row r="14" spans="1:9" ht="31.5" x14ac:dyDescent="0.25">
      <c r="A14" s="137" t="s">
        <v>332</v>
      </c>
      <c r="B14" s="138">
        <f>ROUND('Затраты Подрядчика по ССР'!H180*1000,-1)</f>
        <v>948670</v>
      </c>
      <c r="C14" s="133">
        <f t="shared" si="0"/>
        <v>1.079</v>
      </c>
      <c r="D14" s="134">
        <f t="shared" ref="D14:D24" si="2">B14*C14</f>
        <v>1023615</v>
      </c>
      <c r="E14" s="135">
        <f>E64</f>
        <v>1.01759</v>
      </c>
      <c r="F14" s="136">
        <f>D14*E14</f>
        <v>1041620</v>
      </c>
      <c r="G14" s="134">
        <f t="shared" ref="G14:G24" si="3">D14+(F14-D14)*(1-30/100)</f>
        <v>1036219</v>
      </c>
      <c r="I14" s="75">
        <f t="shared" si="1"/>
        <v>0.99481480770338504</v>
      </c>
    </row>
    <row r="15" spans="1:9" ht="47.25" x14ac:dyDescent="0.25">
      <c r="A15" s="137" t="s">
        <v>563</v>
      </c>
      <c r="B15" s="138">
        <f>B14*0.02</f>
        <v>18973</v>
      </c>
      <c r="C15" s="133">
        <f t="shared" si="0"/>
        <v>1.079</v>
      </c>
      <c r="D15" s="134">
        <f t="shared" si="2"/>
        <v>20472</v>
      </c>
      <c r="E15" s="135">
        <f>E64</f>
        <v>1.01759</v>
      </c>
      <c r="F15" s="136">
        <f>D15*E15</f>
        <v>20832</v>
      </c>
      <c r="G15" s="134">
        <f t="shared" si="3"/>
        <v>20724</v>
      </c>
      <c r="I15" s="75">
        <f t="shared" si="1"/>
        <v>0.99481566820276501</v>
      </c>
    </row>
    <row r="16" spans="1:9" x14ac:dyDescent="0.25">
      <c r="A16" s="137" t="s">
        <v>333</v>
      </c>
      <c r="B16" s="138">
        <f>ROUND(('Затраты Подрядчика по ССР'!H176+'Затраты Подрядчика по ССР'!H185)*1000,-1)</f>
        <v>397423960</v>
      </c>
      <c r="C16" s="133">
        <f t="shared" si="0"/>
        <v>1.079</v>
      </c>
      <c r="D16" s="134">
        <f t="shared" si="2"/>
        <v>428820453</v>
      </c>
      <c r="E16" s="135">
        <f>$E$83</f>
        <v>1.0581100000000001</v>
      </c>
      <c r="F16" s="136">
        <f t="shared" ref="F16:F24" si="4">D16*E16</f>
        <v>453739210</v>
      </c>
      <c r="G16" s="134">
        <f t="shared" si="3"/>
        <v>446263583</v>
      </c>
      <c r="I16" s="75">
        <f t="shared" si="1"/>
        <v>0.98352439719723606</v>
      </c>
    </row>
    <row r="17" spans="1:21" x14ac:dyDescent="0.25">
      <c r="A17" s="137" t="s">
        <v>334</v>
      </c>
      <c r="B17" s="138">
        <f>'Затраты Подрядчика по ССР'!H177*1000</f>
        <v>174415110</v>
      </c>
      <c r="C17" s="133">
        <f t="shared" si="0"/>
        <v>1.079</v>
      </c>
      <c r="D17" s="134">
        <f t="shared" si="2"/>
        <v>188193904</v>
      </c>
      <c r="E17" s="135">
        <f>$E$83</f>
        <v>1.0581100000000001</v>
      </c>
      <c r="F17" s="136">
        <f t="shared" si="4"/>
        <v>199129852</v>
      </c>
      <c r="G17" s="134">
        <f t="shared" si="3"/>
        <v>195849068</v>
      </c>
      <c r="I17" s="75">
        <f t="shared" si="1"/>
        <v>0.983524398943459</v>
      </c>
    </row>
    <row r="18" spans="1:21" x14ac:dyDescent="0.25">
      <c r="A18" s="137" t="s">
        <v>319</v>
      </c>
      <c r="B18" s="138">
        <f>'Затраты Подрядчика по ССР'!H178*1000</f>
        <v>6333910</v>
      </c>
      <c r="C18" s="133">
        <f t="shared" si="0"/>
        <v>1.079</v>
      </c>
      <c r="D18" s="134">
        <f t="shared" si="2"/>
        <v>6834289</v>
      </c>
      <c r="E18" s="135">
        <f>$E$83</f>
        <v>1.0581100000000001</v>
      </c>
      <c r="F18" s="136">
        <f t="shared" si="4"/>
        <v>7231430</v>
      </c>
      <c r="G18" s="134">
        <f>D18+(F18-D18)*(1-30/100)-1</f>
        <v>7112287</v>
      </c>
      <c r="I18" s="75">
        <f t="shared" si="1"/>
        <v>0.98352428219591403</v>
      </c>
    </row>
    <row r="19" spans="1:21" ht="47.25" x14ac:dyDescent="0.25">
      <c r="A19" s="82" t="s">
        <v>335</v>
      </c>
      <c r="B19" s="138">
        <f>'Затраты Подрядчика по ССР'!H148*10.51*1000+3</f>
        <v>27528110</v>
      </c>
      <c r="C19" s="133">
        <v>1</v>
      </c>
      <c r="D19" s="134">
        <f t="shared" si="2"/>
        <v>27528110</v>
      </c>
      <c r="E19" s="135">
        <v>1</v>
      </c>
      <c r="F19" s="136">
        <f t="shared" si="4"/>
        <v>27528110</v>
      </c>
      <c r="G19" s="134">
        <f t="shared" si="3"/>
        <v>27528110</v>
      </c>
      <c r="I19" s="75">
        <f t="shared" si="1"/>
        <v>1</v>
      </c>
    </row>
    <row r="20" spans="1:21" ht="47.25" x14ac:dyDescent="0.25">
      <c r="A20" s="82" t="s">
        <v>336</v>
      </c>
      <c r="B20" s="138">
        <f>'Затраты Подрядчика по ССР'!H149*10.51*1000</f>
        <v>315</v>
      </c>
      <c r="C20" s="133">
        <f>$C$29</f>
        <v>1.079</v>
      </c>
      <c r="D20" s="134">
        <f t="shared" si="2"/>
        <v>340</v>
      </c>
      <c r="E20" s="135">
        <f>$E$83</f>
        <v>1.0581100000000001</v>
      </c>
      <c r="F20" s="136">
        <f t="shared" si="4"/>
        <v>360</v>
      </c>
      <c r="G20" s="134">
        <f t="shared" si="3"/>
        <v>354</v>
      </c>
      <c r="I20" s="75">
        <f t="shared" si="1"/>
        <v>0.98333333333333295</v>
      </c>
    </row>
    <row r="21" spans="1:21" ht="47.25" x14ac:dyDescent="0.25">
      <c r="A21" s="82" t="s">
        <v>337</v>
      </c>
      <c r="B21" s="138">
        <f>'Затраты Подрядчика по ССР'!H150*10.51*1000</f>
        <v>236790</v>
      </c>
      <c r="C21" s="133">
        <f>$C$29</f>
        <v>1.079</v>
      </c>
      <c r="D21" s="134">
        <f t="shared" si="2"/>
        <v>255496</v>
      </c>
      <c r="E21" s="135">
        <f>$E$83</f>
        <v>1.0581100000000001</v>
      </c>
      <c r="F21" s="136">
        <f t="shared" si="4"/>
        <v>270343</v>
      </c>
      <c r="G21" s="134">
        <f t="shared" si="3"/>
        <v>265889</v>
      </c>
      <c r="I21" s="75">
        <f t="shared" si="1"/>
        <v>0.98352463352111996</v>
      </c>
    </row>
    <row r="22" spans="1:21" x14ac:dyDescent="0.25">
      <c r="A22" s="137" t="s">
        <v>338</v>
      </c>
      <c r="B22" s="138">
        <f>('Затраты Подрядчика по ССР'!H151+'Затраты Подрядчика по ССР'!H152)*10.51*1000</f>
        <v>1271500</v>
      </c>
      <c r="C22" s="133">
        <f>$C$29</f>
        <v>1.079</v>
      </c>
      <c r="D22" s="134">
        <f t="shared" si="2"/>
        <v>1371949</v>
      </c>
      <c r="E22" s="135">
        <f>$E$83</f>
        <v>1.0581100000000001</v>
      </c>
      <c r="F22" s="136">
        <f t="shared" si="4"/>
        <v>1451673</v>
      </c>
      <c r="G22" s="134">
        <f t="shared" si="3"/>
        <v>1427756</v>
      </c>
      <c r="I22" s="75">
        <f t="shared" si="1"/>
        <v>0.98352452652904598</v>
      </c>
    </row>
    <row r="23" spans="1:21" ht="47.25" x14ac:dyDescent="0.25">
      <c r="A23" s="82" t="s">
        <v>320</v>
      </c>
      <c r="B23" s="138">
        <f>'Затраты Подрядчика по ССР'!H33*10.51*1000</f>
        <v>109199</v>
      </c>
      <c r="C23" s="133">
        <f>$C$29</f>
        <v>1.079</v>
      </c>
      <c r="D23" s="134">
        <f t="shared" si="2"/>
        <v>117826</v>
      </c>
      <c r="E23" s="135">
        <f>$E$83</f>
        <v>1.0581100000000001</v>
      </c>
      <c r="F23" s="136">
        <f t="shared" si="4"/>
        <v>124673</v>
      </c>
      <c r="G23" s="134">
        <f t="shared" si="3"/>
        <v>122619</v>
      </c>
      <c r="I23" s="75">
        <f t="shared" si="1"/>
        <v>0.98352490114138602</v>
      </c>
    </row>
    <row r="24" spans="1:21" ht="47.25" x14ac:dyDescent="0.25">
      <c r="A24" s="137" t="s">
        <v>339</v>
      </c>
      <c r="B24" s="138">
        <f>('Затраты Подрядчика по ССР'!H183-'Затраты Подрядчика по ССР'!H182*0.02)*1000-'Расчет НМЦК'!B13-B15</f>
        <v>12173127</v>
      </c>
      <c r="C24" s="133">
        <f>$C$29</f>
        <v>1.079</v>
      </c>
      <c r="D24" s="134">
        <f t="shared" si="2"/>
        <v>13134804</v>
      </c>
      <c r="E24" s="135">
        <f>$E$83</f>
        <v>1.0581100000000001</v>
      </c>
      <c r="F24" s="136">
        <f t="shared" si="4"/>
        <v>13898067</v>
      </c>
      <c r="G24" s="134">
        <f t="shared" si="3"/>
        <v>13669088</v>
      </c>
      <c r="I24" s="75">
        <f t="shared" si="1"/>
        <v>0.98352439947224302</v>
      </c>
    </row>
    <row r="25" spans="1:21" x14ac:dyDescent="0.25">
      <c r="A25" s="139" t="s">
        <v>321</v>
      </c>
      <c r="B25" s="140">
        <f>SUM(B12:B24)</f>
        <v>650369960</v>
      </c>
      <c r="C25" s="141"/>
      <c r="D25" s="140">
        <f>SUM(D12:D24)</f>
        <v>699574468</v>
      </c>
      <c r="E25" s="142"/>
      <c r="F25" s="140">
        <f>SUM(F12:F24)</f>
        <v>737141841</v>
      </c>
      <c r="G25" s="143">
        <f>SUM(G12:G24)</f>
        <v>725871630</v>
      </c>
    </row>
    <row r="26" spans="1:21" x14ac:dyDescent="0.25">
      <c r="A26" s="139" t="s">
        <v>322</v>
      </c>
      <c r="B26" s="140">
        <f>B25*0.2</f>
        <v>130073992</v>
      </c>
      <c r="C26" s="141"/>
      <c r="D26" s="140">
        <f>D25*0.2</f>
        <v>139914893.59999999</v>
      </c>
      <c r="E26" s="144"/>
      <c r="F26" s="140">
        <f>F25*0.2</f>
        <v>147428368.19999999</v>
      </c>
      <c r="G26" s="143">
        <f>G25*0.2</f>
        <v>145174326</v>
      </c>
    </row>
    <row r="27" spans="1:21" x14ac:dyDescent="0.25">
      <c r="A27" s="139" t="s">
        <v>323</v>
      </c>
      <c r="B27" s="140">
        <f>B25+B26</f>
        <v>780443952</v>
      </c>
      <c r="C27" s="141"/>
      <c r="D27" s="140">
        <f>D25+D26</f>
        <v>839489361.60000002</v>
      </c>
      <c r="E27" s="144"/>
      <c r="F27" s="140">
        <f>F25+F26</f>
        <v>884570209.20000005</v>
      </c>
      <c r="G27" s="143">
        <f>G25+G26</f>
        <v>871045956</v>
      </c>
    </row>
    <row r="28" spans="1:21" x14ac:dyDescent="0.25">
      <c r="A28" s="97"/>
      <c r="B28" s="145"/>
      <c r="C28" s="145"/>
      <c r="D28" s="145"/>
      <c r="E28" s="145"/>
      <c r="F28" s="145"/>
      <c r="G28" s="76"/>
    </row>
    <row r="29" spans="1:21" ht="69.75" customHeight="1" x14ac:dyDescent="0.25">
      <c r="A29" s="286" t="s">
        <v>546</v>
      </c>
      <c r="B29" s="286"/>
      <c r="C29" s="146">
        <f>K32*L32*M32*N32*O32*P32*K35*L35*M35*N35*O35*P35*Q35*R35*S35*T35*U35</f>
        <v>1.079</v>
      </c>
      <c r="D29" s="76"/>
      <c r="E29" s="76"/>
      <c r="F29" s="76"/>
      <c r="G29" s="76"/>
      <c r="H29" s="147"/>
    </row>
    <row r="30" spans="1:21" x14ac:dyDescent="0.25">
      <c r="A30" s="76" t="s">
        <v>324</v>
      </c>
      <c r="B30" s="76"/>
      <c r="C30" s="76"/>
      <c r="D30" s="76"/>
      <c r="E30" s="76"/>
      <c r="F30" s="76"/>
      <c r="G30" s="76"/>
      <c r="H30" s="147"/>
      <c r="J30" s="275">
        <v>2019</v>
      </c>
      <c r="K30" s="148" t="s">
        <v>528</v>
      </c>
      <c r="L30" s="148" t="s">
        <v>529</v>
      </c>
      <c r="M30" s="148" t="s">
        <v>530</v>
      </c>
      <c r="N30" s="148" t="s">
        <v>531</v>
      </c>
      <c r="O30" s="148" t="s">
        <v>532</v>
      </c>
      <c r="P30" s="148" t="s">
        <v>533</v>
      </c>
      <c r="Q30" s="148"/>
      <c r="R30" s="148"/>
      <c r="S30" s="148"/>
      <c r="T30" s="148"/>
      <c r="U30" s="148"/>
    </row>
    <row r="31" spans="1:21" x14ac:dyDescent="0.25">
      <c r="A31" s="280" t="s">
        <v>547</v>
      </c>
      <c r="B31" s="280"/>
      <c r="C31" s="280"/>
      <c r="D31" s="280"/>
      <c r="E31" s="280"/>
      <c r="F31" s="280"/>
      <c r="G31" s="76"/>
      <c r="H31" s="147"/>
      <c r="J31" s="276"/>
      <c r="K31" s="149">
        <v>100.15</v>
      </c>
      <c r="L31" s="149">
        <v>101.67</v>
      </c>
      <c r="M31" s="150">
        <v>100</v>
      </c>
      <c r="N31" s="149">
        <v>100.26</v>
      </c>
      <c r="O31" s="149">
        <v>100.25</v>
      </c>
      <c r="P31" s="149">
        <v>99.91</v>
      </c>
      <c r="Q31" s="149"/>
      <c r="R31" s="148"/>
      <c r="S31" s="148"/>
      <c r="T31" s="148"/>
      <c r="U31" s="148"/>
    </row>
    <row r="32" spans="1:21" ht="36" customHeight="1" x14ac:dyDescent="0.25">
      <c r="A32" s="280" t="s">
        <v>325</v>
      </c>
      <c r="B32" s="280"/>
      <c r="C32" s="280"/>
      <c r="D32" s="280"/>
      <c r="E32" s="280"/>
      <c r="F32" s="280"/>
      <c r="G32" s="76"/>
      <c r="H32" s="147"/>
      <c r="J32" s="277"/>
      <c r="K32" s="148">
        <f>K31/100</f>
        <v>1.0015000000000001</v>
      </c>
      <c r="L32" s="148">
        <f t="shared" ref="L32:P32" si="5">L31/100</f>
        <v>1.0166999999999999</v>
      </c>
      <c r="M32" s="148">
        <f t="shared" si="5"/>
        <v>1</v>
      </c>
      <c r="N32" s="148">
        <f t="shared" si="5"/>
        <v>1.0025999999999999</v>
      </c>
      <c r="O32" s="148">
        <f t="shared" si="5"/>
        <v>1.0024999999999999</v>
      </c>
      <c r="P32" s="148">
        <f t="shared" si="5"/>
        <v>0.99909999999999999</v>
      </c>
      <c r="Q32" s="148"/>
      <c r="R32" s="148"/>
      <c r="S32" s="148"/>
      <c r="T32" s="148"/>
      <c r="U32" s="148"/>
    </row>
    <row r="33" spans="1:21" x14ac:dyDescent="0.25">
      <c r="A33" s="76"/>
      <c r="B33" s="76"/>
      <c r="C33" s="76"/>
      <c r="D33" s="76"/>
      <c r="E33" s="76"/>
      <c r="F33" s="76"/>
      <c r="G33" s="76"/>
      <c r="H33" s="147"/>
      <c r="J33" s="279">
        <v>2020</v>
      </c>
      <c r="K33" s="148" t="s">
        <v>534</v>
      </c>
      <c r="L33" s="148" t="s">
        <v>535</v>
      </c>
      <c r="M33" s="148" t="s">
        <v>536</v>
      </c>
      <c r="N33" s="148" t="s">
        <v>537</v>
      </c>
      <c r="O33" s="148" t="s">
        <v>538</v>
      </c>
      <c r="P33" s="148" t="s">
        <v>545</v>
      </c>
      <c r="Q33" s="148" t="s">
        <v>528</v>
      </c>
      <c r="R33" s="148" t="s">
        <v>529</v>
      </c>
      <c r="S33" s="148" t="s">
        <v>530</v>
      </c>
      <c r="T33" s="148" t="s">
        <v>531</v>
      </c>
      <c r="U33" s="148" t="s">
        <v>532</v>
      </c>
    </row>
    <row r="34" spans="1:21" x14ac:dyDescent="0.25">
      <c r="A34" s="273" t="s">
        <v>558</v>
      </c>
      <c r="B34" s="273"/>
      <c r="C34" s="273"/>
      <c r="D34" s="273"/>
      <c r="E34" s="111"/>
      <c r="F34" s="111"/>
      <c r="G34" s="111"/>
      <c r="J34" s="279"/>
      <c r="K34" s="149">
        <v>102.52</v>
      </c>
      <c r="L34" s="149">
        <v>98.55</v>
      </c>
      <c r="M34" s="149">
        <v>99.67</v>
      </c>
      <c r="N34" s="149">
        <v>100.78</v>
      </c>
      <c r="O34" s="149">
        <v>101.01</v>
      </c>
      <c r="P34" s="148">
        <v>100.65</v>
      </c>
      <c r="Q34" s="148">
        <v>100.92</v>
      </c>
      <c r="R34" s="148">
        <v>100.71</v>
      </c>
      <c r="S34" s="148">
        <v>100.65</v>
      </c>
      <c r="T34" s="148">
        <v>100</v>
      </c>
      <c r="U34" s="148">
        <v>100</v>
      </c>
    </row>
    <row r="35" spans="1:21" x14ac:dyDescent="0.25">
      <c r="A35" s="112" t="s">
        <v>559</v>
      </c>
      <c r="B35" s="113">
        <f>(B37-B36)/30</f>
        <v>2</v>
      </c>
      <c r="C35" s="75" t="s">
        <v>326</v>
      </c>
      <c r="D35" s="111"/>
      <c r="E35" s="111"/>
      <c r="F35" s="111"/>
      <c r="G35" s="111"/>
      <c r="J35" s="279"/>
      <c r="K35" s="148">
        <f>K34/100</f>
        <v>1.0251999999999999</v>
      </c>
      <c r="L35" s="148">
        <f t="shared" ref="L35:U35" si="6">L34/100</f>
        <v>0.98550000000000004</v>
      </c>
      <c r="M35" s="148">
        <f t="shared" si="6"/>
        <v>0.99670000000000003</v>
      </c>
      <c r="N35" s="148">
        <f t="shared" si="6"/>
        <v>1.0078</v>
      </c>
      <c r="O35" s="148">
        <f t="shared" si="6"/>
        <v>1.0101</v>
      </c>
      <c r="P35" s="148">
        <f t="shared" si="6"/>
        <v>1.0065</v>
      </c>
      <c r="Q35" s="148">
        <f t="shared" si="6"/>
        <v>1.0092000000000001</v>
      </c>
      <c r="R35" s="148">
        <f t="shared" si="6"/>
        <v>1.0071000000000001</v>
      </c>
      <c r="S35" s="148">
        <f t="shared" si="6"/>
        <v>1.0065</v>
      </c>
      <c r="T35" s="148">
        <f t="shared" si="6"/>
        <v>1</v>
      </c>
      <c r="U35" s="148">
        <f t="shared" si="6"/>
        <v>1</v>
      </c>
    </row>
    <row r="36" spans="1:21" x14ac:dyDescent="0.25">
      <c r="A36" s="75" t="s">
        <v>327</v>
      </c>
      <c r="B36" s="114">
        <v>44211</v>
      </c>
      <c r="I36" s="127"/>
      <c r="J36" s="151"/>
      <c r="K36" s="127"/>
    </row>
    <row r="37" spans="1:21" x14ac:dyDescent="0.25">
      <c r="A37" s="75" t="s">
        <v>328</v>
      </c>
      <c r="B37" s="114">
        <v>44270</v>
      </c>
      <c r="I37" s="127"/>
      <c r="J37" s="151"/>
      <c r="K37" s="127"/>
    </row>
    <row r="38" spans="1:21" x14ac:dyDescent="0.25">
      <c r="A38" s="75" t="s">
        <v>548</v>
      </c>
      <c r="B38" s="115"/>
      <c r="C38" s="75" t="s">
        <v>326</v>
      </c>
      <c r="I38" s="127"/>
      <c r="J38" s="151"/>
      <c r="K38" s="127"/>
    </row>
    <row r="39" spans="1:21" x14ac:dyDescent="0.25">
      <c r="A39" s="75" t="s">
        <v>565</v>
      </c>
      <c r="B39" s="115"/>
      <c r="C39" s="75" t="s">
        <v>326</v>
      </c>
      <c r="I39" s="127"/>
      <c r="J39" s="151"/>
      <c r="K39" s="127"/>
    </row>
    <row r="40" spans="1:21" x14ac:dyDescent="0.25">
      <c r="A40" s="75" t="s">
        <v>549</v>
      </c>
      <c r="B40" s="115"/>
      <c r="I40" s="127"/>
      <c r="J40" s="151"/>
      <c r="K40" s="127"/>
    </row>
    <row r="41" spans="1:21" x14ac:dyDescent="0.25">
      <c r="A41" s="75" t="s">
        <v>566</v>
      </c>
      <c r="B41" s="115"/>
      <c r="I41" s="127"/>
      <c r="J41" s="151"/>
      <c r="K41" s="127"/>
    </row>
    <row r="42" spans="1:21" ht="35.25" customHeight="1" x14ac:dyDescent="0.25">
      <c r="A42" s="274" t="s">
        <v>560</v>
      </c>
      <c r="B42" s="274"/>
      <c r="C42" s="274"/>
      <c r="D42" s="274"/>
      <c r="E42" s="116">
        <v>1.0620000000000001</v>
      </c>
      <c r="I42" s="127"/>
      <c r="J42" s="151"/>
      <c r="K42" s="127"/>
    </row>
    <row r="43" spans="1:21" ht="37.5" customHeight="1" x14ac:dyDescent="0.25">
      <c r="A43" s="274" t="s">
        <v>562</v>
      </c>
      <c r="B43" s="274"/>
      <c r="C43" s="274"/>
      <c r="D43" s="274"/>
      <c r="E43" s="116">
        <v>1.0509999999999999</v>
      </c>
      <c r="I43" s="127"/>
      <c r="J43" s="151"/>
      <c r="K43" s="127"/>
    </row>
    <row r="44" spans="1:21" ht="27" customHeight="1" x14ac:dyDescent="0.25">
      <c r="A44" s="117" t="s">
        <v>550</v>
      </c>
      <c r="B44" s="118"/>
      <c r="C44" s="119"/>
      <c r="D44" s="120"/>
      <c r="E44" s="121">
        <f>E42^(1/12)</f>
        <v>1.0050300000000001</v>
      </c>
      <c r="F44" s="122"/>
      <c r="G44" s="122"/>
      <c r="H44" s="122"/>
      <c r="I44" s="127"/>
      <c r="J44" s="151"/>
      <c r="K44" s="127"/>
    </row>
    <row r="45" spans="1:21" ht="30.75" customHeight="1" x14ac:dyDescent="0.25">
      <c r="A45" s="117" t="s">
        <v>551</v>
      </c>
      <c r="B45" s="123"/>
      <c r="C45" s="119"/>
      <c r="D45" s="120"/>
      <c r="E45" s="121">
        <f>E43^(1/12)</f>
        <v>1.0041500000000001</v>
      </c>
      <c r="F45" s="122"/>
      <c r="G45" s="122"/>
      <c r="H45" s="122"/>
      <c r="I45" s="127"/>
      <c r="J45" s="151"/>
      <c r="K45" s="127"/>
    </row>
    <row r="46" spans="1:21" ht="35.25" customHeight="1" x14ac:dyDescent="0.25">
      <c r="A46" s="278" t="s">
        <v>554</v>
      </c>
      <c r="B46" s="278"/>
      <c r="C46" s="119"/>
      <c r="D46" s="120"/>
      <c r="E46" s="121">
        <f>E44</f>
        <v>1.0050300000000001</v>
      </c>
      <c r="F46" s="122"/>
      <c r="G46" s="122"/>
      <c r="H46" s="122"/>
      <c r="I46" s="127"/>
      <c r="J46" s="151"/>
      <c r="K46" s="127"/>
    </row>
    <row r="47" spans="1:21" ht="31.5" customHeight="1" x14ac:dyDescent="0.25">
      <c r="A47" s="117" t="s">
        <v>552</v>
      </c>
      <c r="B47" s="124"/>
      <c r="C47" s="119"/>
      <c r="D47" s="120"/>
      <c r="E47" s="121">
        <f>E44*(E45+E45^3)/2</f>
        <v>1.0134000000000001</v>
      </c>
      <c r="F47" s="122"/>
      <c r="G47" s="122"/>
      <c r="H47" s="122"/>
      <c r="I47" s="127"/>
      <c r="J47" s="151"/>
      <c r="K47" s="127"/>
    </row>
    <row r="48" spans="1:21" ht="31.5" customHeight="1" x14ac:dyDescent="0.25">
      <c r="A48" s="125" t="s">
        <v>553</v>
      </c>
      <c r="C48" s="126"/>
      <c r="D48" s="126"/>
      <c r="E48" s="155">
        <f>E47</f>
        <v>1.0134000000000001</v>
      </c>
      <c r="F48" s="122"/>
      <c r="G48" s="122"/>
      <c r="H48" s="122"/>
      <c r="I48" s="127"/>
      <c r="J48" s="151"/>
      <c r="K48" s="127"/>
    </row>
    <row r="49" spans="1:11" ht="31.5" customHeight="1" x14ac:dyDescent="0.25">
      <c r="A49" s="125"/>
      <c r="C49" s="126"/>
      <c r="D49" s="126"/>
      <c r="E49" s="121"/>
      <c r="F49" s="122"/>
      <c r="G49" s="122"/>
      <c r="H49" s="122"/>
      <c r="I49" s="127"/>
      <c r="J49" s="151"/>
      <c r="K49" s="127"/>
    </row>
    <row r="50" spans="1:11" ht="15.75" customHeight="1" x14ac:dyDescent="0.25">
      <c r="A50" s="273" t="s">
        <v>561</v>
      </c>
      <c r="B50" s="273"/>
      <c r="C50" s="273"/>
      <c r="D50" s="273"/>
      <c r="E50" s="111"/>
      <c r="F50" s="122"/>
      <c r="G50" s="122"/>
      <c r="H50" s="122"/>
      <c r="I50" s="127"/>
      <c r="J50" s="151"/>
      <c r="K50" s="127"/>
    </row>
    <row r="51" spans="1:11" x14ac:dyDescent="0.25">
      <c r="A51" s="112" t="s">
        <v>559</v>
      </c>
      <c r="B51" s="113">
        <f>(B53-B52)/30</f>
        <v>0.5</v>
      </c>
      <c r="C51" s="75" t="s">
        <v>326</v>
      </c>
      <c r="D51" s="111"/>
      <c r="E51" s="111"/>
      <c r="F51" s="122"/>
      <c r="G51" s="122"/>
      <c r="H51" s="122"/>
      <c r="I51" s="127"/>
      <c r="J51" s="151"/>
      <c r="K51" s="127"/>
    </row>
    <row r="52" spans="1:11" x14ac:dyDescent="0.25">
      <c r="A52" s="75" t="s">
        <v>327</v>
      </c>
      <c r="B52" s="114">
        <v>44270</v>
      </c>
      <c r="F52" s="122"/>
      <c r="G52" s="122"/>
      <c r="H52" s="122"/>
      <c r="I52" s="127"/>
      <c r="J52" s="151"/>
      <c r="K52" s="127"/>
    </row>
    <row r="53" spans="1:11" x14ac:dyDescent="0.25">
      <c r="A53" s="75" t="s">
        <v>328</v>
      </c>
      <c r="B53" s="114">
        <v>44286</v>
      </c>
      <c r="F53" s="122"/>
      <c r="G53" s="122"/>
      <c r="H53" s="122"/>
      <c r="I53" s="127"/>
      <c r="J53" s="151"/>
      <c r="K53" s="127"/>
    </row>
    <row r="54" spans="1:11" x14ac:dyDescent="0.25">
      <c r="A54" s="75" t="s">
        <v>548</v>
      </c>
      <c r="B54" s="115"/>
      <c r="C54" s="75" t="s">
        <v>326</v>
      </c>
      <c r="F54" s="122"/>
      <c r="G54" s="122"/>
      <c r="H54" s="122"/>
      <c r="I54" s="127"/>
      <c r="J54" s="151"/>
      <c r="K54" s="127"/>
    </row>
    <row r="55" spans="1:11" x14ac:dyDescent="0.25">
      <c r="A55" s="75" t="s">
        <v>565</v>
      </c>
      <c r="B55" s="115"/>
      <c r="C55" s="75" t="s">
        <v>326</v>
      </c>
      <c r="F55" s="122"/>
      <c r="G55" s="122"/>
      <c r="H55" s="122"/>
      <c r="I55" s="127"/>
      <c r="J55" s="151"/>
      <c r="K55" s="127"/>
    </row>
    <row r="56" spans="1:11" x14ac:dyDescent="0.25">
      <c r="A56" s="75" t="s">
        <v>549</v>
      </c>
      <c r="B56" s="115"/>
      <c r="F56" s="122"/>
      <c r="G56" s="122"/>
      <c r="H56" s="122"/>
      <c r="I56" s="127"/>
      <c r="J56" s="151"/>
      <c r="K56" s="127"/>
    </row>
    <row r="57" spans="1:11" x14ac:dyDescent="0.25">
      <c r="A57" s="75" t="s">
        <v>566</v>
      </c>
      <c r="B57" s="115"/>
      <c r="F57" s="122"/>
      <c r="G57" s="122"/>
      <c r="H57" s="122"/>
      <c r="I57" s="127"/>
      <c r="J57" s="151"/>
      <c r="K57" s="127"/>
    </row>
    <row r="58" spans="1:11" ht="39.75" customHeight="1" x14ac:dyDescent="0.25">
      <c r="A58" s="274" t="s">
        <v>560</v>
      </c>
      <c r="B58" s="274"/>
      <c r="C58" s="274"/>
      <c r="D58" s="274"/>
      <c r="E58" s="116">
        <v>1.0620000000000001</v>
      </c>
      <c r="F58" s="122"/>
      <c r="G58" s="122"/>
      <c r="H58" s="122"/>
      <c r="I58" s="127"/>
      <c r="J58" s="151"/>
      <c r="K58" s="127"/>
    </row>
    <row r="59" spans="1:11" ht="38.25" customHeight="1" x14ac:dyDescent="0.25">
      <c r="A59" s="274" t="s">
        <v>562</v>
      </c>
      <c r="B59" s="274"/>
      <c r="C59" s="274"/>
      <c r="D59" s="274"/>
      <c r="E59" s="116">
        <v>1.0509999999999999</v>
      </c>
      <c r="F59" s="122"/>
      <c r="G59" s="122"/>
      <c r="H59" s="122"/>
      <c r="I59" s="127"/>
      <c r="J59" s="151"/>
      <c r="K59" s="127"/>
    </row>
    <row r="60" spans="1:11" ht="31.5" customHeight="1" x14ac:dyDescent="0.25">
      <c r="A60" s="117" t="s">
        <v>550</v>
      </c>
      <c r="B60" s="118"/>
      <c r="C60" s="119"/>
      <c r="D60" s="120"/>
      <c r="E60" s="121">
        <f>E58^(1/12)</f>
        <v>1.0050300000000001</v>
      </c>
      <c r="F60" s="122"/>
      <c r="G60" s="122"/>
      <c r="H60" s="122"/>
      <c r="I60" s="127"/>
      <c r="J60" s="151"/>
      <c r="K60" s="127"/>
    </row>
    <row r="61" spans="1:11" ht="31.5" customHeight="1" x14ac:dyDescent="0.25">
      <c r="A61" s="117" t="s">
        <v>551</v>
      </c>
      <c r="B61" s="123"/>
      <c r="C61" s="119"/>
      <c r="D61" s="120"/>
      <c r="E61" s="121">
        <f>E59^(1/12)</f>
        <v>1.0041500000000001</v>
      </c>
      <c r="F61" s="122"/>
      <c r="G61" s="122"/>
      <c r="H61" s="122"/>
      <c r="I61" s="127"/>
      <c r="J61" s="151"/>
      <c r="K61" s="127"/>
    </row>
    <row r="62" spans="1:11" ht="31.5" customHeight="1" x14ac:dyDescent="0.25">
      <c r="A62" s="278" t="s">
        <v>554</v>
      </c>
      <c r="B62" s="278"/>
      <c r="C62" s="119"/>
      <c r="D62" s="120"/>
      <c r="E62" s="121">
        <f>E60</f>
        <v>1.0050300000000001</v>
      </c>
      <c r="F62" s="122"/>
      <c r="G62" s="122"/>
      <c r="H62" s="122"/>
      <c r="I62" s="127"/>
      <c r="J62" s="151"/>
      <c r="K62" s="127"/>
    </row>
    <row r="63" spans="1:11" ht="31.5" customHeight="1" x14ac:dyDescent="0.25">
      <c r="A63" s="117" t="s">
        <v>552</v>
      </c>
      <c r="B63" s="124"/>
      <c r="C63" s="119"/>
      <c r="D63" s="120"/>
      <c r="E63" s="121">
        <f>E60*E61^3</f>
        <v>1.01759</v>
      </c>
      <c r="F63" s="122"/>
      <c r="G63" s="122"/>
      <c r="H63" s="122"/>
      <c r="I63" s="127"/>
      <c r="J63" s="151"/>
      <c r="K63" s="127"/>
    </row>
    <row r="64" spans="1:11" ht="31.5" customHeight="1" x14ac:dyDescent="0.25">
      <c r="A64" s="125" t="s">
        <v>553</v>
      </c>
      <c r="C64" s="126"/>
      <c r="D64" s="126"/>
      <c r="E64" s="155">
        <f>E63</f>
        <v>1.01759</v>
      </c>
      <c r="F64" s="122"/>
      <c r="G64" s="122"/>
      <c r="H64" s="122"/>
      <c r="I64" s="127"/>
      <c r="J64" s="151"/>
      <c r="K64" s="127"/>
    </row>
    <row r="65" spans="1:11" ht="31.5" customHeight="1" x14ac:dyDescent="0.25">
      <c r="A65" s="125"/>
      <c r="C65" s="126"/>
      <c r="D65" s="126"/>
      <c r="E65" s="121"/>
      <c r="F65" s="122"/>
      <c r="G65" s="122"/>
      <c r="H65" s="122"/>
      <c r="I65" s="127"/>
      <c r="J65" s="151"/>
      <c r="K65" s="127"/>
    </row>
    <row r="66" spans="1:11" ht="31.5" customHeight="1" x14ac:dyDescent="0.25">
      <c r="A66" s="273" t="s">
        <v>564</v>
      </c>
      <c r="B66" s="273"/>
      <c r="C66" s="273"/>
      <c r="D66" s="273"/>
      <c r="E66" s="111"/>
      <c r="F66" s="122"/>
      <c r="G66" s="122"/>
      <c r="H66" s="122"/>
      <c r="I66" s="127"/>
      <c r="J66" s="151"/>
      <c r="K66" s="127"/>
    </row>
    <row r="67" spans="1:11" x14ac:dyDescent="0.25">
      <c r="A67" s="112" t="s">
        <v>559</v>
      </c>
      <c r="B67" s="113">
        <f>(B69-B68)/30-0.3</f>
        <v>18</v>
      </c>
      <c r="C67" s="75" t="s">
        <v>326</v>
      </c>
      <c r="D67" s="111"/>
      <c r="E67" s="111"/>
      <c r="F67" s="122"/>
      <c r="G67" s="122"/>
      <c r="H67" s="122"/>
      <c r="I67" s="127"/>
      <c r="J67" s="151"/>
      <c r="K67" s="127"/>
    </row>
    <row r="68" spans="1:11" x14ac:dyDescent="0.25">
      <c r="A68" s="75" t="s">
        <v>327</v>
      </c>
      <c r="B68" s="114">
        <v>44287</v>
      </c>
      <c r="F68" s="122"/>
      <c r="G68" s="122"/>
      <c r="H68" s="122"/>
      <c r="I68" s="127"/>
      <c r="J68" s="151"/>
      <c r="K68" s="127"/>
    </row>
    <row r="69" spans="1:11" x14ac:dyDescent="0.25">
      <c r="A69" s="75" t="s">
        <v>328</v>
      </c>
      <c r="B69" s="114">
        <v>44837</v>
      </c>
      <c r="F69" s="122"/>
      <c r="G69" s="122"/>
      <c r="H69" s="122"/>
      <c r="I69" s="127"/>
      <c r="J69" s="151"/>
      <c r="K69" s="127"/>
    </row>
    <row r="70" spans="1:11" x14ac:dyDescent="0.25">
      <c r="A70" s="75" t="s">
        <v>548</v>
      </c>
      <c r="B70" s="115">
        <v>9</v>
      </c>
      <c r="C70" s="75" t="s">
        <v>326</v>
      </c>
      <c r="F70" s="122"/>
      <c r="G70" s="122"/>
      <c r="H70" s="122"/>
      <c r="I70" s="127"/>
      <c r="J70" s="151"/>
      <c r="K70" s="127"/>
    </row>
    <row r="71" spans="1:11" x14ac:dyDescent="0.25">
      <c r="A71" s="75" t="s">
        <v>565</v>
      </c>
      <c r="B71" s="115">
        <f>B67-B70</f>
        <v>9</v>
      </c>
      <c r="C71" s="75" t="s">
        <v>326</v>
      </c>
      <c r="F71" s="122"/>
      <c r="G71" s="122"/>
      <c r="H71" s="122"/>
      <c r="I71" s="127"/>
      <c r="J71" s="151"/>
      <c r="K71" s="127"/>
    </row>
    <row r="72" spans="1:11" x14ac:dyDescent="0.25">
      <c r="A72" s="75" t="s">
        <v>549</v>
      </c>
      <c r="B72" s="115">
        <f>B70/B67</f>
        <v>0.5</v>
      </c>
      <c r="F72" s="122"/>
      <c r="G72" s="122"/>
      <c r="H72" s="122"/>
      <c r="I72" s="127"/>
      <c r="J72" s="151"/>
      <c r="K72" s="127"/>
    </row>
    <row r="73" spans="1:11" x14ac:dyDescent="0.25">
      <c r="A73" s="75" t="s">
        <v>566</v>
      </c>
      <c r="B73" s="115">
        <f>B71/B67</f>
        <v>0.5</v>
      </c>
      <c r="F73" s="122"/>
      <c r="G73" s="122"/>
      <c r="H73" s="122"/>
      <c r="I73" s="127"/>
      <c r="J73" s="151"/>
      <c r="K73" s="127"/>
    </row>
    <row r="74" spans="1:11" ht="38.25" customHeight="1" x14ac:dyDescent="0.25">
      <c r="A74" s="274" t="s">
        <v>560</v>
      </c>
      <c r="B74" s="274"/>
      <c r="C74" s="274"/>
      <c r="D74" s="274"/>
      <c r="E74" s="116">
        <v>1.0620000000000001</v>
      </c>
      <c r="F74" s="122"/>
      <c r="G74" s="122"/>
      <c r="H74" s="122"/>
      <c r="I74" s="127"/>
      <c r="J74" s="151"/>
      <c r="K74" s="127"/>
    </row>
    <row r="75" spans="1:11" ht="38.25" customHeight="1" x14ac:dyDescent="0.25">
      <c r="A75" s="274" t="s">
        <v>562</v>
      </c>
      <c r="B75" s="274"/>
      <c r="C75" s="274"/>
      <c r="D75" s="274"/>
      <c r="E75" s="116">
        <v>1.0509999999999999</v>
      </c>
      <c r="F75" s="122"/>
      <c r="G75" s="122"/>
      <c r="H75" s="122"/>
      <c r="I75" s="127"/>
      <c r="J75" s="151"/>
      <c r="K75" s="127"/>
    </row>
    <row r="76" spans="1:11" ht="37.5" customHeight="1" x14ac:dyDescent="0.25">
      <c r="A76" s="274" t="s">
        <v>567</v>
      </c>
      <c r="B76" s="274"/>
      <c r="C76" s="274"/>
      <c r="D76" s="274"/>
      <c r="E76" s="116">
        <v>1.048</v>
      </c>
      <c r="F76" s="122"/>
      <c r="G76" s="122"/>
      <c r="H76" s="122"/>
      <c r="I76" s="127"/>
      <c r="J76" s="151"/>
      <c r="K76" s="127"/>
    </row>
    <row r="77" spans="1:11" ht="31.5" customHeight="1" x14ac:dyDescent="0.25">
      <c r="A77" s="117" t="s">
        <v>550</v>
      </c>
      <c r="B77" s="118"/>
      <c r="C77" s="119"/>
      <c r="D77" s="120"/>
      <c r="E77" s="121">
        <f>E74^(1/12)</f>
        <v>1.0050300000000001</v>
      </c>
      <c r="F77" s="122"/>
      <c r="G77" s="122"/>
      <c r="H77" s="122"/>
      <c r="I77" s="127"/>
      <c r="J77" s="151"/>
      <c r="K77" s="127"/>
    </row>
    <row r="78" spans="1:11" ht="31.5" customHeight="1" x14ac:dyDescent="0.25">
      <c r="A78" s="117" t="s">
        <v>551</v>
      </c>
      <c r="B78" s="123"/>
      <c r="C78" s="119"/>
      <c r="D78" s="120"/>
      <c r="E78" s="121">
        <f>E75^(1/12)</f>
        <v>1.0041500000000001</v>
      </c>
      <c r="F78" s="122"/>
      <c r="G78" s="122"/>
      <c r="H78" s="122"/>
      <c r="I78" s="127"/>
      <c r="J78" s="151"/>
      <c r="K78" s="127"/>
    </row>
    <row r="79" spans="1:11" ht="31.5" customHeight="1" x14ac:dyDescent="0.25">
      <c r="A79" s="117" t="s">
        <v>551</v>
      </c>
      <c r="B79" s="123"/>
      <c r="C79" s="119"/>
      <c r="D79" s="120"/>
      <c r="E79" s="121">
        <f>E76^(1/12)</f>
        <v>1.0039100000000001</v>
      </c>
      <c r="F79" s="122"/>
      <c r="G79" s="122"/>
      <c r="H79" s="122"/>
      <c r="I79" s="127"/>
      <c r="J79" s="151"/>
      <c r="K79" s="127"/>
    </row>
    <row r="80" spans="1:11" ht="31.5" customHeight="1" x14ac:dyDescent="0.25">
      <c r="A80" s="278" t="s">
        <v>554</v>
      </c>
      <c r="B80" s="278"/>
      <c r="C80" s="119"/>
      <c r="D80" s="120"/>
      <c r="E80" s="121">
        <f>E77</f>
        <v>1.0050300000000001</v>
      </c>
      <c r="F80" s="122"/>
      <c r="G80" s="122"/>
      <c r="H80" s="122"/>
      <c r="I80" s="127"/>
      <c r="J80" s="151"/>
      <c r="K80" s="127"/>
    </row>
    <row r="81" spans="1:11" ht="31.5" customHeight="1" x14ac:dyDescent="0.25">
      <c r="A81" s="117" t="s">
        <v>552</v>
      </c>
      <c r="B81" s="124"/>
      <c r="C81" s="119"/>
      <c r="D81" s="120"/>
      <c r="E81" s="121">
        <f>E77*(E78^4+E78^12)/2</f>
        <v>1.0390299999999999</v>
      </c>
      <c r="F81" s="122"/>
      <c r="G81" s="122"/>
      <c r="H81" s="122"/>
      <c r="I81" s="127"/>
      <c r="J81" s="151"/>
      <c r="K81" s="127"/>
    </row>
    <row r="82" spans="1:11" ht="31.5" customHeight="1" x14ac:dyDescent="0.25">
      <c r="A82" s="117" t="s">
        <v>568</v>
      </c>
      <c r="B82" s="124"/>
      <c r="C82" s="119"/>
      <c r="D82" s="120"/>
      <c r="E82" s="121">
        <f>E77*E78^12*(E79+E79^9)/2</f>
        <v>1.07718</v>
      </c>
      <c r="F82" s="122"/>
      <c r="G82" s="122"/>
      <c r="H82" s="122"/>
      <c r="I82" s="127"/>
      <c r="J82" s="151"/>
      <c r="K82" s="127"/>
    </row>
    <row r="83" spans="1:11" ht="31.5" customHeight="1" x14ac:dyDescent="0.25">
      <c r="A83" s="125" t="s">
        <v>553</v>
      </c>
      <c r="C83" s="126"/>
      <c r="D83" s="126"/>
      <c r="E83" s="155">
        <f>E81*B72+E82*B73</f>
        <v>1.0581100000000001</v>
      </c>
      <c r="F83" s="122"/>
      <c r="G83" s="122"/>
      <c r="H83" s="122"/>
      <c r="I83" s="127"/>
      <c r="J83" s="151"/>
      <c r="K83" s="127"/>
    </row>
    <row r="84" spans="1:11" ht="31.5" customHeight="1" x14ac:dyDescent="0.25">
      <c r="A84" s="125"/>
      <c r="C84" s="126"/>
      <c r="D84" s="126"/>
      <c r="E84" s="121"/>
      <c r="F84" s="122"/>
      <c r="G84" s="122"/>
      <c r="H84" s="122"/>
      <c r="I84" s="127"/>
      <c r="J84" s="151"/>
      <c r="K84" s="127"/>
    </row>
    <row r="85" spans="1:11" ht="31.5" customHeight="1" x14ac:dyDescent="0.25">
      <c r="A85" s="125"/>
      <c r="C85" s="126"/>
      <c r="D85" s="126"/>
      <c r="E85" s="121"/>
      <c r="F85" s="122"/>
      <c r="G85" s="122"/>
      <c r="H85" s="122"/>
      <c r="I85" s="127"/>
      <c r="J85" s="151"/>
      <c r="K85" s="127"/>
    </row>
    <row r="86" spans="1:11" ht="31.5" customHeight="1" x14ac:dyDescent="0.25">
      <c r="A86" s="125"/>
      <c r="C86" s="126"/>
      <c r="D86" s="126"/>
      <c r="E86" s="121"/>
      <c r="F86" s="122"/>
      <c r="G86" s="122"/>
      <c r="H86" s="122"/>
      <c r="I86" s="127"/>
      <c r="J86" s="151"/>
      <c r="K86" s="127"/>
    </row>
    <row r="87" spans="1:11" ht="31.5" customHeight="1" x14ac:dyDescent="0.25">
      <c r="A87" s="125"/>
      <c r="C87" s="126"/>
      <c r="D87" s="126"/>
      <c r="E87" s="121"/>
      <c r="F87" s="122"/>
      <c r="G87" s="122"/>
      <c r="H87" s="122"/>
      <c r="I87" s="127"/>
      <c r="J87" s="151"/>
      <c r="K87" s="127"/>
    </row>
    <row r="88" spans="1:11" ht="31.5" customHeight="1" x14ac:dyDescent="0.25">
      <c r="A88" s="125"/>
      <c r="C88" s="126"/>
      <c r="D88" s="126"/>
      <c r="E88" s="121"/>
      <c r="F88" s="122"/>
      <c r="G88" s="122"/>
      <c r="H88" s="122"/>
      <c r="I88" s="127"/>
      <c r="J88" s="151"/>
      <c r="K88" s="127"/>
    </row>
    <row r="89" spans="1:11" ht="31.5" customHeight="1" x14ac:dyDescent="0.25">
      <c r="A89" s="125"/>
      <c r="C89" s="126"/>
      <c r="D89" s="126"/>
      <c r="E89" s="121"/>
      <c r="F89" s="122"/>
      <c r="G89" s="122"/>
      <c r="H89" s="122"/>
      <c r="I89" s="127"/>
      <c r="J89" s="151"/>
      <c r="K89" s="127"/>
    </row>
    <row r="90" spans="1:11" ht="31.5" customHeight="1" x14ac:dyDescent="0.25">
      <c r="A90" s="125"/>
      <c r="C90" s="126"/>
      <c r="D90" s="126"/>
      <c r="E90" s="121"/>
      <c r="F90" s="122"/>
      <c r="G90" s="122"/>
      <c r="H90" s="122"/>
      <c r="I90" s="127"/>
      <c r="J90" s="151"/>
      <c r="K90" s="127"/>
    </row>
    <row r="91" spans="1:11" ht="31.5" customHeight="1" x14ac:dyDescent="0.25">
      <c r="A91" s="125"/>
      <c r="C91" s="126"/>
      <c r="D91" s="126"/>
      <c r="E91" s="121"/>
      <c r="F91" s="122"/>
      <c r="G91" s="122"/>
      <c r="H91" s="122"/>
      <c r="I91" s="127"/>
      <c r="J91" s="151"/>
      <c r="K91" s="127"/>
    </row>
    <row r="92" spans="1:11" ht="31.5" customHeight="1" x14ac:dyDescent="0.25">
      <c r="A92" s="125"/>
      <c r="C92" s="126"/>
      <c r="D92" s="126"/>
      <c r="E92" s="121"/>
      <c r="F92" s="122"/>
      <c r="G92" s="122"/>
      <c r="H92" s="122"/>
      <c r="I92" s="127"/>
      <c r="J92" s="151"/>
      <c r="K92" s="127"/>
    </row>
    <row r="93" spans="1:11" ht="31.5" customHeight="1" x14ac:dyDescent="0.25">
      <c r="A93" s="125"/>
      <c r="C93" s="126"/>
      <c r="D93" s="126"/>
      <c r="E93" s="121"/>
      <c r="F93" s="122"/>
      <c r="G93" s="122"/>
      <c r="H93" s="122"/>
      <c r="I93" s="127"/>
      <c r="J93" s="151"/>
      <c r="K93" s="127"/>
    </row>
    <row r="94" spans="1:11" ht="31.5" customHeight="1" x14ac:dyDescent="0.25">
      <c r="A94" s="125"/>
      <c r="C94" s="126"/>
      <c r="D94" s="126"/>
      <c r="E94" s="121"/>
      <c r="F94" s="122"/>
      <c r="G94" s="122"/>
      <c r="H94" s="122"/>
      <c r="I94" s="127"/>
      <c r="J94" s="151"/>
      <c r="K94" s="127"/>
    </row>
    <row r="95" spans="1:11" ht="31.5" customHeight="1" x14ac:dyDescent="0.25">
      <c r="A95" s="125"/>
      <c r="C95" s="126"/>
      <c r="D95" s="126"/>
      <c r="E95" s="121"/>
      <c r="F95" s="122"/>
      <c r="G95" s="122"/>
      <c r="H95" s="122"/>
      <c r="I95" s="127"/>
      <c r="J95" s="151"/>
      <c r="K95" s="127"/>
    </row>
    <row r="96" spans="1:11" ht="31.5" customHeight="1" x14ac:dyDescent="0.25">
      <c r="A96" s="125"/>
      <c r="C96" s="126"/>
      <c r="D96" s="126"/>
      <c r="E96" s="121"/>
      <c r="F96" s="122"/>
      <c r="G96" s="122"/>
      <c r="H96" s="122"/>
      <c r="I96" s="127"/>
      <c r="J96" s="151"/>
      <c r="K96" s="127"/>
    </row>
    <row r="97" spans="1:11" ht="31.5" customHeight="1" x14ac:dyDescent="0.25">
      <c r="A97" s="125"/>
      <c r="C97" s="126"/>
      <c r="D97" s="126"/>
      <c r="E97" s="121"/>
      <c r="F97" s="122"/>
      <c r="G97" s="122"/>
      <c r="H97" s="122"/>
      <c r="I97" s="127"/>
      <c r="J97" s="151"/>
      <c r="K97" s="127"/>
    </row>
    <row r="98" spans="1:11" ht="31.5" customHeight="1" x14ac:dyDescent="0.25">
      <c r="A98" s="125"/>
      <c r="C98" s="126"/>
      <c r="D98" s="126"/>
      <c r="E98" s="121"/>
      <c r="F98" s="122"/>
      <c r="G98" s="122"/>
      <c r="H98" s="122"/>
      <c r="I98" s="127"/>
      <c r="J98" s="151"/>
      <c r="K98" s="127"/>
    </row>
    <row r="99" spans="1:11" x14ac:dyDescent="0.25">
      <c r="I99" s="127"/>
      <c r="J99" s="151"/>
      <c r="K99" s="127"/>
    </row>
    <row r="100" spans="1:11" x14ac:dyDescent="0.25">
      <c r="A100" s="76"/>
      <c r="B100" s="76"/>
      <c r="C100" s="76"/>
      <c r="D100" s="76"/>
      <c r="E100" s="76"/>
      <c r="F100" s="76"/>
      <c r="G100" s="76"/>
      <c r="H100" s="147"/>
    </row>
    <row r="101" spans="1:11" x14ac:dyDescent="0.25">
      <c r="A101" s="76"/>
      <c r="B101" s="76"/>
      <c r="C101" s="76"/>
      <c r="D101" s="76"/>
      <c r="E101" s="76"/>
      <c r="F101" s="76"/>
      <c r="G101" s="76"/>
      <c r="H101" s="147"/>
    </row>
    <row r="102" spans="1:11" x14ac:dyDescent="0.25">
      <c r="A102" s="76" t="s">
        <v>329</v>
      </c>
      <c r="B102" s="76"/>
      <c r="C102" s="76"/>
      <c r="D102" s="152"/>
      <c r="E102" s="152"/>
      <c r="F102" s="152"/>
      <c r="G102" s="76"/>
      <c r="H102" s="147"/>
    </row>
    <row r="103" spans="1:11" x14ac:dyDescent="0.25">
      <c r="A103" s="76"/>
      <c r="B103" s="76"/>
      <c r="C103" s="76"/>
      <c r="D103" s="281" t="s">
        <v>330</v>
      </c>
      <c r="E103" s="281"/>
      <c r="F103" s="281"/>
      <c r="G103" s="76"/>
      <c r="H103" s="147"/>
    </row>
    <row r="104" spans="1:11" x14ac:dyDescent="0.25">
      <c r="A104" s="147"/>
      <c r="B104" s="147"/>
      <c r="C104" s="147"/>
      <c r="D104" s="147"/>
      <c r="E104" s="147"/>
      <c r="F104" s="147"/>
      <c r="G104" s="147"/>
      <c r="H104" s="147"/>
    </row>
    <row r="117" spans="16:25" x14ac:dyDescent="0.25">
      <c r="P117" s="153"/>
      <c r="Q117" s="153"/>
      <c r="R117" s="153"/>
      <c r="S117" s="153"/>
      <c r="T117" s="153"/>
      <c r="U117" s="153"/>
      <c r="V117" s="154"/>
      <c r="W117" s="153"/>
      <c r="X117" s="153"/>
      <c r="Y117" s="153"/>
    </row>
  </sheetData>
  <mergeCells count="25">
    <mergeCell ref="A29:B29"/>
    <mergeCell ref="A8:G8"/>
    <mergeCell ref="A1:G1"/>
    <mergeCell ref="A2:G2"/>
    <mergeCell ref="A3:G3"/>
    <mergeCell ref="A6:G6"/>
    <mergeCell ref="A7:G7"/>
    <mergeCell ref="D103:F103"/>
    <mergeCell ref="A58:D58"/>
    <mergeCell ref="A59:D59"/>
    <mergeCell ref="A62:B62"/>
    <mergeCell ref="A75:D75"/>
    <mergeCell ref="A80:B80"/>
    <mergeCell ref="A76:D76"/>
    <mergeCell ref="A66:D66"/>
    <mergeCell ref="A74:D74"/>
    <mergeCell ref="J30:J32"/>
    <mergeCell ref="A34:D34"/>
    <mergeCell ref="A42:D42"/>
    <mergeCell ref="A43:D43"/>
    <mergeCell ref="A46:B46"/>
    <mergeCell ref="J33:J35"/>
    <mergeCell ref="A50:D50"/>
    <mergeCell ref="A31:F31"/>
    <mergeCell ref="A32:F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188"/>
  <sheetViews>
    <sheetView showGridLines="0" topLeftCell="A169" zoomScaleNormal="100" workbookViewId="0">
      <selection activeCell="J188" sqref="J188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9" width="11.140625" style="5" bestFit="1" customWidth="1"/>
    <col min="10" max="10" width="11.140625" style="5" customWidth="1"/>
    <col min="11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3" t="s">
        <v>13</v>
      </c>
      <c r="D2" s="6"/>
      <c r="E2" s="6"/>
      <c r="F2" s="6"/>
      <c r="G2" s="6"/>
      <c r="H2" s="3"/>
    </row>
    <row r="3" spans="2:8" x14ac:dyDescent="0.2">
      <c r="D3" s="7" t="s">
        <v>8</v>
      </c>
      <c r="F3" s="3"/>
      <c r="G3" s="3"/>
      <c r="H3" s="3"/>
    </row>
    <row r="4" spans="2:8" x14ac:dyDescent="0.2">
      <c r="B4" s="2" t="s">
        <v>176</v>
      </c>
      <c r="C4" s="14"/>
      <c r="D4" s="3"/>
      <c r="E4" s="7"/>
      <c r="F4" s="3"/>
      <c r="G4" s="3"/>
      <c r="H4" s="3"/>
    </row>
    <row r="5" spans="2:8" x14ac:dyDescent="0.2">
      <c r="D5" s="3"/>
      <c r="E5" s="7"/>
      <c r="F5" s="3"/>
      <c r="G5" s="3"/>
      <c r="H5" s="3"/>
    </row>
    <row r="6" spans="2:8" x14ac:dyDescent="0.2">
      <c r="B6" s="2" t="s">
        <v>181</v>
      </c>
      <c r="D6" s="3"/>
      <c r="E6" s="7"/>
      <c r="F6" s="3"/>
      <c r="G6" s="3"/>
      <c r="H6" s="3"/>
    </row>
    <row r="7" spans="2:8" x14ac:dyDescent="0.2">
      <c r="B7" s="2" t="s">
        <v>180</v>
      </c>
      <c r="D7" s="3"/>
      <c r="E7" s="3"/>
      <c r="F7" s="3"/>
      <c r="G7" s="3"/>
      <c r="H7" s="3"/>
    </row>
    <row r="8" spans="2:8" x14ac:dyDescent="0.2">
      <c r="D8" s="3"/>
      <c r="E8" s="3"/>
      <c r="F8" s="3"/>
      <c r="G8" s="3"/>
      <c r="H8" s="3"/>
    </row>
    <row r="9" spans="2:8" x14ac:dyDescent="0.2">
      <c r="B9" s="26" t="s">
        <v>178</v>
      </c>
      <c r="D9" s="3"/>
      <c r="E9" s="3"/>
      <c r="F9" s="3"/>
      <c r="G9" s="3"/>
      <c r="H9" s="3"/>
    </row>
    <row r="10" spans="2:8" x14ac:dyDescent="0.2">
      <c r="B10" s="26" t="s">
        <v>179</v>
      </c>
      <c r="D10" s="3"/>
      <c r="E10" s="3"/>
      <c r="F10" s="3"/>
      <c r="G10" s="3"/>
      <c r="H10" s="3"/>
    </row>
    <row r="11" spans="2:8" x14ac:dyDescent="0.2">
      <c r="C11" s="13"/>
      <c r="D11" s="6"/>
      <c r="E11" s="9"/>
      <c r="F11" s="6"/>
      <c r="G11" s="6"/>
      <c r="H11" s="3"/>
    </row>
    <row r="12" spans="2:8" x14ac:dyDescent="0.2">
      <c r="D12" s="7" t="s">
        <v>9</v>
      </c>
      <c r="F12" s="3"/>
      <c r="G12" s="3"/>
      <c r="H12" s="3"/>
    </row>
    <row r="13" spans="2:8" x14ac:dyDescent="0.2">
      <c r="D13" s="3"/>
      <c r="E13" s="7"/>
      <c r="F13" s="3"/>
      <c r="G13" s="3"/>
      <c r="H13" s="3"/>
    </row>
    <row r="14" spans="2:8" x14ac:dyDescent="0.2">
      <c r="B14" s="2" t="s">
        <v>177</v>
      </c>
      <c r="H14" s="3"/>
    </row>
    <row r="15" spans="2:8" x14ac:dyDescent="0.2">
      <c r="G15" s="3"/>
      <c r="H15" s="3"/>
    </row>
    <row r="16" spans="2:8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5.25" customHeight="1" x14ac:dyDescent="0.2">
      <c r="C18" s="294" t="s">
        <v>14</v>
      </c>
      <c r="D18" s="294"/>
      <c r="E18" s="294"/>
      <c r="F18" s="294"/>
      <c r="G18" s="294"/>
      <c r="H18" s="3"/>
    </row>
    <row r="19" spans="1:8" x14ac:dyDescent="0.2">
      <c r="D19" s="12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15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295" t="s">
        <v>1</v>
      </c>
      <c r="B24" s="296" t="s">
        <v>10</v>
      </c>
      <c r="C24" s="296" t="s">
        <v>11</v>
      </c>
      <c r="D24" s="297" t="s">
        <v>16</v>
      </c>
      <c r="E24" s="297"/>
      <c r="F24" s="297"/>
      <c r="G24" s="297"/>
      <c r="H24" s="295" t="s">
        <v>17</v>
      </c>
    </row>
    <row r="25" spans="1:8" x14ac:dyDescent="0.2">
      <c r="A25" s="295"/>
      <c r="B25" s="296"/>
      <c r="C25" s="296"/>
      <c r="D25" s="295" t="s">
        <v>12</v>
      </c>
      <c r="E25" s="295" t="s">
        <v>2</v>
      </c>
      <c r="F25" s="295" t="s">
        <v>3</v>
      </c>
      <c r="G25" s="295" t="s">
        <v>4</v>
      </c>
      <c r="H25" s="295"/>
    </row>
    <row r="26" spans="1:8" x14ac:dyDescent="0.2">
      <c r="A26" s="295"/>
      <c r="B26" s="296"/>
      <c r="C26" s="296"/>
      <c r="D26" s="295"/>
      <c r="E26" s="295"/>
      <c r="F26" s="295"/>
      <c r="G26" s="295"/>
      <c r="H26" s="295"/>
    </row>
    <row r="27" spans="1:8" x14ac:dyDescent="0.2">
      <c r="A27" s="295"/>
      <c r="B27" s="296"/>
      <c r="C27" s="296"/>
      <c r="D27" s="295"/>
      <c r="E27" s="295"/>
      <c r="F27" s="295"/>
      <c r="G27" s="295"/>
      <c r="H27" s="295"/>
    </row>
    <row r="28" spans="1:8" x14ac:dyDescent="0.2">
      <c r="A28" s="28">
        <v>1</v>
      </c>
      <c r="B28" s="29">
        <v>2</v>
      </c>
      <c r="C28" s="29">
        <v>3</v>
      </c>
      <c r="D28" s="28">
        <v>4</v>
      </c>
      <c r="E28" s="28">
        <v>5</v>
      </c>
      <c r="F28" s="28">
        <v>6</v>
      </c>
      <c r="G28" s="28">
        <v>7</v>
      </c>
      <c r="H28" s="28">
        <v>8</v>
      </c>
    </row>
    <row r="29" spans="1:8" x14ac:dyDescent="0.2">
      <c r="A29" s="287" t="s">
        <v>18</v>
      </c>
      <c r="B29" s="288"/>
      <c r="C29" s="288"/>
      <c r="D29" s="288"/>
      <c r="E29" s="288"/>
      <c r="F29" s="288"/>
      <c r="G29" s="288"/>
      <c r="H29" s="288"/>
    </row>
    <row r="30" spans="1:8" x14ac:dyDescent="0.2">
      <c r="A30" s="17">
        <v>1</v>
      </c>
      <c r="B30" s="18" t="s">
        <v>19</v>
      </c>
      <c r="C30" s="18" t="s">
        <v>20</v>
      </c>
      <c r="D30" s="19">
        <v>18.68</v>
      </c>
      <c r="E30" s="20"/>
      <c r="F30" s="20"/>
      <c r="G30" s="20"/>
      <c r="H30" s="19">
        <v>18.68</v>
      </c>
    </row>
    <row r="31" spans="1:8" ht="25.5" x14ac:dyDescent="0.2">
      <c r="A31" s="17">
        <v>2</v>
      </c>
      <c r="B31" s="18" t="s">
        <v>21</v>
      </c>
      <c r="C31" s="18" t="s">
        <v>22</v>
      </c>
      <c r="D31" s="20"/>
      <c r="E31" s="20"/>
      <c r="F31" s="20"/>
      <c r="G31" s="19">
        <v>177.15</v>
      </c>
      <c r="H31" s="19">
        <v>177.15</v>
      </c>
    </row>
    <row r="32" spans="1:8" x14ac:dyDescent="0.2">
      <c r="A32" s="17">
        <v>3</v>
      </c>
      <c r="B32" s="18" t="s">
        <v>23</v>
      </c>
      <c r="C32" s="18" t="s">
        <v>24</v>
      </c>
      <c r="D32" s="20"/>
      <c r="E32" s="20"/>
      <c r="F32" s="20"/>
      <c r="G32" s="19">
        <v>4082.53</v>
      </c>
      <c r="H32" s="19">
        <v>4082.53</v>
      </c>
    </row>
    <row r="33" spans="1:9" ht="38.25" x14ac:dyDescent="0.2">
      <c r="A33" s="17">
        <v>4</v>
      </c>
      <c r="B33" s="18" t="s">
        <v>25</v>
      </c>
      <c r="C33" s="18" t="s">
        <v>26</v>
      </c>
      <c r="D33" s="20"/>
      <c r="E33" s="20"/>
      <c r="F33" s="20"/>
      <c r="G33" s="19">
        <v>10.39</v>
      </c>
      <c r="H33" s="19">
        <v>10.39</v>
      </c>
      <c r="I33" s="63"/>
    </row>
    <row r="34" spans="1:9" ht="25.5" x14ac:dyDescent="0.2">
      <c r="A34" s="17">
        <v>5</v>
      </c>
      <c r="B34" s="18" t="s">
        <v>27</v>
      </c>
      <c r="C34" s="18" t="s">
        <v>28</v>
      </c>
      <c r="D34" s="19">
        <v>7.76</v>
      </c>
      <c r="E34" s="20"/>
      <c r="F34" s="20"/>
      <c r="G34" s="20"/>
      <c r="H34" s="19">
        <v>7.76</v>
      </c>
    </row>
    <row r="35" spans="1:9" x14ac:dyDescent="0.2">
      <c r="A35" s="21">
        <v>6</v>
      </c>
      <c r="B35" s="22"/>
      <c r="C35" s="23" t="s">
        <v>29</v>
      </c>
      <c r="D35" s="24">
        <v>307.89</v>
      </c>
      <c r="E35" s="20"/>
      <c r="F35" s="20"/>
      <c r="G35" s="20"/>
      <c r="H35" s="24">
        <v>307.89</v>
      </c>
    </row>
    <row r="36" spans="1:9" ht="27.95" customHeight="1" x14ac:dyDescent="0.2">
      <c r="A36" s="27"/>
      <c r="B36" s="289" t="s">
        <v>30</v>
      </c>
      <c r="C36" s="293"/>
      <c r="D36" s="30">
        <f>D30+D31+D32+D33+D34</f>
        <v>26.44</v>
      </c>
      <c r="E36" s="31"/>
      <c r="F36" s="31"/>
      <c r="G36" s="30">
        <f>G30+G31+G32+G33+G34</f>
        <v>4270.07</v>
      </c>
      <c r="H36" s="30">
        <f>H30+H31+H32+H33+H34</f>
        <v>4296.51</v>
      </c>
    </row>
    <row r="37" spans="1:9" x14ac:dyDescent="0.2">
      <c r="A37" s="287" t="s">
        <v>31</v>
      </c>
      <c r="B37" s="288"/>
      <c r="C37" s="288"/>
      <c r="D37" s="288"/>
      <c r="E37" s="288"/>
      <c r="F37" s="288"/>
      <c r="G37" s="288"/>
      <c r="H37" s="288"/>
    </row>
    <row r="38" spans="1:9" x14ac:dyDescent="0.2">
      <c r="A38" s="17">
        <v>7</v>
      </c>
      <c r="B38" s="18" t="s">
        <v>32</v>
      </c>
      <c r="C38" s="18" t="s">
        <v>33</v>
      </c>
      <c r="D38" s="19">
        <f>D39+D40+D41+D42+D43+D44</f>
        <v>28111.22</v>
      </c>
      <c r="E38" s="20"/>
      <c r="F38" s="20"/>
      <c r="G38" s="20"/>
      <c r="H38" s="19">
        <f>H39+H40+H41+H42+H43+H44</f>
        <v>28111.22</v>
      </c>
    </row>
    <row r="39" spans="1:9" x14ac:dyDescent="0.2">
      <c r="A39" s="17"/>
      <c r="B39" s="32" t="s">
        <v>184</v>
      </c>
      <c r="C39" s="32" t="s">
        <v>185</v>
      </c>
      <c r="D39" s="33">
        <v>6842.83</v>
      </c>
      <c r="E39" s="34"/>
      <c r="F39" s="34"/>
      <c r="G39" s="34"/>
      <c r="H39" s="33">
        <v>6842.83</v>
      </c>
    </row>
    <row r="40" spans="1:9" x14ac:dyDescent="0.2">
      <c r="A40" s="17"/>
      <c r="B40" s="32" t="s">
        <v>186</v>
      </c>
      <c r="C40" s="32" t="s">
        <v>187</v>
      </c>
      <c r="D40" s="33">
        <v>983</v>
      </c>
      <c r="E40" s="34"/>
      <c r="F40" s="34"/>
      <c r="G40" s="34"/>
      <c r="H40" s="33">
        <v>983</v>
      </c>
    </row>
    <row r="41" spans="1:9" x14ac:dyDescent="0.2">
      <c r="A41" s="17"/>
      <c r="B41" s="32" t="s">
        <v>188</v>
      </c>
      <c r="C41" s="32" t="s">
        <v>189</v>
      </c>
      <c r="D41" s="33">
        <v>6121.37</v>
      </c>
      <c r="E41" s="34"/>
      <c r="F41" s="34"/>
      <c r="G41" s="34"/>
      <c r="H41" s="33">
        <v>6121.37</v>
      </c>
    </row>
    <row r="42" spans="1:9" x14ac:dyDescent="0.2">
      <c r="A42" s="17"/>
      <c r="B42" s="32" t="s">
        <v>190</v>
      </c>
      <c r="C42" s="32" t="s">
        <v>191</v>
      </c>
      <c r="D42" s="33">
        <v>493.08</v>
      </c>
      <c r="E42" s="34"/>
      <c r="F42" s="34"/>
      <c r="G42" s="34"/>
      <c r="H42" s="33">
        <v>493.08</v>
      </c>
    </row>
    <row r="43" spans="1:9" x14ac:dyDescent="0.2">
      <c r="A43" s="17"/>
      <c r="B43" s="32" t="s">
        <v>192</v>
      </c>
      <c r="C43" s="32" t="s">
        <v>193</v>
      </c>
      <c r="D43" s="33">
        <v>11468.96</v>
      </c>
      <c r="E43" s="34"/>
      <c r="F43" s="34"/>
      <c r="G43" s="34"/>
      <c r="H43" s="33">
        <v>11468.96</v>
      </c>
    </row>
    <row r="44" spans="1:9" x14ac:dyDescent="0.2">
      <c r="A44" s="17"/>
      <c r="B44" s="32" t="s">
        <v>194</v>
      </c>
      <c r="C44" s="32" t="s">
        <v>195</v>
      </c>
      <c r="D44" s="33">
        <v>2201.98</v>
      </c>
      <c r="E44" s="34"/>
      <c r="F44" s="34"/>
      <c r="G44" s="34"/>
      <c r="H44" s="33">
        <v>2201.98</v>
      </c>
    </row>
    <row r="45" spans="1:9" ht="27.95" customHeight="1" x14ac:dyDescent="0.2">
      <c r="A45" s="35"/>
      <c r="B45" s="289" t="s">
        <v>34</v>
      </c>
      <c r="C45" s="290"/>
      <c r="D45" s="30">
        <f>D38</f>
        <v>28111.22</v>
      </c>
      <c r="E45" s="31"/>
      <c r="F45" s="31"/>
      <c r="G45" s="31"/>
      <c r="H45" s="30">
        <f>H38</f>
        <v>28111.22</v>
      </c>
    </row>
    <row r="46" spans="1:9" x14ac:dyDescent="0.2">
      <c r="A46" s="287" t="s">
        <v>35</v>
      </c>
      <c r="B46" s="288"/>
      <c r="C46" s="288"/>
      <c r="D46" s="288"/>
      <c r="E46" s="288"/>
      <c r="F46" s="288"/>
      <c r="G46" s="288"/>
      <c r="H46" s="288"/>
    </row>
    <row r="47" spans="1:9" x14ac:dyDescent="0.2">
      <c r="A47" s="17">
        <v>8</v>
      </c>
      <c r="B47" s="18" t="s">
        <v>36</v>
      </c>
      <c r="C47" s="18" t="s">
        <v>37</v>
      </c>
      <c r="D47" s="19">
        <f>D48+D49+D50</f>
        <v>54.07</v>
      </c>
      <c r="E47" s="19">
        <f>E48+E49+E50</f>
        <v>14.11</v>
      </c>
      <c r="F47" s="19">
        <f>F48+F49+F50</f>
        <v>2890.96</v>
      </c>
      <c r="G47" s="20"/>
      <c r="H47" s="19">
        <f>H48+H49+H50</f>
        <v>2959.14</v>
      </c>
    </row>
    <row r="48" spans="1:9" x14ac:dyDescent="0.2">
      <c r="A48" s="17"/>
      <c r="B48" s="32" t="s">
        <v>196</v>
      </c>
      <c r="C48" s="32" t="s">
        <v>197</v>
      </c>
      <c r="D48" s="33">
        <v>47.88</v>
      </c>
      <c r="E48" s="33"/>
      <c r="F48" s="33"/>
      <c r="G48" s="34"/>
      <c r="H48" s="33">
        <f>G48+F48+E48+D48</f>
        <v>47.88</v>
      </c>
    </row>
    <row r="49" spans="1:8" ht="25.5" x14ac:dyDescent="0.2">
      <c r="A49" s="17"/>
      <c r="B49" s="32" t="s">
        <v>198</v>
      </c>
      <c r="C49" s="32" t="s">
        <v>199</v>
      </c>
      <c r="D49" s="33">
        <v>5.87</v>
      </c>
      <c r="E49" s="36">
        <v>10.1</v>
      </c>
      <c r="F49" s="33">
        <v>2877.06</v>
      </c>
      <c r="G49" s="34"/>
      <c r="H49" s="33">
        <f>G49+F49+E49+D49</f>
        <v>2893.03</v>
      </c>
    </row>
    <row r="50" spans="1:8" ht="25.5" x14ac:dyDescent="0.2">
      <c r="A50" s="17"/>
      <c r="B50" s="32" t="s">
        <v>200</v>
      </c>
      <c r="C50" s="32" t="s">
        <v>201</v>
      </c>
      <c r="D50" s="33">
        <v>0.32</v>
      </c>
      <c r="E50" s="33">
        <v>4.01</v>
      </c>
      <c r="F50" s="33">
        <v>13.9</v>
      </c>
      <c r="G50" s="34"/>
      <c r="H50" s="33">
        <f>G50+F50+E50+D50</f>
        <v>18.23</v>
      </c>
    </row>
    <row r="51" spans="1:8" x14ac:dyDescent="0.2">
      <c r="A51" s="17">
        <v>9</v>
      </c>
      <c r="B51" s="18" t="s">
        <v>38</v>
      </c>
      <c r="C51" s="18" t="s">
        <v>39</v>
      </c>
      <c r="D51" s="19">
        <f>D52+D53+D54</f>
        <v>61.38</v>
      </c>
      <c r="E51" s="19">
        <f>E52+E53+E54</f>
        <v>15.42</v>
      </c>
      <c r="F51" s="37">
        <f>F52+F53+F54</f>
        <v>4113.1099999999997</v>
      </c>
      <c r="G51" s="20"/>
      <c r="H51" s="19">
        <f>H52+H53+H54</f>
        <v>4189.91</v>
      </c>
    </row>
    <row r="52" spans="1:8" x14ac:dyDescent="0.2">
      <c r="A52" s="17"/>
      <c r="B52" s="32" t="s">
        <v>202</v>
      </c>
      <c r="C52" s="32" t="s">
        <v>197</v>
      </c>
      <c r="D52" s="33">
        <v>55.15</v>
      </c>
      <c r="E52" s="33"/>
      <c r="F52" s="33"/>
      <c r="G52" s="34"/>
      <c r="H52" s="33">
        <f>G52+F52+E52+D52</f>
        <v>55.15</v>
      </c>
    </row>
    <row r="53" spans="1:8" ht="25.5" x14ac:dyDescent="0.2">
      <c r="A53" s="17"/>
      <c r="B53" s="32" t="s">
        <v>203</v>
      </c>
      <c r="C53" s="32" t="s">
        <v>204</v>
      </c>
      <c r="D53" s="33">
        <v>5.91</v>
      </c>
      <c r="E53" s="33">
        <v>11.41</v>
      </c>
      <c r="F53" s="33">
        <v>4099.21</v>
      </c>
      <c r="G53" s="34"/>
      <c r="H53" s="33">
        <f>G53+F53+E53+D53</f>
        <v>4116.53</v>
      </c>
    </row>
    <row r="54" spans="1:8" ht="25.5" x14ac:dyDescent="0.2">
      <c r="A54" s="17"/>
      <c r="B54" s="32" t="s">
        <v>205</v>
      </c>
      <c r="C54" s="32" t="s">
        <v>206</v>
      </c>
      <c r="D54" s="33">
        <v>0.32</v>
      </c>
      <c r="E54" s="33">
        <v>4.01</v>
      </c>
      <c r="F54" s="36">
        <v>13.9</v>
      </c>
      <c r="G54" s="34"/>
      <c r="H54" s="33">
        <f>G54+F54+E54+D54</f>
        <v>18.23</v>
      </c>
    </row>
    <row r="55" spans="1:8" x14ac:dyDescent="0.2">
      <c r="A55" s="17">
        <v>10</v>
      </c>
      <c r="B55" s="18" t="s">
        <v>40</v>
      </c>
      <c r="C55" s="18" t="s">
        <v>41</v>
      </c>
      <c r="D55" s="19">
        <f>D56+D57+D58</f>
        <v>61.5</v>
      </c>
      <c r="E55" s="19">
        <f>E56+E57+E58</f>
        <v>15.37</v>
      </c>
      <c r="F55" s="37">
        <f>F56+F57+F58</f>
        <v>3711.62</v>
      </c>
      <c r="G55" s="20"/>
      <c r="H55" s="19">
        <f>H56+H57+H58</f>
        <v>3788.49</v>
      </c>
    </row>
    <row r="56" spans="1:8" x14ac:dyDescent="0.2">
      <c r="A56" s="17"/>
      <c r="B56" s="32" t="s">
        <v>207</v>
      </c>
      <c r="C56" s="32" t="s">
        <v>197</v>
      </c>
      <c r="D56" s="33">
        <v>55.59</v>
      </c>
      <c r="E56" s="33"/>
      <c r="F56" s="33"/>
      <c r="G56" s="34"/>
      <c r="H56" s="33">
        <f>D56+E56+F56+G56</f>
        <v>55.59</v>
      </c>
    </row>
    <row r="57" spans="1:8" ht="25.5" x14ac:dyDescent="0.2">
      <c r="A57" s="17"/>
      <c r="B57" s="32" t="s">
        <v>208</v>
      </c>
      <c r="C57" s="32" t="s">
        <v>209</v>
      </c>
      <c r="D57" s="33">
        <v>5.91</v>
      </c>
      <c r="E57" s="33">
        <v>11.44</v>
      </c>
      <c r="F57" s="33">
        <v>3697.72</v>
      </c>
      <c r="G57" s="34"/>
      <c r="H57" s="33">
        <f>D57+E57+F57+G57</f>
        <v>3715.07</v>
      </c>
    </row>
    <row r="58" spans="1:8" ht="25.5" x14ac:dyDescent="0.2">
      <c r="A58" s="17"/>
      <c r="B58" s="32" t="s">
        <v>210</v>
      </c>
      <c r="C58" s="32" t="s">
        <v>211</v>
      </c>
      <c r="D58" s="33"/>
      <c r="E58" s="33">
        <v>3.93</v>
      </c>
      <c r="F58" s="36">
        <v>13.9</v>
      </c>
      <c r="G58" s="34"/>
      <c r="H58" s="33">
        <f>D58+E58+F58+G58</f>
        <v>17.829999999999998</v>
      </c>
    </row>
    <row r="59" spans="1:8" ht="25.5" x14ac:dyDescent="0.2">
      <c r="A59" s="17">
        <v>11</v>
      </c>
      <c r="B59" s="18" t="s">
        <v>42</v>
      </c>
      <c r="C59" s="18" t="s">
        <v>43</v>
      </c>
      <c r="D59" s="20"/>
      <c r="E59" s="19">
        <v>21.61</v>
      </c>
      <c r="F59" s="19">
        <v>2388.0300000000002</v>
      </c>
      <c r="G59" s="20"/>
      <c r="H59" s="19">
        <v>2409.64</v>
      </c>
    </row>
    <row r="60" spans="1:8" x14ac:dyDescent="0.2">
      <c r="A60" s="17">
        <v>12</v>
      </c>
      <c r="B60" s="18" t="s">
        <v>44</v>
      </c>
      <c r="C60" s="18" t="s">
        <v>45</v>
      </c>
      <c r="D60" s="19">
        <v>149.63999999999999</v>
      </c>
      <c r="E60" s="19">
        <v>1621.89</v>
      </c>
      <c r="F60" s="20"/>
      <c r="G60" s="20"/>
      <c r="H60" s="19">
        <v>1771.53</v>
      </c>
    </row>
    <row r="61" spans="1:8" x14ac:dyDescent="0.2">
      <c r="A61" s="17">
        <v>13</v>
      </c>
      <c r="B61" s="18" t="s">
        <v>46</v>
      </c>
      <c r="C61" s="18" t="s">
        <v>47</v>
      </c>
      <c r="D61" s="19">
        <v>519.47</v>
      </c>
      <c r="E61" s="20"/>
      <c r="F61" s="20"/>
      <c r="G61" s="20"/>
      <c r="H61" s="19">
        <v>519.47</v>
      </c>
    </row>
    <row r="62" spans="1:8" ht="25.5" x14ac:dyDescent="0.2">
      <c r="A62" s="17">
        <v>14</v>
      </c>
      <c r="B62" s="18" t="s">
        <v>48</v>
      </c>
      <c r="C62" s="18" t="s">
        <v>49</v>
      </c>
      <c r="D62" s="19">
        <v>44.07</v>
      </c>
      <c r="E62" s="19">
        <v>247.16</v>
      </c>
      <c r="F62" s="20"/>
      <c r="G62" s="20"/>
      <c r="H62" s="19">
        <v>291.23</v>
      </c>
    </row>
    <row r="63" spans="1:8" ht="25.5" x14ac:dyDescent="0.2">
      <c r="A63" s="17">
        <v>15</v>
      </c>
      <c r="B63" s="18" t="s">
        <v>50</v>
      </c>
      <c r="C63" s="18" t="s">
        <v>51</v>
      </c>
      <c r="D63" s="19">
        <v>3.6</v>
      </c>
      <c r="E63" s="19">
        <v>8.7200000000000006</v>
      </c>
      <c r="F63" s="20"/>
      <c r="G63" s="20"/>
      <c r="H63" s="19">
        <v>12.32</v>
      </c>
    </row>
    <row r="64" spans="1:8" ht="25.5" x14ac:dyDescent="0.2">
      <c r="A64" s="17">
        <v>16</v>
      </c>
      <c r="B64" s="18" t="s">
        <v>52</v>
      </c>
      <c r="C64" s="18" t="s">
        <v>53</v>
      </c>
      <c r="D64" s="19">
        <f>D65+D66+D67</f>
        <v>88.86</v>
      </c>
      <c r="E64" s="19">
        <f>E65+E66+E67</f>
        <v>16</v>
      </c>
      <c r="F64" s="19">
        <f>F65+F66+F67</f>
        <v>8196.7900000000009</v>
      </c>
      <c r="G64" s="20"/>
      <c r="H64" s="37">
        <f>H65+H66+H67</f>
        <v>8301.65</v>
      </c>
    </row>
    <row r="65" spans="1:8" x14ac:dyDescent="0.2">
      <c r="A65" s="17"/>
      <c r="B65" s="32" t="s">
        <v>212</v>
      </c>
      <c r="C65" s="32" t="s">
        <v>197</v>
      </c>
      <c r="D65" s="36">
        <v>82.6</v>
      </c>
      <c r="E65" s="33"/>
      <c r="F65" s="33"/>
      <c r="G65" s="34"/>
      <c r="H65" s="36">
        <f>D65+E65+F65+G65</f>
        <v>82.6</v>
      </c>
    </row>
    <row r="66" spans="1:8" ht="38.25" x14ac:dyDescent="0.2">
      <c r="A66" s="17"/>
      <c r="B66" s="32" t="s">
        <v>213</v>
      </c>
      <c r="C66" s="32" t="s">
        <v>214</v>
      </c>
      <c r="D66" s="33">
        <v>5.94</v>
      </c>
      <c r="E66" s="33">
        <v>11.72</v>
      </c>
      <c r="F66" s="33">
        <v>8182.44</v>
      </c>
      <c r="G66" s="34"/>
      <c r="H66" s="36">
        <f>D66+E66+F66+G66</f>
        <v>8200.1</v>
      </c>
    </row>
    <row r="67" spans="1:8" ht="25.5" x14ac:dyDescent="0.2">
      <c r="A67" s="17"/>
      <c r="B67" s="32" t="s">
        <v>215</v>
      </c>
      <c r="C67" s="32" t="s">
        <v>216</v>
      </c>
      <c r="D67" s="33">
        <v>0.32</v>
      </c>
      <c r="E67" s="33">
        <v>4.28</v>
      </c>
      <c r="F67" s="33">
        <v>14.35</v>
      </c>
      <c r="G67" s="34"/>
      <c r="H67" s="36">
        <f>D67+E67+F67+G67</f>
        <v>18.95</v>
      </c>
    </row>
    <row r="68" spans="1:8" ht="25.5" x14ac:dyDescent="0.2">
      <c r="A68" s="17">
        <v>17</v>
      </c>
      <c r="B68" s="18" t="s">
        <v>54</v>
      </c>
      <c r="C68" s="18" t="s">
        <v>55</v>
      </c>
      <c r="D68" s="19">
        <f>D69+D70+D71</f>
        <v>87.83</v>
      </c>
      <c r="E68" s="19">
        <f>E69+E70+E71</f>
        <v>16.54</v>
      </c>
      <c r="F68" s="19">
        <f>F69+F70+F71</f>
        <v>8673.34</v>
      </c>
      <c r="G68" s="20"/>
      <c r="H68" s="19">
        <f>H69+H70+H71</f>
        <v>8777.7099999999991</v>
      </c>
    </row>
    <row r="69" spans="1:8" x14ac:dyDescent="0.2">
      <c r="A69" s="17"/>
      <c r="B69" s="32" t="s">
        <v>217</v>
      </c>
      <c r="C69" s="32" t="s">
        <v>197</v>
      </c>
      <c r="D69" s="33">
        <v>81.56</v>
      </c>
      <c r="E69" s="33"/>
      <c r="F69" s="33"/>
      <c r="G69" s="34"/>
      <c r="H69" s="33">
        <f>G69+F69+E69+D69</f>
        <v>81.56</v>
      </c>
    </row>
    <row r="70" spans="1:8" ht="38.25" x14ac:dyDescent="0.2">
      <c r="A70" s="17"/>
      <c r="B70" s="32" t="s">
        <v>218</v>
      </c>
      <c r="C70" s="32" t="s">
        <v>219</v>
      </c>
      <c r="D70" s="33">
        <v>5.95</v>
      </c>
      <c r="E70" s="33">
        <v>12.3</v>
      </c>
      <c r="F70" s="33">
        <v>8665.0400000000009</v>
      </c>
      <c r="G70" s="34"/>
      <c r="H70" s="33">
        <f>G70+F70+E70+D70</f>
        <v>8683.2900000000009</v>
      </c>
    </row>
    <row r="71" spans="1:8" ht="25.5" x14ac:dyDescent="0.2">
      <c r="A71" s="17"/>
      <c r="B71" s="32" t="s">
        <v>220</v>
      </c>
      <c r="C71" s="32" t="s">
        <v>221</v>
      </c>
      <c r="D71" s="33">
        <v>0.32</v>
      </c>
      <c r="E71" s="33">
        <v>4.24</v>
      </c>
      <c r="F71" s="33">
        <v>8.3000000000000007</v>
      </c>
      <c r="G71" s="34"/>
      <c r="H71" s="33">
        <f>G71+F71+E71+D71</f>
        <v>12.86</v>
      </c>
    </row>
    <row r="72" spans="1:8" x14ac:dyDescent="0.2">
      <c r="A72" s="17">
        <v>18</v>
      </c>
      <c r="B72" s="18" t="s">
        <v>56</v>
      </c>
      <c r="C72" s="18" t="s">
        <v>57</v>
      </c>
      <c r="D72" s="19">
        <f>D73+D74+D75</f>
        <v>61.92</v>
      </c>
      <c r="E72" s="19">
        <f>E73+E74+E75</f>
        <v>15.36</v>
      </c>
      <c r="F72" s="19">
        <f>F73+F74+F75</f>
        <v>4135.75</v>
      </c>
      <c r="G72" s="20"/>
      <c r="H72" s="19">
        <f>H73+H74+H75</f>
        <v>4213.03</v>
      </c>
    </row>
    <row r="73" spans="1:8" x14ac:dyDescent="0.2">
      <c r="A73" s="17"/>
      <c r="B73" s="32" t="s">
        <v>222</v>
      </c>
      <c r="C73" s="32" t="s">
        <v>197</v>
      </c>
      <c r="D73" s="36">
        <v>56</v>
      </c>
      <c r="E73" s="33"/>
      <c r="F73" s="33"/>
      <c r="G73" s="34"/>
      <c r="H73" s="36">
        <f>G73+F73+E73+D73</f>
        <v>56</v>
      </c>
    </row>
    <row r="74" spans="1:8" ht="25.5" x14ac:dyDescent="0.2">
      <c r="A74" s="17"/>
      <c r="B74" s="32" t="s">
        <v>223</v>
      </c>
      <c r="C74" s="32" t="s">
        <v>224</v>
      </c>
      <c r="D74" s="33">
        <v>5.91</v>
      </c>
      <c r="E74" s="33">
        <v>11.41</v>
      </c>
      <c r="F74" s="33">
        <v>4121.8500000000004</v>
      </c>
      <c r="G74" s="34"/>
      <c r="H74" s="33">
        <f>G74+F74+E74+D74</f>
        <v>4139.17</v>
      </c>
    </row>
    <row r="75" spans="1:8" ht="25.5" x14ac:dyDescent="0.2">
      <c r="A75" s="17"/>
      <c r="B75" s="32" t="s">
        <v>225</v>
      </c>
      <c r="C75" s="32" t="s">
        <v>226</v>
      </c>
      <c r="D75" s="33">
        <v>0.01</v>
      </c>
      <c r="E75" s="33">
        <v>3.95</v>
      </c>
      <c r="F75" s="36">
        <v>13.9</v>
      </c>
      <c r="G75" s="34"/>
      <c r="H75" s="33">
        <f>G75+F75+E75+D75</f>
        <v>17.86</v>
      </c>
    </row>
    <row r="76" spans="1:8" x14ac:dyDescent="0.2">
      <c r="A76" s="17">
        <v>19</v>
      </c>
      <c r="B76" s="18" t="s">
        <v>58</v>
      </c>
      <c r="C76" s="18" t="s">
        <v>59</v>
      </c>
      <c r="D76" s="19">
        <f>D77+D78+D79</f>
        <v>53.88</v>
      </c>
      <c r="E76" s="19">
        <f>E77+E78+E79</f>
        <v>14.62</v>
      </c>
      <c r="F76" s="37">
        <f>F77+F78+F79</f>
        <v>3256.98</v>
      </c>
      <c r="G76" s="20"/>
      <c r="H76" s="19">
        <f>H77+H78+H79</f>
        <v>3325.48</v>
      </c>
    </row>
    <row r="77" spans="1:8" x14ac:dyDescent="0.2">
      <c r="A77" s="17"/>
      <c r="B77" s="32" t="s">
        <v>227</v>
      </c>
      <c r="C77" s="32" t="s">
        <v>197</v>
      </c>
      <c r="D77" s="33">
        <v>47.62</v>
      </c>
      <c r="E77" s="33"/>
      <c r="F77" s="33"/>
      <c r="G77" s="34"/>
      <c r="H77" s="33">
        <f>G77+F77+E77+D77</f>
        <v>47.62</v>
      </c>
    </row>
    <row r="78" spans="1:8" ht="25.5" x14ac:dyDescent="0.2">
      <c r="A78" s="17"/>
      <c r="B78" s="32" t="s">
        <v>228</v>
      </c>
      <c r="C78" s="32" t="s">
        <v>229</v>
      </c>
      <c r="D78" s="33">
        <v>5.94</v>
      </c>
      <c r="E78" s="33">
        <v>10.61</v>
      </c>
      <c r="F78" s="33">
        <v>3243.08</v>
      </c>
      <c r="G78" s="34"/>
      <c r="H78" s="33">
        <f>G78+F78+E78+D78</f>
        <v>3259.63</v>
      </c>
    </row>
    <row r="79" spans="1:8" ht="25.5" x14ac:dyDescent="0.2">
      <c r="A79" s="17"/>
      <c r="B79" s="32" t="s">
        <v>230</v>
      </c>
      <c r="C79" s="32" t="s">
        <v>231</v>
      </c>
      <c r="D79" s="33">
        <v>0.32</v>
      </c>
      <c r="E79" s="33">
        <v>4.01</v>
      </c>
      <c r="F79" s="36">
        <v>13.9</v>
      </c>
      <c r="G79" s="34"/>
      <c r="H79" s="33">
        <f>G79+F79+E79+D79</f>
        <v>18.23</v>
      </c>
    </row>
    <row r="80" spans="1:8" ht="27.95" customHeight="1" x14ac:dyDescent="0.2">
      <c r="A80" s="35"/>
      <c r="B80" s="289" t="s">
        <v>60</v>
      </c>
      <c r="C80" s="290"/>
      <c r="D80" s="30">
        <f>D47+D51+D55+D59+D60+D61+D62+D63+D64+D68+D72+D76</f>
        <v>1186.22</v>
      </c>
      <c r="E80" s="30">
        <f>E47+E51+E55+E59+E60+E61+E62+E63+E64+E68+E72+E76</f>
        <v>2006.8</v>
      </c>
      <c r="F80" s="30">
        <f>F47+F51+F55+F59+F60+F61+F62+F63+F64+F68+F72+F76</f>
        <v>37366.58</v>
      </c>
      <c r="G80" s="31"/>
      <c r="H80" s="38">
        <f>H47+H51+H55+H59+H60+H61+H62+H63+H64+H68+H72+H76</f>
        <v>40559.599999999999</v>
      </c>
    </row>
    <row r="81" spans="1:8" x14ac:dyDescent="0.2">
      <c r="A81" s="287" t="s">
        <v>61</v>
      </c>
      <c r="B81" s="288"/>
      <c r="C81" s="288"/>
      <c r="D81" s="288"/>
      <c r="E81" s="288"/>
      <c r="F81" s="288"/>
      <c r="G81" s="288"/>
      <c r="H81" s="288"/>
    </row>
    <row r="82" spans="1:8" x14ac:dyDescent="0.2">
      <c r="A82" s="17">
        <v>20</v>
      </c>
      <c r="B82" s="18" t="s">
        <v>62</v>
      </c>
      <c r="C82" s="18" t="s">
        <v>63</v>
      </c>
      <c r="D82" s="19">
        <v>66.47</v>
      </c>
      <c r="E82" s="19">
        <v>1320.15</v>
      </c>
      <c r="F82" s="20"/>
      <c r="G82" s="20"/>
      <c r="H82" s="19">
        <v>1386.62</v>
      </c>
    </row>
    <row r="83" spans="1:8" x14ac:dyDescent="0.2">
      <c r="A83" s="17">
        <v>21</v>
      </c>
      <c r="B83" s="18" t="s">
        <v>64</v>
      </c>
      <c r="C83" s="18" t="s">
        <v>65</v>
      </c>
      <c r="D83" s="19">
        <f>D84+D85+D86+D87+D88+D89+D90+D91+D92+D93+D94+D95+D96+D97+D98</f>
        <v>1378.81</v>
      </c>
      <c r="E83" s="19">
        <f>E84+E85+E86+E87+E88+E89+E90+E91+E92+E93+E94+E95+E96+E97+E98</f>
        <v>438.93</v>
      </c>
      <c r="F83" s="19">
        <f>F84+F85+F86+F87+F88+F89+F90+F91+F92+F93+F94+F95+F96+F97+F98</f>
        <v>643.45000000000005</v>
      </c>
      <c r="G83" s="20"/>
      <c r="H83" s="19">
        <f>H84+H85+H86+H87+H88+H89+H90+H91+H92+H93+H94+H95+H96+H97+H98</f>
        <v>2461.19</v>
      </c>
    </row>
    <row r="84" spans="1:8" ht="25.5" x14ac:dyDescent="0.2">
      <c r="A84" s="17"/>
      <c r="B84" s="32" t="s">
        <v>232</v>
      </c>
      <c r="C84" s="32" t="s">
        <v>233</v>
      </c>
      <c r="D84" s="33">
        <v>1347.6</v>
      </c>
      <c r="E84" s="33">
        <v>8.4600000000000009</v>
      </c>
      <c r="F84" s="33">
        <v>55.95</v>
      </c>
      <c r="G84" s="34"/>
      <c r="H84" s="33">
        <f>G84+F84+E84+D84</f>
        <v>1412.01</v>
      </c>
    </row>
    <row r="85" spans="1:8" ht="38.25" x14ac:dyDescent="0.2">
      <c r="A85" s="17"/>
      <c r="B85" s="32" t="s">
        <v>234</v>
      </c>
      <c r="C85" s="32" t="s">
        <v>235</v>
      </c>
      <c r="D85" s="33"/>
      <c r="E85" s="33">
        <v>0.16</v>
      </c>
      <c r="F85" s="33">
        <v>0.04</v>
      </c>
      <c r="G85" s="34"/>
      <c r="H85" s="33">
        <f t="shared" ref="H85:H98" si="0">G85+F85+E85+D85</f>
        <v>0.2</v>
      </c>
    </row>
    <row r="86" spans="1:8" ht="38.25" x14ac:dyDescent="0.2">
      <c r="A86" s="17"/>
      <c r="B86" s="32" t="s">
        <v>236</v>
      </c>
      <c r="C86" s="32" t="s">
        <v>237</v>
      </c>
      <c r="D86" s="33">
        <v>0.32</v>
      </c>
      <c r="E86" s="33">
        <v>42.05</v>
      </c>
      <c r="F86" s="33">
        <v>136.34</v>
      </c>
      <c r="G86" s="34"/>
      <c r="H86" s="33">
        <f t="shared" si="0"/>
        <v>178.71</v>
      </c>
    </row>
    <row r="87" spans="1:8" ht="38.25" x14ac:dyDescent="0.2">
      <c r="A87" s="17"/>
      <c r="B87" s="32" t="s">
        <v>238</v>
      </c>
      <c r="C87" s="32" t="s">
        <v>239</v>
      </c>
      <c r="D87" s="33">
        <v>0.46</v>
      </c>
      <c r="E87" s="33">
        <v>4.5199999999999996</v>
      </c>
      <c r="F87" s="33">
        <v>7.73</v>
      </c>
      <c r="G87" s="34"/>
      <c r="H87" s="33">
        <f t="shared" si="0"/>
        <v>12.71</v>
      </c>
    </row>
    <row r="88" spans="1:8" ht="38.25" x14ac:dyDescent="0.2">
      <c r="A88" s="17"/>
      <c r="B88" s="32" t="s">
        <v>240</v>
      </c>
      <c r="C88" s="32" t="s">
        <v>241</v>
      </c>
      <c r="D88" s="33">
        <v>0.61</v>
      </c>
      <c r="E88" s="33">
        <v>6.78</v>
      </c>
      <c r="F88" s="33">
        <v>7.73</v>
      </c>
      <c r="G88" s="34"/>
      <c r="H88" s="33">
        <f t="shared" si="0"/>
        <v>15.12</v>
      </c>
    </row>
    <row r="89" spans="1:8" ht="25.5" x14ac:dyDescent="0.2">
      <c r="A89" s="17"/>
      <c r="B89" s="32" t="s">
        <v>242</v>
      </c>
      <c r="C89" s="32" t="s">
        <v>243</v>
      </c>
      <c r="D89" s="33">
        <v>11.62</v>
      </c>
      <c r="E89" s="33">
        <v>98.64</v>
      </c>
      <c r="F89" s="33">
        <v>85.09</v>
      </c>
      <c r="G89" s="34"/>
      <c r="H89" s="33">
        <f t="shared" si="0"/>
        <v>195.35</v>
      </c>
    </row>
    <row r="90" spans="1:8" ht="38.25" x14ac:dyDescent="0.2">
      <c r="A90" s="17"/>
      <c r="B90" s="32" t="s">
        <v>244</v>
      </c>
      <c r="C90" s="32" t="s">
        <v>245</v>
      </c>
      <c r="D90" s="33">
        <v>2.0499999999999998</v>
      </c>
      <c r="E90" s="33">
        <v>8.32</v>
      </c>
      <c r="F90" s="33">
        <v>37.11</v>
      </c>
      <c r="G90" s="34"/>
      <c r="H90" s="33">
        <f t="shared" si="0"/>
        <v>47.48</v>
      </c>
    </row>
    <row r="91" spans="1:8" ht="38.25" x14ac:dyDescent="0.2">
      <c r="A91" s="17"/>
      <c r="B91" s="32" t="s">
        <v>246</v>
      </c>
      <c r="C91" s="32" t="s">
        <v>247</v>
      </c>
      <c r="D91" s="33">
        <v>2.06</v>
      </c>
      <c r="E91" s="33">
        <v>10.34</v>
      </c>
      <c r="F91" s="33">
        <v>45.96</v>
      </c>
      <c r="G91" s="34"/>
      <c r="H91" s="33">
        <f t="shared" si="0"/>
        <v>58.36</v>
      </c>
    </row>
    <row r="92" spans="1:8" ht="25.5" x14ac:dyDescent="0.2">
      <c r="A92" s="17"/>
      <c r="B92" s="32" t="s">
        <v>248</v>
      </c>
      <c r="C92" s="32" t="s">
        <v>249</v>
      </c>
      <c r="D92" s="33">
        <v>2.61</v>
      </c>
      <c r="E92" s="33">
        <v>17.420000000000002</v>
      </c>
      <c r="F92" s="33">
        <v>30.42</v>
      </c>
      <c r="G92" s="34"/>
      <c r="H92" s="33">
        <f t="shared" si="0"/>
        <v>50.45</v>
      </c>
    </row>
    <row r="93" spans="1:8" ht="38.25" x14ac:dyDescent="0.2">
      <c r="A93" s="17"/>
      <c r="B93" s="32" t="s">
        <v>250</v>
      </c>
      <c r="C93" s="32" t="s">
        <v>251</v>
      </c>
      <c r="D93" s="33">
        <v>2.12</v>
      </c>
      <c r="E93" s="33">
        <v>11.31</v>
      </c>
      <c r="F93" s="33">
        <v>45.96</v>
      </c>
      <c r="G93" s="34"/>
      <c r="H93" s="33">
        <f t="shared" si="0"/>
        <v>59.39</v>
      </c>
    </row>
    <row r="94" spans="1:8" ht="38.25" x14ac:dyDescent="0.2">
      <c r="A94" s="17"/>
      <c r="B94" s="32" t="s">
        <v>252</v>
      </c>
      <c r="C94" s="32" t="s">
        <v>253</v>
      </c>
      <c r="D94" s="33">
        <v>2.06</v>
      </c>
      <c r="E94" s="33">
        <v>8.9</v>
      </c>
      <c r="F94" s="33">
        <v>41.03</v>
      </c>
      <c r="G94" s="34"/>
      <c r="H94" s="33">
        <f t="shared" si="0"/>
        <v>51.99</v>
      </c>
    </row>
    <row r="95" spans="1:8" ht="38.25" x14ac:dyDescent="0.2">
      <c r="A95" s="17"/>
      <c r="B95" s="32" t="s">
        <v>254</v>
      </c>
      <c r="C95" s="32" t="s">
        <v>255</v>
      </c>
      <c r="D95" s="33">
        <v>2.0499999999999998</v>
      </c>
      <c r="E95" s="33">
        <v>8.5299999999999994</v>
      </c>
      <c r="F95" s="33">
        <v>37.17</v>
      </c>
      <c r="G95" s="34"/>
      <c r="H95" s="33">
        <f t="shared" si="0"/>
        <v>47.75</v>
      </c>
    </row>
    <row r="96" spans="1:8" ht="38.25" x14ac:dyDescent="0.2">
      <c r="A96" s="17"/>
      <c r="B96" s="32" t="s">
        <v>256</v>
      </c>
      <c r="C96" s="32" t="s">
        <v>257</v>
      </c>
      <c r="D96" s="33">
        <v>2.06</v>
      </c>
      <c r="E96" s="33">
        <v>8.9</v>
      </c>
      <c r="F96" s="33">
        <v>41.03</v>
      </c>
      <c r="G96" s="34"/>
      <c r="H96" s="33">
        <f t="shared" si="0"/>
        <v>51.99</v>
      </c>
    </row>
    <row r="97" spans="1:8" ht="38.25" x14ac:dyDescent="0.2">
      <c r="A97" s="17"/>
      <c r="B97" s="32" t="s">
        <v>258</v>
      </c>
      <c r="C97" s="32" t="s">
        <v>259</v>
      </c>
      <c r="D97" s="33">
        <v>2.04</v>
      </c>
      <c r="E97" s="33">
        <v>8.0500000000000007</v>
      </c>
      <c r="F97" s="33">
        <v>37.17</v>
      </c>
      <c r="G97" s="34"/>
      <c r="H97" s="33">
        <f t="shared" si="0"/>
        <v>47.26</v>
      </c>
    </row>
    <row r="98" spans="1:8" ht="25.5" x14ac:dyDescent="0.2">
      <c r="A98" s="17"/>
      <c r="B98" s="32" t="s">
        <v>260</v>
      </c>
      <c r="C98" s="32" t="s">
        <v>261</v>
      </c>
      <c r="D98" s="33">
        <v>1.1499999999999999</v>
      </c>
      <c r="E98" s="33">
        <v>196.55</v>
      </c>
      <c r="F98" s="33">
        <v>34.72</v>
      </c>
      <c r="G98" s="34"/>
      <c r="H98" s="33">
        <f t="shared" si="0"/>
        <v>232.42</v>
      </c>
    </row>
    <row r="99" spans="1:8" ht="27.95" customHeight="1" x14ac:dyDescent="0.2">
      <c r="A99" s="35"/>
      <c r="B99" s="289" t="s">
        <v>66</v>
      </c>
      <c r="C99" s="290"/>
      <c r="D99" s="30">
        <f>D82+D83</f>
        <v>1445.28</v>
      </c>
      <c r="E99" s="30">
        <f>E82+E83</f>
        <v>1759.08</v>
      </c>
      <c r="F99" s="30">
        <f>F82+F83</f>
        <v>643.45000000000005</v>
      </c>
      <c r="G99" s="31"/>
      <c r="H99" s="30">
        <f>H82+H83</f>
        <v>3847.81</v>
      </c>
    </row>
    <row r="100" spans="1:8" x14ac:dyDescent="0.2">
      <c r="A100" s="287" t="s">
        <v>67</v>
      </c>
      <c r="B100" s="288"/>
      <c r="C100" s="288"/>
      <c r="D100" s="288"/>
      <c r="E100" s="288"/>
      <c r="F100" s="288"/>
      <c r="G100" s="288"/>
      <c r="H100" s="288"/>
    </row>
    <row r="101" spans="1:8" x14ac:dyDescent="0.2">
      <c r="A101" s="17">
        <v>22</v>
      </c>
      <c r="B101" s="18" t="s">
        <v>68</v>
      </c>
      <c r="C101" s="18" t="s">
        <v>69</v>
      </c>
      <c r="D101" s="19">
        <f>D102+D103</f>
        <v>1670.74</v>
      </c>
      <c r="E101" s="19">
        <f>E102+E103</f>
        <v>8.6999999999999993</v>
      </c>
      <c r="F101" s="20"/>
      <c r="G101" s="20"/>
      <c r="H101" s="19">
        <f>H102+H103</f>
        <v>1679.44</v>
      </c>
    </row>
    <row r="102" spans="1:8" x14ac:dyDescent="0.2">
      <c r="A102" s="17"/>
      <c r="B102" s="32" t="s">
        <v>262</v>
      </c>
      <c r="C102" s="32" t="s">
        <v>197</v>
      </c>
      <c r="D102" s="33">
        <v>18.75</v>
      </c>
      <c r="E102" s="33"/>
      <c r="F102" s="34"/>
      <c r="G102" s="34"/>
      <c r="H102" s="33">
        <f t="shared" ref="H102:H107" si="1">G102+F102+E102+D102</f>
        <v>18.75</v>
      </c>
    </row>
    <row r="103" spans="1:8" x14ac:dyDescent="0.2">
      <c r="A103" s="17"/>
      <c r="B103" s="32" t="s">
        <v>263</v>
      </c>
      <c r="C103" s="32" t="s">
        <v>264</v>
      </c>
      <c r="D103" s="33">
        <v>1651.99</v>
      </c>
      <c r="E103" s="33">
        <v>8.6999999999999993</v>
      </c>
      <c r="F103" s="34"/>
      <c r="G103" s="34"/>
      <c r="H103" s="33">
        <f t="shared" si="1"/>
        <v>1660.69</v>
      </c>
    </row>
    <row r="104" spans="1:8" x14ac:dyDescent="0.2">
      <c r="A104" s="17">
        <v>23</v>
      </c>
      <c r="B104" s="18" t="s">
        <v>70</v>
      </c>
      <c r="C104" s="18" t="s">
        <v>71</v>
      </c>
      <c r="D104" s="37">
        <f>D105+D106+D107</f>
        <v>101</v>
      </c>
      <c r="E104" s="37">
        <f>E105+E106+E107</f>
        <v>5.7</v>
      </c>
      <c r="F104" s="19">
        <f>F105+F106+F107</f>
        <v>2394.85</v>
      </c>
      <c r="G104" s="20"/>
      <c r="H104" s="37">
        <f t="shared" si="1"/>
        <v>2501.5500000000002</v>
      </c>
    </row>
    <row r="105" spans="1:8" x14ac:dyDescent="0.2">
      <c r="A105" s="17"/>
      <c r="B105" s="32" t="s">
        <v>265</v>
      </c>
      <c r="C105" s="32" t="s">
        <v>197</v>
      </c>
      <c r="D105" s="33">
        <v>100.88</v>
      </c>
      <c r="E105" s="33"/>
      <c r="F105" s="33"/>
      <c r="G105" s="34"/>
      <c r="H105" s="33">
        <f t="shared" si="1"/>
        <v>100.88</v>
      </c>
    </row>
    <row r="106" spans="1:8" x14ac:dyDescent="0.2">
      <c r="A106" s="17"/>
      <c r="B106" s="32" t="s">
        <v>266</v>
      </c>
      <c r="C106" s="32" t="s">
        <v>267</v>
      </c>
      <c r="D106" s="33">
        <v>0.02</v>
      </c>
      <c r="E106" s="33">
        <v>5.03</v>
      </c>
      <c r="F106" s="33">
        <v>2243.11</v>
      </c>
      <c r="G106" s="34"/>
      <c r="H106" s="33">
        <f t="shared" si="1"/>
        <v>2248.16</v>
      </c>
    </row>
    <row r="107" spans="1:8" ht="40.15" customHeight="1" x14ac:dyDescent="0.2">
      <c r="A107" s="17"/>
      <c r="B107" s="32" t="s">
        <v>268</v>
      </c>
      <c r="C107" s="32" t="s">
        <v>269</v>
      </c>
      <c r="D107" s="36">
        <v>0.1</v>
      </c>
      <c r="E107" s="33">
        <v>0.67</v>
      </c>
      <c r="F107" s="33">
        <v>151.74</v>
      </c>
      <c r="G107" s="34"/>
      <c r="H107" s="33">
        <f t="shared" si="1"/>
        <v>152.51</v>
      </c>
    </row>
    <row r="108" spans="1:8" x14ac:dyDescent="0.2">
      <c r="A108" s="17">
        <v>24</v>
      </c>
      <c r="B108" s="18" t="s">
        <v>72</v>
      </c>
      <c r="C108" s="18" t="s">
        <v>73</v>
      </c>
      <c r="D108" s="19">
        <v>4311.2</v>
      </c>
      <c r="E108" s="20"/>
      <c r="F108" s="20"/>
      <c r="G108" s="20"/>
      <c r="H108" s="19">
        <v>4311.2</v>
      </c>
    </row>
    <row r="109" spans="1:8" x14ac:dyDescent="0.2">
      <c r="A109" s="17">
        <v>25</v>
      </c>
      <c r="B109" s="18" t="s">
        <v>74</v>
      </c>
      <c r="C109" s="18" t="s">
        <v>75</v>
      </c>
      <c r="D109" s="19">
        <f>D110+D111</f>
        <v>51.56</v>
      </c>
      <c r="E109" s="19">
        <f>E110+E111</f>
        <v>9.9499999999999993</v>
      </c>
      <c r="F109" s="19">
        <f>F110+F111</f>
        <v>1993.3</v>
      </c>
      <c r="G109" s="20"/>
      <c r="H109" s="19">
        <f>H110+H111</f>
        <v>2054.81</v>
      </c>
    </row>
    <row r="110" spans="1:8" ht="23.45" customHeight="1" x14ac:dyDescent="0.2">
      <c r="A110" s="17"/>
      <c r="B110" s="32" t="s">
        <v>270</v>
      </c>
      <c r="C110" s="32" t="s">
        <v>197</v>
      </c>
      <c r="D110" s="33">
        <v>51.54</v>
      </c>
      <c r="E110" s="33"/>
      <c r="F110" s="33"/>
      <c r="G110" s="34"/>
      <c r="H110" s="33">
        <f>G110+F110+E110+D110</f>
        <v>51.54</v>
      </c>
    </row>
    <row r="111" spans="1:8" ht="21.6" customHeight="1" x14ac:dyDescent="0.2">
      <c r="A111" s="17"/>
      <c r="B111" s="32" t="s">
        <v>271</v>
      </c>
      <c r="C111" s="32" t="s">
        <v>272</v>
      </c>
      <c r="D111" s="33">
        <v>0.02</v>
      </c>
      <c r="E111" s="33">
        <v>9.9499999999999993</v>
      </c>
      <c r="F111" s="33">
        <v>1993.3</v>
      </c>
      <c r="G111" s="34"/>
      <c r="H111" s="33">
        <f>G111+F111+E111+D111</f>
        <v>2003.27</v>
      </c>
    </row>
    <row r="112" spans="1:8" x14ac:dyDescent="0.2">
      <c r="A112" s="17">
        <v>26</v>
      </c>
      <c r="B112" s="18" t="s">
        <v>76</v>
      </c>
      <c r="C112" s="18" t="s">
        <v>77</v>
      </c>
      <c r="D112" s="19">
        <f>D113+D114</f>
        <v>1043.6600000000001</v>
      </c>
      <c r="E112" s="20"/>
      <c r="F112" s="19">
        <f>F113+F114</f>
        <v>14.92</v>
      </c>
      <c r="G112" s="20"/>
      <c r="H112" s="19">
        <f>H113+H114</f>
        <v>1058.58</v>
      </c>
    </row>
    <row r="113" spans="1:8" ht="21" customHeight="1" x14ac:dyDescent="0.2">
      <c r="A113" s="17"/>
      <c r="B113" s="32" t="s">
        <v>273</v>
      </c>
      <c r="C113" s="32" t="s">
        <v>274</v>
      </c>
      <c r="D113" s="33">
        <v>138.69</v>
      </c>
      <c r="E113" s="34"/>
      <c r="F113" s="33"/>
      <c r="G113" s="34"/>
      <c r="H113" s="33">
        <v>138.69</v>
      </c>
    </row>
    <row r="114" spans="1:8" ht="20.45" customHeight="1" x14ac:dyDescent="0.2">
      <c r="A114" s="17"/>
      <c r="B114" s="32" t="s">
        <v>275</v>
      </c>
      <c r="C114" s="32" t="s">
        <v>276</v>
      </c>
      <c r="D114" s="33">
        <v>904.97</v>
      </c>
      <c r="E114" s="34"/>
      <c r="F114" s="33">
        <v>14.92</v>
      </c>
      <c r="G114" s="34"/>
      <c r="H114" s="33">
        <v>919.89</v>
      </c>
    </row>
    <row r="115" spans="1:8" x14ac:dyDescent="0.2">
      <c r="A115" s="17">
        <v>27</v>
      </c>
      <c r="B115" s="18" t="s">
        <v>78</v>
      </c>
      <c r="C115" s="18" t="s">
        <v>79</v>
      </c>
      <c r="D115" s="19">
        <f>D116+D117</f>
        <v>1043.6600000000001</v>
      </c>
      <c r="E115" s="20"/>
      <c r="F115" s="19">
        <f>F117</f>
        <v>14.92</v>
      </c>
      <c r="G115" s="20"/>
      <c r="H115" s="19">
        <f>H116+H117</f>
        <v>1058.58</v>
      </c>
    </row>
    <row r="116" spans="1:8" ht="22.15" customHeight="1" x14ac:dyDescent="0.2">
      <c r="A116" s="17"/>
      <c r="B116" s="32" t="s">
        <v>277</v>
      </c>
      <c r="C116" s="32" t="s">
        <v>278</v>
      </c>
      <c r="D116" s="33">
        <v>138.69</v>
      </c>
      <c r="E116" s="34"/>
      <c r="F116" s="33"/>
      <c r="G116" s="34"/>
      <c r="H116" s="33">
        <f>G116+F116+E116+D116</f>
        <v>138.69</v>
      </c>
    </row>
    <row r="117" spans="1:8" ht="19.899999999999999" customHeight="1" x14ac:dyDescent="0.2">
      <c r="A117" s="17"/>
      <c r="B117" s="32" t="s">
        <v>279</v>
      </c>
      <c r="C117" s="32" t="s">
        <v>280</v>
      </c>
      <c r="D117" s="33">
        <v>904.97</v>
      </c>
      <c r="E117" s="34"/>
      <c r="F117" s="33">
        <v>14.92</v>
      </c>
      <c r="G117" s="34"/>
      <c r="H117" s="33">
        <f>G117+F117+E117+D117</f>
        <v>919.89</v>
      </c>
    </row>
    <row r="118" spans="1:8" x14ac:dyDescent="0.2">
      <c r="A118" s="17">
        <v>28</v>
      </c>
      <c r="B118" s="18" t="s">
        <v>80</v>
      </c>
      <c r="C118" s="18" t="s">
        <v>81</v>
      </c>
      <c r="D118" s="19">
        <f>D119+D120</f>
        <v>138.19</v>
      </c>
      <c r="E118" s="19">
        <f>E120</f>
        <v>5.03</v>
      </c>
      <c r="F118" s="19">
        <f>F120</f>
        <v>626.38</v>
      </c>
      <c r="G118" s="20"/>
      <c r="H118" s="19">
        <f>H119+H120</f>
        <v>769.6</v>
      </c>
    </row>
    <row r="119" spans="1:8" ht="23.45" customHeight="1" x14ac:dyDescent="0.2">
      <c r="A119" s="17"/>
      <c r="B119" s="32" t="s">
        <v>281</v>
      </c>
      <c r="C119" s="32" t="s">
        <v>282</v>
      </c>
      <c r="D119" s="33">
        <v>131.9</v>
      </c>
      <c r="E119" s="33"/>
      <c r="F119" s="33"/>
      <c r="G119" s="34"/>
      <c r="H119" s="33">
        <f>D119</f>
        <v>131.9</v>
      </c>
    </row>
    <row r="120" spans="1:8" ht="19.899999999999999" customHeight="1" x14ac:dyDescent="0.2">
      <c r="A120" s="17"/>
      <c r="B120" s="32" t="s">
        <v>283</v>
      </c>
      <c r="C120" s="32" t="s">
        <v>284</v>
      </c>
      <c r="D120" s="33">
        <v>6.29</v>
      </c>
      <c r="E120" s="33">
        <v>5.03</v>
      </c>
      <c r="F120" s="33">
        <v>626.38</v>
      </c>
      <c r="G120" s="34"/>
      <c r="H120" s="33">
        <f>F120+E120+D120</f>
        <v>637.70000000000005</v>
      </c>
    </row>
    <row r="121" spans="1:8" x14ac:dyDescent="0.2">
      <c r="A121" s="17">
        <v>29</v>
      </c>
      <c r="B121" s="18" t="s">
        <v>82</v>
      </c>
      <c r="C121" s="18" t="s">
        <v>83</v>
      </c>
      <c r="D121" s="19">
        <v>4572.75</v>
      </c>
      <c r="E121" s="19">
        <v>8.74</v>
      </c>
      <c r="F121" s="19">
        <v>587.35</v>
      </c>
      <c r="G121" s="20"/>
      <c r="H121" s="19">
        <v>5168.84</v>
      </c>
    </row>
    <row r="122" spans="1:8" x14ac:dyDescent="0.2">
      <c r="A122" s="17">
        <v>30</v>
      </c>
      <c r="B122" s="18" t="s">
        <v>84</v>
      </c>
      <c r="C122" s="18" t="s">
        <v>85</v>
      </c>
      <c r="D122" s="19">
        <v>4339.22</v>
      </c>
      <c r="E122" s="20"/>
      <c r="F122" s="20"/>
      <c r="G122" s="20"/>
      <c r="H122" s="19">
        <v>4339.22</v>
      </c>
    </row>
    <row r="123" spans="1:8" x14ac:dyDescent="0.2">
      <c r="A123" s="17">
        <v>31</v>
      </c>
      <c r="B123" s="18" t="s">
        <v>86</v>
      </c>
      <c r="C123" s="18" t="s">
        <v>87</v>
      </c>
      <c r="D123" s="19">
        <v>1512.67</v>
      </c>
      <c r="E123" s="19">
        <v>8.36</v>
      </c>
      <c r="F123" s="19">
        <v>116.76</v>
      </c>
      <c r="G123" s="20"/>
      <c r="H123" s="19">
        <v>1637.79</v>
      </c>
    </row>
    <row r="124" spans="1:8" ht="27.95" customHeight="1" x14ac:dyDescent="0.2">
      <c r="A124" s="35"/>
      <c r="B124" s="289" t="s">
        <v>88</v>
      </c>
      <c r="C124" s="290"/>
      <c r="D124" s="38">
        <f>D101+D104+D108+D109+D112+D115+D118+D121+D122+D123</f>
        <v>18784.650000000001</v>
      </c>
      <c r="E124" s="38">
        <f>E101+E104+E108+E109+E112+E115+E118+E121+E122+E123</f>
        <v>46.48</v>
      </c>
      <c r="F124" s="38">
        <f>F101+F104+F108+F109+F112+F115+F118+F121+F122+F123</f>
        <v>5748.48</v>
      </c>
      <c r="G124" s="31"/>
      <c r="H124" s="38">
        <f>H101+H104+H108+H109+H112+H115+H118+H121+H122+H123</f>
        <v>24579.61</v>
      </c>
    </row>
    <row r="125" spans="1:8" x14ac:dyDescent="0.2">
      <c r="A125" s="287" t="s">
        <v>89</v>
      </c>
      <c r="B125" s="288"/>
      <c r="C125" s="288"/>
      <c r="D125" s="288"/>
      <c r="E125" s="288"/>
      <c r="F125" s="288"/>
      <c r="G125" s="288"/>
      <c r="H125" s="288"/>
    </row>
    <row r="126" spans="1:8" x14ac:dyDescent="0.2">
      <c r="A126" s="17">
        <v>32</v>
      </c>
      <c r="B126" s="18" t="s">
        <v>90</v>
      </c>
      <c r="C126" s="18" t="s">
        <v>91</v>
      </c>
      <c r="D126" s="19">
        <v>260.93</v>
      </c>
      <c r="E126" s="19">
        <v>483.93</v>
      </c>
      <c r="F126" s="19">
        <v>64.38</v>
      </c>
      <c r="G126" s="20"/>
      <c r="H126" s="19">
        <v>809.24</v>
      </c>
    </row>
    <row r="127" spans="1:8" x14ac:dyDescent="0.2">
      <c r="A127" s="17">
        <v>33</v>
      </c>
      <c r="B127" s="18" t="s">
        <v>92</v>
      </c>
      <c r="C127" s="18" t="s">
        <v>93</v>
      </c>
      <c r="D127" s="19">
        <v>1146.3</v>
      </c>
      <c r="E127" s="20"/>
      <c r="F127" s="20"/>
      <c r="G127" s="20"/>
      <c r="H127" s="19">
        <v>1146.3</v>
      </c>
    </row>
    <row r="128" spans="1:8" ht="25.5" x14ac:dyDescent="0.2">
      <c r="A128" s="17">
        <v>34</v>
      </c>
      <c r="B128" s="18" t="s">
        <v>94</v>
      </c>
      <c r="C128" s="18" t="s">
        <v>95</v>
      </c>
      <c r="D128" s="19">
        <v>123.23</v>
      </c>
      <c r="E128" s="20"/>
      <c r="F128" s="20"/>
      <c r="G128" s="20"/>
      <c r="H128" s="19">
        <v>123.23</v>
      </c>
    </row>
    <row r="129" spans="1:8" ht="27.95" customHeight="1" x14ac:dyDescent="0.2">
      <c r="A129" s="35"/>
      <c r="B129" s="289" t="s">
        <v>96</v>
      </c>
      <c r="C129" s="290"/>
      <c r="D129" s="30">
        <f>D126+D127+D128</f>
        <v>1530.46</v>
      </c>
      <c r="E129" s="30">
        <f>E126+E127+E128</f>
        <v>483.93</v>
      </c>
      <c r="F129" s="30">
        <f>F126+F127+F128</f>
        <v>64.38</v>
      </c>
      <c r="G129" s="31"/>
      <c r="H129" s="30">
        <f>H126+H127+H128</f>
        <v>2078.77</v>
      </c>
    </row>
    <row r="130" spans="1:8" x14ac:dyDescent="0.2">
      <c r="A130" s="35"/>
      <c r="B130" s="289" t="s">
        <v>97</v>
      </c>
      <c r="C130" s="290"/>
      <c r="D130" s="38">
        <f>D36+D45+D80+D99+D124+D129</f>
        <v>51084.27</v>
      </c>
      <c r="E130" s="38">
        <f>E36+E45+E80+E99+E124+E129</f>
        <v>4296.29</v>
      </c>
      <c r="F130" s="38">
        <f>F36+F45+F80+F99+F124+F129</f>
        <v>43822.89</v>
      </c>
      <c r="G130" s="38">
        <f>G36+G45+G80+G99+G124+G129</f>
        <v>4270.07</v>
      </c>
      <c r="H130" s="38">
        <f>H36+H45+H80+H99+H124+H129</f>
        <v>103473.52</v>
      </c>
    </row>
    <row r="131" spans="1:8" x14ac:dyDescent="0.2">
      <c r="A131" s="287" t="s">
        <v>98</v>
      </c>
      <c r="B131" s="288"/>
      <c r="C131" s="288"/>
      <c r="D131" s="288"/>
      <c r="E131" s="288"/>
      <c r="F131" s="288"/>
      <c r="G131" s="288"/>
      <c r="H131" s="288"/>
    </row>
    <row r="132" spans="1:8" ht="38.25" x14ac:dyDescent="0.2">
      <c r="A132" s="17">
        <v>35</v>
      </c>
      <c r="B132" s="18" t="s">
        <v>99</v>
      </c>
      <c r="C132" s="18" t="s">
        <v>100</v>
      </c>
      <c r="D132" s="37">
        <f>D130*0.023</f>
        <v>1174.94</v>
      </c>
      <c r="E132" s="37">
        <f>E130*0.023</f>
        <v>98.81</v>
      </c>
      <c r="F132" s="20"/>
      <c r="G132" s="20"/>
      <c r="H132" s="37">
        <f>E132+D132</f>
        <v>1273.75</v>
      </c>
    </row>
    <row r="133" spans="1:8" x14ac:dyDescent="0.2">
      <c r="A133" s="21">
        <v>36</v>
      </c>
      <c r="B133" s="22"/>
      <c r="C133" s="23" t="s">
        <v>101</v>
      </c>
      <c r="D133" s="24">
        <v>176.24</v>
      </c>
      <c r="E133" s="24">
        <v>14.82</v>
      </c>
      <c r="F133" s="20"/>
      <c r="G133" s="20"/>
      <c r="H133" s="24">
        <v>191.06</v>
      </c>
    </row>
    <row r="134" spans="1:8" x14ac:dyDescent="0.2">
      <c r="A134" s="35"/>
      <c r="B134" s="289" t="s">
        <v>102</v>
      </c>
      <c r="C134" s="290"/>
      <c r="D134" s="38">
        <f>D132</f>
        <v>1174.94</v>
      </c>
      <c r="E134" s="38">
        <f>E132</f>
        <v>98.81</v>
      </c>
      <c r="F134" s="31"/>
      <c r="G134" s="31"/>
      <c r="H134" s="38">
        <f>H132</f>
        <v>1273.75</v>
      </c>
    </row>
    <row r="135" spans="1:8" x14ac:dyDescent="0.2">
      <c r="A135" s="35"/>
      <c r="B135" s="289" t="s">
        <v>103</v>
      </c>
      <c r="C135" s="290"/>
      <c r="D135" s="38">
        <f>D130+D134</f>
        <v>52259.21</v>
      </c>
      <c r="E135" s="38">
        <f>E130+E134</f>
        <v>4395.1000000000004</v>
      </c>
      <c r="F135" s="38">
        <f>F130+F134</f>
        <v>43822.89</v>
      </c>
      <c r="G135" s="38">
        <f>G130+G134</f>
        <v>4270.07</v>
      </c>
      <c r="H135" s="38">
        <f>H130+H134</f>
        <v>104747.27</v>
      </c>
    </row>
    <row r="136" spans="1:8" x14ac:dyDescent="0.2">
      <c r="A136" s="287" t="s">
        <v>104</v>
      </c>
      <c r="B136" s="288"/>
      <c r="C136" s="288"/>
      <c r="D136" s="288"/>
      <c r="E136" s="288"/>
      <c r="F136" s="288"/>
      <c r="G136" s="288"/>
      <c r="H136" s="288"/>
    </row>
    <row r="137" spans="1:8" ht="63.75" x14ac:dyDescent="0.2">
      <c r="A137" s="17">
        <v>37</v>
      </c>
      <c r="B137" s="18" t="s">
        <v>105</v>
      </c>
      <c r="C137" s="18" t="s">
        <v>106</v>
      </c>
      <c r="D137" s="37">
        <f>D135*0.0055</f>
        <v>287.43</v>
      </c>
      <c r="E137" s="37">
        <f>E135*0.0055</f>
        <v>24.17</v>
      </c>
      <c r="F137" s="20"/>
      <c r="G137" s="20"/>
      <c r="H137" s="37">
        <f>G137+F137+E137+D137</f>
        <v>311.60000000000002</v>
      </c>
    </row>
    <row r="138" spans="1:8" x14ac:dyDescent="0.2">
      <c r="A138" s="17">
        <v>38</v>
      </c>
      <c r="B138" s="18" t="s">
        <v>107</v>
      </c>
      <c r="C138" s="18" t="s">
        <v>108</v>
      </c>
      <c r="D138" s="20"/>
      <c r="E138" s="20"/>
      <c r="F138" s="20"/>
      <c r="G138" s="37">
        <f>G139+G140+G141+G142+G143+G144+G145+G146+G147</f>
        <v>418.08</v>
      </c>
      <c r="H138" s="37">
        <f>H139+H140+H141+H142+H143+H144+H145+H146+H147</f>
        <v>418.08</v>
      </c>
    </row>
    <row r="139" spans="1:8" ht="38.25" x14ac:dyDescent="0.2">
      <c r="A139" s="17"/>
      <c r="B139" s="32" t="s">
        <v>285</v>
      </c>
      <c r="C139" s="32" t="s">
        <v>286</v>
      </c>
      <c r="D139" s="34"/>
      <c r="E139" s="34"/>
      <c r="F139" s="34"/>
      <c r="G139" s="33">
        <f>73.18-0.02</f>
        <v>73.16</v>
      </c>
      <c r="H139" s="33">
        <f t="shared" ref="H139:H147" si="2">G139</f>
        <v>73.16</v>
      </c>
    </row>
    <row r="140" spans="1:8" ht="38.25" x14ac:dyDescent="0.2">
      <c r="A140" s="17"/>
      <c r="B140" s="32" t="s">
        <v>287</v>
      </c>
      <c r="C140" s="32" t="s">
        <v>288</v>
      </c>
      <c r="D140" s="34"/>
      <c r="E140" s="34"/>
      <c r="F140" s="34"/>
      <c r="G140" s="33">
        <v>78.819999999999993</v>
      </c>
      <c r="H140" s="33">
        <f t="shared" si="2"/>
        <v>78.819999999999993</v>
      </c>
    </row>
    <row r="141" spans="1:8" ht="25.5" x14ac:dyDescent="0.2">
      <c r="A141" s="17"/>
      <c r="B141" s="32" t="s">
        <v>289</v>
      </c>
      <c r="C141" s="32" t="s">
        <v>290</v>
      </c>
      <c r="D141" s="34"/>
      <c r="E141" s="34"/>
      <c r="F141" s="34"/>
      <c r="G141" s="33">
        <v>42.84</v>
      </c>
      <c r="H141" s="33">
        <f t="shared" si="2"/>
        <v>42.84</v>
      </c>
    </row>
    <row r="142" spans="1:8" ht="25.5" x14ac:dyDescent="0.2">
      <c r="A142" s="17"/>
      <c r="B142" s="32" t="s">
        <v>291</v>
      </c>
      <c r="C142" s="32" t="s">
        <v>292</v>
      </c>
      <c r="D142" s="34"/>
      <c r="E142" s="34"/>
      <c r="F142" s="34"/>
      <c r="G142" s="33">
        <v>36.99</v>
      </c>
      <c r="H142" s="33">
        <f t="shared" si="2"/>
        <v>36.99</v>
      </c>
    </row>
    <row r="143" spans="1:8" ht="25.5" x14ac:dyDescent="0.2">
      <c r="A143" s="17"/>
      <c r="B143" s="32" t="s">
        <v>293</v>
      </c>
      <c r="C143" s="32" t="s">
        <v>294</v>
      </c>
      <c r="D143" s="34"/>
      <c r="E143" s="34"/>
      <c r="F143" s="34"/>
      <c r="G143" s="33">
        <v>36.49</v>
      </c>
      <c r="H143" s="33">
        <f t="shared" si="2"/>
        <v>36.49</v>
      </c>
    </row>
    <row r="144" spans="1:8" ht="25.5" x14ac:dyDescent="0.2">
      <c r="A144" s="17"/>
      <c r="B144" s="32" t="s">
        <v>295</v>
      </c>
      <c r="C144" s="32" t="s">
        <v>296</v>
      </c>
      <c r="D144" s="34"/>
      <c r="E144" s="34"/>
      <c r="F144" s="34"/>
      <c r="G144" s="33">
        <v>41.33</v>
      </c>
      <c r="H144" s="33">
        <f t="shared" si="2"/>
        <v>41.33</v>
      </c>
    </row>
    <row r="145" spans="1:8" ht="25.5" x14ac:dyDescent="0.2">
      <c r="A145" s="17"/>
      <c r="B145" s="32" t="s">
        <v>297</v>
      </c>
      <c r="C145" s="32" t="s">
        <v>298</v>
      </c>
      <c r="D145" s="34"/>
      <c r="E145" s="34"/>
      <c r="F145" s="34"/>
      <c r="G145" s="33">
        <v>40.22</v>
      </c>
      <c r="H145" s="33">
        <f t="shared" si="2"/>
        <v>40.22</v>
      </c>
    </row>
    <row r="146" spans="1:8" ht="38.25" x14ac:dyDescent="0.2">
      <c r="A146" s="17"/>
      <c r="B146" s="32" t="s">
        <v>299</v>
      </c>
      <c r="C146" s="32" t="s">
        <v>300</v>
      </c>
      <c r="D146" s="34"/>
      <c r="E146" s="34"/>
      <c r="F146" s="34"/>
      <c r="G146" s="33">
        <v>44.89</v>
      </c>
      <c r="H146" s="33">
        <f t="shared" si="2"/>
        <v>44.89</v>
      </c>
    </row>
    <row r="147" spans="1:8" x14ac:dyDescent="0.2">
      <c r="A147" s="17"/>
      <c r="B147" s="32" t="s">
        <v>301</v>
      </c>
      <c r="C147" s="32" t="s">
        <v>302</v>
      </c>
      <c r="D147" s="34"/>
      <c r="E147" s="34"/>
      <c r="F147" s="34"/>
      <c r="G147" s="33">
        <v>23.34</v>
      </c>
      <c r="H147" s="33">
        <f t="shared" si="2"/>
        <v>23.34</v>
      </c>
    </row>
    <row r="148" spans="1:8" ht="38.25" x14ac:dyDescent="0.2">
      <c r="A148" s="17">
        <v>39</v>
      </c>
      <c r="B148" s="18" t="s">
        <v>109</v>
      </c>
      <c r="C148" s="18" t="s">
        <v>110</v>
      </c>
      <c r="D148" s="20"/>
      <c r="E148" s="20"/>
      <c r="F148" s="20"/>
      <c r="G148" s="19">
        <v>2619.23</v>
      </c>
      <c r="H148" s="19">
        <v>2619.23</v>
      </c>
    </row>
    <row r="149" spans="1:8" ht="38.25" x14ac:dyDescent="0.2">
      <c r="A149" s="17">
        <v>40</v>
      </c>
      <c r="B149" s="18" t="s">
        <v>111</v>
      </c>
      <c r="C149" s="18" t="s">
        <v>112</v>
      </c>
      <c r="D149" s="20"/>
      <c r="E149" s="20"/>
      <c r="F149" s="20"/>
      <c r="G149" s="19">
        <v>0.03</v>
      </c>
      <c r="H149" s="19">
        <v>0.03</v>
      </c>
    </row>
    <row r="150" spans="1:8" ht="25.5" x14ac:dyDescent="0.2">
      <c r="A150" s="17">
        <v>41</v>
      </c>
      <c r="B150" s="18" t="s">
        <v>113</v>
      </c>
      <c r="C150" s="18" t="s">
        <v>114</v>
      </c>
      <c r="D150" s="20"/>
      <c r="E150" s="20"/>
      <c r="F150" s="20"/>
      <c r="G150" s="19">
        <v>22.53</v>
      </c>
      <c r="H150" s="19">
        <v>22.53</v>
      </c>
    </row>
    <row r="151" spans="1:8" x14ac:dyDescent="0.2">
      <c r="A151" s="17">
        <v>42</v>
      </c>
      <c r="B151" s="18" t="s">
        <v>115</v>
      </c>
      <c r="C151" s="18" t="s">
        <v>116</v>
      </c>
      <c r="D151" s="20"/>
      <c r="E151" s="20"/>
      <c r="F151" s="20"/>
      <c r="G151" s="19">
        <v>67.48</v>
      </c>
      <c r="H151" s="19">
        <v>67.48</v>
      </c>
    </row>
    <row r="152" spans="1:8" ht="25.5" x14ac:dyDescent="0.2">
      <c r="A152" s="17">
        <v>43</v>
      </c>
      <c r="B152" s="18" t="s">
        <v>117</v>
      </c>
      <c r="C152" s="18" t="s">
        <v>118</v>
      </c>
      <c r="D152" s="20"/>
      <c r="E152" s="20"/>
      <c r="F152" s="20"/>
      <c r="G152" s="19">
        <v>53.5</v>
      </c>
      <c r="H152" s="19">
        <v>53.5</v>
      </c>
    </row>
    <row r="153" spans="1:8" x14ac:dyDescent="0.2">
      <c r="A153" s="35"/>
      <c r="B153" s="289" t="s">
        <v>119</v>
      </c>
      <c r="C153" s="290"/>
      <c r="D153" s="38">
        <f>D137</f>
        <v>287.43</v>
      </c>
      <c r="E153" s="38">
        <f>E137</f>
        <v>24.17</v>
      </c>
      <c r="F153" s="31"/>
      <c r="G153" s="38">
        <f>G138+G148+G149+G150+G151+G152</f>
        <v>3180.85</v>
      </c>
      <c r="H153" s="38">
        <f>H137+H138+H148+H149+H150+H151+H152</f>
        <v>3492.45</v>
      </c>
    </row>
    <row r="154" spans="1:8" x14ac:dyDescent="0.2">
      <c r="A154" s="35"/>
      <c r="B154" s="289" t="s">
        <v>120</v>
      </c>
      <c r="C154" s="290"/>
      <c r="D154" s="38">
        <f>D135+D153</f>
        <v>52546.64</v>
      </c>
      <c r="E154" s="38">
        <f>E135+E153</f>
        <v>4419.2700000000004</v>
      </c>
      <c r="F154" s="38">
        <f>F135+F153</f>
        <v>43822.89</v>
      </c>
      <c r="G154" s="38">
        <f>G135+G153</f>
        <v>7450.92</v>
      </c>
      <c r="H154" s="38">
        <f>H135+H153</f>
        <v>108239.72</v>
      </c>
    </row>
    <row r="155" spans="1:8" x14ac:dyDescent="0.2">
      <c r="A155" s="287" t="s">
        <v>121</v>
      </c>
      <c r="B155" s="288"/>
      <c r="C155" s="288"/>
      <c r="D155" s="288"/>
      <c r="E155" s="288"/>
      <c r="F155" s="288"/>
      <c r="G155" s="288"/>
      <c r="H155" s="288"/>
    </row>
    <row r="156" spans="1:8" ht="51" x14ac:dyDescent="0.2">
      <c r="A156" s="17">
        <v>44</v>
      </c>
      <c r="B156" s="18" t="s">
        <v>122</v>
      </c>
      <c r="C156" s="18" t="s">
        <v>123</v>
      </c>
      <c r="D156" s="20"/>
      <c r="E156" s="20"/>
      <c r="F156" s="20"/>
      <c r="G156" s="19"/>
      <c r="H156" s="19"/>
    </row>
    <row r="157" spans="1:8" ht="27.95" customHeight="1" x14ac:dyDescent="0.2">
      <c r="A157" s="25"/>
      <c r="B157" s="291" t="s">
        <v>124</v>
      </c>
      <c r="C157" s="292"/>
      <c r="D157" s="20"/>
      <c r="E157" s="20"/>
      <c r="F157" s="20"/>
      <c r="G157" s="19"/>
      <c r="H157" s="19"/>
    </row>
    <row r="158" spans="1:8" x14ac:dyDescent="0.2">
      <c r="A158" s="287" t="s">
        <v>125</v>
      </c>
      <c r="B158" s="288"/>
      <c r="C158" s="288"/>
      <c r="D158" s="288"/>
      <c r="E158" s="288"/>
      <c r="F158" s="288"/>
      <c r="G158" s="288"/>
      <c r="H158" s="288"/>
    </row>
    <row r="159" spans="1:8" ht="63.75" x14ac:dyDescent="0.2">
      <c r="A159" s="17">
        <v>45</v>
      </c>
      <c r="B159" s="18" t="s">
        <v>126</v>
      </c>
      <c r="C159" s="18" t="s">
        <v>127</v>
      </c>
      <c r="D159" s="20"/>
      <c r="E159" s="20"/>
      <c r="F159" s="20"/>
      <c r="G159" s="19"/>
      <c r="H159" s="19"/>
    </row>
    <row r="160" spans="1:8" ht="63.75" x14ac:dyDescent="0.2">
      <c r="A160" s="17">
        <v>46</v>
      </c>
      <c r="B160" s="18" t="s">
        <v>128</v>
      </c>
      <c r="C160" s="18" t="s">
        <v>129</v>
      </c>
      <c r="D160" s="20"/>
      <c r="E160" s="20"/>
      <c r="F160" s="20"/>
      <c r="G160" s="19"/>
      <c r="H160" s="19"/>
    </row>
    <row r="161" spans="1:9" ht="63.75" x14ac:dyDescent="0.2">
      <c r="A161" s="17">
        <v>47</v>
      </c>
      <c r="B161" s="18" t="s">
        <v>130</v>
      </c>
      <c r="C161" s="18" t="s">
        <v>131</v>
      </c>
      <c r="D161" s="20"/>
      <c r="E161" s="20"/>
      <c r="F161" s="20"/>
      <c r="G161" s="19"/>
      <c r="H161" s="19"/>
    </row>
    <row r="162" spans="1:9" ht="63.75" x14ac:dyDescent="0.2">
      <c r="A162" s="17">
        <v>48</v>
      </c>
      <c r="B162" s="18" t="s">
        <v>132</v>
      </c>
      <c r="C162" s="18" t="s">
        <v>133</v>
      </c>
      <c r="D162" s="20"/>
      <c r="E162" s="20"/>
      <c r="F162" s="20"/>
      <c r="G162" s="19">
        <v>5937.8</v>
      </c>
      <c r="H162" s="19">
        <v>5937.8</v>
      </c>
    </row>
    <row r="163" spans="1:9" ht="38.25" x14ac:dyDescent="0.2">
      <c r="A163" s="17">
        <v>49</v>
      </c>
      <c r="B163" s="18" t="s">
        <v>134</v>
      </c>
      <c r="C163" s="18" t="s">
        <v>135</v>
      </c>
      <c r="D163" s="20"/>
      <c r="E163" s="20"/>
      <c r="F163" s="20"/>
      <c r="G163" s="19"/>
      <c r="H163" s="19"/>
    </row>
    <row r="164" spans="1:9" ht="76.5" x14ac:dyDescent="0.2">
      <c r="A164" s="17">
        <v>50</v>
      </c>
      <c r="B164" s="18" t="s">
        <v>136</v>
      </c>
      <c r="C164" s="18" t="s">
        <v>137</v>
      </c>
      <c r="D164" s="20"/>
      <c r="E164" s="20"/>
      <c r="F164" s="20"/>
      <c r="G164" s="19"/>
      <c r="H164" s="19"/>
    </row>
    <row r="165" spans="1:9" ht="27.95" customHeight="1" x14ac:dyDescent="0.2">
      <c r="A165" s="35"/>
      <c r="B165" s="289" t="s">
        <v>138</v>
      </c>
      <c r="C165" s="290"/>
      <c r="D165" s="31"/>
      <c r="E165" s="31"/>
      <c r="F165" s="31"/>
      <c r="G165" s="30">
        <f>G162</f>
        <v>5937.8</v>
      </c>
      <c r="H165" s="30">
        <f>H162</f>
        <v>5937.8</v>
      </c>
    </row>
    <row r="166" spans="1:9" x14ac:dyDescent="0.2">
      <c r="A166" s="35"/>
      <c r="B166" s="289" t="s">
        <v>139</v>
      </c>
      <c r="C166" s="290"/>
      <c r="D166" s="38">
        <f>D154</f>
        <v>52546.64</v>
      </c>
      <c r="E166" s="38">
        <f>E154</f>
        <v>4419.2700000000004</v>
      </c>
      <c r="F166" s="38">
        <f>F154</f>
        <v>43822.89</v>
      </c>
      <c r="G166" s="38">
        <f>G154+G165</f>
        <v>13388.72</v>
      </c>
      <c r="H166" s="38">
        <f>H154+H165</f>
        <v>114177.52</v>
      </c>
      <c r="I166" s="39">
        <f>G154+G165-G32</f>
        <v>9306.19</v>
      </c>
    </row>
    <row r="167" spans="1:9" x14ac:dyDescent="0.2">
      <c r="A167" s="287" t="s">
        <v>140</v>
      </c>
      <c r="B167" s="288"/>
      <c r="C167" s="288"/>
      <c r="D167" s="288"/>
      <c r="E167" s="288"/>
      <c r="F167" s="288"/>
      <c r="G167" s="288"/>
      <c r="H167" s="288"/>
    </row>
    <row r="168" spans="1:9" ht="25.5" x14ac:dyDescent="0.2">
      <c r="A168" s="17">
        <v>51</v>
      </c>
      <c r="B168" s="18" t="s">
        <v>141</v>
      </c>
      <c r="C168" s="18" t="s">
        <v>142</v>
      </c>
      <c r="D168" s="37">
        <f t="shared" ref="D168:I168" si="3">D166*0.02</f>
        <v>1050.93</v>
      </c>
      <c r="E168" s="37">
        <f t="shared" si="3"/>
        <v>88.39</v>
      </c>
      <c r="F168" s="37">
        <f t="shared" si="3"/>
        <v>876.46</v>
      </c>
      <c r="G168" s="37">
        <f t="shared" si="3"/>
        <v>267.77</v>
      </c>
      <c r="H168" s="37">
        <f t="shared" si="3"/>
        <v>2283.5500000000002</v>
      </c>
      <c r="I168" s="5">
        <f t="shared" si="3"/>
        <v>186.12379999999999</v>
      </c>
    </row>
    <row r="169" spans="1:9" x14ac:dyDescent="0.2">
      <c r="A169" s="35"/>
      <c r="B169" s="289" t="s">
        <v>143</v>
      </c>
      <c r="C169" s="290"/>
      <c r="D169" s="38">
        <f>D168</f>
        <v>1050.93</v>
      </c>
      <c r="E169" s="38">
        <f>E168</f>
        <v>88.39</v>
      </c>
      <c r="F169" s="38">
        <f>F168</f>
        <v>876.46</v>
      </c>
      <c r="G169" s="38">
        <f>G168</f>
        <v>267.77</v>
      </c>
      <c r="H169" s="38">
        <f>H168</f>
        <v>2283.5500000000002</v>
      </c>
    </row>
    <row r="170" spans="1:9" x14ac:dyDescent="0.2">
      <c r="A170" s="35"/>
      <c r="B170" s="289" t="s">
        <v>144</v>
      </c>
      <c r="C170" s="290"/>
      <c r="D170" s="38">
        <f>D166+D169</f>
        <v>53597.57</v>
      </c>
      <c r="E170" s="38">
        <f>E166+E169</f>
        <v>4507.66</v>
      </c>
      <c r="F170" s="38">
        <f>F166+F169</f>
        <v>44699.35</v>
      </c>
      <c r="G170" s="38">
        <f>G166+G169</f>
        <v>13656.49</v>
      </c>
      <c r="H170" s="38">
        <f>H166+H169</f>
        <v>116461.07</v>
      </c>
      <c r="I170" s="39">
        <f>I166+I168</f>
        <v>9492.31</v>
      </c>
    </row>
    <row r="171" spans="1:9" x14ac:dyDescent="0.2">
      <c r="A171" s="287" t="s">
        <v>145</v>
      </c>
      <c r="B171" s="288"/>
      <c r="C171" s="288"/>
      <c r="D171" s="288"/>
      <c r="E171" s="288"/>
      <c r="F171" s="288"/>
      <c r="G171" s="288"/>
      <c r="H171" s="288"/>
    </row>
    <row r="172" spans="1:9" x14ac:dyDescent="0.2">
      <c r="A172" s="25"/>
      <c r="B172" s="291" t="s">
        <v>146</v>
      </c>
      <c r="C172" s="292"/>
      <c r="D172" s="37">
        <f>D170</f>
        <v>53597.57</v>
      </c>
      <c r="E172" s="37">
        <f>E170</f>
        <v>4507.66</v>
      </c>
      <c r="F172" s="37">
        <f>F170</f>
        <v>44699.35</v>
      </c>
      <c r="G172" s="37">
        <f>G170</f>
        <v>13656.49</v>
      </c>
      <c r="H172" s="37">
        <f>H170</f>
        <v>116461.07</v>
      </c>
    </row>
    <row r="173" spans="1:9" x14ac:dyDescent="0.2">
      <c r="A173" s="287" t="s">
        <v>147</v>
      </c>
      <c r="B173" s="288"/>
      <c r="C173" s="288"/>
      <c r="D173" s="288"/>
      <c r="E173" s="288"/>
      <c r="F173" s="288"/>
      <c r="G173" s="288"/>
      <c r="H173" s="288"/>
    </row>
    <row r="174" spans="1:9" x14ac:dyDescent="0.2">
      <c r="A174" s="21">
        <v>52</v>
      </c>
      <c r="B174" s="22"/>
      <c r="C174" s="23" t="s">
        <v>148</v>
      </c>
      <c r="D174" s="24">
        <v>484.13</v>
      </c>
      <c r="E174" s="24">
        <v>14.82</v>
      </c>
      <c r="F174" s="20"/>
      <c r="G174" s="20"/>
      <c r="H174" s="24">
        <v>498.95</v>
      </c>
    </row>
    <row r="175" spans="1:9" x14ac:dyDescent="0.2">
      <c r="A175" s="40">
        <v>53</v>
      </c>
      <c r="B175" s="41"/>
      <c r="C175" s="42" t="s">
        <v>149</v>
      </c>
      <c r="D175" s="31"/>
      <c r="E175" s="31"/>
      <c r="F175" s="31"/>
      <c r="G175" s="31"/>
      <c r="H175" s="31"/>
    </row>
    <row r="176" spans="1:9" ht="51" x14ac:dyDescent="0.2">
      <c r="A176" s="17">
        <v>54</v>
      </c>
      <c r="B176" s="18" t="s">
        <v>150</v>
      </c>
      <c r="C176" s="18" t="s">
        <v>151</v>
      </c>
      <c r="D176" s="53">
        <f>D170/1.02*7</f>
        <v>367826.46</v>
      </c>
      <c r="E176" s="53">
        <f>E170/1.02*7</f>
        <v>30934.92</v>
      </c>
      <c r="F176" s="54"/>
      <c r="G176" s="54"/>
      <c r="H176" s="53">
        <f>G176+F176+E176+D176</f>
        <v>398761.38</v>
      </c>
    </row>
    <row r="177" spans="1:10" ht="51" x14ac:dyDescent="0.2">
      <c r="A177" s="17">
        <v>55</v>
      </c>
      <c r="B177" s="18" t="s">
        <v>152</v>
      </c>
      <c r="C177" s="18" t="s">
        <v>153</v>
      </c>
      <c r="D177" s="54"/>
      <c r="E177" s="54"/>
      <c r="F177" s="53">
        <f>F170/1.02*3.98</f>
        <v>174415.11</v>
      </c>
      <c r="G177" s="54"/>
      <c r="H177" s="53">
        <f>F177</f>
        <v>174415.11</v>
      </c>
    </row>
    <row r="178" spans="1:10" ht="51" x14ac:dyDescent="0.2">
      <c r="A178" s="17">
        <v>56</v>
      </c>
      <c r="B178" s="18" t="s">
        <v>150</v>
      </c>
      <c r="C178" s="18" t="s">
        <v>542</v>
      </c>
      <c r="D178" s="54"/>
      <c r="E178" s="54"/>
      <c r="F178" s="54"/>
      <c r="G178" s="53">
        <f>6460.59/1.02</f>
        <v>6333.91</v>
      </c>
      <c r="H178" s="53">
        <f>G178</f>
        <v>6333.91</v>
      </c>
    </row>
    <row r="179" spans="1:10" ht="51" x14ac:dyDescent="0.2">
      <c r="A179" s="17">
        <v>57</v>
      </c>
      <c r="B179" s="18" t="s">
        <v>154</v>
      </c>
      <c r="C179" s="18" t="s">
        <v>306</v>
      </c>
      <c r="D179" s="54"/>
      <c r="E179" s="54"/>
      <c r="F179" s="54"/>
      <c r="G179" s="53">
        <f>29728.83/1.02</f>
        <v>29145.91</v>
      </c>
      <c r="H179" s="53">
        <f>G179</f>
        <v>29145.91</v>
      </c>
    </row>
    <row r="180" spans="1:10" ht="25.5" x14ac:dyDescent="0.2">
      <c r="A180" s="17">
        <v>58</v>
      </c>
      <c r="B180" s="18" t="s">
        <v>156</v>
      </c>
      <c r="C180" s="18" t="s">
        <v>307</v>
      </c>
      <c r="D180" s="54"/>
      <c r="E180" s="54"/>
      <c r="F180" s="54"/>
      <c r="G180" s="53">
        <f>967.64/1.02</f>
        <v>948.67</v>
      </c>
      <c r="H180" s="53">
        <f>G180</f>
        <v>948.67</v>
      </c>
    </row>
    <row r="181" spans="1:10" ht="63.75" x14ac:dyDescent="0.2">
      <c r="A181" s="43">
        <v>62</v>
      </c>
      <c r="B181" s="44" t="s">
        <v>132</v>
      </c>
      <c r="C181" s="44" t="s">
        <v>308</v>
      </c>
      <c r="D181" s="55"/>
      <c r="E181" s="55"/>
      <c r="F181" s="55"/>
      <c r="G181" s="56">
        <f>29910.3/1.02</f>
        <v>29323.82</v>
      </c>
      <c r="H181" s="56">
        <f>G181</f>
        <v>29323.82</v>
      </c>
    </row>
    <row r="182" spans="1:10" ht="25.5" x14ac:dyDescent="0.2">
      <c r="A182" s="43">
        <v>65</v>
      </c>
      <c r="B182" s="44" t="s">
        <v>23</v>
      </c>
      <c r="C182" s="44" t="s">
        <v>309</v>
      </c>
      <c r="D182" s="55"/>
      <c r="E182" s="55"/>
      <c r="F182" s="55"/>
      <c r="G182" s="56">
        <f>22299.94/1.02</f>
        <v>21862.69</v>
      </c>
      <c r="H182" s="56">
        <f>G182</f>
        <v>21862.69</v>
      </c>
    </row>
    <row r="183" spans="1:10" x14ac:dyDescent="0.2">
      <c r="A183" s="17"/>
      <c r="B183" s="18"/>
      <c r="C183" s="18" t="s">
        <v>305</v>
      </c>
      <c r="D183" s="54">
        <f>(D176+D177+D178+D179+D180+D181+D182)*0.02</f>
        <v>7356.53</v>
      </c>
      <c r="E183" s="54">
        <f>(E176+E177+E178+E179+E180+E181+E182)*0.02</f>
        <v>618.70000000000005</v>
      </c>
      <c r="F183" s="54">
        <f>(F176+F177+F178+F179+F180+F181+F182)*0.02</f>
        <v>3488.3</v>
      </c>
      <c r="G183" s="54">
        <f>(G176+G177+G178+G179+G180+G181+G182)*0.02</f>
        <v>1752.3</v>
      </c>
      <c r="H183" s="54">
        <f>(H176+H177+H178+H179+H180+H181+H182)*0.02</f>
        <v>13215.83</v>
      </c>
      <c r="J183" s="39">
        <f>(H176+H177+H178+H179+H180+H181)*0.02</f>
        <v>12778.58</v>
      </c>
    </row>
    <row r="184" spans="1:10" x14ac:dyDescent="0.2">
      <c r="A184" s="40">
        <v>67</v>
      </c>
      <c r="B184" s="41"/>
      <c r="C184" s="42" t="s">
        <v>166</v>
      </c>
      <c r="D184" s="47">
        <f>D176+D177+D178+D179+D180+D181+D182+D183</f>
        <v>375182.99</v>
      </c>
      <c r="E184" s="47">
        <f>E176+E177+E178+E179+E180+E181+E182+E183</f>
        <v>31553.62</v>
      </c>
      <c r="F184" s="47">
        <f>F176+F177+F178+F179+F180+F181+F182+F183</f>
        <v>177903.41</v>
      </c>
      <c r="G184" s="47">
        <f>G176+G177+G178+G179+G180+G181+G182+G183</f>
        <v>89367.3</v>
      </c>
      <c r="H184" s="47">
        <f>H176+H177+H178+H179+H180+H181+H182+H183</f>
        <v>674007.32</v>
      </c>
      <c r="I184" s="57">
        <f>H184-H182*1.02</f>
        <v>651707.38</v>
      </c>
      <c r="J184" s="39">
        <f>H176+H177+H178+H179+H180+H181+J183</f>
        <v>651707.38</v>
      </c>
    </row>
    <row r="185" spans="1:10" x14ac:dyDescent="0.2">
      <c r="A185" s="49"/>
      <c r="B185" s="50"/>
      <c r="C185" s="18" t="s">
        <v>303</v>
      </c>
      <c r="D185" s="48">
        <f>-D133*7</f>
        <v>-1233.68</v>
      </c>
      <c r="E185" s="48">
        <f>-E133*7</f>
        <v>-103.74</v>
      </c>
      <c r="F185" s="48"/>
      <c r="G185" s="48"/>
      <c r="H185" s="48">
        <f>G185+F185+E185+D185+0.001</f>
        <v>-1337.42</v>
      </c>
      <c r="I185" s="57"/>
      <c r="J185" s="39"/>
    </row>
    <row r="186" spans="1:10" ht="25.5" x14ac:dyDescent="0.2">
      <c r="A186" s="51"/>
      <c r="B186" s="52"/>
      <c r="C186" s="59" t="s">
        <v>304</v>
      </c>
      <c r="D186" s="58">
        <f>D184+D185</f>
        <v>373949.31</v>
      </c>
      <c r="E186" s="58">
        <f>E184+E185</f>
        <v>31449.88</v>
      </c>
      <c r="F186" s="58">
        <f>F184</f>
        <v>177903.41</v>
      </c>
      <c r="G186" s="58">
        <f>G184</f>
        <v>89367.3</v>
      </c>
      <c r="H186" s="58">
        <f>H184+H185</f>
        <v>672669.9</v>
      </c>
      <c r="I186" s="57">
        <f>I184+H185</f>
        <v>650369.96</v>
      </c>
      <c r="J186" s="39">
        <f>J184+H185</f>
        <v>650369.96</v>
      </c>
    </row>
    <row r="187" spans="1:10" ht="38.25" x14ac:dyDescent="0.2">
      <c r="A187" s="45">
        <v>68</v>
      </c>
      <c r="B187" s="46" t="s">
        <v>167</v>
      </c>
      <c r="C187" s="46" t="s">
        <v>168</v>
      </c>
      <c r="D187" s="48">
        <f>D186*0.2</f>
        <v>74789.86</v>
      </c>
      <c r="E187" s="48">
        <f>E186*0.2</f>
        <v>6289.98</v>
      </c>
      <c r="F187" s="48">
        <f>F186*0.2</f>
        <v>35580.68</v>
      </c>
      <c r="G187" s="48">
        <f>G186*0.2</f>
        <v>17873.46</v>
      </c>
      <c r="H187" s="48">
        <f>H186*0.2</f>
        <v>134533.98000000001</v>
      </c>
    </row>
    <row r="188" spans="1:10" ht="25.5" x14ac:dyDescent="0.2">
      <c r="A188" s="40">
        <v>69</v>
      </c>
      <c r="B188" s="41"/>
      <c r="C188" s="42" t="s">
        <v>169</v>
      </c>
      <c r="D188" s="47">
        <f>D186+D187</f>
        <v>448739.17</v>
      </c>
      <c r="E188" s="47">
        <f>E186+E187</f>
        <v>37739.86</v>
      </c>
      <c r="F188" s="47">
        <f>F186+F187</f>
        <v>213484.09</v>
      </c>
      <c r="G188" s="47">
        <f>G186+G187</f>
        <v>107240.76</v>
      </c>
      <c r="H188" s="47">
        <f>H186+H187</f>
        <v>807203.88</v>
      </c>
      <c r="I188" s="57"/>
    </row>
  </sheetData>
  <mergeCells count="40">
    <mergeCell ref="H24:H27"/>
    <mergeCell ref="D25:D27"/>
    <mergeCell ref="E25:E27"/>
    <mergeCell ref="F25:F27"/>
    <mergeCell ref="G25:G27"/>
    <mergeCell ref="C18:G18"/>
    <mergeCell ref="A24:A27"/>
    <mergeCell ref="B24:B27"/>
    <mergeCell ref="C24:C27"/>
    <mergeCell ref="D24:G24"/>
    <mergeCell ref="B129:C129"/>
    <mergeCell ref="A29:H29"/>
    <mergeCell ref="B36:C36"/>
    <mergeCell ref="A37:H37"/>
    <mergeCell ref="B45:C45"/>
    <mergeCell ref="A46:H46"/>
    <mergeCell ref="B80:C80"/>
    <mergeCell ref="A81:H81"/>
    <mergeCell ref="B99:C99"/>
    <mergeCell ref="A100:H100"/>
    <mergeCell ref="B124:C124"/>
    <mergeCell ref="A125:H125"/>
    <mergeCell ref="B166:C166"/>
    <mergeCell ref="B130:C130"/>
    <mergeCell ref="A131:H131"/>
    <mergeCell ref="B134:C134"/>
    <mergeCell ref="B135:C135"/>
    <mergeCell ref="A136:H136"/>
    <mergeCell ref="B153:C153"/>
    <mergeCell ref="B154:C154"/>
    <mergeCell ref="A155:H155"/>
    <mergeCell ref="B157:C157"/>
    <mergeCell ref="A158:H158"/>
    <mergeCell ref="B165:C165"/>
    <mergeCell ref="A173:H173"/>
    <mergeCell ref="A167:H167"/>
    <mergeCell ref="B169:C169"/>
    <mergeCell ref="B170:C170"/>
    <mergeCell ref="A171:H171"/>
    <mergeCell ref="B172:C17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rstPageNumber="6" fitToHeight="10000" orientation="landscape" useFirstPageNumber="1" r:id="rId1"/>
  <headerFooter alignWithMargins="0">
    <oddFooter>&amp;R&amp;P</oddFooter>
  </headerFooter>
  <rowBreaks count="1" manualBreakCount="1">
    <brk id="18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188"/>
  <sheetViews>
    <sheetView showGridLines="0" topLeftCell="A136" zoomScaleNormal="100" workbookViewId="0">
      <selection activeCell="C148" sqref="C148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9" width="11.140625" style="5" bestFit="1" customWidth="1"/>
    <col min="10" max="10" width="11.140625" style="5" customWidth="1"/>
    <col min="11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3" t="s">
        <v>13</v>
      </c>
      <c r="D2" s="6"/>
      <c r="E2" s="6"/>
      <c r="F2" s="6"/>
      <c r="G2" s="6"/>
      <c r="H2" s="3"/>
    </row>
    <row r="3" spans="2:8" x14ac:dyDescent="0.2">
      <c r="D3" s="7" t="s">
        <v>8</v>
      </c>
      <c r="F3" s="3"/>
      <c r="G3" s="3"/>
      <c r="H3" s="3"/>
    </row>
    <row r="4" spans="2:8" x14ac:dyDescent="0.2">
      <c r="B4" s="2" t="s">
        <v>176</v>
      </c>
      <c r="C4" s="14"/>
      <c r="D4" s="3"/>
      <c r="E4" s="7"/>
      <c r="F4" s="3"/>
      <c r="G4" s="3"/>
      <c r="H4" s="3"/>
    </row>
    <row r="5" spans="2:8" x14ac:dyDescent="0.2">
      <c r="D5" s="3"/>
      <c r="E5" s="7"/>
      <c r="F5" s="3"/>
      <c r="G5" s="3"/>
      <c r="H5" s="3"/>
    </row>
    <row r="6" spans="2:8" x14ac:dyDescent="0.2">
      <c r="B6" s="2" t="s">
        <v>181</v>
      </c>
      <c r="D6" s="3"/>
      <c r="E6" s="7"/>
      <c r="F6" s="3"/>
      <c r="G6" s="3"/>
      <c r="H6" s="3"/>
    </row>
    <row r="7" spans="2:8" x14ac:dyDescent="0.2">
      <c r="B7" s="2" t="s">
        <v>180</v>
      </c>
      <c r="D7" s="3"/>
      <c r="E7" s="3"/>
      <c r="F7" s="3"/>
      <c r="G7" s="3"/>
      <c r="H7" s="3"/>
    </row>
    <row r="8" spans="2:8" x14ac:dyDescent="0.2">
      <c r="D8" s="3"/>
      <c r="E8" s="3"/>
      <c r="F8" s="3"/>
      <c r="G8" s="3"/>
      <c r="H8" s="3"/>
    </row>
    <row r="9" spans="2:8" x14ac:dyDescent="0.2">
      <c r="B9" s="26" t="s">
        <v>178</v>
      </c>
      <c r="D9" s="3"/>
      <c r="E9" s="3"/>
      <c r="F9" s="3"/>
      <c r="G9" s="3"/>
      <c r="H9" s="3"/>
    </row>
    <row r="10" spans="2:8" x14ac:dyDescent="0.2">
      <c r="B10" s="26" t="s">
        <v>179</v>
      </c>
      <c r="D10" s="3"/>
      <c r="E10" s="3"/>
      <c r="F10" s="3"/>
      <c r="G10" s="3"/>
      <c r="H10" s="3"/>
    </row>
    <row r="11" spans="2:8" x14ac:dyDescent="0.2">
      <c r="C11" s="13"/>
      <c r="D11" s="6"/>
      <c r="E11" s="9"/>
      <c r="F11" s="6"/>
      <c r="G11" s="6"/>
      <c r="H11" s="3"/>
    </row>
    <row r="12" spans="2:8" x14ac:dyDescent="0.2">
      <c r="D12" s="7" t="s">
        <v>9</v>
      </c>
      <c r="F12" s="3"/>
      <c r="G12" s="3"/>
      <c r="H12" s="3"/>
    </row>
    <row r="13" spans="2:8" x14ac:dyDescent="0.2">
      <c r="D13" s="3"/>
      <c r="E13" s="7"/>
      <c r="F13" s="3"/>
      <c r="G13" s="3"/>
      <c r="H13" s="3"/>
    </row>
    <row r="14" spans="2:8" x14ac:dyDescent="0.2">
      <c r="B14" s="2" t="s">
        <v>177</v>
      </c>
      <c r="H14" s="3"/>
    </row>
    <row r="15" spans="2:8" x14ac:dyDescent="0.2">
      <c r="G15" s="3"/>
      <c r="H15" s="3"/>
    </row>
    <row r="16" spans="2:8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5.25" customHeight="1" x14ac:dyDescent="0.2">
      <c r="C18" s="294" t="s">
        <v>14</v>
      </c>
      <c r="D18" s="294"/>
      <c r="E18" s="294"/>
      <c r="F18" s="294"/>
      <c r="G18" s="294"/>
      <c r="H18" s="3"/>
    </row>
    <row r="19" spans="1:8" x14ac:dyDescent="0.2">
      <c r="D19" s="12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15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295" t="s">
        <v>1</v>
      </c>
      <c r="B24" s="296" t="s">
        <v>10</v>
      </c>
      <c r="C24" s="296" t="s">
        <v>11</v>
      </c>
      <c r="D24" s="297" t="s">
        <v>16</v>
      </c>
      <c r="E24" s="297"/>
      <c r="F24" s="297"/>
      <c r="G24" s="297"/>
      <c r="H24" s="295" t="s">
        <v>17</v>
      </c>
    </row>
    <row r="25" spans="1:8" x14ac:dyDescent="0.2">
      <c r="A25" s="295"/>
      <c r="B25" s="296"/>
      <c r="C25" s="296"/>
      <c r="D25" s="295" t="s">
        <v>12</v>
      </c>
      <c r="E25" s="295" t="s">
        <v>2</v>
      </c>
      <c r="F25" s="295" t="s">
        <v>3</v>
      </c>
      <c r="G25" s="295" t="s">
        <v>4</v>
      </c>
      <c r="H25" s="295"/>
    </row>
    <row r="26" spans="1:8" x14ac:dyDescent="0.2">
      <c r="A26" s="295"/>
      <c r="B26" s="296"/>
      <c r="C26" s="296"/>
      <c r="D26" s="295"/>
      <c r="E26" s="295"/>
      <c r="F26" s="295"/>
      <c r="G26" s="295"/>
      <c r="H26" s="295"/>
    </row>
    <row r="27" spans="1:8" x14ac:dyDescent="0.2">
      <c r="A27" s="295"/>
      <c r="B27" s="296"/>
      <c r="C27" s="296"/>
      <c r="D27" s="295"/>
      <c r="E27" s="295"/>
      <c r="F27" s="295"/>
      <c r="G27" s="295"/>
      <c r="H27" s="295"/>
    </row>
    <row r="28" spans="1:8" x14ac:dyDescent="0.2">
      <c r="A28" s="28">
        <v>1</v>
      </c>
      <c r="B28" s="29">
        <v>2</v>
      </c>
      <c r="C28" s="29">
        <v>3</v>
      </c>
      <c r="D28" s="28">
        <v>4</v>
      </c>
      <c r="E28" s="28">
        <v>5</v>
      </c>
      <c r="F28" s="28">
        <v>6</v>
      </c>
      <c r="G28" s="28">
        <v>7</v>
      </c>
      <c r="H28" s="28">
        <v>8</v>
      </c>
    </row>
    <row r="29" spans="1:8" x14ac:dyDescent="0.2">
      <c r="A29" s="287" t="s">
        <v>18</v>
      </c>
      <c r="B29" s="288"/>
      <c r="C29" s="288"/>
      <c r="D29" s="288"/>
      <c r="E29" s="288"/>
      <c r="F29" s="288"/>
      <c r="G29" s="288"/>
      <c r="H29" s="288"/>
    </row>
    <row r="30" spans="1:8" x14ac:dyDescent="0.2">
      <c r="A30" s="17">
        <v>1</v>
      </c>
      <c r="B30" s="18" t="s">
        <v>19</v>
      </c>
      <c r="C30" s="18" t="s">
        <v>20</v>
      </c>
      <c r="D30" s="19">
        <v>18.68</v>
      </c>
      <c r="E30" s="20"/>
      <c r="F30" s="20"/>
      <c r="G30" s="20"/>
      <c r="H30" s="19">
        <v>18.68</v>
      </c>
    </row>
    <row r="31" spans="1:8" ht="25.5" x14ac:dyDescent="0.2">
      <c r="A31" s="17">
        <v>2</v>
      </c>
      <c r="B31" s="18" t="s">
        <v>21</v>
      </c>
      <c r="C31" s="18" t="s">
        <v>22</v>
      </c>
      <c r="D31" s="20"/>
      <c r="E31" s="20"/>
      <c r="F31" s="20"/>
      <c r="G31" s="19">
        <v>177.15</v>
      </c>
      <c r="H31" s="19">
        <v>177.15</v>
      </c>
    </row>
    <row r="32" spans="1:8" x14ac:dyDescent="0.2">
      <c r="A32" s="17">
        <v>3</v>
      </c>
      <c r="B32" s="18" t="s">
        <v>23</v>
      </c>
      <c r="C32" s="18" t="s">
        <v>24</v>
      </c>
      <c r="D32" s="20"/>
      <c r="E32" s="20"/>
      <c r="F32" s="20"/>
      <c r="G32" s="19">
        <f>4082.53*0</f>
        <v>0</v>
      </c>
      <c r="H32" s="19">
        <f>4082.53*0</f>
        <v>0</v>
      </c>
    </row>
    <row r="33" spans="1:9" ht="38.25" x14ac:dyDescent="0.2">
      <c r="A33" s="17">
        <v>4</v>
      </c>
      <c r="B33" s="18" t="s">
        <v>25</v>
      </c>
      <c r="C33" s="18" t="s">
        <v>26</v>
      </c>
      <c r="D33" s="20"/>
      <c r="E33" s="20"/>
      <c r="F33" s="20"/>
      <c r="G33" s="19">
        <v>10.39</v>
      </c>
      <c r="H33" s="19">
        <v>10.39</v>
      </c>
      <c r="I33" s="63"/>
    </row>
    <row r="34" spans="1:9" ht="25.5" x14ac:dyDescent="0.2">
      <c r="A34" s="17">
        <v>5</v>
      </c>
      <c r="B34" s="18" t="s">
        <v>27</v>
      </c>
      <c r="C34" s="18" t="s">
        <v>28</v>
      </c>
      <c r="D34" s="19">
        <v>7.76</v>
      </c>
      <c r="E34" s="20"/>
      <c r="F34" s="20"/>
      <c r="G34" s="20"/>
      <c r="H34" s="19">
        <v>7.76</v>
      </c>
    </row>
    <row r="35" spans="1:9" x14ac:dyDescent="0.2">
      <c r="A35" s="21">
        <v>6</v>
      </c>
      <c r="B35" s="22"/>
      <c r="C35" s="23" t="s">
        <v>29</v>
      </c>
      <c r="D35" s="24">
        <v>307.89</v>
      </c>
      <c r="E35" s="20"/>
      <c r="F35" s="20"/>
      <c r="G35" s="20"/>
      <c r="H35" s="24">
        <v>307.89</v>
      </c>
    </row>
    <row r="36" spans="1:9" ht="27.95" customHeight="1" x14ac:dyDescent="0.2">
      <c r="A36" s="27"/>
      <c r="B36" s="289" t="s">
        <v>30</v>
      </c>
      <c r="C36" s="293"/>
      <c r="D36" s="30">
        <f>D30+D31+D32+D33+D34</f>
        <v>26.44</v>
      </c>
      <c r="E36" s="31"/>
      <c r="F36" s="31"/>
      <c r="G36" s="30">
        <f>G30+G31+G32+G33+G34</f>
        <v>187.54</v>
      </c>
      <c r="H36" s="30">
        <f>H30+H31+H32+H33+H34</f>
        <v>213.98</v>
      </c>
    </row>
    <row r="37" spans="1:9" x14ac:dyDescent="0.2">
      <c r="A37" s="287" t="s">
        <v>31</v>
      </c>
      <c r="B37" s="288"/>
      <c r="C37" s="288"/>
      <c r="D37" s="288"/>
      <c r="E37" s="288"/>
      <c r="F37" s="288"/>
      <c r="G37" s="288"/>
      <c r="H37" s="288"/>
    </row>
    <row r="38" spans="1:9" x14ac:dyDescent="0.2">
      <c r="A38" s="17">
        <v>7</v>
      </c>
      <c r="B38" s="18" t="s">
        <v>32</v>
      </c>
      <c r="C38" s="18" t="s">
        <v>33</v>
      </c>
      <c r="D38" s="19">
        <f>D39+D40+D41+D42+D43+D44</f>
        <v>28111.22</v>
      </c>
      <c r="E38" s="20"/>
      <c r="F38" s="20"/>
      <c r="G38" s="20"/>
      <c r="H38" s="19">
        <f>H39+H40+H41+H42+H43+H44</f>
        <v>28111.22</v>
      </c>
    </row>
    <row r="39" spans="1:9" x14ac:dyDescent="0.2">
      <c r="A39" s="17"/>
      <c r="B39" s="32" t="s">
        <v>184</v>
      </c>
      <c r="C39" s="32" t="s">
        <v>185</v>
      </c>
      <c r="D39" s="33">
        <v>6842.83</v>
      </c>
      <c r="E39" s="34"/>
      <c r="F39" s="34"/>
      <c r="G39" s="34"/>
      <c r="H39" s="33">
        <v>6842.83</v>
      </c>
    </row>
    <row r="40" spans="1:9" x14ac:dyDescent="0.2">
      <c r="A40" s="17"/>
      <c r="B40" s="32" t="s">
        <v>186</v>
      </c>
      <c r="C40" s="32" t="s">
        <v>187</v>
      </c>
      <c r="D40" s="33">
        <v>983</v>
      </c>
      <c r="E40" s="34"/>
      <c r="F40" s="34"/>
      <c r="G40" s="34"/>
      <c r="H40" s="33">
        <v>983</v>
      </c>
    </row>
    <row r="41" spans="1:9" x14ac:dyDescent="0.2">
      <c r="A41" s="17"/>
      <c r="B41" s="32" t="s">
        <v>188</v>
      </c>
      <c r="C41" s="32" t="s">
        <v>189</v>
      </c>
      <c r="D41" s="33">
        <v>6121.37</v>
      </c>
      <c r="E41" s="34"/>
      <c r="F41" s="34"/>
      <c r="G41" s="34"/>
      <c r="H41" s="33">
        <v>6121.37</v>
      </c>
    </row>
    <row r="42" spans="1:9" x14ac:dyDescent="0.2">
      <c r="A42" s="17"/>
      <c r="B42" s="32" t="s">
        <v>190</v>
      </c>
      <c r="C42" s="32" t="s">
        <v>191</v>
      </c>
      <c r="D42" s="33">
        <v>493.08</v>
      </c>
      <c r="E42" s="34"/>
      <c r="F42" s="34"/>
      <c r="G42" s="34"/>
      <c r="H42" s="33">
        <v>493.08</v>
      </c>
    </row>
    <row r="43" spans="1:9" x14ac:dyDescent="0.2">
      <c r="A43" s="17"/>
      <c r="B43" s="32" t="s">
        <v>192</v>
      </c>
      <c r="C43" s="32" t="s">
        <v>193</v>
      </c>
      <c r="D43" s="33">
        <v>11468.96</v>
      </c>
      <c r="E43" s="34"/>
      <c r="F43" s="34"/>
      <c r="G43" s="34"/>
      <c r="H43" s="33">
        <v>11468.96</v>
      </c>
    </row>
    <row r="44" spans="1:9" x14ac:dyDescent="0.2">
      <c r="A44" s="17"/>
      <c r="B44" s="32" t="s">
        <v>194</v>
      </c>
      <c r="C44" s="32" t="s">
        <v>195</v>
      </c>
      <c r="D44" s="33">
        <v>2201.98</v>
      </c>
      <c r="E44" s="34"/>
      <c r="F44" s="34"/>
      <c r="G44" s="34"/>
      <c r="H44" s="33">
        <v>2201.98</v>
      </c>
    </row>
    <row r="45" spans="1:9" ht="27.95" customHeight="1" x14ac:dyDescent="0.2">
      <c r="A45" s="35"/>
      <c r="B45" s="289" t="s">
        <v>34</v>
      </c>
      <c r="C45" s="290"/>
      <c r="D45" s="30">
        <f>D38</f>
        <v>28111.22</v>
      </c>
      <c r="E45" s="31"/>
      <c r="F45" s="31"/>
      <c r="G45" s="31"/>
      <c r="H45" s="30">
        <f>H38</f>
        <v>28111.22</v>
      </c>
    </row>
    <row r="46" spans="1:9" x14ac:dyDescent="0.2">
      <c r="A46" s="287" t="s">
        <v>35</v>
      </c>
      <c r="B46" s="288"/>
      <c r="C46" s="288"/>
      <c r="D46" s="288"/>
      <c r="E46" s="288"/>
      <c r="F46" s="288"/>
      <c r="G46" s="288"/>
      <c r="H46" s="288"/>
    </row>
    <row r="47" spans="1:9" x14ac:dyDescent="0.2">
      <c r="A47" s="17">
        <v>8</v>
      </c>
      <c r="B47" s="18" t="s">
        <v>36</v>
      </c>
      <c r="C47" s="18" t="s">
        <v>37</v>
      </c>
      <c r="D47" s="19">
        <f>D48+D49+D50</f>
        <v>54.07</v>
      </c>
      <c r="E47" s="19">
        <f>E48+E49+E50</f>
        <v>14.11</v>
      </c>
      <c r="F47" s="19">
        <f>F48+F49+F50</f>
        <v>2890.96</v>
      </c>
      <c r="G47" s="20"/>
      <c r="H47" s="19">
        <f>H48+H49+H50</f>
        <v>2959.14</v>
      </c>
    </row>
    <row r="48" spans="1:9" x14ac:dyDescent="0.2">
      <c r="A48" s="17"/>
      <c r="B48" s="32" t="s">
        <v>196</v>
      </c>
      <c r="C48" s="32" t="s">
        <v>197</v>
      </c>
      <c r="D48" s="33">
        <v>47.88</v>
      </c>
      <c r="E48" s="33"/>
      <c r="F48" s="33"/>
      <c r="G48" s="34"/>
      <c r="H48" s="33">
        <f>G48+F48+E48+D48</f>
        <v>47.88</v>
      </c>
    </row>
    <row r="49" spans="1:8" ht="25.5" x14ac:dyDescent="0.2">
      <c r="A49" s="17"/>
      <c r="B49" s="32" t="s">
        <v>198</v>
      </c>
      <c r="C49" s="32" t="s">
        <v>199</v>
      </c>
      <c r="D49" s="33">
        <v>5.87</v>
      </c>
      <c r="E49" s="36">
        <v>10.1</v>
      </c>
      <c r="F49" s="33">
        <v>2877.06</v>
      </c>
      <c r="G49" s="34"/>
      <c r="H49" s="33">
        <f>G49+F49+E49+D49</f>
        <v>2893.03</v>
      </c>
    </row>
    <row r="50" spans="1:8" ht="25.5" x14ac:dyDescent="0.2">
      <c r="A50" s="17"/>
      <c r="B50" s="32" t="s">
        <v>200</v>
      </c>
      <c r="C50" s="32" t="s">
        <v>201</v>
      </c>
      <c r="D50" s="33">
        <v>0.32</v>
      </c>
      <c r="E50" s="33">
        <v>4.01</v>
      </c>
      <c r="F50" s="33">
        <v>13.9</v>
      </c>
      <c r="G50" s="34"/>
      <c r="H50" s="33">
        <f>G50+F50+E50+D50</f>
        <v>18.23</v>
      </c>
    </row>
    <row r="51" spans="1:8" x14ac:dyDescent="0.2">
      <c r="A51" s="17">
        <v>9</v>
      </c>
      <c r="B51" s="18" t="s">
        <v>38</v>
      </c>
      <c r="C51" s="18" t="s">
        <v>39</v>
      </c>
      <c r="D51" s="19">
        <f>D52+D53+D54</f>
        <v>61.38</v>
      </c>
      <c r="E51" s="19">
        <f>E52+E53+E54</f>
        <v>15.42</v>
      </c>
      <c r="F51" s="37">
        <f>F52+F53+F54</f>
        <v>4113.1099999999997</v>
      </c>
      <c r="G51" s="20"/>
      <c r="H51" s="19">
        <f>H52+H53+H54</f>
        <v>4189.91</v>
      </c>
    </row>
    <row r="52" spans="1:8" x14ac:dyDescent="0.2">
      <c r="A52" s="17"/>
      <c r="B52" s="32" t="s">
        <v>202</v>
      </c>
      <c r="C52" s="32" t="s">
        <v>197</v>
      </c>
      <c r="D52" s="33">
        <v>55.15</v>
      </c>
      <c r="E52" s="33"/>
      <c r="F52" s="33"/>
      <c r="G52" s="34"/>
      <c r="H52" s="33">
        <f>G52+F52+E52+D52</f>
        <v>55.15</v>
      </c>
    </row>
    <row r="53" spans="1:8" ht="25.5" x14ac:dyDescent="0.2">
      <c r="A53" s="17"/>
      <c r="B53" s="32" t="s">
        <v>203</v>
      </c>
      <c r="C53" s="32" t="s">
        <v>204</v>
      </c>
      <c r="D53" s="33">
        <v>5.91</v>
      </c>
      <c r="E53" s="33">
        <v>11.41</v>
      </c>
      <c r="F53" s="33">
        <v>4099.21</v>
      </c>
      <c r="G53" s="34"/>
      <c r="H53" s="33">
        <f>G53+F53+E53+D53</f>
        <v>4116.53</v>
      </c>
    </row>
    <row r="54" spans="1:8" ht="25.5" x14ac:dyDescent="0.2">
      <c r="A54" s="17"/>
      <c r="B54" s="32" t="s">
        <v>205</v>
      </c>
      <c r="C54" s="32" t="s">
        <v>206</v>
      </c>
      <c r="D54" s="33">
        <v>0.32</v>
      </c>
      <c r="E54" s="33">
        <v>4.01</v>
      </c>
      <c r="F54" s="36">
        <v>13.9</v>
      </c>
      <c r="G54" s="34"/>
      <c r="H54" s="33">
        <f>G54+F54+E54+D54</f>
        <v>18.23</v>
      </c>
    </row>
    <row r="55" spans="1:8" x14ac:dyDescent="0.2">
      <c r="A55" s="17">
        <v>10</v>
      </c>
      <c r="B55" s="18" t="s">
        <v>40</v>
      </c>
      <c r="C55" s="18" t="s">
        <v>41</v>
      </c>
      <c r="D55" s="19">
        <f>D56+D57+D58</f>
        <v>61.5</v>
      </c>
      <c r="E55" s="19">
        <f>E56+E57+E58</f>
        <v>15.37</v>
      </c>
      <c r="F55" s="37">
        <f>F56+F57+F58</f>
        <v>3711.62</v>
      </c>
      <c r="G55" s="20"/>
      <c r="H55" s="19">
        <f>H56+H57+H58</f>
        <v>3788.49</v>
      </c>
    </row>
    <row r="56" spans="1:8" x14ac:dyDescent="0.2">
      <c r="A56" s="17"/>
      <c r="B56" s="32" t="s">
        <v>207</v>
      </c>
      <c r="C56" s="32" t="s">
        <v>197</v>
      </c>
      <c r="D56" s="33">
        <v>55.59</v>
      </c>
      <c r="E56" s="33"/>
      <c r="F56" s="33"/>
      <c r="G56" s="34"/>
      <c r="H56" s="33">
        <f>D56+E56+F56+G56</f>
        <v>55.59</v>
      </c>
    </row>
    <row r="57" spans="1:8" ht="25.5" x14ac:dyDescent="0.2">
      <c r="A57" s="17"/>
      <c r="B57" s="32" t="s">
        <v>208</v>
      </c>
      <c r="C57" s="32" t="s">
        <v>209</v>
      </c>
      <c r="D57" s="33">
        <v>5.91</v>
      </c>
      <c r="E57" s="33">
        <v>11.44</v>
      </c>
      <c r="F57" s="33">
        <v>3697.72</v>
      </c>
      <c r="G57" s="34"/>
      <c r="H57" s="33">
        <f>D57+E57+F57+G57</f>
        <v>3715.07</v>
      </c>
    </row>
    <row r="58" spans="1:8" ht="25.5" x14ac:dyDescent="0.2">
      <c r="A58" s="17"/>
      <c r="B58" s="32" t="s">
        <v>210</v>
      </c>
      <c r="C58" s="32" t="s">
        <v>211</v>
      </c>
      <c r="D58" s="33"/>
      <c r="E58" s="33">
        <v>3.93</v>
      </c>
      <c r="F58" s="36">
        <v>13.9</v>
      </c>
      <c r="G58" s="34"/>
      <c r="H58" s="33">
        <f>D58+E58+F58+G58</f>
        <v>17.829999999999998</v>
      </c>
    </row>
    <row r="59" spans="1:8" ht="25.5" x14ac:dyDescent="0.2">
      <c r="A59" s="17">
        <v>11</v>
      </c>
      <c r="B59" s="18" t="s">
        <v>42</v>
      </c>
      <c r="C59" s="18" t="s">
        <v>43</v>
      </c>
      <c r="D59" s="20"/>
      <c r="E59" s="19">
        <v>21.61</v>
      </c>
      <c r="F59" s="19">
        <v>2388.0300000000002</v>
      </c>
      <c r="G59" s="20"/>
      <c r="H59" s="19">
        <v>2409.64</v>
      </c>
    </row>
    <row r="60" spans="1:8" x14ac:dyDescent="0.2">
      <c r="A60" s="17">
        <v>12</v>
      </c>
      <c r="B60" s="18" t="s">
        <v>44</v>
      </c>
      <c r="C60" s="18" t="s">
        <v>45</v>
      </c>
      <c r="D60" s="19">
        <v>149.63999999999999</v>
      </c>
      <c r="E60" s="19">
        <v>1621.89</v>
      </c>
      <c r="F60" s="20"/>
      <c r="G60" s="20"/>
      <c r="H60" s="19">
        <v>1771.53</v>
      </c>
    </row>
    <row r="61" spans="1:8" x14ac:dyDescent="0.2">
      <c r="A61" s="17">
        <v>13</v>
      </c>
      <c r="B61" s="18" t="s">
        <v>46</v>
      </c>
      <c r="C61" s="18" t="s">
        <v>47</v>
      </c>
      <c r="D61" s="19">
        <v>519.47</v>
      </c>
      <c r="E61" s="20"/>
      <c r="F61" s="20"/>
      <c r="G61" s="20"/>
      <c r="H61" s="19">
        <v>519.47</v>
      </c>
    </row>
    <row r="62" spans="1:8" ht="25.5" x14ac:dyDescent="0.2">
      <c r="A62" s="17">
        <v>14</v>
      </c>
      <c r="B62" s="18" t="s">
        <v>48</v>
      </c>
      <c r="C62" s="18" t="s">
        <v>49</v>
      </c>
      <c r="D62" s="19">
        <v>44.07</v>
      </c>
      <c r="E62" s="19">
        <v>247.16</v>
      </c>
      <c r="F62" s="20"/>
      <c r="G62" s="20"/>
      <c r="H62" s="19">
        <v>291.23</v>
      </c>
    </row>
    <row r="63" spans="1:8" ht="25.5" x14ac:dyDescent="0.2">
      <c r="A63" s="17">
        <v>15</v>
      </c>
      <c r="B63" s="18" t="s">
        <v>50</v>
      </c>
      <c r="C63" s="18" t="s">
        <v>51</v>
      </c>
      <c r="D63" s="19">
        <v>3.6</v>
      </c>
      <c r="E63" s="19">
        <v>8.7200000000000006</v>
      </c>
      <c r="F63" s="20"/>
      <c r="G63" s="20"/>
      <c r="H63" s="19">
        <v>12.32</v>
      </c>
    </row>
    <row r="64" spans="1:8" ht="25.5" x14ac:dyDescent="0.2">
      <c r="A64" s="17">
        <v>16</v>
      </c>
      <c r="B64" s="18" t="s">
        <v>52</v>
      </c>
      <c r="C64" s="18" t="s">
        <v>53</v>
      </c>
      <c r="D64" s="19">
        <f>D65+D66+D67</f>
        <v>88.86</v>
      </c>
      <c r="E64" s="19">
        <f>E65+E66+E67</f>
        <v>16</v>
      </c>
      <c r="F64" s="19">
        <f>F65+F66+F67</f>
        <v>8196.7900000000009</v>
      </c>
      <c r="G64" s="20"/>
      <c r="H64" s="37">
        <f>H65+H66+H67</f>
        <v>8301.65</v>
      </c>
    </row>
    <row r="65" spans="1:8" x14ac:dyDescent="0.2">
      <c r="A65" s="17"/>
      <c r="B65" s="32" t="s">
        <v>212</v>
      </c>
      <c r="C65" s="32" t="s">
        <v>197</v>
      </c>
      <c r="D65" s="36">
        <v>82.6</v>
      </c>
      <c r="E65" s="33"/>
      <c r="F65" s="33"/>
      <c r="G65" s="34"/>
      <c r="H65" s="36">
        <f>D65+E65+F65+G65</f>
        <v>82.6</v>
      </c>
    </row>
    <row r="66" spans="1:8" ht="38.25" x14ac:dyDescent="0.2">
      <c r="A66" s="17"/>
      <c r="B66" s="32" t="s">
        <v>213</v>
      </c>
      <c r="C66" s="32" t="s">
        <v>214</v>
      </c>
      <c r="D66" s="33">
        <v>5.94</v>
      </c>
      <c r="E66" s="33">
        <v>11.72</v>
      </c>
      <c r="F66" s="33">
        <v>8182.44</v>
      </c>
      <c r="G66" s="34"/>
      <c r="H66" s="36">
        <f>D66+E66+F66+G66</f>
        <v>8200.1</v>
      </c>
    </row>
    <row r="67" spans="1:8" ht="25.5" x14ac:dyDescent="0.2">
      <c r="A67" s="17"/>
      <c r="B67" s="32" t="s">
        <v>215</v>
      </c>
      <c r="C67" s="32" t="s">
        <v>216</v>
      </c>
      <c r="D67" s="33">
        <v>0.32</v>
      </c>
      <c r="E67" s="33">
        <v>4.28</v>
      </c>
      <c r="F67" s="33">
        <v>14.35</v>
      </c>
      <c r="G67" s="34"/>
      <c r="H67" s="36">
        <f>D67+E67+F67+G67</f>
        <v>18.95</v>
      </c>
    </row>
    <row r="68" spans="1:8" ht="25.5" x14ac:dyDescent="0.2">
      <c r="A68" s="17">
        <v>17</v>
      </c>
      <c r="B68" s="18" t="s">
        <v>54</v>
      </c>
      <c r="C68" s="18" t="s">
        <v>55</v>
      </c>
      <c r="D68" s="19">
        <f>D69+D70+D71</f>
        <v>87.83</v>
      </c>
      <c r="E68" s="19">
        <f>E69+E70+E71</f>
        <v>16.54</v>
      </c>
      <c r="F68" s="19">
        <f>F69+F70+F71</f>
        <v>8673.34</v>
      </c>
      <c r="G68" s="20"/>
      <c r="H68" s="19">
        <f>H69+H70+H71</f>
        <v>8777.7099999999991</v>
      </c>
    </row>
    <row r="69" spans="1:8" x14ac:dyDescent="0.2">
      <c r="A69" s="17"/>
      <c r="B69" s="32" t="s">
        <v>217</v>
      </c>
      <c r="C69" s="32" t="s">
        <v>197</v>
      </c>
      <c r="D69" s="33">
        <v>81.56</v>
      </c>
      <c r="E69" s="33"/>
      <c r="F69" s="33"/>
      <c r="G69" s="34"/>
      <c r="H69" s="33">
        <f>G69+F69+E69+D69</f>
        <v>81.56</v>
      </c>
    </row>
    <row r="70" spans="1:8" ht="38.25" x14ac:dyDescent="0.2">
      <c r="A70" s="17"/>
      <c r="B70" s="32" t="s">
        <v>218</v>
      </c>
      <c r="C70" s="32" t="s">
        <v>219</v>
      </c>
      <c r="D70" s="33">
        <v>5.95</v>
      </c>
      <c r="E70" s="33">
        <v>12.3</v>
      </c>
      <c r="F70" s="33">
        <v>8665.0400000000009</v>
      </c>
      <c r="G70" s="34"/>
      <c r="H70" s="33">
        <f>G70+F70+E70+D70</f>
        <v>8683.2900000000009</v>
      </c>
    </row>
    <row r="71" spans="1:8" ht="25.5" x14ac:dyDescent="0.2">
      <c r="A71" s="17"/>
      <c r="B71" s="32" t="s">
        <v>220</v>
      </c>
      <c r="C71" s="32" t="s">
        <v>221</v>
      </c>
      <c r="D71" s="33">
        <v>0.32</v>
      </c>
      <c r="E71" s="33">
        <v>4.24</v>
      </c>
      <c r="F71" s="33">
        <v>8.3000000000000007</v>
      </c>
      <c r="G71" s="34"/>
      <c r="H71" s="33">
        <f>G71+F71+E71+D71</f>
        <v>12.86</v>
      </c>
    </row>
    <row r="72" spans="1:8" x14ac:dyDescent="0.2">
      <c r="A72" s="17">
        <v>18</v>
      </c>
      <c r="B72" s="18" t="s">
        <v>56</v>
      </c>
      <c r="C72" s="18" t="s">
        <v>57</v>
      </c>
      <c r="D72" s="19">
        <f>D73+D74+D75</f>
        <v>61.92</v>
      </c>
      <c r="E72" s="19">
        <f>E73+E74+E75</f>
        <v>15.36</v>
      </c>
      <c r="F72" s="19">
        <f>F73+F74+F75</f>
        <v>4135.75</v>
      </c>
      <c r="G72" s="20"/>
      <c r="H72" s="19">
        <f>H73+H74+H75</f>
        <v>4213.03</v>
      </c>
    </row>
    <row r="73" spans="1:8" x14ac:dyDescent="0.2">
      <c r="A73" s="17"/>
      <c r="B73" s="32" t="s">
        <v>222</v>
      </c>
      <c r="C73" s="32" t="s">
        <v>197</v>
      </c>
      <c r="D73" s="36">
        <v>56</v>
      </c>
      <c r="E73" s="33"/>
      <c r="F73" s="33"/>
      <c r="G73" s="34"/>
      <c r="H73" s="36">
        <f>G73+F73+E73+D73</f>
        <v>56</v>
      </c>
    </row>
    <row r="74" spans="1:8" ht="25.5" x14ac:dyDescent="0.2">
      <c r="A74" s="17"/>
      <c r="B74" s="32" t="s">
        <v>223</v>
      </c>
      <c r="C74" s="32" t="s">
        <v>224</v>
      </c>
      <c r="D74" s="33">
        <v>5.91</v>
      </c>
      <c r="E74" s="33">
        <v>11.41</v>
      </c>
      <c r="F74" s="33">
        <v>4121.8500000000004</v>
      </c>
      <c r="G74" s="34"/>
      <c r="H74" s="33">
        <f>G74+F74+E74+D74</f>
        <v>4139.17</v>
      </c>
    </row>
    <row r="75" spans="1:8" ht="25.5" x14ac:dyDescent="0.2">
      <c r="A75" s="17"/>
      <c r="B75" s="32" t="s">
        <v>225</v>
      </c>
      <c r="C75" s="32" t="s">
        <v>226</v>
      </c>
      <c r="D75" s="33">
        <v>0.01</v>
      </c>
      <c r="E75" s="33">
        <v>3.95</v>
      </c>
      <c r="F75" s="36">
        <v>13.9</v>
      </c>
      <c r="G75" s="34"/>
      <c r="H75" s="33">
        <f>G75+F75+E75+D75</f>
        <v>17.86</v>
      </c>
    </row>
    <row r="76" spans="1:8" x14ac:dyDescent="0.2">
      <c r="A76" s="17">
        <v>19</v>
      </c>
      <c r="B76" s="18" t="s">
        <v>58</v>
      </c>
      <c r="C76" s="18" t="s">
        <v>59</v>
      </c>
      <c r="D76" s="19">
        <f>D77+D78+D79</f>
        <v>53.88</v>
      </c>
      <c r="E76" s="19">
        <f>E77+E78+E79</f>
        <v>14.62</v>
      </c>
      <c r="F76" s="37">
        <f>F77+F78+F79</f>
        <v>3256.98</v>
      </c>
      <c r="G76" s="20"/>
      <c r="H76" s="19">
        <f>H77+H78+H79</f>
        <v>3325.48</v>
      </c>
    </row>
    <row r="77" spans="1:8" x14ac:dyDescent="0.2">
      <c r="A77" s="17"/>
      <c r="B77" s="32" t="s">
        <v>227</v>
      </c>
      <c r="C77" s="32" t="s">
        <v>197</v>
      </c>
      <c r="D77" s="33">
        <v>47.62</v>
      </c>
      <c r="E77" s="33"/>
      <c r="F77" s="33"/>
      <c r="G77" s="34"/>
      <c r="H77" s="33">
        <f>G77+F77+E77+D77</f>
        <v>47.62</v>
      </c>
    </row>
    <row r="78" spans="1:8" ht="25.5" x14ac:dyDescent="0.2">
      <c r="A78" s="17"/>
      <c r="B78" s="32" t="s">
        <v>228</v>
      </c>
      <c r="C78" s="32" t="s">
        <v>229</v>
      </c>
      <c r="D78" s="33">
        <v>5.94</v>
      </c>
      <c r="E78" s="33">
        <v>10.61</v>
      </c>
      <c r="F78" s="33">
        <v>3243.08</v>
      </c>
      <c r="G78" s="34"/>
      <c r="H78" s="33">
        <f>G78+F78+E78+D78</f>
        <v>3259.63</v>
      </c>
    </row>
    <row r="79" spans="1:8" ht="25.5" x14ac:dyDescent="0.2">
      <c r="A79" s="17"/>
      <c r="B79" s="32" t="s">
        <v>230</v>
      </c>
      <c r="C79" s="32" t="s">
        <v>231</v>
      </c>
      <c r="D79" s="33">
        <v>0.32</v>
      </c>
      <c r="E79" s="33">
        <v>4.01</v>
      </c>
      <c r="F79" s="36">
        <v>13.9</v>
      </c>
      <c r="G79" s="34"/>
      <c r="H79" s="33">
        <f>G79+F79+E79+D79</f>
        <v>18.23</v>
      </c>
    </row>
    <row r="80" spans="1:8" ht="27.95" customHeight="1" x14ac:dyDescent="0.2">
      <c r="A80" s="35"/>
      <c r="B80" s="289" t="s">
        <v>60</v>
      </c>
      <c r="C80" s="290"/>
      <c r="D80" s="30">
        <f>D47+D51+D55+D59+D60+D61+D62+D63+D64+D68+D72+D76</f>
        <v>1186.22</v>
      </c>
      <c r="E80" s="30">
        <f>E47+E51+E55+E59+E60+E61+E62+E63+E64+E68+E72+E76</f>
        <v>2006.8</v>
      </c>
      <c r="F80" s="30">
        <f>F47+F51+F55+F59+F60+F61+F62+F63+F64+F68+F72+F76</f>
        <v>37366.58</v>
      </c>
      <c r="G80" s="31"/>
      <c r="H80" s="38">
        <f>H47+H51+H55+H59+H60+H61+H62+H63+H64+H68+H72+H76</f>
        <v>40559.599999999999</v>
      </c>
    </row>
    <row r="81" spans="1:8" x14ac:dyDescent="0.2">
      <c r="A81" s="287" t="s">
        <v>61</v>
      </c>
      <c r="B81" s="288"/>
      <c r="C81" s="288"/>
      <c r="D81" s="288"/>
      <c r="E81" s="288"/>
      <c r="F81" s="288"/>
      <c r="G81" s="288"/>
      <c r="H81" s="288"/>
    </row>
    <row r="82" spans="1:8" x14ac:dyDescent="0.2">
      <c r="A82" s="17">
        <v>20</v>
      </c>
      <c r="B82" s="18" t="s">
        <v>62</v>
      </c>
      <c r="C82" s="18" t="s">
        <v>63</v>
      </c>
      <c r="D82" s="19">
        <v>66.47</v>
      </c>
      <c r="E82" s="19">
        <v>1320.15</v>
      </c>
      <c r="F82" s="20"/>
      <c r="G82" s="20"/>
      <c r="H82" s="19">
        <v>1386.62</v>
      </c>
    </row>
    <row r="83" spans="1:8" x14ac:dyDescent="0.2">
      <c r="A83" s="17">
        <v>21</v>
      </c>
      <c r="B83" s="18" t="s">
        <v>64</v>
      </c>
      <c r="C83" s="18" t="s">
        <v>65</v>
      </c>
      <c r="D83" s="19">
        <f>D84+D85+D86+D87+D88+D89+D90+D91+D92+D93+D94+D95+D96+D97+D98</f>
        <v>1378.81</v>
      </c>
      <c r="E83" s="19">
        <f>E84+E85+E86+E87+E88+E89+E90+E91+E92+E93+E94+E95+E96+E97+E98</f>
        <v>438.93</v>
      </c>
      <c r="F83" s="19">
        <f>F84+F85+F86+F87+F88+F89+F90+F91+F92+F93+F94+F95+F96+F97+F98</f>
        <v>643.45000000000005</v>
      </c>
      <c r="G83" s="20"/>
      <c r="H83" s="19">
        <f>H84+H85+H86+H87+H88+H89+H90+H91+H92+H93+H94+H95+H96+H97+H98</f>
        <v>2461.19</v>
      </c>
    </row>
    <row r="84" spans="1:8" ht="25.5" x14ac:dyDescent="0.2">
      <c r="A84" s="17"/>
      <c r="B84" s="32" t="s">
        <v>232</v>
      </c>
      <c r="C84" s="32" t="s">
        <v>233</v>
      </c>
      <c r="D84" s="33">
        <v>1347.6</v>
      </c>
      <c r="E84" s="33">
        <v>8.4600000000000009</v>
      </c>
      <c r="F84" s="33">
        <v>55.95</v>
      </c>
      <c r="G84" s="34"/>
      <c r="H84" s="33">
        <f>G84+F84+E84+D84</f>
        <v>1412.01</v>
      </c>
    </row>
    <row r="85" spans="1:8" ht="38.25" x14ac:dyDescent="0.2">
      <c r="A85" s="17"/>
      <c r="B85" s="32" t="s">
        <v>234</v>
      </c>
      <c r="C85" s="32" t="s">
        <v>235</v>
      </c>
      <c r="D85" s="33"/>
      <c r="E85" s="33">
        <v>0.16</v>
      </c>
      <c r="F85" s="33">
        <v>0.04</v>
      </c>
      <c r="G85" s="34"/>
      <c r="H85" s="33">
        <f t="shared" ref="H85:H98" si="0">G85+F85+E85+D85</f>
        <v>0.2</v>
      </c>
    </row>
    <row r="86" spans="1:8" ht="38.25" x14ac:dyDescent="0.2">
      <c r="A86" s="17"/>
      <c r="B86" s="32" t="s">
        <v>236</v>
      </c>
      <c r="C86" s="32" t="s">
        <v>237</v>
      </c>
      <c r="D86" s="33">
        <v>0.32</v>
      </c>
      <c r="E86" s="33">
        <v>42.05</v>
      </c>
      <c r="F86" s="33">
        <v>136.34</v>
      </c>
      <c r="G86" s="34"/>
      <c r="H86" s="33">
        <f t="shared" si="0"/>
        <v>178.71</v>
      </c>
    </row>
    <row r="87" spans="1:8" ht="38.25" x14ac:dyDescent="0.2">
      <c r="A87" s="17"/>
      <c r="B87" s="32" t="s">
        <v>238</v>
      </c>
      <c r="C87" s="32" t="s">
        <v>239</v>
      </c>
      <c r="D87" s="33">
        <v>0.46</v>
      </c>
      <c r="E87" s="33">
        <v>4.5199999999999996</v>
      </c>
      <c r="F87" s="33">
        <v>7.73</v>
      </c>
      <c r="G87" s="34"/>
      <c r="H87" s="33">
        <f t="shared" si="0"/>
        <v>12.71</v>
      </c>
    </row>
    <row r="88" spans="1:8" ht="38.25" x14ac:dyDescent="0.2">
      <c r="A88" s="17"/>
      <c r="B88" s="32" t="s">
        <v>240</v>
      </c>
      <c r="C88" s="32" t="s">
        <v>241</v>
      </c>
      <c r="D88" s="33">
        <v>0.61</v>
      </c>
      <c r="E88" s="33">
        <v>6.78</v>
      </c>
      <c r="F88" s="33">
        <v>7.73</v>
      </c>
      <c r="G88" s="34"/>
      <c r="H88" s="33">
        <f t="shared" si="0"/>
        <v>15.12</v>
      </c>
    </row>
    <row r="89" spans="1:8" ht="25.5" x14ac:dyDescent="0.2">
      <c r="A89" s="17"/>
      <c r="B89" s="32" t="s">
        <v>242</v>
      </c>
      <c r="C89" s="32" t="s">
        <v>243</v>
      </c>
      <c r="D89" s="33">
        <v>11.62</v>
      </c>
      <c r="E89" s="33">
        <v>98.64</v>
      </c>
      <c r="F89" s="33">
        <v>85.09</v>
      </c>
      <c r="G89" s="34"/>
      <c r="H89" s="33">
        <f t="shared" si="0"/>
        <v>195.35</v>
      </c>
    </row>
    <row r="90" spans="1:8" ht="38.25" x14ac:dyDescent="0.2">
      <c r="A90" s="17"/>
      <c r="B90" s="32" t="s">
        <v>244</v>
      </c>
      <c r="C90" s="32" t="s">
        <v>245</v>
      </c>
      <c r="D90" s="33">
        <v>2.0499999999999998</v>
      </c>
      <c r="E90" s="33">
        <v>8.32</v>
      </c>
      <c r="F90" s="33">
        <v>37.11</v>
      </c>
      <c r="G90" s="34"/>
      <c r="H90" s="33">
        <f t="shared" si="0"/>
        <v>47.48</v>
      </c>
    </row>
    <row r="91" spans="1:8" ht="38.25" x14ac:dyDescent="0.2">
      <c r="A91" s="17"/>
      <c r="B91" s="32" t="s">
        <v>246</v>
      </c>
      <c r="C91" s="32" t="s">
        <v>247</v>
      </c>
      <c r="D91" s="33">
        <v>2.06</v>
      </c>
      <c r="E91" s="33">
        <v>10.34</v>
      </c>
      <c r="F91" s="33">
        <v>45.96</v>
      </c>
      <c r="G91" s="34"/>
      <c r="H91" s="33">
        <f t="shared" si="0"/>
        <v>58.36</v>
      </c>
    </row>
    <row r="92" spans="1:8" ht="25.5" x14ac:dyDescent="0.2">
      <c r="A92" s="17"/>
      <c r="B92" s="32" t="s">
        <v>248</v>
      </c>
      <c r="C92" s="32" t="s">
        <v>249</v>
      </c>
      <c r="D92" s="33">
        <v>2.61</v>
      </c>
      <c r="E92" s="33">
        <v>17.420000000000002</v>
      </c>
      <c r="F92" s="33">
        <v>30.42</v>
      </c>
      <c r="G92" s="34"/>
      <c r="H92" s="33">
        <f t="shared" si="0"/>
        <v>50.45</v>
      </c>
    </row>
    <row r="93" spans="1:8" ht="38.25" x14ac:dyDescent="0.2">
      <c r="A93" s="17"/>
      <c r="B93" s="32" t="s">
        <v>250</v>
      </c>
      <c r="C93" s="32" t="s">
        <v>251</v>
      </c>
      <c r="D93" s="33">
        <v>2.12</v>
      </c>
      <c r="E93" s="33">
        <v>11.31</v>
      </c>
      <c r="F93" s="33">
        <v>45.96</v>
      </c>
      <c r="G93" s="34"/>
      <c r="H93" s="33">
        <f t="shared" si="0"/>
        <v>59.39</v>
      </c>
    </row>
    <row r="94" spans="1:8" ht="38.25" x14ac:dyDescent="0.2">
      <c r="A94" s="17"/>
      <c r="B94" s="32" t="s">
        <v>252</v>
      </c>
      <c r="C94" s="32" t="s">
        <v>253</v>
      </c>
      <c r="D94" s="33">
        <v>2.06</v>
      </c>
      <c r="E94" s="33">
        <v>8.9</v>
      </c>
      <c r="F94" s="33">
        <v>41.03</v>
      </c>
      <c r="G94" s="34"/>
      <c r="H94" s="33">
        <f t="shared" si="0"/>
        <v>51.99</v>
      </c>
    </row>
    <row r="95" spans="1:8" ht="38.25" x14ac:dyDescent="0.2">
      <c r="A95" s="17"/>
      <c r="B95" s="32" t="s">
        <v>254</v>
      </c>
      <c r="C95" s="32" t="s">
        <v>255</v>
      </c>
      <c r="D95" s="33">
        <v>2.0499999999999998</v>
      </c>
      <c r="E95" s="33">
        <v>8.5299999999999994</v>
      </c>
      <c r="F95" s="33">
        <v>37.17</v>
      </c>
      <c r="G95" s="34"/>
      <c r="H95" s="33">
        <f t="shared" si="0"/>
        <v>47.75</v>
      </c>
    </row>
    <row r="96" spans="1:8" ht="38.25" x14ac:dyDescent="0.2">
      <c r="A96" s="17"/>
      <c r="B96" s="32" t="s">
        <v>256</v>
      </c>
      <c r="C96" s="32" t="s">
        <v>257</v>
      </c>
      <c r="D96" s="33">
        <v>2.06</v>
      </c>
      <c r="E96" s="33">
        <v>8.9</v>
      </c>
      <c r="F96" s="33">
        <v>41.03</v>
      </c>
      <c r="G96" s="34"/>
      <c r="H96" s="33">
        <f t="shared" si="0"/>
        <v>51.99</v>
      </c>
    </row>
    <row r="97" spans="1:8" ht="38.25" x14ac:dyDescent="0.2">
      <c r="A97" s="17"/>
      <c r="B97" s="32" t="s">
        <v>258</v>
      </c>
      <c r="C97" s="32" t="s">
        <v>259</v>
      </c>
      <c r="D97" s="33">
        <v>2.04</v>
      </c>
      <c r="E97" s="33">
        <v>8.0500000000000007</v>
      </c>
      <c r="F97" s="33">
        <v>37.17</v>
      </c>
      <c r="G97" s="34"/>
      <c r="H97" s="33">
        <f t="shared" si="0"/>
        <v>47.26</v>
      </c>
    </row>
    <row r="98" spans="1:8" ht="25.5" x14ac:dyDescent="0.2">
      <c r="A98" s="17"/>
      <c r="B98" s="32" t="s">
        <v>260</v>
      </c>
      <c r="C98" s="32" t="s">
        <v>261</v>
      </c>
      <c r="D98" s="33">
        <v>1.1499999999999999</v>
      </c>
      <c r="E98" s="33">
        <v>196.55</v>
      </c>
      <c r="F98" s="33">
        <v>34.72</v>
      </c>
      <c r="G98" s="34"/>
      <c r="H98" s="33">
        <f t="shared" si="0"/>
        <v>232.42</v>
      </c>
    </row>
    <row r="99" spans="1:8" ht="27.95" customHeight="1" x14ac:dyDescent="0.2">
      <c r="A99" s="35"/>
      <c r="B99" s="289" t="s">
        <v>66</v>
      </c>
      <c r="C99" s="290"/>
      <c r="D99" s="30">
        <f>D82+D83</f>
        <v>1445.28</v>
      </c>
      <c r="E99" s="30">
        <f>E82+E83</f>
        <v>1759.08</v>
      </c>
      <c r="F99" s="30">
        <f>F82+F83</f>
        <v>643.45000000000005</v>
      </c>
      <c r="G99" s="31"/>
      <c r="H99" s="30">
        <f>H82+H83</f>
        <v>3847.81</v>
      </c>
    </row>
    <row r="100" spans="1:8" x14ac:dyDescent="0.2">
      <c r="A100" s="287" t="s">
        <v>67</v>
      </c>
      <c r="B100" s="288"/>
      <c r="C100" s="288"/>
      <c r="D100" s="288"/>
      <c r="E100" s="288"/>
      <c r="F100" s="288"/>
      <c r="G100" s="288"/>
      <c r="H100" s="288"/>
    </row>
    <row r="101" spans="1:8" x14ac:dyDescent="0.2">
      <c r="A101" s="17">
        <v>22</v>
      </c>
      <c r="B101" s="18" t="s">
        <v>68</v>
      </c>
      <c r="C101" s="18" t="s">
        <v>69</v>
      </c>
      <c r="D101" s="19">
        <f>D102+D103</f>
        <v>1670.74</v>
      </c>
      <c r="E101" s="19">
        <f>E102+E103</f>
        <v>8.6999999999999993</v>
      </c>
      <c r="F101" s="20"/>
      <c r="G101" s="20"/>
      <c r="H101" s="19">
        <f>H102+H103</f>
        <v>1679.44</v>
      </c>
    </row>
    <row r="102" spans="1:8" x14ac:dyDescent="0.2">
      <c r="A102" s="17"/>
      <c r="B102" s="32" t="s">
        <v>262</v>
      </c>
      <c r="C102" s="32" t="s">
        <v>197</v>
      </c>
      <c r="D102" s="33">
        <v>18.75</v>
      </c>
      <c r="E102" s="33"/>
      <c r="F102" s="34"/>
      <c r="G102" s="34"/>
      <c r="H102" s="33">
        <f t="shared" ref="H102:H107" si="1">G102+F102+E102+D102</f>
        <v>18.75</v>
      </c>
    </row>
    <row r="103" spans="1:8" x14ac:dyDescent="0.2">
      <c r="A103" s="17"/>
      <c r="B103" s="32" t="s">
        <v>263</v>
      </c>
      <c r="C103" s="32" t="s">
        <v>264</v>
      </c>
      <c r="D103" s="33">
        <v>1651.99</v>
      </c>
      <c r="E103" s="33">
        <v>8.6999999999999993</v>
      </c>
      <c r="F103" s="34"/>
      <c r="G103" s="34"/>
      <c r="H103" s="33">
        <f t="shared" si="1"/>
        <v>1660.69</v>
      </c>
    </row>
    <row r="104" spans="1:8" x14ac:dyDescent="0.2">
      <c r="A104" s="17">
        <v>23</v>
      </c>
      <c r="B104" s="18" t="s">
        <v>70</v>
      </c>
      <c r="C104" s="18" t="s">
        <v>71</v>
      </c>
      <c r="D104" s="37">
        <f>D105+D106+D107</f>
        <v>101</v>
      </c>
      <c r="E104" s="37">
        <f>E105+E106+E107</f>
        <v>5.7</v>
      </c>
      <c r="F104" s="19">
        <f>F105+F106+F107</f>
        <v>2394.85</v>
      </c>
      <c r="G104" s="20"/>
      <c r="H104" s="37">
        <f t="shared" si="1"/>
        <v>2501.5500000000002</v>
      </c>
    </row>
    <row r="105" spans="1:8" x14ac:dyDescent="0.2">
      <c r="A105" s="17"/>
      <c r="B105" s="32" t="s">
        <v>265</v>
      </c>
      <c r="C105" s="32" t="s">
        <v>197</v>
      </c>
      <c r="D105" s="33">
        <v>100.88</v>
      </c>
      <c r="E105" s="33"/>
      <c r="F105" s="33"/>
      <c r="G105" s="34"/>
      <c r="H105" s="33">
        <f t="shared" si="1"/>
        <v>100.88</v>
      </c>
    </row>
    <row r="106" spans="1:8" x14ac:dyDescent="0.2">
      <c r="A106" s="17"/>
      <c r="B106" s="32" t="s">
        <v>266</v>
      </c>
      <c r="C106" s="32" t="s">
        <v>267</v>
      </c>
      <c r="D106" s="33">
        <v>0.02</v>
      </c>
      <c r="E106" s="33">
        <v>5.03</v>
      </c>
      <c r="F106" s="33">
        <v>2243.11</v>
      </c>
      <c r="G106" s="34"/>
      <c r="H106" s="33">
        <f t="shared" si="1"/>
        <v>2248.16</v>
      </c>
    </row>
    <row r="107" spans="1:8" ht="40.15" customHeight="1" x14ac:dyDescent="0.2">
      <c r="A107" s="17"/>
      <c r="B107" s="32" t="s">
        <v>268</v>
      </c>
      <c r="C107" s="32" t="s">
        <v>269</v>
      </c>
      <c r="D107" s="36">
        <v>0.1</v>
      </c>
      <c r="E107" s="33">
        <v>0.67</v>
      </c>
      <c r="F107" s="33">
        <v>151.74</v>
      </c>
      <c r="G107" s="34"/>
      <c r="H107" s="33">
        <f t="shared" si="1"/>
        <v>152.51</v>
      </c>
    </row>
    <row r="108" spans="1:8" x14ac:dyDescent="0.2">
      <c r="A108" s="17">
        <v>24</v>
      </c>
      <c r="B108" s="18" t="s">
        <v>72</v>
      </c>
      <c r="C108" s="18" t="s">
        <v>73</v>
      </c>
      <c r="D108" s="19">
        <v>4311.2</v>
      </c>
      <c r="E108" s="20"/>
      <c r="F108" s="20"/>
      <c r="G108" s="20"/>
      <c r="H108" s="19">
        <v>4311.2</v>
      </c>
    </row>
    <row r="109" spans="1:8" x14ac:dyDescent="0.2">
      <c r="A109" s="17">
        <v>25</v>
      </c>
      <c r="B109" s="18" t="s">
        <v>74</v>
      </c>
      <c r="C109" s="18" t="s">
        <v>75</v>
      </c>
      <c r="D109" s="19">
        <f>D110+D111</f>
        <v>51.56</v>
      </c>
      <c r="E109" s="19">
        <f>E110+E111</f>
        <v>9.9499999999999993</v>
      </c>
      <c r="F109" s="19">
        <f>F110+F111</f>
        <v>1993.3</v>
      </c>
      <c r="G109" s="20"/>
      <c r="H109" s="19">
        <f>H110+H111</f>
        <v>2054.81</v>
      </c>
    </row>
    <row r="110" spans="1:8" ht="23.45" customHeight="1" x14ac:dyDescent="0.2">
      <c r="A110" s="17"/>
      <c r="B110" s="32" t="s">
        <v>270</v>
      </c>
      <c r="C110" s="32" t="s">
        <v>197</v>
      </c>
      <c r="D110" s="33">
        <v>51.54</v>
      </c>
      <c r="E110" s="33"/>
      <c r="F110" s="33"/>
      <c r="G110" s="34"/>
      <c r="H110" s="33">
        <f>G110+F110+E110+D110</f>
        <v>51.54</v>
      </c>
    </row>
    <row r="111" spans="1:8" ht="21.6" customHeight="1" x14ac:dyDescent="0.2">
      <c r="A111" s="17"/>
      <c r="B111" s="32" t="s">
        <v>271</v>
      </c>
      <c r="C111" s="32" t="s">
        <v>272</v>
      </c>
      <c r="D111" s="33">
        <v>0.02</v>
      </c>
      <c r="E111" s="33">
        <v>9.9499999999999993</v>
      </c>
      <c r="F111" s="33">
        <v>1993.3</v>
      </c>
      <c r="G111" s="34"/>
      <c r="H111" s="33">
        <f>G111+F111+E111+D111</f>
        <v>2003.27</v>
      </c>
    </row>
    <row r="112" spans="1:8" x14ac:dyDescent="0.2">
      <c r="A112" s="17">
        <v>26</v>
      </c>
      <c r="B112" s="18" t="s">
        <v>76</v>
      </c>
      <c r="C112" s="18" t="s">
        <v>77</v>
      </c>
      <c r="D112" s="19">
        <f>D113+D114</f>
        <v>1043.6600000000001</v>
      </c>
      <c r="E112" s="20"/>
      <c r="F112" s="19">
        <f>F113+F114</f>
        <v>14.92</v>
      </c>
      <c r="G112" s="20"/>
      <c r="H112" s="19">
        <f>H113+H114</f>
        <v>1058.58</v>
      </c>
    </row>
    <row r="113" spans="1:8" ht="21" customHeight="1" x14ac:dyDescent="0.2">
      <c r="A113" s="17"/>
      <c r="B113" s="32" t="s">
        <v>273</v>
      </c>
      <c r="C113" s="32" t="s">
        <v>274</v>
      </c>
      <c r="D113" s="33">
        <v>138.69</v>
      </c>
      <c r="E113" s="34"/>
      <c r="F113" s="33"/>
      <c r="G113" s="34"/>
      <c r="H113" s="33">
        <v>138.69</v>
      </c>
    </row>
    <row r="114" spans="1:8" ht="20.45" customHeight="1" x14ac:dyDescent="0.2">
      <c r="A114" s="17"/>
      <c r="B114" s="32" t="s">
        <v>275</v>
      </c>
      <c r="C114" s="32" t="s">
        <v>276</v>
      </c>
      <c r="D114" s="33">
        <v>904.97</v>
      </c>
      <c r="E114" s="34"/>
      <c r="F114" s="33">
        <v>14.92</v>
      </c>
      <c r="G114" s="34"/>
      <c r="H114" s="33">
        <v>919.89</v>
      </c>
    </row>
    <row r="115" spans="1:8" x14ac:dyDescent="0.2">
      <c r="A115" s="17">
        <v>27</v>
      </c>
      <c r="B115" s="18" t="s">
        <v>78</v>
      </c>
      <c r="C115" s="18" t="s">
        <v>79</v>
      </c>
      <c r="D115" s="19">
        <f>D116+D117</f>
        <v>1043.6600000000001</v>
      </c>
      <c r="E115" s="20"/>
      <c r="F115" s="19">
        <f>F117</f>
        <v>14.92</v>
      </c>
      <c r="G115" s="20"/>
      <c r="H115" s="19">
        <f>H116+H117</f>
        <v>1058.58</v>
      </c>
    </row>
    <row r="116" spans="1:8" ht="22.15" customHeight="1" x14ac:dyDescent="0.2">
      <c r="A116" s="17"/>
      <c r="B116" s="32" t="s">
        <v>277</v>
      </c>
      <c r="C116" s="32" t="s">
        <v>278</v>
      </c>
      <c r="D116" s="33">
        <v>138.69</v>
      </c>
      <c r="E116" s="34"/>
      <c r="F116" s="33"/>
      <c r="G116" s="34"/>
      <c r="H116" s="33">
        <f>G116+F116+E116+D116</f>
        <v>138.69</v>
      </c>
    </row>
    <row r="117" spans="1:8" ht="19.899999999999999" customHeight="1" x14ac:dyDescent="0.2">
      <c r="A117" s="17"/>
      <c r="B117" s="32" t="s">
        <v>279</v>
      </c>
      <c r="C117" s="32" t="s">
        <v>280</v>
      </c>
      <c r="D117" s="33">
        <v>904.97</v>
      </c>
      <c r="E117" s="34"/>
      <c r="F117" s="33">
        <v>14.92</v>
      </c>
      <c r="G117" s="34"/>
      <c r="H117" s="33">
        <f>G117+F117+E117+D117</f>
        <v>919.89</v>
      </c>
    </row>
    <row r="118" spans="1:8" x14ac:dyDescent="0.2">
      <c r="A118" s="17">
        <v>28</v>
      </c>
      <c r="B118" s="18" t="s">
        <v>80</v>
      </c>
      <c r="C118" s="18" t="s">
        <v>81</v>
      </c>
      <c r="D118" s="19">
        <f>D119+D120</f>
        <v>138.19</v>
      </c>
      <c r="E118" s="19">
        <f>E120</f>
        <v>5.03</v>
      </c>
      <c r="F118" s="19">
        <f>F120</f>
        <v>626.38</v>
      </c>
      <c r="G118" s="20"/>
      <c r="H118" s="19">
        <f>H119+H120</f>
        <v>769.6</v>
      </c>
    </row>
    <row r="119" spans="1:8" ht="23.45" customHeight="1" x14ac:dyDescent="0.2">
      <c r="A119" s="17"/>
      <c r="B119" s="32" t="s">
        <v>281</v>
      </c>
      <c r="C119" s="32" t="s">
        <v>282</v>
      </c>
      <c r="D119" s="33">
        <v>131.9</v>
      </c>
      <c r="E119" s="33"/>
      <c r="F119" s="33"/>
      <c r="G119" s="34"/>
      <c r="H119" s="33">
        <f>D119</f>
        <v>131.9</v>
      </c>
    </row>
    <row r="120" spans="1:8" ht="19.899999999999999" customHeight="1" x14ac:dyDescent="0.2">
      <c r="A120" s="17"/>
      <c r="B120" s="32" t="s">
        <v>283</v>
      </c>
      <c r="C120" s="32" t="s">
        <v>284</v>
      </c>
      <c r="D120" s="33">
        <v>6.29</v>
      </c>
      <c r="E120" s="33">
        <v>5.03</v>
      </c>
      <c r="F120" s="33">
        <v>626.38</v>
      </c>
      <c r="G120" s="34"/>
      <c r="H120" s="33">
        <f>F120+E120+D120</f>
        <v>637.70000000000005</v>
      </c>
    </row>
    <row r="121" spans="1:8" x14ac:dyDescent="0.2">
      <c r="A121" s="17">
        <v>29</v>
      </c>
      <c r="B121" s="18" t="s">
        <v>82</v>
      </c>
      <c r="C121" s="18" t="s">
        <v>83</v>
      </c>
      <c r="D121" s="19">
        <v>4572.75</v>
      </c>
      <c r="E121" s="19">
        <v>8.74</v>
      </c>
      <c r="F121" s="19">
        <v>587.35</v>
      </c>
      <c r="G121" s="20"/>
      <c r="H121" s="19">
        <v>5168.84</v>
      </c>
    </row>
    <row r="122" spans="1:8" x14ac:dyDescent="0.2">
      <c r="A122" s="17">
        <v>30</v>
      </c>
      <c r="B122" s="18" t="s">
        <v>84</v>
      </c>
      <c r="C122" s="18" t="s">
        <v>85</v>
      </c>
      <c r="D122" s="19">
        <v>4339.22</v>
      </c>
      <c r="E122" s="20"/>
      <c r="F122" s="20"/>
      <c r="G122" s="20"/>
      <c r="H122" s="19">
        <v>4339.22</v>
      </c>
    </row>
    <row r="123" spans="1:8" x14ac:dyDescent="0.2">
      <c r="A123" s="17">
        <v>31</v>
      </c>
      <c r="B123" s="18" t="s">
        <v>86</v>
      </c>
      <c r="C123" s="18" t="s">
        <v>87</v>
      </c>
      <c r="D123" s="19">
        <v>1512.67</v>
      </c>
      <c r="E123" s="19">
        <v>8.36</v>
      </c>
      <c r="F123" s="19">
        <v>116.76</v>
      </c>
      <c r="G123" s="20"/>
      <c r="H123" s="19">
        <v>1637.79</v>
      </c>
    </row>
    <row r="124" spans="1:8" ht="27.95" customHeight="1" x14ac:dyDescent="0.2">
      <c r="A124" s="35"/>
      <c r="B124" s="289" t="s">
        <v>88</v>
      </c>
      <c r="C124" s="290"/>
      <c r="D124" s="38">
        <f>D101+D104+D108+D109+D112+D115+D118+D121+D122+D123</f>
        <v>18784.650000000001</v>
      </c>
      <c r="E124" s="38">
        <f>E101+E104+E108+E109+E112+E115+E118+E121+E122+E123</f>
        <v>46.48</v>
      </c>
      <c r="F124" s="38">
        <f>F101+F104+F108+F109+F112+F115+F118+F121+F122+F123</f>
        <v>5748.48</v>
      </c>
      <c r="G124" s="31"/>
      <c r="H124" s="38">
        <f>H101+H104+H108+H109+H112+H115+H118+H121+H122+H123</f>
        <v>24579.61</v>
      </c>
    </row>
    <row r="125" spans="1:8" x14ac:dyDescent="0.2">
      <c r="A125" s="287" t="s">
        <v>89</v>
      </c>
      <c r="B125" s="288"/>
      <c r="C125" s="288"/>
      <c r="D125" s="288"/>
      <c r="E125" s="288"/>
      <c r="F125" s="288"/>
      <c r="G125" s="288"/>
      <c r="H125" s="288"/>
    </row>
    <row r="126" spans="1:8" x14ac:dyDescent="0.2">
      <c r="A126" s="17">
        <v>32</v>
      </c>
      <c r="B126" s="18" t="s">
        <v>90</v>
      </c>
      <c r="C126" s="18" t="s">
        <v>91</v>
      </c>
      <c r="D126" s="19">
        <v>260.93</v>
      </c>
      <c r="E126" s="19">
        <v>483.93</v>
      </c>
      <c r="F126" s="19">
        <v>64.38</v>
      </c>
      <c r="G126" s="20"/>
      <c r="H126" s="19">
        <v>809.24</v>
      </c>
    </row>
    <row r="127" spans="1:8" x14ac:dyDescent="0.2">
      <c r="A127" s="17">
        <v>33</v>
      </c>
      <c r="B127" s="18" t="s">
        <v>92</v>
      </c>
      <c r="C127" s="18" t="s">
        <v>93</v>
      </c>
      <c r="D127" s="19">
        <v>1146.3</v>
      </c>
      <c r="E127" s="20"/>
      <c r="F127" s="20"/>
      <c r="G127" s="20"/>
      <c r="H127" s="19">
        <v>1146.3</v>
      </c>
    </row>
    <row r="128" spans="1:8" ht="25.5" x14ac:dyDescent="0.2">
      <c r="A128" s="17">
        <v>34</v>
      </c>
      <c r="B128" s="18" t="s">
        <v>94</v>
      </c>
      <c r="C128" s="18" t="s">
        <v>95</v>
      </c>
      <c r="D128" s="19">
        <v>123.23</v>
      </c>
      <c r="E128" s="20"/>
      <c r="F128" s="20"/>
      <c r="G128" s="20"/>
      <c r="H128" s="19">
        <v>123.23</v>
      </c>
    </row>
    <row r="129" spans="1:8" ht="27.95" customHeight="1" x14ac:dyDescent="0.2">
      <c r="A129" s="35"/>
      <c r="B129" s="289" t="s">
        <v>96</v>
      </c>
      <c r="C129" s="290"/>
      <c r="D129" s="30">
        <f>D126+D127+D128</f>
        <v>1530.46</v>
      </c>
      <c r="E129" s="30">
        <f>E126+E127+E128</f>
        <v>483.93</v>
      </c>
      <c r="F129" s="30">
        <f>F126+F127+F128</f>
        <v>64.38</v>
      </c>
      <c r="G129" s="31"/>
      <c r="H129" s="30">
        <f>H126+H127+H128</f>
        <v>2078.77</v>
      </c>
    </row>
    <row r="130" spans="1:8" x14ac:dyDescent="0.2">
      <c r="A130" s="35"/>
      <c r="B130" s="289" t="s">
        <v>97</v>
      </c>
      <c r="C130" s="290"/>
      <c r="D130" s="38">
        <f>D36+D45+D80+D99+D124+D129</f>
        <v>51084.27</v>
      </c>
      <c r="E130" s="38">
        <f>E36+E45+E80+E99+E124+E129</f>
        <v>4296.29</v>
      </c>
      <c r="F130" s="38">
        <f>F36+F45+F80+F99+F124+F129</f>
        <v>43822.89</v>
      </c>
      <c r="G130" s="38">
        <f>G36+G45+G80+G99+G124+G129</f>
        <v>187.54</v>
      </c>
      <c r="H130" s="38">
        <f>H36+H45+H80+H99+H124+H129</f>
        <v>99390.99</v>
      </c>
    </row>
    <row r="131" spans="1:8" x14ac:dyDescent="0.2">
      <c r="A131" s="287" t="s">
        <v>98</v>
      </c>
      <c r="B131" s="288"/>
      <c r="C131" s="288"/>
      <c r="D131" s="288"/>
      <c r="E131" s="288"/>
      <c r="F131" s="288"/>
      <c r="G131" s="288"/>
      <c r="H131" s="288"/>
    </row>
    <row r="132" spans="1:8" ht="38.25" x14ac:dyDescent="0.2">
      <c r="A132" s="17">
        <v>35</v>
      </c>
      <c r="B132" s="18" t="s">
        <v>99</v>
      </c>
      <c r="C132" s="18" t="s">
        <v>100</v>
      </c>
      <c r="D132" s="37">
        <f>D130*0.023</f>
        <v>1174.94</v>
      </c>
      <c r="E132" s="37">
        <f>E130*0.023</f>
        <v>98.81</v>
      </c>
      <c r="F132" s="20"/>
      <c r="G132" s="20"/>
      <c r="H132" s="37">
        <f>E132+D132</f>
        <v>1273.75</v>
      </c>
    </row>
    <row r="133" spans="1:8" x14ac:dyDescent="0.2">
      <c r="A133" s="21">
        <v>36</v>
      </c>
      <c r="B133" s="22"/>
      <c r="C133" s="23" t="s">
        <v>101</v>
      </c>
      <c r="D133" s="24">
        <v>176.24</v>
      </c>
      <c r="E133" s="24">
        <v>14.82</v>
      </c>
      <c r="F133" s="20"/>
      <c r="G133" s="20"/>
      <c r="H133" s="24">
        <v>191.06</v>
      </c>
    </row>
    <row r="134" spans="1:8" x14ac:dyDescent="0.2">
      <c r="A134" s="35"/>
      <c r="B134" s="289" t="s">
        <v>102</v>
      </c>
      <c r="C134" s="290"/>
      <c r="D134" s="38">
        <f>D132</f>
        <v>1174.94</v>
      </c>
      <c r="E134" s="38">
        <f>E132</f>
        <v>98.81</v>
      </c>
      <c r="F134" s="31"/>
      <c r="G134" s="31"/>
      <c r="H134" s="38">
        <f>H132</f>
        <v>1273.75</v>
      </c>
    </row>
    <row r="135" spans="1:8" x14ac:dyDescent="0.2">
      <c r="A135" s="35"/>
      <c r="B135" s="289" t="s">
        <v>103</v>
      </c>
      <c r="C135" s="290"/>
      <c r="D135" s="38">
        <f>D130+D134</f>
        <v>52259.21</v>
      </c>
      <c r="E135" s="38">
        <f>E130+E134</f>
        <v>4395.1000000000004</v>
      </c>
      <c r="F135" s="38">
        <f>F130+F134</f>
        <v>43822.89</v>
      </c>
      <c r="G135" s="38">
        <f>G130+G134</f>
        <v>187.54</v>
      </c>
      <c r="H135" s="38">
        <f>H130+H134</f>
        <v>100664.74</v>
      </c>
    </row>
    <row r="136" spans="1:8" x14ac:dyDescent="0.2">
      <c r="A136" s="287" t="s">
        <v>104</v>
      </c>
      <c r="B136" s="288"/>
      <c r="C136" s="288"/>
      <c r="D136" s="288"/>
      <c r="E136" s="288"/>
      <c r="F136" s="288"/>
      <c r="G136" s="288"/>
      <c r="H136" s="288"/>
    </row>
    <row r="137" spans="1:8" ht="63.75" x14ac:dyDescent="0.2">
      <c r="A137" s="17">
        <v>37</v>
      </c>
      <c r="B137" s="18" t="s">
        <v>105</v>
      </c>
      <c r="C137" s="18" t="s">
        <v>106</v>
      </c>
      <c r="D137" s="37">
        <f>D135*0.0055</f>
        <v>287.43</v>
      </c>
      <c r="E137" s="37">
        <f>E135*0.0055</f>
        <v>24.17</v>
      </c>
      <c r="F137" s="20"/>
      <c r="G137" s="20"/>
      <c r="H137" s="37">
        <f>G137+F137+E137+D137</f>
        <v>311.60000000000002</v>
      </c>
    </row>
    <row r="138" spans="1:8" x14ac:dyDescent="0.2">
      <c r="A138" s="17">
        <v>38</v>
      </c>
      <c r="B138" s="18" t="s">
        <v>107</v>
      </c>
      <c r="C138" s="18" t="s">
        <v>108</v>
      </c>
      <c r="D138" s="20"/>
      <c r="E138" s="20"/>
      <c r="F138" s="20"/>
      <c r="G138" s="37">
        <f>G139+G140+G141+G142+G143+G144+G145+G146+G147</f>
        <v>418.08</v>
      </c>
      <c r="H138" s="37">
        <f>H139+H140+H141+H142+H143+H144+H145+H146+H147</f>
        <v>418.08</v>
      </c>
    </row>
    <row r="139" spans="1:8" ht="38.25" x14ac:dyDescent="0.2">
      <c r="A139" s="17"/>
      <c r="B139" s="32" t="s">
        <v>285</v>
      </c>
      <c r="C139" s="32" t="s">
        <v>286</v>
      </c>
      <c r="D139" s="34"/>
      <c r="E139" s="34"/>
      <c r="F139" s="34"/>
      <c r="G139" s="33">
        <f>73.18-0.02</f>
        <v>73.16</v>
      </c>
      <c r="H139" s="33">
        <f t="shared" ref="H139:H147" si="2">G139</f>
        <v>73.16</v>
      </c>
    </row>
    <row r="140" spans="1:8" ht="38.25" x14ac:dyDescent="0.2">
      <c r="A140" s="17"/>
      <c r="B140" s="32" t="s">
        <v>287</v>
      </c>
      <c r="C140" s="32" t="s">
        <v>288</v>
      </c>
      <c r="D140" s="34"/>
      <c r="E140" s="34"/>
      <c r="F140" s="34"/>
      <c r="G140" s="33">
        <v>78.819999999999993</v>
      </c>
      <c r="H140" s="33">
        <f t="shared" si="2"/>
        <v>78.819999999999993</v>
      </c>
    </row>
    <row r="141" spans="1:8" ht="25.5" x14ac:dyDescent="0.2">
      <c r="A141" s="17"/>
      <c r="B141" s="32" t="s">
        <v>289</v>
      </c>
      <c r="C141" s="32" t="s">
        <v>290</v>
      </c>
      <c r="D141" s="34"/>
      <c r="E141" s="34"/>
      <c r="F141" s="34"/>
      <c r="G141" s="33">
        <v>42.84</v>
      </c>
      <c r="H141" s="33">
        <f t="shared" si="2"/>
        <v>42.84</v>
      </c>
    </row>
    <row r="142" spans="1:8" ht="25.5" x14ac:dyDescent="0.2">
      <c r="A142" s="17"/>
      <c r="B142" s="32" t="s">
        <v>291</v>
      </c>
      <c r="C142" s="32" t="s">
        <v>292</v>
      </c>
      <c r="D142" s="34"/>
      <c r="E142" s="34"/>
      <c r="F142" s="34"/>
      <c r="G142" s="33">
        <v>36.99</v>
      </c>
      <c r="H142" s="33">
        <f t="shared" si="2"/>
        <v>36.99</v>
      </c>
    </row>
    <row r="143" spans="1:8" ht="25.5" x14ac:dyDescent="0.2">
      <c r="A143" s="17"/>
      <c r="B143" s="32" t="s">
        <v>293</v>
      </c>
      <c r="C143" s="32" t="s">
        <v>294</v>
      </c>
      <c r="D143" s="34"/>
      <c r="E143" s="34"/>
      <c r="F143" s="34"/>
      <c r="G143" s="33">
        <v>36.49</v>
      </c>
      <c r="H143" s="33">
        <f t="shared" si="2"/>
        <v>36.49</v>
      </c>
    </row>
    <row r="144" spans="1:8" ht="25.5" x14ac:dyDescent="0.2">
      <c r="A144" s="17"/>
      <c r="B144" s="32" t="s">
        <v>295</v>
      </c>
      <c r="C144" s="32" t="s">
        <v>296</v>
      </c>
      <c r="D144" s="34"/>
      <c r="E144" s="34"/>
      <c r="F144" s="34"/>
      <c r="G144" s="33">
        <v>41.33</v>
      </c>
      <c r="H144" s="33">
        <f t="shared" si="2"/>
        <v>41.33</v>
      </c>
    </row>
    <row r="145" spans="1:8" ht="25.5" x14ac:dyDescent="0.2">
      <c r="A145" s="17"/>
      <c r="B145" s="32" t="s">
        <v>297</v>
      </c>
      <c r="C145" s="32" t="s">
        <v>298</v>
      </c>
      <c r="D145" s="34"/>
      <c r="E145" s="34"/>
      <c r="F145" s="34"/>
      <c r="G145" s="33">
        <v>40.22</v>
      </c>
      <c r="H145" s="33">
        <f t="shared" si="2"/>
        <v>40.22</v>
      </c>
    </row>
    <row r="146" spans="1:8" ht="38.25" x14ac:dyDescent="0.2">
      <c r="A146" s="17"/>
      <c r="B146" s="32" t="s">
        <v>299</v>
      </c>
      <c r="C146" s="32" t="s">
        <v>300</v>
      </c>
      <c r="D146" s="34"/>
      <c r="E146" s="34"/>
      <c r="F146" s="34"/>
      <c r="G146" s="33">
        <v>44.89</v>
      </c>
      <c r="H146" s="33">
        <f t="shared" si="2"/>
        <v>44.89</v>
      </c>
    </row>
    <row r="147" spans="1:8" x14ac:dyDescent="0.2">
      <c r="A147" s="17"/>
      <c r="B147" s="32" t="s">
        <v>301</v>
      </c>
      <c r="C147" s="32" t="s">
        <v>302</v>
      </c>
      <c r="D147" s="34"/>
      <c r="E147" s="34"/>
      <c r="F147" s="34"/>
      <c r="G147" s="33">
        <v>23.34</v>
      </c>
      <c r="H147" s="33">
        <f t="shared" si="2"/>
        <v>23.34</v>
      </c>
    </row>
    <row r="148" spans="1:8" ht="38.25" x14ac:dyDescent="0.2">
      <c r="A148" s="17">
        <v>39</v>
      </c>
      <c r="B148" s="18" t="s">
        <v>109</v>
      </c>
      <c r="C148" s="18" t="s">
        <v>110</v>
      </c>
      <c r="D148" s="20"/>
      <c r="E148" s="20"/>
      <c r="F148" s="20"/>
      <c r="G148" s="19">
        <v>2619.23</v>
      </c>
      <c r="H148" s="19">
        <v>2619.23</v>
      </c>
    </row>
    <row r="149" spans="1:8" ht="38.25" x14ac:dyDescent="0.2">
      <c r="A149" s="17">
        <v>40</v>
      </c>
      <c r="B149" s="18" t="s">
        <v>111</v>
      </c>
      <c r="C149" s="18" t="s">
        <v>112</v>
      </c>
      <c r="D149" s="20"/>
      <c r="E149" s="20"/>
      <c r="F149" s="20"/>
      <c r="G149" s="19">
        <v>0.03</v>
      </c>
      <c r="H149" s="19">
        <v>0.03</v>
      </c>
    </row>
    <row r="150" spans="1:8" ht="25.5" x14ac:dyDescent="0.2">
      <c r="A150" s="17">
        <v>41</v>
      </c>
      <c r="B150" s="18" t="s">
        <v>113</v>
      </c>
      <c r="C150" s="18" t="s">
        <v>114</v>
      </c>
      <c r="D150" s="20"/>
      <c r="E150" s="20"/>
      <c r="F150" s="20"/>
      <c r="G150" s="19">
        <v>22.53</v>
      </c>
      <c r="H150" s="19">
        <v>22.53</v>
      </c>
    </row>
    <row r="151" spans="1:8" x14ac:dyDescent="0.2">
      <c r="A151" s="17">
        <v>42</v>
      </c>
      <c r="B151" s="18" t="s">
        <v>115</v>
      </c>
      <c r="C151" s="18" t="s">
        <v>116</v>
      </c>
      <c r="D151" s="20"/>
      <c r="E151" s="20"/>
      <c r="F151" s="20"/>
      <c r="G151" s="19">
        <v>67.48</v>
      </c>
      <c r="H151" s="19">
        <v>67.48</v>
      </c>
    </row>
    <row r="152" spans="1:8" ht="25.5" x14ac:dyDescent="0.2">
      <c r="A152" s="17">
        <v>43</v>
      </c>
      <c r="B152" s="18" t="s">
        <v>117</v>
      </c>
      <c r="C152" s="18" t="s">
        <v>118</v>
      </c>
      <c r="D152" s="20"/>
      <c r="E152" s="20"/>
      <c r="F152" s="20"/>
      <c r="G152" s="19">
        <v>53.5</v>
      </c>
      <c r="H152" s="19">
        <v>53.5</v>
      </c>
    </row>
    <row r="153" spans="1:8" x14ac:dyDescent="0.2">
      <c r="A153" s="35"/>
      <c r="B153" s="289" t="s">
        <v>119</v>
      </c>
      <c r="C153" s="290"/>
      <c r="D153" s="38">
        <f>D137</f>
        <v>287.43</v>
      </c>
      <c r="E153" s="38">
        <f>E137</f>
        <v>24.17</v>
      </c>
      <c r="F153" s="31"/>
      <c r="G153" s="38">
        <f>G138+G148+G149+G150+G151+G152</f>
        <v>3180.85</v>
      </c>
      <c r="H153" s="38">
        <f>H137+H138+H148+H149+H150+H151+H152</f>
        <v>3492.45</v>
      </c>
    </row>
    <row r="154" spans="1:8" x14ac:dyDescent="0.2">
      <c r="A154" s="35"/>
      <c r="B154" s="289" t="s">
        <v>120</v>
      </c>
      <c r="C154" s="290"/>
      <c r="D154" s="38">
        <f>D135+D153</f>
        <v>52546.64</v>
      </c>
      <c r="E154" s="38">
        <f>E135+E153</f>
        <v>4419.2700000000004</v>
      </c>
      <c r="F154" s="38">
        <f>F135+F153</f>
        <v>43822.89</v>
      </c>
      <c r="G154" s="38">
        <f>G135+G153</f>
        <v>3368.39</v>
      </c>
      <c r="H154" s="38">
        <f>H135+H153</f>
        <v>104157.19</v>
      </c>
    </row>
    <row r="155" spans="1:8" x14ac:dyDescent="0.2">
      <c r="A155" s="287" t="s">
        <v>121</v>
      </c>
      <c r="B155" s="288"/>
      <c r="C155" s="288"/>
      <c r="D155" s="288"/>
      <c r="E155" s="288"/>
      <c r="F155" s="288"/>
      <c r="G155" s="288"/>
      <c r="H155" s="288"/>
    </row>
    <row r="156" spans="1:8" ht="51" x14ac:dyDescent="0.2">
      <c r="A156" s="17">
        <v>44</v>
      </c>
      <c r="B156" s="18" t="s">
        <v>122</v>
      </c>
      <c r="C156" s="18" t="s">
        <v>123</v>
      </c>
      <c r="D156" s="20"/>
      <c r="E156" s="20"/>
      <c r="F156" s="20"/>
      <c r="G156" s="19"/>
      <c r="H156" s="19"/>
    </row>
    <row r="157" spans="1:8" ht="27.95" customHeight="1" x14ac:dyDescent="0.2">
      <c r="A157" s="25"/>
      <c r="B157" s="291" t="s">
        <v>124</v>
      </c>
      <c r="C157" s="292"/>
      <c r="D157" s="20"/>
      <c r="E157" s="20"/>
      <c r="F157" s="20"/>
      <c r="G157" s="19"/>
      <c r="H157" s="19"/>
    </row>
    <row r="158" spans="1:8" x14ac:dyDescent="0.2">
      <c r="A158" s="287" t="s">
        <v>125</v>
      </c>
      <c r="B158" s="288"/>
      <c r="C158" s="288"/>
      <c r="D158" s="288"/>
      <c r="E158" s="288"/>
      <c r="F158" s="288"/>
      <c r="G158" s="288"/>
      <c r="H158" s="288"/>
    </row>
    <row r="159" spans="1:8" ht="63.75" x14ac:dyDescent="0.2">
      <c r="A159" s="17">
        <v>45</v>
      </c>
      <c r="B159" s="18" t="s">
        <v>126</v>
      </c>
      <c r="C159" s="18" t="s">
        <v>127</v>
      </c>
      <c r="D159" s="20"/>
      <c r="E159" s="20"/>
      <c r="F159" s="20"/>
      <c r="G159" s="19"/>
      <c r="H159" s="19"/>
    </row>
    <row r="160" spans="1:8" ht="63.75" x14ac:dyDescent="0.2">
      <c r="A160" s="17">
        <v>46</v>
      </c>
      <c r="B160" s="18" t="s">
        <v>128</v>
      </c>
      <c r="C160" s="18" t="s">
        <v>129</v>
      </c>
      <c r="D160" s="20"/>
      <c r="E160" s="20"/>
      <c r="F160" s="20"/>
      <c r="G160" s="19"/>
      <c r="H160" s="19"/>
    </row>
    <row r="161" spans="1:9" ht="63.75" x14ac:dyDescent="0.2">
      <c r="A161" s="17">
        <v>47</v>
      </c>
      <c r="B161" s="18" t="s">
        <v>130</v>
      </c>
      <c r="C161" s="18" t="s">
        <v>131</v>
      </c>
      <c r="D161" s="20"/>
      <c r="E161" s="20"/>
      <c r="F161" s="20"/>
      <c r="G161" s="19"/>
      <c r="H161" s="19"/>
    </row>
    <row r="162" spans="1:9" ht="63.75" x14ac:dyDescent="0.2">
      <c r="A162" s="17">
        <v>48</v>
      </c>
      <c r="B162" s="18" t="s">
        <v>132</v>
      </c>
      <c r="C162" s="18" t="s">
        <v>133</v>
      </c>
      <c r="D162" s="20"/>
      <c r="E162" s="20"/>
      <c r="F162" s="20"/>
      <c r="G162" s="19">
        <v>5937.8</v>
      </c>
      <c r="H162" s="19">
        <v>5937.8</v>
      </c>
    </row>
    <row r="163" spans="1:9" ht="38.25" x14ac:dyDescent="0.2">
      <c r="A163" s="17">
        <v>49</v>
      </c>
      <c r="B163" s="18" t="s">
        <v>134</v>
      </c>
      <c r="C163" s="18" t="s">
        <v>135</v>
      </c>
      <c r="D163" s="20"/>
      <c r="E163" s="20"/>
      <c r="F163" s="20"/>
      <c r="G163" s="19"/>
      <c r="H163" s="19"/>
    </row>
    <row r="164" spans="1:9" ht="76.5" x14ac:dyDescent="0.2">
      <c r="A164" s="17">
        <v>50</v>
      </c>
      <c r="B164" s="18" t="s">
        <v>136</v>
      </c>
      <c r="C164" s="18" t="s">
        <v>137</v>
      </c>
      <c r="D164" s="20"/>
      <c r="E164" s="20"/>
      <c r="F164" s="20"/>
      <c r="G164" s="19"/>
      <c r="H164" s="19"/>
    </row>
    <row r="165" spans="1:9" ht="27.95" customHeight="1" x14ac:dyDescent="0.2">
      <c r="A165" s="35"/>
      <c r="B165" s="289" t="s">
        <v>138</v>
      </c>
      <c r="C165" s="290"/>
      <c r="D165" s="31"/>
      <c r="E165" s="31"/>
      <c r="F165" s="31"/>
      <c r="G165" s="30">
        <f>G162</f>
        <v>5937.8</v>
      </c>
      <c r="H165" s="30">
        <f>H162</f>
        <v>5937.8</v>
      </c>
    </row>
    <row r="166" spans="1:9" x14ac:dyDescent="0.2">
      <c r="A166" s="35"/>
      <c r="B166" s="289" t="s">
        <v>139</v>
      </c>
      <c r="C166" s="290"/>
      <c r="D166" s="38">
        <f>D154</f>
        <v>52546.64</v>
      </c>
      <c r="E166" s="38">
        <f>E154</f>
        <v>4419.2700000000004</v>
      </c>
      <c r="F166" s="38">
        <f>F154</f>
        <v>43822.89</v>
      </c>
      <c r="G166" s="38">
        <f>G154+G165</f>
        <v>9306.19</v>
      </c>
      <c r="H166" s="38">
        <f>H154+H165</f>
        <v>110094.99</v>
      </c>
      <c r="I166" s="39">
        <f>G154+G165-G32</f>
        <v>9306.19</v>
      </c>
    </row>
    <row r="167" spans="1:9" x14ac:dyDescent="0.2">
      <c r="A167" s="287" t="s">
        <v>140</v>
      </c>
      <c r="B167" s="288"/>
      <c r="C167" s="288"/>
      <c r="D167" s="288"/>
      <c r="E167" s="288"/>
      <c r="F167" s="288"/>
      <c r="G167" s="288"/>
      <c r="H167" s="288"/>
    </row>
    <row r="168" spans="1:9" ht="25.5" x14ac:dyDescent="0.2">
      <c r="A168" s="17">
        <v>51</v>
      </c>
      <c r="B168" s="18" t="s">
        <v>141</v>
      </c>
      <c r="C168" s="18" t="s">
        <v>142</v>
      </c>
      <c r="D168" s="37">
        <f t="shared" ref="D168:I168" si="3">D166*0.02</f>
        <v>1050.93</v>
      </c>
      <c r="E168" s="37">
        <f t="shared" si="3"/>
        <v>88.39</v>
      </c>
      <c r="F168" s="37">
        <f t="shared" si="3"/>
        <v>876.46</v>
      </c>
      <c r="G168" s="37">
        <f t="shared" si="3"/>
        <v>186.12</v>
      </c>
      <c r="H168" s="37">
        <f t="shared" si="3"/>
        <v>2201.9</v>
      </c>
      <c r="I168" s="5">
        <f t="shared" si="3"/>
        <v>186.12379999999999</v>
      </c>
    </row>
    <row r="169" spans="1:9" x14ac:dyDescent="0.2">
      <c r="A169" s="35"/>
      <c r="B169" s="289" t="s">
        <v>143</v>
      </c>
      <c r="C169" s="290"/>
      <c r="D169" s="38">
        <f>D168</f>
        <v>1050.93</v>
      </c>
      <c r="E169" s="38">
        <f>E168</f>
        <v>88.39</v>
      </c>
      <c r="F169" s="38">
        <f>F168</f>
        <v>876.46</v>
      </c>
      <c r="G169" s="38">
        <f>G168</f>
        <v>186.12</v>
      </c>
      <c r="H169" s="38">
        <f>H168</f>
        <v>2201.9</v>
      </c>
    </row>
    <row r="170" spans="1:9" x14ac:dyDescent="0.2">
      <c r="A170" s="35"/>
      <c r="B170" s="289" t="s">
        <v>144</v>
      </c>
      <c r="C170" s="290"/>
      <c r="D170" s="38">
        <f>D166+D169</f>
        <v>53597.57</v>
      </c>
      <c r="E170" s="38">
        <f>E166+E169</f>
        <v>4507.66</v>
      </c>
      <c r="F170" s="38">
        <f>F166+F169</f>
        <v>44699.35</v>
      </c>
      <c r="G170" s="38">
        <f>G166+G169</f>
        <v>9492.31</v>
      </c>
      <c r="H170" s="38">
        <f>H166+H169</f>
        <v>112296.89</v>
      </c>
      <c r="I170" s="39">
        <f>I166+I168</f>
        <v>9492.31</v>
      </c>
    </row>
    <row r="171" spans="1:9" x14ac:dyDescent="0.2">
      <c r="A171" s="287" t="s">
        <v>145</v>
      </c>
      <c r="B171" s="288"/>
      <c r="C171" s="288"/>
      <c r="D171" s="288"/>
      <c r="E171" s="288"/>
      <c r="F171" s="288"/>
      <c r="G171" s="288"/>
      <c r="H171" s="288"/>
    </row>
    <row r="172" spans="1:9" x14ac:dyDescent="0.2">
      <c r="A172" s="25"/>
      <c r="B172" s="291" t="s">
        <v>146</v>
      </c>
      <c r="C172" s="292"/>
      <c r="D172" s="37">
        <f>D170</f>
        <v>53597.57</v>
      </c>
      <c r="E172" s="37">
        <f>E170</f>
        <v>4507.66</v>
      </c>
      <c r="F172" s="37">
        <f>F170</f>
        <v>44699.35</v>
      </c>
      <c r="G172" s="37">
        <f>G170</f>
        <v>9492.31</v>
      </c>
      <c r="H172" s="37">
        <f>H170</f>
        <v>112296.89</v>
      </c>
    </row>
    <row r="173" spans="1:9" x14ac:dyDescent="0.2">
      <c r="A173" s="287" t="s">
        <v>147</v>
      </c>
      <c r="B173" s="288"/>
      <c r="C173" s="288"/>
      <c r="D173" s="288"/>
      <c r="E173" s="288"/>
      <c r="F173" s="288"/>
      <c r="G173" s="288"/>
      <c r="H173" s="288"/>
    </row>
    <row r="174" spans="1:9" x14ac:dyDescent="0.2">
      <c r="A174" s="21">
        <v>52</v>
      </c>
      <c r="B174" s="22"/>
      <c r="C174" s="23" t="s">
        <v>148</v>
      </c>
      <c r="D174" s="24">
        <v>484.13</v>
      </c>
      <c r="E174" s="24">
        <v>14.82</v>
      </c>
      <c r="F174" s="20"/>
      <c r="G174" s="20"/>
      <c r="H174" s="24">
        <v>498.95</v>
      </c>
    </row>
    <row r="175" spans="1:9" x14ac:dyDescent="0.2">
      <c r="A175" s="40">
        <v>53</v>
      </c>
      <c r="B175" s="41"/>
      <c r="C175" s="42" t="s">
        <v>149</v>
      </c>
      <c r="D175" s="31"/>
      <c r="E175" s="31"/>
      <c r="F175" s="31"/>
      <c r="G175" s="31"/>
      <c r="H175" s="31"/>
    </row>
    <row r="176" spans="1:9" ht="51" x14ac:dyDescent="0.2">
      <c r="A176" s="17">
        <v>54</v>
      </c>
      <c r="B176" s="18" t="s">
        <v>150</v>
      </c>
      <c r="C176" s="18" t="s">
        <v>151</v>
      </c>
      <c r="D176" s="53">
        <f>D170/1.02*7</f>
        <v>367826.46</v>
      </c>
      <c r="E176" s="53">
        <f>E170/1.02*7</f>
        <v>30934.92</v>
      </c>
      <c r="F176" s="54"/>
      <c r="G176" s="54"/>
      <c r="H176" s="53">
        <f>G176+F176+E176+D176</f>
        <v>398761.38</v>
      </c>
    </row>
    <row r="177" spans="1:10" ht="51" x14ac:dyDescent="0.2">
      <c r="A177" s="17">
        <v>55</v>
      </c>
      <c r="B177" s="18" t="s">
        <v>152</v>
      </c>
      <c r="C177" s="18" t="s">
        <v>153</v>
      </c>
      <c r="D177" s="54"/>
      <c r="E177" s="54"/>
      <c r="F177" s="53">
        <f>F170/1.02*3.98</f>
        <v>174415.11</v>
      </c>
      <c r="G177" s="54"/>
      <c r="H177" s="53">
        <f>F177</f>
        <v>174415.11</v>
      </c>
    </row>
    <row r="178" spans="1:10" ht="51" x14ac:dyDescent="0.2">
      <c r="A178" s="17">
        <v>56</v>
      </c>
      <c r="B178" s="18" t="s">
        <v>150</v>
      </c>
      <c r="C178" s="18" t="s">
        <v>542</v>
      </c>
      <c r="D178" s="54"/>
      <c r="E178" s="54"/>
      <c r="F178" s="54"/>
      <c r="G178" s="53">
        <f>6460.59/1.02</f>
        <v>6333.91</v>
      </c>
      <c r="H178" s="53">
        <f>G178</f>
        <v>6333.91</v>
      </c>
    </row>
    <row r="179" spans="1:10" ht="51" x14ac:dyDescent="0.2">
      <c r="A179" s="17">
        <v>57</v>
      </c>
      <c r="B179" s="18" t="s">
        <v>154</v>
      </c>
      <c r="C179" s="18" t="s">
        <v>306</v>
      </c>
      <c r="D179" s="54"/>
      <c r="E179" s="54"/>
      <c r="F179" s="54"/>
      <c r="G179" s="53">
        <f>29728.83/1.02</f>
        <v>29145.91</v>
      </c>
      <c r="H179" s="53">
        <f>G179</f>
        <v>29145.91</v>
      </c>
    </row>
    <row r="180" spans="1:10" ht="25.5" x14ac:dyDescent="0.2">
      <c r="A180" s="17">
        <v>58</v>
      </c>
      <c r="B180" s="18" t="s">
        <v>156</v>
      </c>
      <c r="C180" s="18" t="s">
        <v>307</v>
      </c>
      <c r="D180" s="54"/>
      <c r="E180" s="54"/>
      <c r="F180" s="54"/>
      <c r="G180" s="53">
        <f>967.64/1.02</f>
        <v>948.67</v>
      </c>
      <c r="H180" s="53">
        <f>G180</f>
        <v>948.67</v>
      </c>
    </row>
    <row r="181" spans="1:10" ht="63.75" x14ac:dyDescent="0.2">
      <c r="A181" s="43">
        <v>62</v>
      </c>
      <c r="B181" s="44" t="s">
        <v>132</v>
      </c>
      <c r="C181" s="44" t="s">
        <v>308</v>
      </c>
      <c r="D181" s="55"/>
      <c r="E181" s="55"/>
      <c r="F181" s="55"/>
      <c r="G181" s="56">
        <f>29910.3/1.02</f>
        <v>29323.82</v>
      </c>
      <c r="H181" s="56">
        <f>G181</f>
        <v>29323.82</v>
      </c>
    </row>
    <row r="182" spans="1:10" ht="25.5" x14ac:dyDescent="0.2">
      <c r="A182" s="43">
        <v>65</v>
      </c>
      <c r="B182" s="44" t="s">
        <v>23</v>
      </c>
      <c r="C182" s="44" t="s">
        <v>309</v>
      </c>
      <c r="D182" s="55"/>
      <c r="E182" s="55"/>
      <c r="F182" s="55"/>
      <c r="G182" s="56">
        <f>22299.94/1.02*0</f>
        <v>0</v>
      </c>
      <c r="H182" s="56">
        <f>G182</f>
        <v>0</v>
      </c>
    </row>
    <row r="183" spans="1:10" x14ac:dyDescent="0.2">
      <c r="A183" s="17"/>
      <c r="B183" s="18"/>
      <c r="C183" s="18" t="s">
        <v>305</v>
      </c>
      <c r="D183" s="54">
        <f>(D176+D177+D178+D179+D180+D181+D182)*0.02</f>
        <v>7356.53</v>
      </c>
      <c r="E183" s="54">
        <f>(E176+E177+E178+E179+E180+E181+E182)*0.02</f>
        <v>618.70000000000005</v>
      </c>
      <c r="F183" s="54">
        <f>(F176+F177+F178+F179+F180+F181+F182)*0.02</f>
        <v>3488.3</v>
      </c>
      <c r="G183" s="54">
        <f>(G176+G177+G178+G179+G180+G181+G182)*0.02</f>
        <v>1315.05</v>
      </c>
      <c r="H183" s="54">
        <f>(H176+H177+H178+H179+H180+H181+H182)*0.02</f>
        <v>12778.58</v>
      </c>
      <c r="J183" s="39">
        <f>(H176+H177+H178+H179+H180+H181)*0.02</f>
        <v>12778.58</v>
      </c>
    </row>
    <row r="184" spans="1:10" x14ac:dyDescent="0.2">
      <c r="A184" s="40">
        <v>67</v>
      </c>
      <c r="B184" s="41"/>
      <c r="C184" s="42" t="s">
        <v>166</v>
      </c>
      <c r="D184" s="47">
        <f>D176+D177+D178+D179+D180+D181+D182+D183</f>
        <v>375182.99</v>
      </c>
      <c r="E184" s="47">
        <f>E176+E177+E178+E179+E180+E181+E182+E183</f>
        <v>31553.62</v>
      </c>
      <c r="F184" s="47">
        <f>F176+F177+F178+F179+F180+F181+F182+F183</f>
        <v>177903.41</v>
      </c>
      <c r="G184" s="47">
        <f>G176+G177+G178+G179+G180+G181+G182+G183</f>
        <v>67067.360000000001</v>
      </c>
      <c r="H184" s="47">
        <f>H176+H177+H178+H179+H180+H181+H182+H183</f>
        <v>651707.38</v>
      </c>
      <c r="I184" s="57">
        <f>H184-H182*1.02</f>
        <v>651707.38</v>
      </c>
      <c r="J184" s="39">
        <f>H176+H177+H178+H179+H180+H181+J183</f>
        <v>651707.38</v>
      </c>
    </row>
    <row r="185" spans="1:10" x14ac:dyDescent="0.2">
      <c r="A185" s="49"/>
      <c r="B185" s="50"/>
      <c r="C185" s="18" t="s">
        <v>303</v>
      </c>
      <c r="D185" s="48">
        <f>-D133*7</f>
        <v>-1233.68</v>
      </c>
      <c r="E185" s="48">
        <f>-E133*7</f>
        <v>-103.74</v>
      </c>
      <c r="F185" s="48"/>
      <c r="G185" s="48"/>
      <c r="H185" s="48">
        <f>G185+F185+E185+D185+0.001</f>
        <v>-1337.42</v>
      </c>
      <c r="I185" s="57"/>
      <c r="J185" s="39"/>
    </row>
    <row r="186" spans="1:10" ht="25.5" x14ac:dyDescent="0.2">
      <c r="A186" s="51"/>
      <c r="B186" s="52"/>
      <c r="C186" s="59" t="s">
        <v>304</v>
      </c>
      <c r="D186" s="58">
        <f>D184+D185</f>
        <v>373949.31</v>
      </c>
      <c r="E186" s="58">
        <f>E184+E185</f>
        <v>31449.88</v>
      </c>
      <c r="F186" s="58">
        <f>F184</f>
        <v>177903.41</v>
      </c>
      <c r="G186" s="58">
        <f>G184</f>
        <v>67067.360000000001</v>
      </c>
      <c r="H186" s="58">
        <f>H184+H185</f>
        <v>650369.96</v>
      </c>
      <c r="I186" s="57">
        <f>I184+H185</f>
        <v>650369.96</v>
      </c>
      <c r="J186" s="39">
        <f>J184+H185</f>
        <v>650369.96</v>
      </c>
    </row>
    <row r="187" spans="1:10" ht="38.25" x14ac:dyDescent="0.2">
      <c r="A187" s="45">
        <v>68</v>
      </c>
      <c r="B187" s="46" t="s">
        <v>167</v>
      </c>
      <c r="C187" s="46" t="s">
        <v>168</v>
      </c>
      <c r="D187" s="48">
        <f>D186*0.2</f>
        <v>74789.86</v>
      </c>
      <c r="E187" s="48">
        <f>E186*0.2</f>
        <v>6289.98</v>
      </c>
      <c r="F187" s="48">
        <f>F186*0.2</f>
        <v>35580.68</v>
      </c>
      <c r="G187" s="48">
        <f>G186*0.2</f>
        <v>13413.47</v>
      </c>
      <c r="H187" s="48">
        <f>H186*0.2</f>
        <v>130073.99</v>
      </c>
    </row>
    <row r="188" spans="1:10" ht="25.5" x14ac:dyDescent="0.2">
      <c r="A188" s="40">
        <v>69</v>
      </c>
      <c r="B188" s="41"/>
      <c r="C188" s="42" t="s">
        <v>169</v>
      </c>
      <c r="D188" s="47">
        <f>D186+D187</f>
        <v>448739.17</v>
      </c>
      <c r="E188" s="47">
        <f>E186+E187</f>
        <v>37739.86</v>
      </c>
      <c r="F188" s="47">
        <f>F186+F187</f>
        <v>213484.09</v>
      </c>
      <c r="G188" s="47">
        <f>G186+G187</f>
        <v>80480.83</v>
      </c>
      <c r="H188" s="47">
        <f>H186+H187</f>
        <v>780443.95</v>
      </c>
      <c r="I188" s="57"/>
    </row>
  </sheetData>
  <mergeCells count="40">
    <mergeCell ref="H24:H27"/>
    <mergeCell ref="D25:D27"/>
    <mergeCell ref="E25:E27"/>
    <mergeCell ref="F25:F27"/>
    <mergeCell ref="G25:G27"/>
    <mergeCell ref="B80:C80"/>
    <mergeCell ref="C18:G18"/>
    <mergeCell ref="A24:A27"/>
    <mergeCell ref="B24:B27"/>
    <mergeCell ref="C24:C27"/>
    <mergeCell ref="D24:G24"/>
    <mergeCell ref="A29:H29"/>
    <mergeCell ref="B36:C36"/>
    <mergeCell ref="A37:H37"/>
    <mergeCell ref="B45:C45"/>
    <mergeCell ref="A46:H46"/>
    <mergeCell ref="B153:C153"/>
    <mergeCell ref="A81:H81"/>
    <mergeCell ref="B99:C99"/>
    <mergeCell ref="A100:H100"/>
    <mergeCell ref="B124:C124"/>
    <mergeCell ref="A125:H125"/>
    <mergeCell ref="B129:C129"/>
    <mergeCell ref="B130:C130"/>
    <mergeCell ref="A131:H131"/>
    <mergeCell ref="B134:C134"/>
    <mergeCell ref="B135:C135"/>
    <mergeCell ref="A136:H136"/>
    <mergeCell ref="A173:H173"/>
    <mergeCell ref="B154:C154"/>
    <mergeCell ref="A155:H155"/>
    <mergeCell ref="B157:C157"/>
    <mergeCell ref="A158:H158"/>
    <mergeCell ref="B165:C165"/>
    <mergeCell ref="B166:C166"/>
    <mergeCell ref="A167:H167"/>
    <mergeCell ref="B169:C169"/>
    <mergeCell ref="B170:C170"/>
    <mergeCell ref="A171:H171"/>
    <mergeCell ref="B172:C17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rstPageNumber="6" fitToHeight="10000" orientation="landscape" useFirstPageNumber="1" r:id="rId1"/>
  <headerFooter alignWithMargins="0">
    <oddFooter>&amp;R&amp;P</oddFooter>
  </headerFooter>
  <rowBreaks count="1" manualBreakCount="1">
    <brk id="1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ГПР</vt:lpstr>
      <vt:lpstr>ПЗ</vt:lpstr>
      <vt:lpstr>НМЦ</vt:lpstr>
      <vt:lpstr>Протокол</vt:lpstr>
      <vt:lpstr>Ведомость объемов работ</vt:lpstr>
      <vt:lpstr>Проект сметы контракта</vt:lpstr>
      <vt:lpstr>Расчет НМЦК</vt:lpstr>
      <vt:lpstr>Затраты Подрядчика по ССР</vt:lpstr>
      <vt:lpstr>Затраты Подрядчика по ССР (2)</vt:lpstr>
      <vt:lpstr>ССР</vt:lpstr>
      <vt:lpstr>'Затраты Подрядчика по ССР'!Заголовки_для_печати</vt:lpstr>
      <vt:lpstr>'Затраты Подрядчика по ССР (2)'!Заголовки_для_печати</vt:lpstr>
      <vt:lpstr>ССР!Заголовки_для_печати</vt:lpstr>
      <vt:lpstr>ГПР!Область_печати</vt:lpstr>
      <vt:lpstr>НМЦ!Область_печати</vt:lpstr>
      <vt:lpstr>ПЗ!Область_печати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</dc:creator>
  <cp:lastModifiedBy>Будников Василий Геннадьевич</cp:lastModifiedBy>
  <cp:lastPrinted>2020-11-25T16:57:05Z</cp:lastPrinted>
  <dcterms:created xsi:type="dcterms:W3CDTF">2002-03-25T05:35:56Z</dcterms:created>
  <dcterms:modified xsi:type="dcterms:W3CDTF">2020-11-25T17:03:16Z</dcterms:modified>
</cp:coreProperties>
</file>