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Пояснительная записка" sheetId="3" r:id="rId1"/>
    <sheet name="НМЦ" sheetId="2" r:id="rId2"/>
    <sheet name="Расчет" sheetId="1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D6" i="1"/>
  <c r="E32" i="1"/>
  <c r="D31" i="1"/>
  <c r="D19" i="1"/>
  <c r="E19" i="1" s="1"/>
  <c r="E38" i="1" l="1"/>
  <c r="D28" i="1" l="1"/>
  <c r="E28" i="1" s="1"/>
  <c r="D25" i="1"/>
  <c r="E25" i="1" s="1"/>
  <c r="D22" i="1"/>
  <c r="E22" i="1" s="1"/>
  <c r="D16" i="1"/>
  <c r="E16" i="1" s="1"/>
  <c r="E31" i="1" l="1"/>
  <c r="E35" i="1" s="1"/>
  <c r="A2" i="1" l="1"/>
  <c r="A4" i="3" l="1"/>
  <c r="D7" i="1"/>
  <c r="D8" i="1" s="1"/>
  <c r="E34" i="1" s="1"/>
  <c r="E36" i="1" l="1"/>
  <c r="F38" i="1" l="1"/>
  <c r="C7" i="2"/>
  <c r="C8" i="2" s="1"/>
  <c r="E41" i="1"/>
  <c r="E39" i="1"/>
  <c r="C9" i="2" s="1"/>
  <c r="D9" i="2" s="1"/>
  <c r="E9" i="2" s="1"/>
  <c r="D7" i="2" l="1"/>
  <c r="D8" i="2" s="1"/>
  <c r="E7" i="2" l="1"/>
  <c r="E8" i="2" s="1"/>
  <c r="B12" i="3" s="1"/>
</calcChain>
</file>

<file path=xl/sharedStrings.xml><?xml version="1.0" encoding="utf-8"?>
<sst xmlns="http://schemas.openxmlformats.org/spreadsheetml/2006/main" count="77" uniqueCount="74">
  <si>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</si>
  <si>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</si>
  <si>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</si>
  <si>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</si>
  <si>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</si>
  <si>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>В том числе инфляционная составляющая за период выполнения работ</t>
  </si>
  <si>
    <t>руб.</t>
  </si>
  <si>
    <t xml:space="preserve"> Стоимость , руб.</t>
  </si>
  <si>
    <t>Итого в ценах 2000 г.</t>
  </si>
  <si>
    <t>формула расчета</t>
  </si>
  <si>
    <t>Наименование затрат</t>
  </si>
  <si>
    <t>Стоимость оборудования КД согласно сметной документации в ценах 2000 г. без учета заготовительно-складских расходов и без затрат по шефмонтажу оборудования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</si>
  <si>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</si>
  <si>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</si>
  <si>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</si>
  <si>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</si>
  <si>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</si>
  <si>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 xml:space="preserve">Индекс-дефлятор определен в соответствии с данными Минэкономразвития РФ.  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</si>
  <si>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</si>
  <si>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</si>
  <si>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</si>
  <si>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</si>
  <si>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</si>
  <si>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</si>
  <si>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>на закупку оборудования канатной дороги 
для  объекта «Всесезонный туристско-рекреационный комплекс "Ведучи", Чеченская республика. 
Пассажирская подвесная канатная дорога VL1. »</t>
  </si>
  <si>
    <t>Для опредления цены оборудования принят  проектно-сметный метод с  использованием  сметной документации, получившей положительное заключение федерального автономного учреждения «Главное управление государственной экспертизы» от 30.08.2019 № 01060-19/ГГЭ-19510/07-01 (№ в Реестре 00-1-1827-19).</t>
  </si>
  <si>
    <t>Пересчет в текущий уровень цен на 3 квартал 2019 г. по письму Минстроя РФ от 09.10.2019 N 38021-ЮГ/09 (п. 30, Объекты непроизводственного назначения)</t>
  </si>
  <si>
    <t xml:space="preserve">Продолжительность работ в соответствие с Графиком - </t>
  </si>
  <si>
    <t>месяцев</t>
  </si>
  <si>
    <t xml:space="preserve">Начало работ - </t>
  </si>
  <si>
    <t xml:space="preserve">Окончание работ - </t>
  </si>
  <si>
    <t>2019  год</t>
  </si>
  <si>
    <t xml:space="preserve">ИД1- индекс -дефлятор Минэкономразвития РФ на капвложения </t>
  </si>
  <si>
    <t>Рост цен                               Р1= (ИД1-100)/100*Т1/12</t>
  </si>
  <si>
    <t>Индекс роста цен                                     ИРт1=(1+Р1)</t>
  </si>
  <si>
    <t>2020  год</t>
  </si>
  <si>
    <t xml:space="preserve">ИД2- индекс -дефлятор Минэкономразвития РФ на капвложения </t>
  </si>
  <si>
    <t>Рост цен                               Р2= (ИД2-100)/100*Т2/12</t>
  </si>
  <si>
    <t>Индекс роста цен                                     ИРт2=(1+Р2)</t>
  </si>
  <si>
    <t xml:space="preserve">ИД3- индекс -дефлятор Минэкономразвития РФ на капвложения </t>
  </si>
  <si>
    <t>Рост цен                               Р3= (ИД3-100)/100*Т3/12</t>
  </si>
  <si>
    <t>Итого индекс роста цен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</si>
  <si>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</si>
  <si>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</si>
  <si>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</si>
  <si>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</si>
  <si>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 xml:space="preserve"> Н(м)ЦД(1-1)А=СС1+(Н(м)ЦД1-1-СС1)*(1-А/100)                     </t>
  </si>
  <si>
    <t>Инфляционная составляющая</t>
  </si>
  <si>
    <t>2021  год</t>
  </si>
  <si>
    <t>Индекс роста цен                                     ИРт3=(1+Р3)</t>
  </si>
  <si>
    <t>2022  год</t>
  </si>
  <si>
    <t xml:space="preserve">ИД4- индекс -дефлятор Минэкономразвития РФ на капвложения </t>
  </si>
  <si>
    <t>Рост цен                               Р4= (ИД4-100)/100*Т4/12</t>
  </si>
  <si>
    <t>Индекс роста цен                                     ИРт4=(1+Р4)</t>
  </si>
  <si>
    <t xml:space="preserve">ИД5- индекс -дефлятор Минэкономразвития РФ на капвложения </t>
  </si>
  <si>
    <t>Рост цен                               Р5= (ИД5-100)/100*Т5/12</t>
  </si>
  <si>
    <t>Итого индекс роста цен за период выполнения работ</t>
  </si>
  <si>
    <t>Т4 - Продолжительность периода  от начала года до конца года, мес</t>
  </si>
  <si>
    <t>Т5 - Продолжительность периода  от начала года до окончания работ, мес</t>
  </si>
  <si>
    <t>Индекс роста цен                                     ИРт5=(1+Р5)</t>
  </si>
  <si>
    <t>ИРт6=(1+0,5*Р6)</t>
  </si>
  <si>
    <t xml:space="preserve">С учетом авансирования- 90% </t>
  </si>
  <si>
    <t>Индекс пересчета в текущие цены  принят за  3 квартал 2019 г. по письму Минстроя РФ от 09.10.2019 N 38021-ЮГ/09  (п. 30, Объекты непроизводственного назначения).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</si>
  <si>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</si>
  <si>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С учетом НДС</t>
  </si>
  <si>
    <t xml:space="preserve">Расчет индекса-дефлятора </t>
  </si>
  <si>
    <t>Т1 - Продолжительность периода  от момента формирования текущих цен до начала выполнения работ , мес</t>
  </si>
  <si>
    <t>Т2 - Продолжительность периода  от  начала выполнения работ  до конца года, мес</t>
  </si>
  <si>
    <t>Т3 - Продолжительность периода  от начала года до  конца года , мес</t>
  </si>
  <si>
    <t>Р6= (Р2+Р3+Р4+Р5)</t>
  </si>
  <si>
    <t>ИРТ1*ИРТ6</t>
  </si>
  <si>
    <t>(4 184 794 122,19-53 067 445,44) /1,2/3,98</t>
  </si>
  <si>
    <t xml:space="preserve">исключить гондолы </t>
  </si>
  <si>
    <t>дефлятор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</si>
</sst>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8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14" fontId="12" fillId="3" borderId="0" xfId="0" applyNumberFormat="1" applyFont="1" applyFill="1" applyAlignment="1">
      <alignment vertical="center"/>
    </xf>
    <xf numFmtId="1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1" fillId="0" borderId="0" xfId="0" applyNumberFormat="1" applyFont="1"/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3" fontId="14" fillId="3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8" sqref="A18"/>
    </sheetView>
  </sheetViews>
  <sheetFormatPr defaultRowHeight="14.4" x14ac:dyDescent="0.3"/>
  <cols>
    <col min="1" max="1" width="38.77734375" customWidth="1"/>
    <col min="2" max="2" width="44.109375" customWidth="1"/>
    <col min="3" max="3" width="26.6640625" customWidth="1"/>
  </cols>
  <sheetData>
    <row r="1" spans="1:3" ht="15.6" x14ac:dyDescent="0.3">
      <c r="A1" s="29" t="s">
        <v>15</v>
      </c>
      <c r="B1" s="29"/>
      <c r="C1" s="29"/>
    </row>
    <row r="2" spans="1:3" ht="15.6" x14ac:dyDescent="0.3">
      <c r="A2" s="29" t="s">
        <v>16</v>
      </c>
      <c r="B2" s="29"/>
      <c r="C2" s="29"/>
    </row>
    <row r="3" spans="1:3" ht="15.6" x14ac:dyDescent="0.3">
      <c r="A3" s="20"/>
      <c r="B3" s="20"/>
      <c r="C3" s="20"/>
    </row>
    <row r="4" spans="1:3" ht="60" customHeight="1" x14ac:dyDescent="0.3">
      <c r="A4" s="30" t="str">
        <f>НМЦ!A3</f>
        <v>на закупку оборудования канатной дороги 
для  объекта «Всесезонный туристско-рекреационный комплекс "Ведучи", Чеченская республика. 
Пассажирская подвесная канатная дорога VL1. »</v>
      </c>
      <c r="B4" s="30"/>
      <c r="C4" s="30"/>
    </row>
    <row r="5" spans="1:3" ht="15.6" x14ac:dyDescent="0.3">
      <c r="A5" s="31"/>
      <c r="B5" s="31"/>
      <c r="C5" s="31"/>
    </row>
    <row r="6" spans="1:3" ht="66" customHeight="1" x14ac:dyDescent="0.3">
      <c r="A6" s="32" t="s">
        <v>63</v>
      </c>
      <c r="B6" s="32"/>
      <c r="C6" s="32"/>
    </row>
    <row r="7" spans="1:3" x14ac:dyDescent="0.3">
      <c r="A7" s="33" t="s">
        <v>22</v>
      </c>
      <c r="B7" s="33"/>
      <c r="C7" s="33"/>
    </row>
    <row r="8" spans="1:3" ht="68.400000000000006" customHeight="1" x14ac:dyDescent="0.3">
      <c r="A8" s="27" t="s">
        <v>25</v>
      </c>
      <c r="B8" s="27"/>
      <c r="C8" s="27"/>
    </row>
    <row r="9" spans="1:3" ht="37.799999999999997" customHeight="1" x14ac:dyDescent="0.3">
      <c r="A9" s="28" t="s">
        <v>62</v>
      </c>
      <c r="B9" s="28"/>
      <c r="C9" s="28"/>
    </row>
    <row r="10" spans="1:3" x14ac:dyDescent="0.3">
      <c r="A10" s="25" t="s">
        <v>17</v>
      </c>
      <c r="B10" s="26"/>
      <c r="C10" s="26"/>
    </row>
    <row r="11" spans="1:3" x14ac:dyDescent="0.3">
      <c r="A11" s="25" t="s">
        <v>18</v>
      </c>
      <c r="B11" s="26"/>
      <c r="C11" s="26"/>
    </row>
    <row r="12" spans="1:3" x14ac:dyDescent="0.3">
      <c r="A12" s="21"/>
      <c r="B12" s="22">
        <f>НМЦ!E8</f>
        <v>4218775304.4000001</v>
      </c>
      <c r="C12" s="21" t="s">
        <v>19</v>
      </c>
    </row>
    <row r="13" spans="1:3" x14ac:dyDescent="0.3">
      <c r="A13" s="21"/>
      <c r="B13" s="22"/>
      <c r="C13" s="21"/>
    </row>
    <row r="14" spans="1:3" x14ac:dyDescent="0.3">
      <c r="A14" s="23" t="s">
        <v>20</v>
      </c>
      <c r="B14" s="23"/>
      <c r="C14" s="23" t="s">
        <v>21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I8" sqref="I8"/>
    </sheetView>
  </sheetViews>
  <sheetFormatPr defaultRowHeight="14.4" x14ac:dyDescent="0.3"/>
  <cols>
    <col min="2" max="2" width="37.6640625" customWidth="1"/>
    <col min="3" max="3" width="22.44140625" customWidth="1"/>
    <col min="4" max="4" width="24.109375" customWidth="1"/>
    <col min="5" max="5" width="22.5546875" customWidth="1"/>
    <col min="9" max="9" width="11" bestFit="1" customWidth="1"/>
  </cols>
  <sheetData>
    <row r="2" spans="1:5" ht="15.6" x14ac:dyDescent="0.3">
      <c r="A2" s="37" t="s">
        <v>13</v>
      </c>
      <c r="B2" s="37"/>
      <c r="C2" s="37"/>
      <c r="D2" s="37"/>
      <c r="E2" s="37"/>
    </row>
    <row r="3" spans="1:5" ht="64.8" customHeight="1" x14ac:dyDescent="0.3">
      <c r="A3" s="38" t="s">
        <v>24</v>
      </c>
      <c r="B3" s="38"/>
      <c r="C3" s="38"/>
      <c r="D3" s="38"/>
      <c r="E3" s="38"/>
    </row>
    <row r="4" spans="1:5" ht="14.4" customHeight="1" x14ac:dyDescent="0.3">
      <c r="A4" s="34" t="s">
        <v>1</v>
      </c>
      <c r="B4" s="35" t="s">
        <v>2</v>
      </c>
      <c r="C4" s="34" t="s">
        <v>7</v>
      </c>
      <c r="D4" s="34"/>
      <c r="E4" s="34"/>
    </row>
    <row r="5" spans="1:5" ht="15.6" x14ac:dyDescent="0.3">
      <c r="A5" s="34"/>
      <c r="B5" s="36"/>
      <c r="C5" s="8" t="s">
        <v>12</v>
      </c>
      <c r="D5" s="8" t="s">
        <v>23</v>
      </c>
      <c r="E5" s="8" t="s">
        <v>3</v>
      </c>
    </row>
    <row r="6" spans="1:5" ht="14.4" customHeight="1" x14ac:dyDescent="0.3">
      <c r="A6" s="8">
        <v>1</v>
      </c>
      <c r="B6" s="8">
        <v>2</v>
      </c>
      <c r="C6" s="8">
        <v>3</v>
      </c>
      <c r="D6" s="9">
        <v>4</v>
      </c>
      <c r="E6" s="10">
        <v>5</v>
      </c>
    </row>
    <row r="7" spans="1:5" ht="60" customHeight="1" x14ac:dyDescent="0.3">
      <c r="A7" s="11">
        <v>1</v>
      </c>
      <c r="B7" s="12" t="s">
        <v>14</v>
      </c>
      <c r="C7" s="13">
        <f>Расчет!E38</f>
        <v>3515646087</v>
      </c>
      <c r="D7" s="14">
        <f>C7*0.2</f>
        <v>703129217.39999998</v>
      </c>
      <c r="E7" s="14">
        <f>C7+D7</f>
        <v>4218775304.4000001</v>
      </c>
    </row>
    <row r="8" spans="1:5" ht="21" customHeight="1" x14ac:dyDescent="0.3">
      <c r="A8" s="15"/>
      <c r="B8" s="15" t="s">
        <v>4</v>
      </c>
      <c r="C8" s="16">
        <f>C7</f>
        <v>3515646087</v>
      </c>
      <c r="D8" s="16">
        <f>D7</f>
        <v>703129217.39999998</v>
      </c>
      <c r="E8" s="16">
        <f>E7</f>
        <v>4218775304.4000001</v>
      </c>
    </row>
    <row r="9" spans="1:5" ht="60.6" customHeight="1" x14ac:dyDescent="0.3">
      <c r="A9" s="17"/>
      <c r="B9" s="18" t="s">
        <v>5</v>
      </c>
      <c r="C9" s="19">
        <f>Расчет!E39</f>
        <v>29285430</v>
      </c>
      <c r="D9" s="19">
        <f>C9*0.2</f>
        <v>5857086</v>
      </c>
      <c r="E9" s="19">
        <f>C9+D9</f>
        <v>35142516</v>
      </c>
    </row>
  </sheetData>
  <mergeCells count="5">
    <mergeCell ref="A4:A5"/>
    <mergeCell ref="B4:B5"/>
    <mergeCell ref="C4:E4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25" workbookViewId="0">
      <selection activeCell="C50" sqref="C50"/>
    </sheetView>
  </sheetViews>
  <sheetFormatPr defaultRowHeight="14.4" x14ac:dyDescent="0.3"/>
  <cols>
    <col min="2" max="2" width="37.6640625" customWidth="1"/>
    <col min="3" max="3" width="22.88671875" customWidth="1"/>
    <col min="4" max="4" width="26.44140625" customWidth="1"/>
    <col min="5" max="5" width="16.33203125" customWidth="1"/>
    <col min="7" max="7" width="14.88671875" bestFit="1" customWidth="1"/>
    <col min="8" max="9" width="13.44140625" bestFit="1" customWidth="1"/>
    <col min="12" max="12" width="12.33203125" bestFit="1" customWidth="1"/>
    <col min="13" max="13" width="12" bestFit="1" customWidth="1"/>
    <col min="14" max="14" width="9.88671875" bestFit="1" customWidth="1"/>
    <col min="15" max="15" width="10.88671875" bestFit="1" customWidth="1"/>
  </cols>
  <sheetData>
    <row r="1" spans="1:7" ht="22.8" customHeight="1" x14ac:dyDescent="0.3">
      <c r="A1" s="39" t="s">
        <v>0</v>
      </c>
      <c r="B1" s="39"/>
      <c r="C1" s="39"/>
      <c r="D1" s="39"/>
    </row>
    <row r="2" spans="1:7" ht="55.2" customHeight="1" x14ac:dyDescent="0.3">
      <c r="A2" s="40" t="str">
        <f>НМЦ!A3</f>
        <v>на закупку оборудования канатной дороги 
для  объекта «Всесезонный туристско-рекреационный комплекс "Ведучи", Чеченская республика. 
Пассажирская подвесная канатная дорога VL1. »</v>
      </c>
      <c r="B2" s="41"/>
      <c r="C2" s="41"/>
      <c r="D2" s="41"/>
    </row>
    <row r="3" spans="1:7" x14ac:dyDescent="0.3">
      <c r="A3" s="42" t="s">
        <v>1</v>
      </c>
      <c r="B3" s="43" t="s">
        <v>10</v>
      </c>
      <c r="C3" s="42" t="s">
        <v>7</v>
      </c>
      <c r="D3" s="42"/>
    </row>
    <row r="4" spans="1:7" x14ac:dyDescent="0.3">
      <c r="A4" s="42"/>
      <c r="B4" s="44"/>
      <c r="C4" s="3" t="s">
        <v>9</v>
      </c>
      <c r="D4" s="1" t="s">
        <v>6</v>
      </c>
    </row>
    <row r="5" spans="1:7" x14ac:dyDescent="0.3">
      <c r="A5" s="1">
        <v>1</v>
      </c>
      <c r="B5" s="1">
        <v>2</v>
      </c>
      <c r="C5" s="1">
        <v>3</v>
      </c>
      <c r="D5" s="2">
        <v>4</v>
      </c>
    </row>
    <row r="6" spans="1:7" ht="60" customHeight="1" x14ac:dyDescent="0.3">
      <c r="A6" s="4">
        <v>1</v>
      </c>
      <c r="B6" s="5" t="s">
        <v>11</v>
      </c>
      <c r="C6" s="6" t="s">
        <v>71</v>
      </c>
      <c r="D6" s="24">
        <f>(4184794122.19-53067445.44)/1.2/3.98</f>
        <v>865101900</v>
      </c>
      <c r="E6" s="45" t="s">
        <v>72</v>
      </c>
      <c r="F6" s="45"/>
      <c r="G6" s="45"/>
    </row>
    <row r="7" spans="1:7" ht="28.2" customHeight="1" x14ac:dyDescent="0.3">
      <c r="A7" s="4"/>
      <c r="B7" s="7" t="s">
        <v>8</v>
      </c>
      <c r="C7" s="6"/>
      <c r="D7" s="24">
        <f>D6</f>
        <v>865101900</v>
      </c>
    </row>
    <row r="8" spans="1:7" ht="57" customHeight="1" x14ac:dyDescent="0.3">
      <c r="A8" s="4"/>
      <c r="B8" s="7" t="s">
        <v>26</v>
      </c>
      <c r="C8" s="6">
        <v>4.03</v>
      </c>
      <c r="D8" s="24">
        <f>D7*C8</f>
        <v>3486360657</v>
      </c>
    </row>
    <row r="9" spans="1:7" ht="23.4" customHeight="1" x14ac:dyDescent="0.3">
      <c r="A9" s="76"/>
      <c r="B9" s="78"/>
      <c r="C9" s="77"/>
      <c r="D9" s="92"/>
    </row>
    <row r="10" spans="1:7" ht="15.6" x14ac:dyDescent="0.3">
      <c r="A10" s="93" t="s">
        <v>65</v>
      </c>
      <c r="B10" s="93"/>
      <c r="C10" s="93"/>
      <c r="D10" s="93"/>
      <c r="E10" s="93"/>
    </row>
    <row r="11" spans="1:7" ht="15.6" x14ac:dyDescent="0.3">
      <c r="A11" s="46" t="s">
        <v>27</v>
      </c>
      <c r="B11" s="46"/>
      <c r="C11" s="46"/>
      <c r="D11" s="81">
        <v>33.200000000000003</v>
      </c>
      <c r="E11" s="46" t="s">
        <v>28</v>
      </c>
    </row>
    <row r="12" spans="1:7" ht="15.6" x14ac:dyDescent="0.3">
      <c r="A12" s="46" t="s">
        <v>29</v>
      </c>
      <c r="B12" s="46"/>
      <c r="C12" s="46"/>
      <c r="D12" s="80">
        <v>43824</v>
      </c>
      <c r="E12" s="46"/>
    </row>
    <row r="13" spans="1:7" ht="15.6" x14ac:dyDescent="0.3">
      <c r="A13" s="46" t="s">
        <v>30</v>
      </c>
      <c r="B13" s="46"/>
      <c r="C13" s="46"/>
      <c r="D13" s="79">
        <v>44831</v>
      </c>
      <c r="E13" s="46"/>
    </row>
    <row r="14" spans="1:7" x14ac:dyDescent="0.3">
      <c r="A14" s="47" t="s">
        <v>31</v>
      </c>
      <c r="B14" s="48"/>
      <c r="C14" s="48"/>
      <c r="D14" s="48"/>
      <c r="E14" s="49"/>
    </row>
    <row r="15" spans="1:7" ht="72" x14ac:dyDescent="0.3">
      <c r="A15" s="50"/>
      <c r="B15" s="51" t="s">
        <v>32</v>
      </c>
      <c r="C15" s="52" t="s">
        <v>66</v>
      </c>
      <c r="D15" s="52" t="s">
        <v>33</v>
      </c>
      <c r="E15" s="51" t="s">
        <v>34</v>
      </c>
    </row>
    <row r="16" spans="1:7" x14ac:dyDescent="0.3">
      <c r="A16" s="53">
        <v>1</v>
      </c>
      <c r="B16" s="53">
        <v>105</v>
      </c>
      <c r="C16" s="53">
        <v>2.8</v>
      </c>
      <c r="D16" s="54">
        <f>(B16-100)/100*C16/12</f>
        <v>1.2E-2</v>
      </c>
      <c r="E16" s="55">
        <f>1+D16</f>
        <v>1.012</v>
      </c>
    </row>
    <row r="17" spans="1:5" x14ac:dyDescent="0.3">
      <c r="A17" s="47" t="s">
        <v>31</v>
      </c>
      <c r="B17" s="48"/>
      <c r="C17" s="48"/>
      <c r="D17" s="48"/>
      <c r="E17" s="49"/>
    </row>
    <row r="18" spans="1:5" ht="57.6" x14ac:dyDescent="0.3">
      <c r="A18" s="50"/>
      <c r="B18" s="51" t="s">
        <v>36</v>
      </c>
      <c r="C18" s="52" t="s">
        <v>67</v>
      </c>
      <c r="D18" s="52" t="s">
        <v>37</v>
      </c>
      <c r="E18" s="51" t="s">
        <v>38</v>
      </c>
    </row>
    <row r="19" spans="1:5" x14ac:dyDescent="0.3">
      <c r="A19" s="53">
        <v>2</v>
      </c>
      <c r="B19" s="53">
        <v>105</v>
      </c>
      <c r="C19" s="53">
        <v>0.2</v>
      </c>
      <c r="D19" s="54">
        <f>(B19-100)/100*C19/12</f>
        <v>1E-3</v>
      </c>
      <c r="E19" s="55">
        <f>1+D19</f>
        <v>1.0009999999999999</v>
      </c>
    </row>
    <row r="20" spans="1:5" x14ac:dyDescent="0.3">
      <c r="A20" s="47" t="s">
        <v>35</v>
      </c>
      <c r="B20" s="48"/>
      <c r="C20" s="48"/>
      <c r="D20" s="48"/>
      <c r="E20" s="49"/>
    </row>
    <row r="21" spans="1:5" ht="43.2" x14ac:dyDescent="0.3">
      <c r="A21" s="50"/>
      <c r="B21" s="51" t="s">
        <v>39</v>
      </c>
      <c r="C21" s="52" t="s">
        <v>68</v>
      </c>
      <c r="D21" s="52" t="s">
        <v>40</v>
      </c>
      <c r="E21" s="51" t="s">
        <v>49</v>
      </c>
    </row>
    <row r="22" spans="1:5" x14ac:dyDescent="0.3">
      <c r="A22" s="53">
        <v>3</v>
      </c>
      <c r="B22" s="53">
        <v>105.1</v>
      </c>
      <c r="C22" s="53">
        <v>12</v>
      </c>
      <c r="D22" s="54">
        <f>(B22-100)/100*C22/12</f>
        <v>5.0999999999999997E-2</v>
      </c>
      <c r="E22" s="55">
        <f>1+D22</f>
        <v>1.0509999999999999</v>
      </c>
    </row>
    <row r="23" spans="1:5" x14ac:dyDescent="0.3">
      <c r="A23" s="56" t="s">
        <v>48</v>
      </c>
      <c r="B23" s="56"/>
      <c r="C23" s="56"/>
      <c r="D23" s="56"/>
      <c r="E23" s="56"/>
    </row>
    <row r="24" spans="1:5" ht="43.2" x14ac:dyDescent="0.3">
      <c r="A24" s="50"/>
      <c r="B24" s="51" t="s">
        <v>51</v>
      </c>
      <c r="C24" s="52" t="s">
        <v>57</v>
      </c>
      <c r="D24" s="52" t="s">
        <v>52</v>
      </c>
      <c r="E24" s="51" t="s">
        <v>53</v>
      </c>
    </row>
    <row r="25" spans="1:5" x14ac:dyDescent="0.3">
      <c r="A25" s="53">
        <v>3</v>
      </c>
      <c r="B25" s="53">
        <v>105.1</v>
      </c>
      <c r="C25" s="53">
        <v>12</v>
      </c>
      <c r="D25" s="54">
        <f>(B25-100)/100*C25/12</f>
        <v>5.0999999999999997E-2</v>
      </c>
      <c r="E25" s="55">
        <f>1+D25</f>
        <v>1.0509999999999999</v>
      </c>
    </row>
    <row r="26" spans="1:5" x14ac:dyDescent="0.3">
      <c r="A26" s="56" t="s">
        <v>50</v>
      </c>
      <c r="B26" s="56"/>
      <c r="C26" s="56"/>
      <c r="D26" s="56"/>
      <c r="E26" s="56"/>
    </row>
    <row r="27" spans="1:5" ht="43.2" x14ac:dyDescent="0.3">
      <c r="A27" s="50"/>
      <c r="B27" s="51" t="s">
        <v>54</v>
      </c>
      <c r="C27" s="52" t="s">
        <v>58</v>
      </c>
      <c r="D27" s="52" t="s">
        <v>55</v>
      </c>
      <c r="E27" s="51" t="s">
        <v>59</v>
      </c>
    </row>
    <row r="28" spans="1:5" x14ac:dyDescent="0.3">
      <c r="A28" s="53">
        <v>5</v>
      </c>
      <c r="B28" s="53">
        <v>105</v>
      </c>
      <c r="C28" s="53">
        <v>9</v>
      </c>
      <c r="D28" s="54">
        <f>(B28-100)/100*C28/12</f>
        <v>3.7999999999999999E-2</v>
      </c>
      <c r="E28" s="55">
        <f>1+D28</f>
        <v>1.038</v>
      </c>
    </row>
    <row r="29" spans="1:5" x14ac:dyDescent="0.3">
      <c r="A29" s="56"/>
      <c r="B29" s="56"/>
      <c r="C29" s="56"/>
      <c r="D29" s="56"/>
      <c r="E29" s="56"/>
    </row>
    <row r="30" spans="1:5" x14ac:dyDescent="0.3">
      <c r="A30" s="53">
        <v>6</v>
      </c>
      <c r="B30" s="71" t="s">
        <v>56</v>
      </c>
      <c r="C30" s="71"/>
      <c r="D30" s="51" t="s">
        <v>69</v>
      </c>
      <c r="E30" s="55" t="s">
        <v>60</v>
      </c>
    </row>
    <row r="31" spans="1:5" x14ac:dyDescent="0.3">
      <c r="A31" s="53"/>
      <c r="B31" s="71"/>
      <c r="C31" s="71"/>
      <c r="D31" s="85">
        <f>D19+D22+D25+D28</f>
        <v>0.14099999999999999</v>
      </c>
      <c r="E31" s="55">
        <f>1+0.5*D31</f>
        <v>1.071</v>
      </c>
    </row>
    <row r="32" spans="1:5" x14ac:dyDescent="0.3">
      <c r="A32" s="57">
        <v>7</v>
      </c>
      <c r="B32" s="58" t="s">
        <v>41</v>
      </c>
      <c r="C32" s="58"/>
      <c r="D32" s="51" t="s">
        <v>70</v>
      </c>
      <c r="E32" s="59">
        <f>E16*E31</f>
        <v>1.0840000000000001</v>
      </c>
    </row>
    <row r="33" spans="1:15" x14ac:dyDescent="0.3">
      <c r="A33" s="60" t="s">
        <v>42</v>
      </c>
      <c r="B33" s="61"/>
      <c r="C33" s="61"/>
      <c r="D33" s="61"/>
      <c r="E33" s="62"/>
    </row>
    <row r="34" spans="1:15" x14ac:dyDescent="0.3">
      <c r="A34" s="63" t="s">
        <v>43</v>
      </c>
      <c r="B34" s="64"/>
      <c r="C34" s="65"/>
      <c r="D34" s="66"/>
      <c r="E34" s="86">
        <f>D8</f>
        <v>3486360657</v>
      </c>
    </row>
    <row r="35" spans="1:15" x14ac:dyDescent="0.3">
      <c r="A35" s="63" t="s">
        <v>44</v>
      </c>
      <c r="B35" s="64"/>
      <c r="C35" s="65"/>
      <c r="D35" s="66"/>
      <c r="E35" s="67">
        <f>E32</f>
        <v>1.0840000000000001</v>
      </c>
    </row>
    <row r="36" spans="1:15" x14ac:dyDescent="0.3">
      <c r="A36" s="68" t="s">
        <v>45</v>
      </c>
      <c r="B36" s="69"/>
      <c r="C36" s="70"/>
      <c r="D36" s="71"/>
      <c r="E36" s="87">
        <f>E34*E35</f>
        <v>3779214952</v>
      </c>
    </row>
    <row r="37" spans="1:15" x14ac:dyDescent="0.3">
      <c r="A37" s="82"/>
      <c r="B37" s="83"/>
      <c r="C37" s="84"/>
      <c r="D37" s="71"/>
      <c r="E37" s="72"/>
      <c r="G37" t="s">
        <v>73</v>
      </c>
      <c r="H37" s="94">
        <f>E36-E34</f>
        <v>292854295</v>
      </c>
      <c r="L37" s="95"/>
      <c r="M37" s="95"/>
      <c r="N37" s="94"/>
    </row>
    <row r="38" spans="1:15" x14ac:dyDescent="0.3">
      <c r="A38" s="73" t="s">
        <v>61</v>
      </c>
      <c r="B38" s="74"/>
      <c r="C38" s="75" t="s">
        <v>46</v>
      </c>
      <c r="D38" s="75"/>
      <c r="E38" s="88">
        <f>E34+H37*0.1</f>
        <v>3515646087</v>
      </c>
      <c r="F38">
        <f>E38/E34</f>
        <v>1.00840000013802</v>
      </c>
      <c r="G38" s="96"/>
      <c r="H38" s="94"/>
    </row>
    <row r="39" spans="1:15" x14ac:dyDescent="0.3">
      <c r="D39" s="45" t="s">
        <v>47</v>
      </c>
      <c r="E39" s="89">
        <f>E38-E34</f>
        <v>29285430</v>
      </c>
      <c r="H39" s="94"/>
      <c r="L39" s="94"/>
      <c r="M39" s="94"/>
      <c r="N39" s="94"/>
      <c r="O39" s="94"/>
    </row>
    <row r="40" spans="1:15" x14ac:dyDescent="0.3">
      <c r="H40" s="94"/>
    </row>
    <row r="41" spans="1:15" x14ac:dyDescent="0.3">
      <c r="D41" s="90" t="s">
        <v>64</v>
      </c>
      <c r="E41" s="91">
        <f>E38*1.2</f>
        <v>4218775304.4000001</v>
      </c>
      <c r="H41" s="94"/>
      <c r="L41" s="94"/>
    </row>
    <row r="43" spans="1:15" x14ac:dyDescent="0.3">
      <c r="L43" s="94"/>
    </row>
  </sheetData>
  <mergeCells count="18">
    <mergeCell ref="A33:E33"/>
    <mergeCell ref="A34:C34"/>
    <mergeCell ref="A35:C35"/>
    <mergeCell ref="A36:C36"/>
    <mergeCell ref="A38:B38"/>
    <mergeCell ref="C38:D38"/>
    <mergeCell ref="A20:E20"/>
    <mergeCell ref="A23:E23"/>
    <mergeCell ref="A26:E26"/>
    <mergeCell ref="A29:E29"/>
    <mergeCell ref="A10:E10"/>
    <mergeCell ref="A14:E14"/>
    <mergeCell ref="A17:E17"/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записка</vt:lpstr>
      <vt:lpstr>НМЦ</vt:lpstr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2019-10-29T15:57:48Z</dcterms:modified>
</cp:coreProperties>
</file>