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964" activeTab="3"/>
  </bookViews>
  <sheets>
    <sheet name="Календарный план" sheetId="60" r:id="rId1"/>
    <sheet name="Расчет КВЛ" sheetId="20" r:id="rId2"/>
    <sheet name="УНЦС" sheetId="30" r:id="rId3"/>
    <sheet name="Пояснительная записка" sheetId="14" r:id="rId4"/>
    <sheet name="Протокол" sheetId="22" r:id="rId5"/>
    <sheet name="НМЦ" sheetId="7" r:id="rId6"/>
    <sheet name="НМЦК" sheetId="21" r:id="rId7"/>
    <sheet name="Экологическая экспертиза расчет" sheetId="55" r:id="rId8"/>
    <sheet name="Сводная ПИР" sheetId="18" r:id="rId9"/>
    <sheet name="ПД" sheetId="59" r:id="rId10"/>
    <sheet name="Экспертиза" sheetId="17" r:id="rId11"/>
    <sheet name="Геодезия" sheetId="45" r:id="rId12"/>
    <sheet name="Геология" sheetId="46" r:id="rId13"/>
    <sheet name="Геофизика" sheetId="47" r:id="rId14"/>
    <sheet name="Гидромет" sheetId="48" r:id="rId15"/>
    <sheet name="Сели Лавины" sheetId="49" r:id="rId16"/>
    <sheet name="Экология" sheetId="50" r:id="rId17"/>
    <sheet name="Археология" sheetId="51" r:id="rId18"/>
    <sheet name="ВОП по форме 3П" sheetId="42" r:id="rId19"/>
    <sheet name="Сводная Изыскания" sheetId="53" r:id="rId20"/>
    <sheet name="ВОП (для справки) " sheetId="4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AUTOEXEC" localSheetId="18">#REF!</definedName>
    <definedName name="\AUTOEXEC" localSheetId="11">#REF!</definedName>
    <definedName name="\AUTOEXEC" localSheetId="0">#REF!</definedName>
    <definedName name="\AUTOEXEC" localSheetId="19">#REF!</definedName>
    <definedName name="\AUTOEXEC" localSheetId="15">#REF!</definedName>
    <definedName name="\AUTOEXEC">#REF!</definedName>
    <definedName name="\k" localSheetId="18">#REF!</definedName>
    <definedName name="\k" localSheetId="11">#REF!</definedName>
    <definedName name="\k" localSheetId="0">#REF!</definedName>
    <definedName name="\k" localSheetId="19">#REF!</definedName>
    <definedName name="\k" localSheetId="15">#REF!</definedName>
    <definedName name="\k">#REF!</definedName>
    <definedName name="\m" localSheetId="18">#REF!</definedName>
    <definedName name="\m" localSheetId="11">#REF!</definedName>
    <definedName name="\m" localSheetId="0">#REF!</definedName>
    <definedName name="\m" localSheetId="19">#REF!</definedName>
    <definedName name="\m" localSheetId="15">#REF!</definedName>
    <definedName name="\m">#REF!</definedName>
    <definedName name="\s" localSheetId="18">#REF!</definedName>
    <definedName name="\s" localSheetId="11">#REF!</definedName>
    <definedName name="\s" localSheetId="0">#REF!</definedName>
    <definedName name="\s">#REF!</definedName>
    <definedName name="\z" localSheetId="18">#REF!</definedName>
    <definedName name="\z" localSheetId="11">#REF!</definedName>
    <definedName name="\z" localSheetId="0">#REF!</definedName>
    <definedName name="\z">#REF!</definedName>
    <definedName name="_a2" localSheetId="18">#REF!</definedName>
    <definedName name="_a2" localSheetId="0">#REF!</definedName>
    <definedName name="_a2">#REF!</definedName>
    <definedName name="_AUTOEXEC" localSheetId="0">#REF!</definedName>
    <definedName name="_AUTOEXEC">#REF!</definedName>
    <definedName name="_AUTOEXEC_1" localSheetId="18">#REF!</definedName>
    <definedName name="_AUTOEXEC_1" localSheetId="0">#REF!</definedName>
    <definedName name="_AUTOEXEC_1">#REF!</definedName>
    <definedName name="_AUTOEXEC_1_1" localSheetId="0">[1]Смета!#REF!</definedName>
    <definedName name="_AUTOEXEC_1_1">[2]Смета!#REF!</definedName>
    <definedName name="_AUTOEXEC_2" localSheetId="18">#REF!</definedName>
    <definedName name="_AUTOEXEC_2" localSheetId="0">#REF!</definedName>
    <definedName name="_AUTOEXEC_2" localSheetId="7">#REF!</definedName>
    <definedName name="_AUTOEXEC_2">#REF!</definedName>
    <definedName name="_k" localSheetId="0">#REF!</definedName>
    <definedName name="_k" localSheetId="7">#REF!</definedName>
    <definedName name="_k">#REF!</definedName>
    <definedName name="_k_1" localSheetId="18">#REF!</definedName>
    <definedName name="_k_1" localSheetId="0">#REF!</definedName>
    <definedName name="_k_1" localSheetId="7">#REF!</definedName>
    <definedName name="_k_1">#REF!</definedName>
    <definedName name="_k_1_1" localSheetId="0">[1]Смета!#REF!</definedName>
    <definedName name="_k_1_1" localSheetId="7">[2]Смета!#REF!</definedName>
    <definedName name="_k_1_1">[2]Смета!#REF!</definedName>
    <definedName name="_k_2" localSheetId="18">#REF!</definedName>
    <definedName name="_k_2" localSheetId="0">#REF!</definedName>
    <definedName name="_k_2" localSheetId="7">#REF!</definedName>
    <definedName name="_k_2">#REF!</definedName>
    <definedName name="_m" localSheetId="0">#REF!</definedName>
    <definedName name="_m" localSheetId="7">#REF!</definedName>
    <definedName name="_m">#REF!</definedName>
    <definedName name="_m_1" localSheetId="18">#REF!</definedName>
    <definedName name="_m_1" localSheetId="0">#REF!</definedName>
    <definedName name="_m_1" localSheetId="7">#REF!</definedName>
    <definedName name="_m_1">#REF!</definedName>
    <definedName name="_m_1_1" localSheetId="0">[1]Смета!#REF!</definedName>
    <definedName name="_m_1_1" localSheetId="7">[2]Смета!#REF!</definedName>
    <definedName name="_m_1_1">[2]Смета!#REF!</definedName>
    <definedName name="_m_2" localSheetId="18">#REF!</definedName>
    <definedName name="_m_2" localSheetId="0">#REF!</definedName>
    <definedName name="_m_2" localSheetId="7">#REF!</definedName>
    <definedName name="_m_2">#REF!</definedName>
    <definedName name="_s" localSheetId="0">#REF!</definedName>
    <definedName name="_s" localSheetId="7">#REF!</definedName>
    <definedName name="_s">#REF!</definedName>
    <definedName name="_s_1" localSheetId="18">#REF!</definedName>
    <definedName name="_s_1" localSheetId="0">#REF!</definedName>
    <definedName name="_s_1" localSheetId="7">#REF!</definedName>
    <definedName name="_s_1">#REF!</definedName>
    <definedName name="_s_1_1" localSheetId="0">[1]Смета!#REF!</definedName>
    <definedName name="_s_1_1" localSheetId="7">[2]Смета!#REF!</definedName>
    <definedName name="_s_1_1">[2]Смета!#REF!</definedName>
    <definedName name="_s_2" localSheetId="18">#REF!</definedName>
    <definedName name="_s_2" localSheetId="0">#REF!</definedName>
    <definedName name="_s_2" localSheetId="7">#REF!</definedName>
    <definedName name="_s_2">#REF!</definedName>
    <definedName name="_z" localSheetId="0">#REF!</definedName>
    <definedName name="_z" localSheetId="7">#REF!</definedName>
    <definedName name="_z">#REF!</definedName>
    <definedName name="_z_1" localSheetId="18">#REF!</definedName>
    <definedName name="_z_1" localSheetId="0">#REF!</definedName>
    <definedName name="_z_1" localSheetId="7">#REF!</definedName>
    <definedName name="_z_1">#REF!</definedName>
    <definedName name="_z_1_1" localSheetId="0">[1]Смета!#REF!</definedName>
    <definedName name="_z_1_1" localSheetId="7">[2]Смета!#REF!</definedName>
    <definedName name="_z_1_1">[2]Смета!#REF!</definedName>
    <definedName name="_z_2" localSheetId="18">#REF!</definedName>
    <definedName name="_z_2" localSheetId="0">#REF!</definedName>
    <definedName name="_z_2" localSheetId="7">#REF!</definedName>
    <definedName name="_z_2">#REF!</definedName>
    <definedName name="a" localSheetId="18" hidden="1">{#N/A,#N/A,TRUE,"Смета на пасс. обор. №1"}</definedName>
    <definedName name="a" localSheetId="0" hidden="1">{#N/A,#N/A,TRUE,"Смета на пасс. обор. №1"}</definedName>
    <definedName name="a" localSheetId="7" hidden="1">{#N/A,#N/A,TRUE,"Смета на пасс. обор. №1"}</definedName>
    <definedName name="a" hidden="1">{#N/A,#N/A,TRUE,"Смета на пасс. обор. №1"}</definedName>
    <definedName name="a_1" localSheetId="18" hidden="1">{#N/A,#N/A,TRUE,"Смета на пасс. обор. №1"}</definedName>
    <definedName name="a_1" localSheetId="0" hidden="1">{#N/A,#N/A,TRUE,"Смета на пасс. обор. №1"}</definedName>
    <definedName name="a_1" localSheetId="7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8">#REF!</definedName>
    <definedName name="as" localSheetId="0">#REF!</definedName>
    <definedName name="as" localSheetId="19">#REF!</definedName>
    <definedName name="as" localSheetId="7">#REF!</definedName>
    <definedName name="as" localSheetId="16">#REF!</definedName>
    <definedName name="as">#REF!</definedName>
    <definedName name="asd" localSheetId="18">#REF!</definedName>
    <definedName name="asd" localSheetId="0">#REF!</definedName>
    <definedName name="asd" localSheetId="7">#REF!</definedName>
    <definedName name="asd">#REF!</definedName>
    <definedName name="ave_height" localSheetId="18">#REF!</definedName>
    <definedName name="ave_height" localSheetId="0">#REF!</definedName>
    <definedName name="ave_height">#REF!</definedName>
    <definedName name="ave_hight" localSheetId="18">#REF!</definedName>
    <definedName name="ave_hight" localSheetId="0">#REF!</definedName>
    <definedName name="ave_hight">#REF!</definedName>
    <definedName name="b" localSheetId="18" hidden="1">{#N/A,#N/A,TRUE,"Смета на пасс. обор. №1"}</definedName>
    <definedName name="b" localSheetId="0" hidden="1">{#N/A,#N/A,TRUE,"Смета на пасс. обор. №1"}</definedName>
    <definedName name="b" localSheetId="7" hidden="1">{#N/A,#N/A,TRUE,"Смета на пасс. обор. №1"}</definedName>
    <definedName name="b" hidden="1">{#N/A,#N/A,TRUE,"Смета на пасс. обор. №1"}</definedName>
    <definedName name="b_1" localSheetId="18" hidden="1">{#N/A,#N/A,TRUE,"Смета на пасс. обор. №1"}</definedName>
    <definedName name="b_1" localSheetId="0" hidden="1">{#N/A,#N/A,TRUE,"Смета на пасс. обор. №1"}</definedName>
    <definedName name="b_1" localSheetId="7" hidden="1">{#N/A,#N/A,TRUE,"Смета на пасс. обор. №1"}</definedName>
    <definedName name="b_1" hidden="1">{#N/A,#N/A,TRUE,"Смета на пасс. обор. №1"}</definedName>
    <definedName name="ba" localSheetId="18" hidden="1">{#N/A,#N/A,TRUE,"Смета на пасс. обор. №1"}</definedName>
    <definedName name="ba" localSheetId="0" hidden="1">{#N/A,#N/A,TRUE,"Смета на пасс. обор. №1"}</definedName>
    <definedName name="ba" localSheetId="7" hidden="1">{#N/A,#N/A,TRUE,"Смета на пасс. обор. №1"}</definedName>
    <definedName name="ba" hidden="1">{#N/A,#N/A,TRUE,"Смета на пасс. обор. №1"}</definedName>
    <definedName name="ba_1" localSheetId="18" hidden="1">{#N/A,#N/A,TRUE,"Смета на пасс. обор. №1"}</definedName>
    <definedName name="ba_1" localSheetId="0" hidden="1">{#N/A,#N/A,TRUE,"Смета на пасс. обор. №1"}</definedName>
    <definedName name="ba_1" localSheetId="7" hidden="1">{#N/A,#N/A,TRUE,"Смета на пасс. обор. №1"}</definedName>
    <definedName name="ba_1" hidden="1">{#N/A,#N/A,TRUE,"Смета на пасс. обор. №1"}</definedName>
    <definedName name="bjbkl" localSheetId="18">[3]топография!#REF!</definedName>
    <definedName name="bjbkl" localSheetId="0">[3]топография!#REF!</definedName>
    <definedName name="bjbkl">[3]топография!#REF!</definedName>
    <definedName name="ccc" localSheetId="18" hidden="1">{#N/A,#N/A,TRUE,"Смета на пасс. обор. №1"}</definedName>
    <definedName name="ccc" localSheetId="0" hidden="1">{#N/A,#N/A,TRUE,"Смета на пасс. обор. №1"}</definedName>
    <definedName name="ccc" localSheetId="7" hidden="1">{#N/A,#N/A,TRUE,"Смета на пасс. обор. №1"}</definedName>
    <definedName name="ccc" hidden="1">{#N/A,#N/A,TRUE,"Смета на пасс. обор. №1"}</definedName>
    <definedName name="ccc_1" localSheetId="18" hidden="1">{#N/A,#N/A,TRUE,"Смета на пасс. обор. №1"}</definedName>
    <definedName name="ccc_1" localSheetId="0" hidden="1">{#N/A,#N/A,TRUE,"Смета на пасс. обор. №1"}</definedName>
    <definedName name="ccc_1" localSheetId="7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8">[4]Lucent!#REF!</definedName>
    <definedName name="Dc" localSheetId="0">[4]Lucent!#REF!</definedName>
    <definedName name="Dc" localSheetId="7">[4]Lucent!#REF!</definedName>
    <definedName name="Dc">[4]Lucent!#REF!</definedName>
    <definedName name="dck" localSheetId="17">[3]топография!#REF!</definedName>
    <definedName name="dck" localSheetId="20">[3]топография!#REF!</definedName>
    <definedName name="dck" localSheetId="18">[3]топография!#REF!</definedName>
    <definedName name="dck" localSheetId="11">[3]топография!#REF!</definedName>
    <definedName name="dck" localSheetId="0">[3]топография!#REF!</definedName>
    <definedName name="dck" localSheetId="19">[3]топография!#REF!</definedName>
    <definedName name="dck" localSheetId="15">[3]топография!#REF!</definedName>
    <definedName name="dck" localSheetId="7">[3]топография!#REF!</definedName>
    <definedName name="dck">[3]топография!#REF!</definedName>
    <definedName name="dck_1" localSheetId="0">[3]топография!#REF!</definedName>
    <definedName name="dck_1" localSheetId="7">[3]топография!#REF!</definedName>
    <definedName name="dck_1">[3]топография!#REF!</definedName>
    <definedName name="ddduy" localSheetId="18">#REF!</definedName>
    <definedName name="ddduy" localSheetId="0">#REF!</definedName>
    <definedName name="ddduy" localSheetId="7">#REF!</definedName>
    <definedName name="ddduy">#REF!</definedName>
    <definedName name="Delivery">1.15</definedName>
    <definedName name="df" localSheetId="18">#REF!</definedName>
    <definedName name="df" localSheetId="0">#REF!</definedName>
    <definedName name="df" localSheetId="19">#REF!</definedName>
    <definedName name="df" localSheetId="15">#REF!</definedName>
    <definedName name="df" localSheetId="7">#REF!</definedName>
    <definedName name="df" localSheetId="16">#REF!</definedName>
    <definedName name="df">#REF!</definedName>
    <definedName name="Disc_Tbl" localSheetId="18">#REF!</definedName>
    <definedName name="Disc_Tbl" localSheetId="0">#REF!</definedName>
    <definedName name="Disc_Tbl" localSheetId="7">#REF!</definedName>
    <definedName name="Disc_Tbl">#REF!</definedName>
    <definedName name="Dl" localSheetId="18">[4]Lucent!#REF!</definedName>
    <definedName name="Dl" localSheetId="0">[4]Lucent!#REF!</definedName>
    <definedName name="Dl" localSheetId="7">[4]Lucent!#REF!</definedName>
    <definedName name="Dl">[4]Lucent!#REF!</definedName>
    <definedName name="Dsc_Vector" localSheetId="18">#REF!</definedName>
    <definedName name="Dsc_Vector" localSheetId="0">#REF!</definedName>
    <definedName name="Dsc_Vector" localSheetId="7">#REF!</definedName>
    <definedName name="Dsc_Vector">#REF!</definedName>
    <definedName name="e" localSheetId="18" hidden="1">{#N/A,#N/A,TRUE,"Смета на пасс. обор. №1"}</definedName>
    <definedName name="e" localSheetId="0" hidden="1">{#N/A,#N/A,TRUE,"Смета на пасс. обор. №1"}</definedName>
    <definedName name="e" localSheetId="7" hidden="1">{#N/A,#N/A,TRUE,"Смета на пасс. обор. №1"}</definedName>
    <definedName name="e" hidden="1">{#N/A,#N/A,TRUE,"Смета на пасс. обор. №1"}</definedName>
    <definedName name="e_1" localSheetId="18" hidden="1">{#N/A,#N/A,TRUE,"Смета на пасс. обор. №1"}</definedName>
    <definedName name="e_1" localSheetId="0" hidden="1">{#N/A,#N/A,TRUE,"Смета на пасс. обор. №1"}</definedName>
    <definedName name="e_1" localSheetId="7" hidden="1">{#N/A,#N/A,TRUE,"Смета на пасс. обор. №1"}</definedName>
    <definedName name="e_1" hidden="1">{#N/A,#N/A,TRUE,"Смета на пасс. обор. №1"}</definedName>
    <definedName name="EQUIP" localSheetId="18">[5]Спецификация!#REF!</definedName>
    <definedName name="EQUIP" localSheetId="0">[5]Спецификация!#REF!</definedName>
    <definedName name="EQUIP">[5]Спецификация!#REF!</definedName>
    <definedName name="ert" localSheetId="18">#REF!</definedName>
    <definedName name="ert" localSheetId="0">#REF!</definedName>
    <definedName name="ert" localSheetId="19">#REF!</definedName>
    <definedName name="ert" localSheetId="15">#REF!</definedName>
    <definedName name="ert" localSheetId="7">#REF!</definedName>
    <definedName name="ert" localSheetId="16">#REF!</definedName>
    <definedName name="ert">#REF!</definedName>
    <definedName name="Excel_BuiltIn_Print_Area" localSheetId="18">#REF!</definedName>
    <definedName name="Excel_BuiltIn_Print_Area" localSheetId="0">#REF!</definedName>
    <definedName name="Excel_BuiltIn_Print_Area" localSheetId="7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8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8">#REF!</definedName>
    <definedName name="Excel_BuiltIn_Print_Area_5" localSheetId="0">#REF!</definedName>
    <definedName name="Excel_BuiltIn_Print_Area_5" localSheetId="7">#REF!</definedName>
    <definedName name="Excel_BuiltIn_Print_Area_5">#REF!</definedName>
    <definedName name="Excel_BuiltIn_Print_Area_7">"$#ССЫЛ!.$A$2:$E$5"</definedName>
    <definedName name="Excel_BuiltIn_Print_Titles" localSheetId="0">#REF!</definedName>
    <definedName name="Excel_BuiltIn_Print_Titles">#REF!</definedName>
    <definedName name="Excel_BuiltIn_Print_Titles_1" localSheetId="0">#REF!</definedName>
    <definedName name="Excel_BuiltIn_Print_Titles_1">#REF!</definedName>
    <definedName name="Excel_BuiltIn_Print_Titles_2" localSheetId="18">#REF!</definedName>
    <definedName name="Excel_BuiltIn_Print_Titles_2" localSheetId="0">#REF!</definedName>
    <definedName name="Excel_BuiltIn_Print_Titles_2" localSheetId="19">#REF!</definedName>
    <definedName name="Excel_BuiltIn_Print_Titles_2" localSheetId="15">#REF!</definedName>
    <definedName name="Excel_BuiltIn_Print_Titles_2">#REF!</definedName>
    <definedName name="Excel_BuiltIn_Print_Titles_3" localSheetId="18">#REF!</definedName>
    <definedName name="Excel_BuiltIn_Print_Titles_3" localSheetId="0">#REF!</definedName>
    <definedName name="Excel_BuiltIn_Print_Titles_3" localSheetId="19">#REF!</definedName>
    <definedName name="Excel_BuiltIn_Print_Titles_3">#REF!</definedName>
    <definedName name="fg" localSheetId="18">#REF!</definedName>
    <definedName name="fg" localSheetId="0">#REF!</definedName>
    <definedName name="fg" localSheetId="19">#REF!</definedName>
    <definedName name="fg">#REF!</definedName>
    <definedName name="fl" localSheetId="18">[4]Lucent!#REF!</definedName>
    <definedName name="fl" localSheetId="0">[4]Lucent!#REF!</definedName>
    <definedName name="fl" localSheetId="7">[4]Lucent!#REF!</definedName>
    <definedName name="fl">[4]Lucent!#REF!</definedName>
    <definedName name="Grp_Vector" localSheetId="18">#REF!</definedName>
    <definedName name="Grp_Vector" localSheetId="0">#REF!</definedName>
    <definedName name="Grp_Vector" localSheetId="7">#REF!</definedName>
    <definedName name="Grp_Vector">#REF!</definedName>
    <definedName name="Importation_Cost" localSheetId="18">#REF!</definedName>
    <definedName name="Importation_Cost" localSheetId="0">#REF!</definedName>
    <definedName name="Importation_Cost" localSheetId="7">#REF!</definedName>
    <definedName name="Importation_Cost">#REF!</definedName>
    <definedName name="Itog" localSheetId="17">#REF!</definedName>
    <definedName name="Itog" localSheetId="20">#REF!</definedName>
    <definedName name="Itog" localSheetId="18">#REF!</definedName>
    <definedName name="Itog" localSheetId="11">#REF!</definedName>
    <definedName name="Itog" localSheetId="0">#REF!</definedName>
    <definedName name="Itog" localSheetId="15">#REF!</definedName>
    <definedName name="Itog" localSheetId="7">#REF!</definedName>
    <definedName name="Itog">#REF!</definedName>
    <definedName name="Itog_1" localSheetId="0">#REF!</definedName>
    <definedName name="Itog_1">#REF!</definedName>
    <definedName name="j" localSheetId="18" hidden="1">{#N/A,#N/A,TRUE,"Смета на пасс. обор. №1"}</definedName>
    <definedName name="j" localSheetId="0" hidden="1">{#N/A,#N/A,TRUE,"Смета на пасс. обор. №1"}</definedName>
    <definedName name="j" localSheetId="7" hidden="1">{#N/A,#N/A,TRUE,"Смета на пасс. обор. №1"}</definedName>
    <definedName name="j" hidden="1">{#N/A,#N/A,TRUE,"Смета на пасс. обор. №1"}</definedName>
    <definedName name="j_1" localSheetId="18" hidden="1">{#N/A,#N/A,TRUE,"Смета на пасс. обор. №1"}</definedName>
    <definedName name="j_1" localSheetId="0" hidden="1">{#N/A,#N/A,TRUE,"Смета на пасс. обор. №1"}</definedName>
    <definedName name="j_1" localSheetId="7" hidden="1">{#N/A,#N/A,TRUE,"Смета на пасс. обор. №1"}</definedName>
    <definedName name="j_1" hidden="1">{#N/A,#N/A,TRUE,"Смета на пасс. обор. №1"}</definedName>
    <definedName name="kkkkk" localSheetId="0">#REF!</definedName>
    <definedName name="kkkkk">#REF!</definedName>
    <definedName name="Koeffcb" localSheetId="18">#REF!</definedName>
    <definedName name="Koeffcb" localSheetId="0">#REF!</definedName>
    <definedName name="Koeffcb" localSheetId="7">#REF!</definedName>
    <definedName name="Koeffcb">#REF!</definedName>
    <definedName name="KPlan" localSheetId="17">#REF!</definedName>
    <definedName name="KPlan" localSheetId="20">#REF!</definedName>
    <definedName name="KPlan" localSheetId="18">#REF!</definedName>
    <definedName name="KPlan" localSheetId="0">#REF!</definedName>
    <definedName name="KPlan" localSheetId="19">#REF!</definedName>
    <definedName name="KPlan">#REF!</definedName>
    <definedName name="lp">[6]Panduit!$E$4</definedName>
    <definedName name="m" localSheetId="18">[7]Microsoft!#REF!</definedName>
    <definedName name="m" localSheetId="0">[7]Microsoft!#REF!</definedName>
    <definedName name="m" localSheetId="7">[7]Microsoft!#REF!</definedName>
    <definedName name="m">[7]Microsoft!#REF!</definedName>
    <definedName name="MATER" localSheetId="18">[5]Спецификация!#REF!</definedName>
    <definedName name="MATER" localSheetId="0">[5]Спецификация!#REF!</definedName>
    <definedName name="MATER" localSheetId="7">[5]Спецификация!#REF!</definedName>
    <definedName name="MATER">[5]Спецификация!#REF!</definedName>
    <definedName name="mm" localSheetId="18">[7]Microsoft!#REF!</definedName>
    <definedName name="mm" localSheetId="0">[7]Microsoft!#REF!</definedName>
    <definedName name="mm" localSheetId="7">[7]Microsoft!#REF!</definedName>
    <definedName name="mm">[7]Microsoft!#REF!</definedName>
    <definedName name="mmm" localSheetId="18">[7]Microsoft!#REF!</definedName>
    <definedName name="mmm" localSheetId="0">[7]Microsoft!#REF!</definedName>
    <definedName name="mmm" localSheetId="7">[7]Microsoft!#REF!</definedName>
    <definedName name="mmm">[7]Microsoft!#REF!</definedName>
    <definedName name="n_1" localSheetId="18">{"","одинz","дваz","триz","четыреz","пятьz","шестьz","семьz","восемьz","девятьz"}</definedName>
    <definedName name="n_1" localSheetId="0">{"","одинz","дваz","триz","четыреz","пятьz","шестьz","семьz","восемьz","девятьz"}</definedName>
    <definedName name="n_1" localSheetId="7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8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7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8">{"";1;"двадцатьz";"тридцатьz";"сорокz";"пятьдесятz";"шестьдесятz";"семьдесятz";"восемьдесятz";"девяностоz"}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 localSheetId="7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8">{"","стоz","двестиz","тристаz","четырестаz","пятьсотz","шестьсотz","семьсотz","восемьсотz","девятьсотz"}</definedName>
    <definedName name="n_4" localSheetId="0">{"","стоz","двестиz","тристаz","четырестаz","пятьсотz","шестьсотz","семьсотz","восемьсотz","девятьсотz"}</definedName>
    <definedName name="n_4" localSheetId="7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8">{"","однаz","двеz","триz","четыреz","пятьz","шестьz","семьz","восемьz","девятьz"}</definedName>
    <definedName name="n_5" localSheetId="0">{"","однаz","двеz","триz","четыреz","пятьz","шестьz","семьz","восемьz","девятьz"}</definedName>
    <definedName name="n_5" localSheetId="7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8">IF('ВОП по форме 3П'!n_3=1,'ВОП по форме 3П'!n_2,'ВОП по форме 3П'!n_3&amp;'ВОП по форме 3П'!n_1)</definedName>
    <definedName name="n0x" localSheetId="0">IF('Календарный план'!n_3=1,'Календарный план'!n_2,'Календарный план'!n_3&amp;'Календарный план'!n_1)</definedName>
    <definedName name="n0x" localSheetId="7">IF('Экологическая экспертиза расчет'!n_3=1,'Экологическая экспертиза расчет'!n_2,'Экологическая экспертиза расчет'!n_3&amp;'Экологическая экспертиза расчет'!n_1)</definedName>
    <definedName name="n0x">IF(n_3=1,n_2,n_3&amp;n_1)</definedName>
    <definedName name="n1x" localSheetId="18">IF('ВОП по форме 3П'!n_3=1,'ВОП по форме 3П'!n_2,'ВОП по форме 3П'!n_3&amp;'ВОП по форме 3П'!n_5)</definedName>
    <definedName name="n1x" localSheetId="0">IF('Календарный план'!n_3=1,'Календарный план'!n_2,'Календарный план'!n_3&amp;'Календарный план'!n_5)</definedName>
    <definedName name="n1x" localSheetId="7">IF('Экологическая экспертиза расчет'!n_3=1,'Экологическая экспертиза расчет'!n_2,'Экологическая экспертиза расчет'!n_3&amp;'Экологическая экспертиза расчет'!n_5)</definedName>
    <definedName name="n1x">IF(n_3=1,n_2,n_3&amp;n_5)</definedName>
    <definedName name="name" localSheetId="18">#REF!</definedName>
    <definedName name="name" localSheetId="0">#REF!</definedName>
    <definedName name="name" localSheetId="7">#REF!</definedName>
    <definedName name="name">#REF!</definedName>
    <definedName name="p" localSheetId="18" hidden="1">{#N/A,#N/A,TRUE,"Смета на пасс. обор. №1"}</definedName>
    <definedName name="p" localSheetId="0" hidden="1">{#N/A,#N/A,TRUE,"Смета на пасс. обор. №1"}</definedName>
    <definedName name="p" localSheetId="7" hidden="1">{#N/A,#N/A,TRUE,"Смета на пасс. обор. №1"}</definedName>
    <definedName name="p" hidden="1">{#N/A,#N/A,TRUE,"Смета на пасс. обор. №1"}</definedName>
    <definedName name="p_1" localSheetId="18" hidden="1">{#N/A,#N/A,TRUE,"Смета на пасс. обор. №1"}</definedName>
    <definedName name="p_1" localSheetId="0" hidden="1">{#N/A,#N/A,TRUE,"Смета на пасс. обор. №1"}</definedName>
    <definedName name="p_1" localSheetId="7" hidden="1">{#N/A,#N/A,TRUE,"Смета на пасс. обор. №1"}</definedName>
    <definedName name="p_1" hidden="1">{#N/A,#N/A,TRUE,"Смета на пасс. обор. №1"}</definedName>
    <definedName name="ppp" localSheetId="18">#REF!</definedName>
    <definedName name="ppp" localSheetId="0">#REF!</definedName>
    <definedName name="ppp" localSheetId="7">#REF!</definedName>
    <definedName name="ppp">#REF!</definedName>
    <definedName name="pr" localSheetId="18">[5]Спецификация!#REF!</definedName>
    <definedName name="pr" localSheetId="0">[5]Спецификация!#REF!</definedName>
    <definedName name="pr" localSheetId="7">[5]Спецификация!#REF!</definedName>
    <definedName name="pr">[5]Спецификация!#REF!</definedName>
    <definedName name="Profit" localSheetId="18">[4]Lucent!#REF!</definedName>
    <definedName name="Profit" localSheetId="0">[4]Lucent!#REF!</definedName>
    <definedName name="Profit">[4]Lucent!#REF!</definedName>
    <definedName name="profit2" localSheetId="18">[4]Lucent!#REF!</definedName>
    <definedName name="profit2" localSheetId="0">[4]Lucent!#REF!</definedName>
    <definedName name="profit2">[4]Lucent!#REF!</definedName>
    <definedName name="ProfitLucent">1.65</definedName>
    <definedName name="PROJ" localSheetId="18">[5]Спецификация!#REF!</definedName>
    <definedName name="PROJ" localSheetId="0">[5]Спецификация!#REF!</definedName>
    <definedName name="PROJ" localSheetId="7">[5]Спецификация!#REF!</definedName>
    <definedName name="PROJ">[5]Спецификация!#REF!</definedName>
    <definedName name="q" localSheetId="18">#REF!</definedName>
    <definedName name="q" localSheetId="0">#REF!</definedName>
    <definedName name="q" localSheetId="19">#REF!</definedName>
    <definedName name="q" localSheetId="7">#REF!</definedName>
    <definedName name="q">#REF!</definedName>
    <definedName name="qqq" localSheetId="18" hidden="1">{#N/A,#N/A,TRUE,"Смета на пасс. обор. №1"}</definedName>
    <definedName name="qqq" localSheetId="0" hidden="1">{#N/A,#N/A,TRUE,"Смета на пасс. обор. №1"}</definedName>
    <definedName name="qqq" localSheetId="7" hidden="1">{#N/A,#N/A,TRUE,"Смета на пасс. обор. №1"}</definedName>
    <definedName name="qqq" hidden="1">{#N/A,#N/A,TRUE,"Смета на пасс. обор. №1"}</definedName>
    <definedName name="qqq_1" localSheetId="18" hidden="1">{#N/A,#N/A,TRUE,"Смета на пасс. обор. №1"}</definedName>
    <definedName name="qqq_1" localSheetId="0" hidden="1">{#N/A,#N/A,TRUE,"Смета на пасс. обор. №1"}</definedName>
    <definedName name="qqq_1" localSheetId="7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8">#REF!</definedName>
    <definedName name="qwer" localSheetId="0">#REF!</definedName>
    <definedName name="qwer" localSheetId="19">#REF!</definedName>
    <definedName name="qwer" localSheetId="7">#REF!</definedName>
    <definedName name="qwer">#REF!</definedName>
    <definedName name="R_Lst" localSheetId="18">#REF!</definedName>
    <definedName name="R_Lst" localSheetId="0">#REF!</definedName>
    <definedName name="R_Lst" localSheetId="7">#REF!</definedName>
    <definedName name="R_Lst">#REF!</definedName>
    <definedName name="R_Net" localSheetId="18">#REF!</definedName>
    <definedName name="R_Net" localSheetId="0">#REF!</definedName>
    <definedName name="R_Net">#REF!</definedName>
    <definedName name="Rate" localSheetId="18">#REF!</definedName>
    <definedName name="Rate" localSheetId="0">#REF!</definedName>
    <definedName name="Rate">#REF!</definedName>
    <definedName name="Rit">[8]УКП!$H$3</definedName>
    <definedName name="rty" localSheetId="18">#REF!</definedName>
    <definedName name="rty" localSheetId="0">#REF!</definedName>
    <definedName name="rty" localSheetId="19">#REF!</definedName>
    <definedName name="rty" localSheetId="7">#REF!</definedName>
    <definedName name="rty">#REF!</definedName>
    <definedName name="sd" localSheetId="18">#REF!</definedName>
    <definedName name="sd" localSheetId="0">#REF!</definedName>
    <definedName name="sd" localSheetId="19">#REF!</definedName>
    <definedName name="sd">#REF!</definedName>
    <definedName name="SM" localSheetId="18">#REF!</definedName>
    <definedName name="SM" localSheetId="11">#REF!</definedName>
    <definedName name="SM" localSheetId="0">#REF!</definedName>
    <definedName name="SM" localSheetId="19">#REF!</definedName>
    <definedName name="SM">#REF!</definedName>
    <definedName name="SM_SM" localSheetId="18">#REF!</definedName>
    <definedName name="SM_SM" localSheetId="11">#REF!</definedName>
    <definedName name="SM_SM" localSheetId="0">#REF!</definedName>
    <definedName name="SM_SM">#REF!</definedName>
    <definedName name="SM_STO" localSheetId="17">#REF!</definedName>
    <definedName name="SM_STO" localSheetId="20">#REF!</definedName>
    <definedName name="SM_STO" localSheetId="18">#REF!</definedName>
    <definedName name="SM_STO" localSheetId="11">Геодезия!#REF!</definedName>
    <definedName name="SM_STO" localSheetId="0">#REF!</definedName>
    <definedName name="SM_STO" localSheetId="7">#REF!</definedName>
    <definedName name="SM_STO">#REF!</definedName>
    <definedName name="SM_STO_1" localSheetId="18">#REF!</definedName>
    <definedName name="SM_STO_1" localSheetId="0">'[9]СМЕТА проект'!#REF!</definedName>
    <definedName name="SM_STO_1" localSheetId="7">'[9]СМЕТА проект'!#REF!</definedName>
    <definedName name="SM_STO_1">'[9]СМЕТА проект'!#REF!</definedName>
    <definedName name="SM_STO1" localSheetId="17">#REF!</definedName>
    <definedName name="SM_STO1" localSheetId="20">#REF!</definedName>
    <definedName name="SM_STO1" localSheetId="18">#REF!</definedName>
    <definedName name="SM_STO1" localSheetId="11">#REF!</definedName>
    <definedName name="SM_STO1" localSheetId="0">#REF!</definedName>
    <definedName name="SM_STO1" localSheetId="19">#REF!</definedName>
    <definedName name="SM_STO1" localSheetId="7">#REF!</definedName>
    <definedName name="SM_STO1">#REF!</definedName>
    <definedName name="SM_STO1_1" localSheetId="0">#REF!</definedName>
    <definedName name="SM_STO1_1" localSheetId="7">#REF!</definedName>
    <definedName name="SM_STO1_1">#REF!</definedName>
    <definedName name="SM_STO1_1_1" localSheetId="0">#REF!</definedName>
    <definedName name="SM_STO1_1_1">#REF!</definedName>
    <definedName name="SM_STO2" localSheetId="17">#REF!</definedName>
    <definedName name="SM_STO2" localSheetId="20">#REF!</definedName>
    <definedName name="SM_STO2" localSheetId="18">#REF!</definedName>
    <definedName name="SM_STO2" localSheetId="11">#REF!</definedName>
    <definedName name="SM_STO2" localSheetId="0">#REF!</definedName>
    <definedName name="SM_STO2" localSheetId="19">#REF!</definedName>
    <definedName name="SM_STO2">#REF!</definedName>
    <definedName name="SM_STO2_1" localSheetId="0">#REF!</definedName>
    <definedName name="SM_STO2_1">#REF!</definedName>
    <definedName name="SM_STO3" localSheetId="17">#REF!</definedName>
    <definedName name="SM_STO3" localSheetId="20">#REF!</definedName>
    <definedName name="SM_STO3" localSheetId="18">#REF!</definedName>
    <definedName name="SM_STO3" localSheetId="11">#REF!</definedName>
    <definedName name="SM_STO3" localSheetId="0">#REF!</definedName>
    <definedName name="SM_STO3" localSheetId="19">#REF!</definedName>
    <definedName name="SM_STO3">#REF!</definedName>
    <definedName name="SM_STO3_1" localSheetId="0">#REF!</definedName>
    <definedName name="SM_STO3_1">#REF!</definedName>
    <definedName name="Smmmmmmmmmmmmmmm" localSheetId="18">#REF!</definedName>
    <definedName name="Smmmmmmmmmmmmmmm" localSheetId="0">#REF!</definedName>
    <definedName name="Smmmmmmmmmmmmmmm">#REF!</definedName>
    <definedName name="SUM_" localSheetId="17">#REF!</definedName>
    <definedName name="SUM_" localSheetId="20">#REF!</definedName>
    <definedName name="SUM_" localSheetId="18">#REF!</definedName>
    <definedName name="SUM_" localSheetId="11">Геодезия!$IU$2</definedName>
    <definedName name="SUM_" localSheetId="0">#REF!</definedName>
    <definedName name="SUM_" localSheetId="7">#REF!</definedName>
    <definedName name="SUM_">#REF!</definedName>
    <definedName name="SUM__1" localSheetId="0">#REF!</definedName>
    <definedName name="SUM__1" localSheetId="7">#REF!</definedName>
    <definedName name="SUM__1">#REF!</definedName>
    <definedName name="SUM_1" localSheetId="17">#REF!</definedName>
    <definedName name="SUM_1" localSheetId="20">#REF!</definedName>
    <definedName name="SUM_1" localSheetId="18">#REF!</definedName>
    <definedName name="SUM_1" localSheetId="11">#REF!</definedName>
    <definedName name="SUM_1" localSheetId="0">#REF!</definedName>
    <definedName name="SUM_1">#REF!</definedName>
    <definedName name="SUM_1_1" localSheetId="0">#REF!</definedName>
    <definedName name="SUM_1_1">#REF!</definedName>
    <definedName name="SUM_1_1_1" localSheetId="0">#REF!</definedName>
    <definedName name="SUM_1_1_1">#REF!</definedName>
    <definedName name="sum_2" localSheetId="18">#REF!</definedName>
    <definedName name="sum_2" localSheetId="0">#REF!</definedName>
    <definedName name="sum_2">#REF!</definedName>
    <definedName name="SUM_3" localSheetId="17">#REF!</definedName>
    <definedName name="SUM_3" localSheetId="20">#REF!</definedName>
    <definedName name="SUM_3" localSheetId="18">#REF!</definedName>
    <definedName name="SUM_3" localSheetId="11">#REF!</definedName>
    <definedName name="SUM_3" localSheetId="0">#REF!</definedName>
    <definedName name="SUM_3">#REF!</definedName>
    <definedName name="SUM_3_1" localSheetId="0">#REF!</definedName>
    <definedName name="SUM_3_1">#REF!</definedName>
    <definedName name="sum_4" localSheetId="18">#REF!</definedName>
    <definedName name="sum_4" localSheetId="0">#REF!</definedName>
    <definedName name="sum_4">#REF!</definedName>
    <definedName name="SV" localSheetId="18">#REF!</definedName>
    <definedName name="SV" localSheetId="0">#REF!</definedName>
    <definedName name="SV">#REF!</definedName>
    <definedName name="SV_STO" localSheetId="18">#REF!</definedName>
    <definedName name="SV_STO" localSheetId="0">#REF!</definedName>
    <definedName name="SV_STO">#REF!</definedName>
    <definedName name="Times" localSheetId="18">#REF!</definedName>
    <definedName name="Times" localSheetId="0">#REF!</definedName>
    <definedName name="Times">#REF!</definedName>
    <definedName name="Times_1" localSheetId="18">#REF!</definedName>
    <definedName name="Times_1" localSheetId="0">#REF!</definedName>
    <definedName name="Times_1">#REF!</definedName>
    <definedName name="Times_10" localSheetId="18">#REF!</definedName>
    <definedName name="Times_10" localSheetId="0">#REF!</definedName>
    <definedName name="Times_10">#REF!</definedName>
    <definedName name="Times_11" localSheetId="18">#REF!</definedName>
    <definedName name="Times_11" localSheetId="0">#REF!</definedName>
    <definedName name="Times_11">#REF!</definedName>
    <definedName name="Times_12" localSheetId="18">#REF!</definedName>
    <definedName name="Times_12" localSheetId="0">#REF!</definedName>
    <definedName name="Times_12">#REF!</definedName>
    <definedName name="Times_13" localSheetId="18">#REF!</definedName>
    <definedName name="Times_13" localSheetId="0">#REF!</definedName>
    <definedName name="Times_13">#REF!</definedName>
    <definedName name="Times_14" localSheetId="18">#REF!</definedName>
    <definedName name="Times_14" localSheetId="0">#REF!</definedName>
    <definedName name="Times_14">#REF!</definedName>
    <definedName name="Times_15" localSheetId="18">#REF!</definedName>
    <definedName name="Times_15" localSheetId="0">#REF!</definedName>
    <definedName name="Times_15">#REF!</definedName>
    <definedName name="Times_16" localSheetId="18">#REF!</definedName>
    <definedName name="Times_16" localSheetId="0">#REF!</definedName>
    <definedName name="Times_16">#REF!</definedName>
    <definedName name="Times_17" localSheetId="18">#REF!</definedName>
    <definedName name="Times_17" localSheetId="0">#REF!</definedName>
    <definedName name="Times_17">#REF!</definedName>
    <definedName name="Times_18" localSheetId="18">#REF!</definedName>
    <definedName name="Times_18" localSheetId="0">#REF!</definedName>
    <definedName name="Times_18">#REF!</definedName>
    <definedName name="Times_19" localSheetId="18">#REF!</definedName>
    <definedName name="Times_19" localSheetId="0">#REF!</definedName>
    <definedName name="Times_19">#REF!</definedName>
    <definedName name="Times_2" localSheetId="18">#REF!</definedName>
    <definedName name="Times_2" localSheetId="0">#REF!</definedName>
    <definedName name="Times_2">#REF!</definedName>
    <definedName name="Times_20" localSheetId="18">#REF!</definedName>
    <definedName name="Times_20" localSheetId="0">#REF!</definedName>
    <definedName name="Times_20">#REF!</definedName>
    <definedName name="Times_21" localSheetId="18">#REF!</definedName>
    <definedName name="Times_21" localSheetId="0">#REF!</definedName>
    <definedName name="Times_21">#REF!</definedName>
    <definedName name="Times_22" localSheetId="18">#REF!</definedName>
    <definedName name="Times_22" localSheetId="0">#REF!</definedName>
    <definedName name="Times_22">#REF!</definedName>
    <definedName name="Times_49" localSheetId="18">#REF!</definedName>
    <definedName name="Times_49" localSheetId="0">#REF!</definedName>
    <definedName name="Times_49">#REF!</definedName>
    <definedName name="Times_5" localSheetId="18">#REF!</definedName>
    <definedName name="Times_5" localSheetId="0">#REF!</definedName>
    <definedName name="Times_5">#REF!</definedName>
    <definedName name="Times_50" localSheetId="18">#REF!</definedName>
    <definedName name="Times_50" localSheetId="0">#REF!</definedName>
    <definedName name="Times_50">#REF!</definedName>
    <definedName name="Times_51" localSheetId="18">#REF!</definedName>
    <definedName name="Times_51" localSheetId="0">#REF!</definedName>
    <definedName name="Times_51">#REF!</definedName>
    <definedName name="Times_52" localSheetId="18">#REF!</definedName>
    <definedName name="Times_52" localSheetId="0">#REF!</definedName>
    <definedName name="Times_52">#REF!</definedName>
    <definedName name="Times_53" localSheetId="18">#REF!</definedName>
    <definedName name="Times_53" localSheetId="0">#REF!</definedName>
    <definedName name="Times_53">#REF!</definedName>
    <definedName name="Times_54" localSheetId="18">#REF!</definedName>
    <definedName name="Times_54" localSheetId="0">#REF!</definedName>
    <definedName name="Times_54">#REF!</definedName>
    <definedName name="Times_6" localSheetId="18">#REF!</definedName>
    <definedName name="Times_6" localSheetId="0">#REF!</definedName>
    <definedName name="Times_6">#REF!</definedName>
    <definedName name="Times_7" localSheetId="18">#REF!</definedName>
    <definedName name="Times_7" localSheetId="0">#REF!</definedName>
    <definedName name="Times_7">#REF!</definedName>
    <definedName name="Times_8" localSheetId="18">#REF!</definedName>
    <definedName name="Times_8" localSheetId="0">#REF!</definedName>
    <definedName name="Times_8">#REF!</definedName>
    <definedName name="Times_9" localSheetId="18">#REF!</definedName>
    <definedName name="Times_9" localSheetId="0">#REF!</definedName>
    <definedName name="Times_9">#REF!</definedName>
    <definedName name="tyu" localSheetId="18">#REF!</definedName>
    <definedName name="tyu" localSheetId="0">#REF!</definedName>
    <definedName name="tyu">#REF!</definedName>
    <definedName name="U_Lst" localSheetId="18">#REF!</definedName>
    <definedName name="U_Lst" localSheetId="0">#REF!</definedName>
    <definedName name="U_Lst">#REF!</definedName>
    <definedName name="U_Net" localSheetId="18">#REF!</definedName>
    <definedName name="U_Net" localSheetId="0">#REF!</definedName>
    <definedName name="U_Net">#REF!</definedName>
    <definedName name="usd" localSheetId="0">#REF!</definedName>
    <definedName name="usd">#REF!</definedName>
    <definedName name="vsego" localSheetId="18">#REF!</definedName>
    <definedName name="vsego" localSheetId="0">#REF!</definedName>
    <definedName name="vsego">#REF!</definedName>
    <definedName name="w" localSheetId="18">#REF!</definedName>
    <definedName name="w" localSheetId="0">#REF!</definedName>
    <definedName name="w">#REF!</definedName>
    <definedName name="we" localSheetId="18" hidden="1">{#N/A,#N/A,TRUE,"Смета на пасс. обор. №1"}</definedName>
    <definedName name="we" localSheetId="0" hidden="1">{#N/A,#N/A,TRUE,"Смета на пасс. обор. №1"}</definedName>
    <definedName name="we" localSheetId="7" hidden="1">{#N/A,#N/A,TRUE,"Смета на пасс. обор. №1"}</definedName>
    <definedName name="we" hidden="1">{#N/A,#N/A,TRUE,"Смета на пасс. обор. №1"}</definedName>
    <definedName name="we_1" localSheetId="18" hidden="1">{#N/A,#N/A,TRUE,"Смета на пасс. обор. №1"}</definedName>
    <definedName name="we_1" localSheetId="0" hidden="1">{#N/A,#N/A,TRUE,"Смета на пасс. обор. №1"}</definedName>
    <definedName name="we_1" localSheetId="7" hidden="1">{#N/A,#N/A,TRUE,"Смета на пасс. обор. №1"}</definedName>
    <definedName name="we_1" hidden="1">{#N/A,#N/A,TRUE,"Смета на пасс. обор. №1"}</definedName>
    <definedName name="wer" localSheetId="18">#REF!</definedName>
    <definedName name="wer" localSheetId="0">#REF!</definedName>
    <definedName name="wer" localSheetId="19">#REF!</definedName>
    <definedName name="wer" localSheetId="7">#REF!</definedName>
    <definedName name="wer">#REF!</definedName>
    <definedName name="WORK" localSheetId="18">[5]Спецификация!#REF!</definedName>
    <definedName name="WORK" localSheetId="0">[5]Спецификация!#REF!</definedName>
    <definedName name="WORK" localSheetId="7">[5]Спецификация!#REF!</definedName>
    <definedName name="WORK">[5]Спецификация!#REF!</definedName>
    <definedName name="wrn.1." localSheetId="17" hidden="1">{#N/A,#N/A,FALSE,"Шаблон_Спец1"}</definedName>
    <definedName name="wrn.1." localSheetId="20" hidden="1">{#N/A,#N/A,FALSE,"Шаблон_Спец1"}</definedName>
    <definedName name="wrn.1." localSheetId="18" hidden="1">{#N/A,#N/A,FALSE,"Шаблон_Спец1"}</definedName>
    <definedName name="wrn.1." localSheetId="14" hidden="1">{#N/A,#N/A,FALSE,"Шаблон_Спец1"}</definedName>
    <definedName name="wrn.1." localSheetId="0" hidden="1">{#N/A,#N/A,FALSE,"Шаблон_Спец1"}</definedName>
    <definedName name="wrn.1." localSheetId="19" hidden="1">{#N/A,#N/A,FALSE,"Шаблон_Спец1"}</definedName>
    <definedName name="wrn.1." localSheetId="15" hidden="1">{#N/A,#N/A,FALSE,"Шаблон_Спец1"}</definedName>
    <definedName name="wrn.1." localSheetId="7" hidden="1">{#N/A,#N/A,FALSE,"Шаблон_Спец1"}</definedName>
    <definedName name="wrn.1." hidden="1">{#N/A,#N/A,FALSE,"Шаблон_Спец1"}</definedName>
    <definedName name="wrn.sp2344." localSheetId="18" hidden="1">{#N/A,#N/A,TRUE,"Смета на пасс. обор. №1"}</definedName>
    <definedName name="wrn.sp2344." localSheetId="0" hidden="1">{#N/A,#N/A,TRUE,"Смета на пасс. обор. №1"}</definedName>
    <definedName name="wrn.sp2344." localSheetId="7" hidden="1">{#N/A,#N/A,TRUE,"Смета на пасс. обор. №1"}</definedName>
    <definedName name="wrn.sp2344." hidden="1">{#N/A,#N/A,TRUE,"Смета на пасс. обор. №1"}</definedName>
    <definedName name="wrn.sp2344._1" localSheetId="18" hidden="1">{#N/A,#N/A,TRUE,"Смета на пасс. обор. №1"}</definedName>
    <definedName name="wrn.sp2344._1" localSheetId="0" hidden="1">{#N/A,#N/A,TRUE,"Смета на пасс. обор. №1"}</definedName>
    <definedName name="wrn.sp2344._1" localSheetId="7" hidden="1">{#N/A,#N/A,TRUE,"Смета на пасс. обор. №1"}</definedName>
    <definedName name="wrn.sp2344._1" hidden="1">{#N/A,#N/A,TRUE,"Смета на пасс. обор. №1"}</definedName>
    <definedName name="wrn.sp2345" localSheetId="18" hidden="1">{#N/A,#N/A,TRUE,"Смета на пасс. обор. №1"}</definedName>
    <definedName name="wrn.sp2345" localSheetId="0" hidden="1">{#N/A,#N/A,TRUE,"Смета на пасс. обор. №1"}</definedName>
    <definedName name="wrn.sp2345" localSheetId="7" hidden="1">{#N/A,#N/A,TRUE,"Смета на пасс. обор. №1"}</definedName>
    <definedName name="wrn.sp2345" hidden="1">{#N/A,#N/A,TRUE,"Смета на пасс. обор. №1"}</definedName>
    <definedName name="wrn.sp2345_1" localSheetId="18" hidden="1">{#N/A,#N/A,TRUE,"Смета на пасс. обор. №1"}</definedName>
    <definedName name="wrn.sp2345_1" localSheetId="0" hidden="1">{#N/A,#N/A,TRUE,"Смета на пасс. обор. №1"}</definedName>
    <definedName name="wrn.sp2345_1" localSheetId="7" hidden="1">{#N/A,#N/A,TRUE,"Смета на пасс. обор. №1"}</definedName>
    <definedName name="wrn.sp2345_1" hidden="1">{#N/A,#N/A,TRUE,"Смета на пасс. обор. №1"}</definedName>
    <definedName name="ww" localSheetId="18">#REF!</definedName>
    <definedName name="ww" localSheetId="0">#REF!</definedName>
    <definedName name="ww" localSheetId="7">#REF!</definedName>
    <definedName name="ww">#REF!</definedName>
    <definedName name="yui" localSheetId="18">#REF!</definedName>
    <definedName name="yui" localSheetId="0">#REF!</definedName>
    <definedName name="yui" localSheetId="19">#REF!</definedName>
    <definedName name="yui" localSheetId="7">#REF!</definedName>
    <definedName name="yui">#REF!</definedName>
    <definedName name="ZAK1" localSheetId="17">#REF!</definedName>
    <definedName name="ZAK1" localSheetId="20">#REF!</definedName>
    <definedName name="ZAK1" localSheetId="18">#REF!</definedName>
    <definedName name="ZAK1" localSheetId="11">#REF!</definedName>
    <definedName name="ZAK1" localSheetId="0">#REF!</definedName>
    <definedName name="ZAK1" localSheetId="19">#REF!</definedName>
    <definedName name="ZAK1">#REF!</definedName>
    <definedName name="ZAK1_1" localSheetId="0">#REF!</definedName>
    <definedName name="ZAK1_1">#REF!</definedName>
    <definedName name="ZAK2" localSheetId="17">#REF!</definedName>
    <definedName name="ZAK2" localSheetId="20">#REF!</definedName>
    <definedName name="ZAK2" localSheetId="18">#REF!</definedName>
    <definedName name="ZAK2" localSheetId="11">#REF!</definedName>
    <definedName name="ZAK2" localSheetId="0">#REF!</definedName>
    <definedName name="ZAK2" localSheetId="19">#REF!</definedName>
    <definedName name="ZAK2">#REF!</definedName>
    <definedName name="ZAK2_1" localSheetId="0">#REF!</definedName>
    <definedName name="ZAK2_1">#REF!</definedName>
    <definedName name="zzzz" localSheetId="18">#REF!</definedName>
    <definedName name="zzzz" localSheetId="0">#REF!</definedName>
    <definedName name="zzzz">#REF!</definedName>
    <definedName name="а" localSheetId="18" hidden="1">{#N/A,#N/A,TRUE,"Смета на пасс. обор. №1"}</definedName>
    <definedName name="а" localSheetId="0" hidden="1">{#N/A,#N/A,TRUE,"Смета на пасс. обор. №1"}</definedName>
    <definedName name="а" localSheetId="7" hidden="1">{#N/A,#N/A,TRUE,"Смета на пасс. обор. №1"}</definedName>
    <definedName name="а" hidden="1">{#N/A,#N/A,TRUE,"Смета на пасс. обор. №1"}</definedName>
    <definedName name="а_1" localSheetId="18" hidden="1">{#N/A,#N/A,TRUE,"Смета на пасс. обор. №1"}</definedName>
    <definedName name="а_1" localSheetId="0" hidden="1">{#N/A,#N/A,TRUE,"Смета на пасс. обор. №1"}</definedName>
    <definedName name="а_1" localSheetId="7" hidden="1">{#N/A,#N/A,TRUE,"Смета на пасс. обор. №1"}</definedName>
    <definedName name="а_1" hidden="1">{#N/A,#N/A,TRUE,"Смета на пасс. обор. №1"}</definedName>
    <definedName name="а1" localSheetId="18">#REF!</definedName>
    <definedName name="а1" localSheetId="0">#REF!</definedName>
    <definedName name="а1" localSheetId="7">#REF!</definedName>
    <definedName name="а1">#REF!</definedName>
    <definedName name="А2" localSheetId="18">#REF!</definedName>
    <definedName name="А2" localSheetId="0">#REF!</definedName>
    <definedName name="А2" localSheetId="7">#REF!</definedName>
    <definedName name="А2">#REF!</definedName>
    <definedName name="а36" localSheetId="17">#REF!</definedName>
    <definedName name="а36" localSheetId="20">#REF!</definedName>
    <definedName name="а36" localSheetId="18">#REF!</definedName>
    <definedName name="а36" localSheetId="11">#REF!</definedName>
    <definedName name="а36" localSheetId="0">#REF!</definedName>
    <definedName name="а36" localSheetId="19">#REF!</definedName>
    <definedName name="а36">#REF!</definedName>
    <definedName name="а36_1" localSheetId="0">#REF!</definedName>
    <definedName name="а36_1">#REF!</definedName>
    <definedName name="аа" localSheetId="17">[3]топография!#REF!</definedName>
    <definedName name="аа" localSheetId="20">[3]топография!#REF!</definedName>
    <definedName name="аа" localSheetId="18">[3]топография!#REF!</definedName>
    <definedName name="аа" localSheetId="0">[3]топография!#REF!</definedName>
    <definedName name="аа" localSheetId="19">[3]топография!#REF!</definedName>
    <definedName name="аа">[3]топография!#REF!</definedName>
    <definedName name="ав" localSheetId="18">#REF!</definedName>
    <definedName name="ав" localSheetId="0">#REF!</definedName>
    <definedName name="ав" localSheetId="7">#REF!</definedName>
    <definedName name="ав">#REF!</definedName>
    <definedName name="ав_1" localSheetId="0">#REF!</definedName>
    <definedName name="ав_1" localSheetId="7">#REF!</definedName>
    <definedName name="ав_1">#REF!</definedName>
    <definedName name="авс" localSheetId="18">#REF!</definedName>
    <definedName name="авс" localSheetId="0">#REF!</definedName>
    <definedName name="авс" localSheetId="7">#REF!</definedName>
    <definedName name="авс">#REF!</definedName>
    <definedName name="автом" localSheetId="0">#REF!</definedName>
    <definedName name="автом">#REF!</definedName>
    <definedName name="Азб" localSheetId="18">#REF!</definedName>
    <definedName name="Азб" localSheetId="0">#REF!</definedName>
    <definedName name="Азб">#REF!</definedName>
    <definedName name="АКСТ">'[10]Лист опроса'!$B$22</definedName>
    <definedName name="аолрмб">[11]Вспомогательный!$D$77</definedName>
    <definedName name="ап" localSheetId="18" hidden="1">{#N/A,#N/A,TRUE,"Смета на пасс. обор. №1"}</definedName>
    <definedName name="ап" localSheetId="0" hidden="1">{#N/A,#N/A,TRUE,"Смета на пасс. обор. №1"}</definedName>
    <definedName name="ап" localSheetId="7" hidden="1">{#N/A,#N/A,TRUE,"Смета на пасс. обор. №1"}</definedName>
    <definedName name="ап" hidden="1">{#N/A,#N/A,TRUE,"Смета на пасс. обор. №1"}</definedName>
    <definedName name="ап_1" localSheetId="18" hidden="1">{#N/A,#N/A,TRUE,"Смета на пасс. обор. №1"}</definedName>
    <definedName name="ап_1" localSheetId="0" hidden="1">{#N/A,#N/A,TRUE,"Смета на пасс. обор. №1"}</definedName>
    <definedName name="ап_1" localSheetId="7" hidden="1">{#N/A,#N/A,TRUE,"Смета на пасс. обор. №1"}</definedName>
    <definedName name="ап_1" hidden="1">{#N/A,#N/A,TRUE,"Смета на пасс. обор. №1"}</definedName>
    <definedName name="апр" localSheetId="18" hidden="1">{#N/A,#N/A,TRUE,"Смета на пасс. обор. №1"}</definedName>
    <definedName name="апр" localSheetId="0" hidden="1">{#N/A,#N/A,TRUE,"Смета на пасс. обор. №1"}</definedName>
    <definedName name="апр" localSheetId="7" hidden="1">{#N/A,#N/A,TRUE,"Смета на пасс. обор. №1"}</definedName>
    <definedName name="апр" hidden="1">{#N/A,#N/A,TRUE,"Смета на пасс. обор. №1"}</definedName>
    <definedName name="апр_1" localSheetId="18" hidden="1">{#N/A,#N/A,TRUE,"Смета на пасс. обор. №1"}</definedName>
    <definedName name="апр_1" localSheetId="0" hidden="1">{#N/A,#N/A,TRUE,"Смета на пасс. обор. №1"}</definedName>
    <definedName name="апр_1" localSheetId="7" hidden="1">{#N/A,#N/A,TRUE,"Смета на пасс. обор. №1"}</definedName>
    <definedName name="апр_1" hidden="1">{#N/A,#N/A,TRUE,"Смета на пасс. обор. №1"}</definedName>
    <definedName name="астр" localSheetId="18">#REF!</definedName>
    <definedName name="астр" localSheetId="0">#REF!</definedName>
    <definedName name="астр" localSheetId="7">#REF!</definedName>
    <definedName name="астр">#REF!</definedName>
    <definedName name="Астрахань" localSheetId="18">#REF!</definedName>
    <definedName name="Астрахань" localSheetId="0">#REF!</definedName>
    <definedName name="Астрахань" localSheetId="7">#REF!</definedName>
    <definedName name="Астрахань">#REF!</definedName>
    <definedName name="Астрахань_1" localSheetId="18">#REF!</definedName>
    <definedName name="Астрахань_1" localSheetId="0">#REF!</definedName>
    <definedName name="Астрахань_1" localSheetId="7">#REF!</definedName>
    <definedName name="Астрахань_1">#REF!</definedName>
    <definedName name="Астрахань_2" localSheetId="18">#REF!</definedName>
    <definedName name="Астрахань_2" localSheetId="0">#REF!</definedName>
    <definedName name="Астрахань_2">#REF!</definedName>
    <definedName name="Астрахань_22" localSheetId="18">#REF!</definedName>
    <definedName name="Астрахань_22" localSheetId="0">#REF!</definedName>
    <definedName name="Астрахань_22">#REF!</definedName>
    <definedName name="Астрахань_49" localSheetId="18">#REF!</definedName>
    <definedName name="Астрахань_49" localSheetId="0">#REF!</definedName>
    <definedName name="Астрахань_49">#REF!</definedName>
    <definedName name="Астрахань_5" localSheetId="18">#REF!</definedName>
    <definedName name="Астрахань_5" localSheetId="0">#REF!</definedName>
    <definedName name="Астрахань_5">#REF!</definedName>
    <definedName name="Астрахань_50" localSheetId="18">#REF!</definedName>
    <definedName name="Астрахань_50" localSheetId="0">#REF!</definedName>
    <definedName name="Астрахань_50">#REF!</definedName>
    <definedName name="Астрахань_51" localSheetId="18">#REF!</definedName>
    <definedName name="Астрахань_51" localSheetId="0">#REF!</definedName>
    <definedName name="Астрахань_51">#REF!</definedName>
    <definedName name="Астрахань_52" localSheetId="18">#REF!</definedName>
    <definedName name="Астрахань_52" localSheetId="0">#REF!</definedName>
    <definedName name="Астрахань_52">#REF!</definedName>
    <definedName name="Астрахань_53" localSheetId="18">#REF!</definedName>
    <definedName name="Астрахань_53" localSheetId="0">#REF!</definedName>
    <definedName name="Астрахань_53">#REF!</definedName>
    <definedName name="Астрахань_54" localSheetId="18">#REF!</definedName>
    <definedName name="Астрахань_54" localSheetId="0">#REF!</definedName>
    <definedName name="Астрахань_54">#REF!</definedName>
    <definedName name="АСУТП2" localSheetId="18">#REF!</definedName>
    <definedName name="АСУТП2" localSheetId="0">#REF!</definedName>
    <definedName name="АСУТП2">#REF!</definedName>
    <definedName name="АСУТП2_1" localSheetId="18">#REF!</definedName>
    <definedName name="АСУТП2_1" localSheetId="0">#REF!</definedName>
    <definedName name="АСУТП2_1">#REF!</definedName>
    <definedName name="АСУТП2_2" localSheetId="18">#REF!</definedName>
    <definedName name="АСУТП2_2" localSheetId="0">#REF!</definedName>
    <definedName name="АСУТП2_2">#REF!</definedName>
    <definedName name="АСУТП2_22" localSheetId="18">#REF!</definedName>
    <definedName name="АСУТП2_22" localSheetId="0">#REF!</definedName>
    <definedName name="АСУТП2_22">#REF!</definedName>
    <definedName name="АСУТП2_49" localSheetId="18">#REF!</definedName>
    <definedName name="АСУТП2_49" localSheetId="0">#REF!</definedName>
    <definedName name="АСУТП2_49">#REF!</definedName>
    <definedName name="АСУТП2_5" localSheetId="18">#REF!</definedName>
    <definedName name="АСУТП2_5" localSheetId="0">#REF!</definedName>
    <definedName name="АСУТП2_5">#REF!</definedName>
    <definedName name="АСУТП2_50" localSheetId="18">#REF!</definedName>
    <definedName name="АСУТП2_50" localSheetId="0">#REF!</definedName>
    <definedName name="АСУТП2_50">#REF!</definedName>
    <definedName name="АСУТП2_51" localSheetId="18">#REF!</definedName>
    <definedName name="АСУТП2_51" localSheetId="0">#REF!</definedName>
    <definedName name="АСУТП2_51">#REF!</definedName>
    <definedName name="АСУТП2_52" localSheetId="18">#REF!</definedName>
    <definedName name="АСУТП2_52" localSheetId="0">#REF!</definedName>
    <definedName name="АСУТП2_52">#REF!</definedName>
    <definedName name="АСУТП2_53" localSheetId="18">#REF!</definedName>
    <definedName name="АСУТП2_53" localSheetId="0">#REF!</definedName>
    <definedName name="АСУТП2_53">#REF!</definedName>
    <definedName name="АСУТП2_54" localSheetId="18">#REF!</definedName>
    <definedName name="АСУТП2_54" localSheetId="0">#REF!</definedName>
    <definedName name="АСУТП2_54">#REF!</definedName>
    <definedName name="АСУТПАстрахань" localSheetId="18">#REF!</definedName>
    <definedName name="АСУТПАстрахань" localSheetId="0">#REF!</definedName>
    <definedName name="АСУТПАстрахань">#REF!</definedName>
    <definedName name="АСУТПАстрахань_1" localSheetId="18">#REF!</definedName>
    <definedName name="АСУТПАстрахань_1" localSheetId="0">#REF!</definedName>
    <definedName name="АСУТПАстрахань_1">#REF!</definedName>
    <definedName name="АСУТПАстрахань_2" localSheetId="18">#REF!</definedName>
    <definedName name="АСУТПАстрахань_2" localSheetId="0">#REF!</definedName>
    <definedName name="АСУТПАстрахань_2">#REF!</definedName>
    <definedName name="АСУТПАстрахань_22" localSheetId="18">#REF!</definedName>
    <definedName name="АСУТПАстрахань_22" localSheetId="0">#REF!</definedName>
    <definedName name="АСУТПАстрахань_22">#REF!</definedName>
    <definedName name="АСУТПАстрахань_49" localSheetId="18">#REF!</definedName>
    <definedName name="АСУТПАстрахань_49" localSheetId="0">#REF!</definedName>
    <definedName name="АСУТПАстрахань_49">#REF!</definedName>
    <definedName name="АСУТПАстрахань_5" localSheetId="18">#REF!</definedName>
    <definedName name="АСУТПАстрахань_5" localSheetId="0">#REF!</definedName>
    <definedName name="АСУТПАстрахань_5">#REF!</definedName>
    <definedName name="АСУТПАстрахань_50" localSheetId="18">#REF!</definedName>
    <definedName name="АСУТПАстрахань_50" localSheetId="0">#REF!</definedName>
    <definedName name="АСУТПАстрахань_50">#REF!</definedName>
    <definedName name="АСУТПАстрахань_51" localSheetId="18">#REF!</definedName>
    <definedName name="АСУТПАстрахань_51" localSheetId="0">#REF!</definedName>
    <definedName name="АСУТПАстрахань_51">#REF!</definedName>
    <definedName name="АСУТПАстрахань_52" localSheetId="18">#REF!</definedName>
    <definedName name="АСУТПАстрахань_52" localSheetId="0">#REF!</definedName>
    <definedName name="АСУТПАстрахань_52">#REF!</definedName>
    <definedName name="АСУТПАстрахань_53" localSheetId="18">#REF!</definedName>
    <definedName name="АСУТПАстрахань_53" localSheetId="0">#REF!</definedName>
    <definedName name="АСУТПАстрахань_53">#REF!</definedName>
    <definedName name="АСУТПАстрахань_54" localSheetId="18">#REF!</definedName>
    <definedName name="АСУТПАстрахань_54" localSheetId="0">#REF!</definedName>
    <definedName name="АСУТПАстрахань_54">#REF!</definedName>
    <definedName name="АСУТПН.Новгород" localSheetId="18">#REF!</definedName>
    <definedName name="АСУТПН.Новгород" localSheetId="0">#REF!</definedName>
    <definedName name="АСУТПН.Новгород">#REF!</definedName>
    <definedName name="АСУТПН.Новгород_1" localSheetId="18">#REF!</definedName>
    <definedName name="АСУТПН.Новгород_1" localSheetId="0">#REF!</definedName>
    <definedName name="АСУТПН.Новгород_1">#REF!</definedName>
    <definedName name="АСУТПН.Новгород_2" localSheetId="18">#REF!</definedName>
    <definedName name="АСУТПН.Новгород_2" localSheetId="0">#REF!</definedName>
    <definedName name="АСУТПН.Новгород_2">#REF!</definedName>
    <definedName name="АСУТПН.Новгород_22" localSheetId="18">#REF!</definedName>
    <definedName name="АСУТПН.Новгород_22" localSheetId="0">#REF!</definedName>
    <definedName name="АСУТПН.Новгород_22">#REF!</definedName>
    <definedName name="АСУТПН.Новгород_49" localSheetId="18">#REF!</definedName>
    <definedName name="АСУТПН.Новгород_49" localSheetId="0">#REF!</definedName>
    <definedName name="АСУТПН.Новгород_49">#REF!</definedName>
    <definedName name="АСУТПН.Новгород_5" localSheetId="18">#REF!</definedName>
    <definedName name="АСУТПН.Новгород_5" localSheetId="0">#REF!</definedName>
    <definedName name="АСУТПН.Новгород_5">#REF!</definedName>
    <definedName name="АСУТПН.Новгород_50" localSheetId="18">#REF!</definedName>
    <definedName name="АСУТПН.Новгород_50" localSheetId="0">#REF!</definedName>
    <definedName name="АСУТПН.Новгород_50">#REF!</definedName>
    <definedName name="АСУТПН.Новгород_51" localSheetId="18">#REF!</definedName>
    <definedName name="АСУТПН.Новгород_51" localSheetId="0">#REF!</definedName>
    <definedName name="АСУТПН.Новгород_51">#REF!</definedName>
    <definedName name="АСУТПН.Новгород_52" localSheetId="18">#REF!</definedName>
    <definedName name="АСУТПН.Новгород_52" localSheetId="0">#REF!</definedName>
    <definedName name="АСУТПН.Новгород_52">#REF!</definedName>
    <definedName name="АСУТПН.Новгород_53" localSheetId="18">#REF!</definedName>
    <definedName name="АСУТПН.Новгород_53" localSheetId="0">#REF!</definedName>
    <definedName name="АСУТПН.Новгород_53">#REF!</definedName>
    <definedName name="АСУТПН.Новгород_54" localSheetId="18">#REF!</definedName>
    <definedName name="АСУТПН.Новгород_54" localSheetId="0">#REF!</definedName>
    <definedName name="АСУТПН.Новгород_54">#REF!</definedName>
    <definedName name="АСУТПСтаврополь" localSheetId="18">#REF!</definedName>
    <definedName name="АСУТПСтаврополь" localSheetId="0">#REF!</definedName>
    <definedName name="АСУТПСтаврополь">#REF!</definedName>
    <definedName name="АСУТПСтаврополь_1" localSheetId="18">#REF!</definedName>
    <definedName name="АСУТПСтаврополь_1" localSheetId="0">#REF!</definedName>
    <definedName name="АСУТПСтаврополь_1">#REF!</definedName>
    <definedName name="АСУТПСтаврополь_2" localSheetId="18">#REF!</definedName>
    <definedName name="АСУТПСтаврополь_2" localSheetId="0">#REF!</definedName>
    <definedName name="АСУТПСтаврополь_2">#REF!</definedName>
    <definedName name="АСУТПСтаврополь_22" localSheetId="18">#REF!</definedName>
    <definedName name="АСУТПСтаврополь_22" localSheetId="0">#REF!</definedName>
    <definedName name="АСУТПСтаврополь_22">#REF!</definedName>
    <definedName name="АСУТПСтаврополь_49" localSheetId="18">#REF!</definedName>
    <definedName name="АСУТПСтаврополь_49" localSheetId="0">#REF!</definedName>
    <definedName name="АСУТПСтаврополь_49">#REF!</definedName>
    <definedName name="АСУТПСтаврополь_5" localSheetId="18">#REF!</definedName>
    <definedName name="АСУТПСтаврополь_5" localSheetId="0">#REF!</definedName>
    <definedName name="АСУТПСтаврополь_5">#REF!</definedName>
    <definedName name="АСУТПСтаврополь_50" localSheetId="18">#REF!</definedName>
    <definedName name="АСУТПСтаврополь_50" localSheetId="0">#REF!</definedName>
    <definedName name="АСУТПСтаврополь_50">#REF!</definedName>
    <definedName name="АСУТПСтаврополь_51" localSheetId="18">#REF!</definedName>
    <definedName name="АСУТПСтаврополь_51" localSheetId="0">#REF!</definedName>
    <definedName name="АСУТПСтаврополь_51">#REF!</definedName>
    <definedName name="АСУТПСтаврополь_52" localSheetId="18">#REF!</definedName>
    <definedName name="АСУТПСтаврополь_52" localSheetId="0">#REF!</definedName>
    <definedName name="АСУТПСтаврополь_52">#REF!</definedName>
    <definedName name="АСУТПСтаврополь_53" localSheetId="18">#REF!</definedName>
    <definedName name="АСУТПСтаврополь_53" localSheetId="0">#REF!</definedName>
    <definedName name="АСУТПСтаврополь_53">#REF!</definedName>
    <definedName name="АСУТПСтаврополь_54" localSheetId="18">#REF!</definedName>
    <definedName name="АСУТПСтаврополь_54" localSheetId="0">#REF!</definedName>
    <definedName name="АСУТПСтаврополь_54">#REF!</definedName>
    <definedName name="АФС" localSheetId="18">[3]топография!#REF!</definedName>
    <definedName name="АФС" localSheetId="0">[3]топография!#REF!</definedName>
    <definedName name="АФС">[3]топография!#REF!</definedName>
    <definedName name="б" localSheetId="18" hidden="1">{#N/A,#N/A,TRUE,"Смета на пасс. обор. №1"}</definedName>
    <definedName name="б" localSheetId="0" hidden="1">{#N/A,#N/A,TRUE,"Смета на пасс. обор. №1"}</definedName>
    <definedName name="б" localSheetId="7" hidden="1">{#N/A,#N/A,TRUE,"Смета на пасс. обор. №1"}</definedName>
    <definedName name="б" hidden="1">{#N/A,#N/A,TRUE,"Смета на пасс. обор. №1"}</definedName>
    <definedName name="б_1" localSheetId="18" hidden="1">{#N/A,#N/A,TRUE,"Смета на пасс. обор. №1"}</definedName>
    <definedName name="б_1" localSheetId="0" hidden="1">{#N/A,#N/A,TRUE,"Смета на пасс. обор. №1"}</definedName>
    <definedName name="б_1" localSheetId="7" hidden="1">{#N/A,#N/A,TRUE,"Смета на пасс. обор. №1"}</definedName>
    <definedName name="б_1" hidden="1">{#N/A,#N/A,TRUE,"Смета на пасс. обор. №1"}</definedName>
    <definedName name="бабабла" localSheetId="18" hidden="1">{#N/A,#N/A,TRUE,"Смета на пасс. обор. №1"}</definedName>
    <definedName name="бабабла" localSheetId="0" hidden="1">{#N/A,#N/A,TRUE,"Смета на пасс. обор. №1"}</definedName>
    <definedName name="бабабла" localSheetId="7" hidden="1">{#N/A,#N/A,TRUE,"Смета на пасс. обор. №1"}</definedName>
    <definedName name="бабабла" hidden="1">{#N/A,#N/A,TRUE,"Смета на пасс. обор. №1"}</definedName>
    <definedName name="бабабла_1" localSheetId="18" hidden="1">{#N/A,#N/A,TRUE,"Смета на пасс. обор. №1"}</definedName>
    <definedName name="бабабла_1" localSheetId="0" hidden="1">{#N/A,#N/A,TRUE,"Смета на пасс. обор. №1"}</definedName>
    <definedName name="бабабла_1" localSheetId="7" hidden="1">{#N/A,#N/A,TRUE,"Смета на пасс. обор. №1"}</definedName>
    <definedName name="бабабла_1" hidden="1">{#N/A,#N/A,TRUE,"Смета на пасс. обор. №1"}</definedName>
    <definedName name="_xlnm.Database">'[12]ПС 110 кВ (доп)'!$B$1:$F$18</definedName>
    <definedName name="Бланк_сметы" localSheetId="18">#REF!</definedName>
    <definedName name="Бланк_сметы" localSheetId="0">#REF!</definedName>
    <definedName name="Бланк_сметы" localSheetId="19">#REF!</definedName>
    <definedName name="Бланк_сметы" localSheetId="15">#REF!</definedName>
    <definedName name="Бланк_сметы" localSheetId="7">#REF!</definedName>
    <definedName name="Бланк_сметы">#REF!</definedName>
    <definedName name="бол" localSheetId="18" hidden="1">{#N/A,#N/A,TRUE,"Смета на пасс. обор. №1"}</definedName>
    <definedName name="бол" localSheetId="0" hidden="1">{#N/A,#N/A,TRUE,"Смета на пасс. обор. №1"}</definedName>
    <definedName name="бол" localSheetId="7" hidden="1">{#N/A,#N/A,TRUE,"Смета на пасс. обор. №1"}</definedName>
    <definedName name="бол" hidden="1">{#N/A,#N/A,TRUE,"Смета на пасс. обор. №1"}</definedName>
    <definedName name="бол_1" localSheetId="18" hidden="1">{#N/A,#N/A,TRUE,"Смета на пасс. обор. №1"}</definedName>
    <definedName name="бол_1" localSheetId="0" hidden="1">{#N/A,#N/A,TRUE,"Смета на пасс. обор. №1"}</definedName>
    <definedName name="бол_1" localSheetId="7" hidden="1">{#N/A,#N/A,TRUE,"Смета на пасс. обор. №1"}</definedName>
    <definedName name="бол_1" hidden="1">{#N/A,#N/A,TRUE,"Смета на пасс. обор. №1"}</definedName>
    <definedName name="БСИР" localSheetId="18">#REF!</definedName>
    <definedName name="БСИР" localSheetId="0">#REF!</definedName>
    <definedName name="БСИР" localSheetId="19">#REF!</definedName>
    <definedName name="БСИР" localSheetId="15">#REF!</definedName>
    <definedName name="БСИР" localSheetId="7">#REF!</definedName>
    <definedName name="БСИР">#REF!</definedName>
    <definedName name="в" localSheetId="18" hidden="1">{#N/A,#N/A,TRUE,"Смета на пасс. обор. №1"}</definedName>
    <definedName name="в" localSheetId="0" hidden="1">{#N/A,#N/A,TRUE,"Смета на пасс. обор. №1"}</definedName>
    <definedName name="в" localSheetId="7" hidden="1">{#N/A,#N/A,TRUE,"Смета на пасс. обор. №1"}</definedName>
    <definedName name="в" hidden="1">{#N/A,#N/A,TRUE,"Смета на пасс. обор. №1"}</definedName>
    <definedName name="в_1" localSheetId="18" hidden="1">{#N/A,#N/A,TRUE,"Смета на пасс. обор. №1"}</definedName>
    <definedName name="в_1" localSheetId="0" hidden="1">{#N/A,#N/A,TRUE,"Смета на пасс. обор. №1"}</definedName>
    <definedName name="в_1" localSheetId="7" hidden="1">{#N/A,#N/A,TRUE,"Смета на пасс. обор. №1"}</definedName>
    <definedName name="в_1" hidden="1">{#N/A,#N/A,TRUE,"Смета на пасс. обор. №1"}</definedName>
    <definedName name="ва" localSheetId="18">#REF!</definedName>
    <definedName name="ва" localSheetId="0">#REF!</definedName>
    <definedName name="ва" localSheetId="19">#REF!</definedName>
    <definedName name="ва" localSheetId="15">#REF!</definedName>
    <definedName name="ва" localSheetId="7">#REF!</definedName>
    <definedName name="ва">#REF!</definedName>
    <definedName name="вап" localSheetId="18" hidden="1">{#N/A,#N/A,TRUE,"Смета на пасс. обор. №1"}</definedName>
    <definedName name="вап" localSheetId="0" hidden="1">{#N/A,#N/A,TRUE,"Смета на пасс. обор. №1"}</definedName>
    <definedName name="вап" localSheetId="7" hidden="1">{#N/A,#N/A,TRUE,"Смета на пасс. обор. №1"}</definedName>
    <definedName name="вап" hidden="1">{#N/A,#N/A,TRUE,"Смета на пасс. обор. №1"}</definedName>
    <definedName name="вап_1" localSheetId="18" hidden="1">{#N/A,#N/A,TRUE,"Смета на пасс. обор. №1"}</definedName>
    <definedName name="вап_1" localSheetId="0" hidden="1">{#N/A,#N/A,TRUE,"Смета на пасс. обор. №1"}</definedName>
    <definedName name="вап_1" localSheetId="7" hidden="1">{#N/A,#N/A,TRUE,"Смета на пасс. обор. №1"}</definedName>
    <definedName name="вап_1" hidden="1">{#N/A,#N/A,TRUE,"Смета на пасс. обор. №1"}</definedName>
    <definedName name="вапапо" localSheetId="18" hidden="1">{#N/A,#N/A,TRUE,"Смета на пасс. обор. №1"}</definedName>
    <definedName name="вапапо" localSheetId="0" hidden="1">{#N/A,#N/A,TRUE,"Смета на пасс. обор. №1"}</definedName>
    <definedName name="вапапо" localSheetId="7" hidden="1">{#N/A,#N/A,TRUE,"Смета на пасс. обор. №1"}</definedName>
    <definedName name="вапапо" hidden="1">{#N/A,#N/A,TRUE,"Смета на пасс. обор. №1"}</definedName>
    <definedName name="вапапо_1" localSheetId="18" hidden="1">{#N/A,#N/A,TRUE,"Смета на пасс. обор. №1"}</definedName>
    <definedName name="вапапо_1" localSheetId="0" hidden="1">{#N/A,#N/A,TRUE,"Смета на пасс. обор. №1"}</definedName>
    <definedName name="вапапо_1" localSheetId="7" hidden="1">{#N/A,#N/A,TRUE,"Смета на пасс. обор. №1"}</definedName>
    <definedName name="вапапо_1" hidden="1">{#N/A,#N/A,TRUE,"Смета на пасс. обор. №1"}</definedName>
    <definedName name="вв" localSheetId="17">[3]топография!#REF!</definedName>
    <definedName name="вв" localSheetId="20">[3]топография!#REF!</definedName>
    <definedName name="вв" localSheetId="18">[3]топография!#REF!</definedName>
    <definedName name="вв" localSheetId="0">[3]топография!#REF!</definedName>
    <definedName name="вв" localSheetId="15">[3]топография!#REF!</definedName>
    <definedName name="вв">[3]топография!#REF!</definedName>
    <definedName name="ввв" localSheetId="18">#REF!</definedName>
    <definedName name="ввв" localSheetId="0">#REF!</definedName>
    <definedName name="ввв" localSheetId="7">#REF!</definedName>
    <definedName name="ввв">#REF!</definedName>
    <definedName name="ввод" localSheetId="18">#REF!</definedName>
    <definedName name="ввод" localSheetId="0">#REF!</definedName>
    <definedName name="ввод" localSheetId="7">#REF!</definedName>
    <definedName name="ввод">#REF!</definedName>
    <definedName name="ввод_1" localSheetId="18">#REF!</definedName>
    <definedName name="ввод_1" localSheetId="0">#REF!</definedName>
    <definedName name="ввод_1" localSheetId="7">#REF!</definedName>
    <definedName name="ввод_1">#REF!</definedName>
    <definedName name="ввод_49" localSheetId="18">#REF!</definedName>
    <definedName name="ввод_49" localSheetId="0">#REF!</definedName>
    <definedName name="ввод_49">#REF!</definedName>
    <definedName name="ввод_50" localSheetId="18">#REF!</definedName>
    <definedName name="ввод_50" localSheetId="0">#REF!</definedName>
    <definedName name="ввод_50">#REF!</definedName>
    <definedName name="ввод_51" localSheetId="18">#REF!</definedName>
    <definedName name="ввод_51" localSheetId="0">#REF!</definedName>
    <definedName name="ввод_51">#REF!</definedName>
    <definedName name="ввод_52" localSheetId="18">#REF!</definedName>
    <definedName name="ввод_52" localSheetId="0">#REF!</definedName>
    <definedName name="ввод_52">#REF!</definedName>
    <definedName name="ввод_53" localSheetId="18">#REF!</definedName>
    <definedName name="ввод_53" localSheetId="0">#REF!</definedName>
    <definedName name="ввод_53">#REF!</definedName>
    <definedName name="ввод_54" localSheetId="18">#REF!</definedName>
    <definedName name="ввод_54" localSheetId="0">#REF!</definedName>
    <definedName name="ввод_54">#REF!</definedName>
    <definedName name="вика" localSheetId="18">#REF!</definedName>
    <definedName name="вика" localSheetId="0">#REF!</definedName>
    <definedName name="вика">#REF!</definedName>
    <definedName name="Внут_Т" localSheetId="18">#REF!</definedName>
    <definedName name="Внут_Т" localSheetId="0">#REF!</definedName>
    <definedName name="Внут_Т" localSheetId="19">#REF!</definedName>
    <definedName name="Внут_Т" localSheetId="15">#REF!</definedName>
    <definedName name="Внут_Т">#REF!</definedName>
    <definedName name="воп" localSheetId="18">[3]топография!#REF!</definedName>
    <definedName name="воп" localSheetId="0">[3]топография!#REF!</definedName>
    <definedName name="воп">[3]топография!#REF!</definedName>
    <definedName name="вравар" localSheetId="18">#REF!</definedName>
    <definedName name="вравар" localSheetId="0">#REF!</definedName>
    <definedName name="вравар" localSheetId="7">#REF!</definedName>
    <definedName name="вравар">#REF!</definedName>
    <definedName name="Времен">[13]Коэфф!$B$2</definedName>
    <definedName name="ВСЕГО" localSheetId="18">#REF!</definedName>
    <definedName name="ВСЕГО" localSheetId="0">#REF!</definedName>
    <definedName name="ВСЕГО" localSheetId="19">#REF!</definedName>
    <definedName name="ВСЕГО" localSheetId="15">#REF!</definedName>
    <definedName name="ВСЕГО" localSheetId="7">#REF!</definedName>
    <definedName name="ВСЕГО">#REF!</definedName>
    <definedName name="ВсегоРучБур">[14]СмРучБур!$J$40</definedName>
    <definedName name="ВсегоШурфов" localSheetId="18">#REF!</definedName>
    <definedName name="ВсегоШурфов" localSheetId="0">#REF!</definedName>
    <definedName name="ВсегоШурфов" localSheetId="7">#REF!</definedName>
    <definedName name="ВсегоШурфов">#REF!</definedName>
    <definedName name="Вспом" localSheetId="18">#REF!</definedName>
    <definedName name="Вспом" localSheetId="0">#REF!</definedName>
    <definedName name="Вспом" localSheetId="19">#REF!</definedName>
    <definedName name="Вспом" localSheetId="15">#REF!</definedName>
    <definedName name="Вспом" localSheetId="7">#REF!</definedName>
    <definedName name="Вспом">#REF!</definedName>
    <definedName name="Вторич" localSheetId="0">#REF!</definedName>
    <definedName name="Вторич">#REF!</definedName>
    <definedName name="ВЫЕЗД_всего">[15]РасчетКомандир1!$M$1:$M$65536</definedName>
    <definedName name="ВЫЕЗД_всего_1">[15]РасчетКомандир2!$O$1:$O$65536</definedName>
    <definedName name="ВЫЕЗД_период">[15]РасчетКомандир1!$E$1:$E$65536</definedName>
    <definedName name="ВЫЕЗД_период_1">[15]РасчетКомандир2!$E$1:$E$65536</definedName>
    <definedName name="ггггггггггггггггггггггггггггггггггггггггггггггг" localSheetId="18">[3]топография!#REF!</definedName>
    <definedName name="ггггггггггггггггггггггггггггггггггггггггггггггг" localSheetId="0">[3]топография!#REF!</definedName>
    <definedName name="ггггггггггггггггггггггггггггггггггггггггггггггг" localSheetId="7">[3]топография!#REF!</definedName>
    <definedName name="ггггггггггггггггггггггггггггггггггггггггггггггг">[3]топография!#REF!</definedName>
    <definedName name="гелог" localSheetId="18">#REF!</definedName>
    <definedName name="гелог" localSheetId="0">#REF!</definedName>
    <definedName name="гелог" localSheetId="7">#REF!</definedName>
    <definedName name="гелог">#REF!</definedName>
    <definedName name="гео" localSheetId="18">#REF!</definedName>
    <definedName name="гео" localSheetId="0">#REF!</definedName>
    <definedName name="гео" localSheetId="7">#REF!</definedName>
    <definedName name="гео">#REF!</definedName>
    <definedName name="геодез1">[16]геолог!$L$81</definedName>
    <definedName name="геол" localSheetId="18">[17]Смета!#REF!</definedName>
    <definedName name="геол" localSheetId="0">[17]Смета!#REF!</definedName>
    <definedName name="геол" localSheetId="7">[18]Смета!#REF!</definedName>
    <definedName name="геол">[18]Смета!#REF!</definedName>
    <definedName name="геол.1" localSheetId="18">#REF!</definedName>
    <definedName name="геол.1" localSheetId="0">#REF!</definedName>
    <definedName name="геол.1" localSheetId="7">#REF!</definedName>
    <definedName name="геол.1">#REF!</definedName>
    <definedName name="геол_1" localSheetId="0">[19]Смета!#REF!</definedName>
    <definedName name="геол_1" localSheetId="7">[19]Смета!#REF!</definedName>
    <definedName name="геол_1">[19]Смета!#REF!</definedName>
    <definedName name="геол_2" localSheetId="18">[20]Смета!#REF!</definedName>
    <definedName name="геол_2" localSheetId="0">[20]Смета!#REF!</definedName>
    <definedName name="геол_2" localSheetId="7">[20]Смета!#REF!</definedName>
    <definedName name="геол_2">[20]Смета!#REF!</definedName>
    <definedName name="Геол_Лазаревск" localSheetId="18">[3]топография!#REF!</definedName>
    <definedName name="Геол_Лазаревск" localSheetId="0">[3]топография!#REF!</definedName>
    <definedName name="Геол_Лазаревск" localSheetId="7">[3]топография!#REF!</definedName>
    <definedName name="Геол_Лазаревск">[3]топография!#REF!</definedName>
    <definedName name="геол1" localSheetId="18">#REF!</definedName>
    <definedName name="геол1" localSheetId="0">#REF!</definedName>
    <definedName name="геол1" localSheetId="7">#REF!</definedName>
    <definedName name="геол1">#REF!</definedName>
    <definedName name="геоф" localSheetId="18">#REF!</definedName>
    <definedName name="геоф" localSheetId="0">#REF!</definedName>
    <definedName name="геоф" localSheetId="7">#REF!</definedName>
    <definedName name="геоф">#REF!</definedName>
    <definedName name="Геофиз" localSheetId="18">#REF!</definedName>
    <definedName name="Геофиз" localSheetId="0">#REF!</definedName>
    <definedName name="Геофиз" localSheetId="7">#REF!</definedName>
    <definedName name="Геофиз">#REF!</definedName>
    <definedName name="геофизика" localSheetId="18">#REF!</definedName>
    <definedName name="геофизика" localSheetId="0">#REF!</definedName>
    <definedName name="геофизика">#REF!</definedName>
    <definedName name="гид" localSheetId="18">[21]Смета!#REF!</definedName>
    <definedName name="гид" localSheetId="0">[21]Смета!#REF!</definedName>
    <definedName name="гид">[22]Смета!#REF!</definedName>
    <definedName name="гид_1" localSheetId="0">[23]Смета!#REF!</definedName>
    <definedName name="гид_1">[23]Смета!#REF!</definedName>
    <definedName name="гид_2" localSheetId="18">[24]Смета!#REF!</definedName>
    <definedName name="гид_2" localSheetId="0">[24]Смета!#REF!</definedName>
    <definedName name="гид_2">[24]Смета!#REF!</definedName>
    <definedName name="Гидро" localSheetId="18">[3]топография!#REF!</definedName>
    <definedName name="Гидро" localSheetId="0">[3]топография!#REF!</definedName>
    <definedName name="Гидро">[3]топография!#REF!</definedName>
    <definedName name="гидро1" localSheetId="18">#REF!</definedName>
    <definedName name="гидро1" localSheetId="0">#REF!</definedName>
    <definedName name="гидро1" localSheetId="7">#REF!</definedName>
    <definedName name="гидро1">#REF!</definedName>
    <definedName name="гидро1_1" localSheetId="0">#REF!</definedName>
    <definedName name="гидро1_1" localSheetId="7">#REF!</definedName>
    <definedName name="гидро1_1">#REF!</definedName>
    <definedName name="гидрол" localSheetId="18">#REF!</definedName>
    <definedName name="гидрол" localSheetId="0">#REF!</definedName>
    <definedName name="гидрол" localSheetId="7">#REF!</definedName>
    <definedName name="гидрол">#REF!</definedName>
    <definedName name="гидролог" localSheetId="18">#REF!</definedName>
    <definedName name="Гидролог" localSheetId="0">#REF!</definedName>
    <definedName name="Гидролог">#REF!</definedName>
    <definedName name="гидролог_1" localSheetId="0">#REF!</definedName>
    <definedName name="гидролог_1">#REF!</definedName>
    <definedName name="Гидрология_7.03.08" localSheetId="18">[3]топография!#REF!</definedName>
    <definedName name="Гидрология_7.03.08" localSheetId="0">[3]топография!#REF!</definedName>
    <definedName name="Гидрология_7.03.08">[3]топография!#REF!</definedName>
    <definedName name="ГИП" localSheetId="18">#REF!</definedName>
    <definedName name="ГИП" localSheetId="0">#REF!</definedName>
    <definedName name="ГИП" localSheetId="7">#REF!</definedName>
    <definedName name="ГИП">#REF!</definedName>
    <definedName name="ГИП_1" localSheetId="0">#REF!</definedName>
    <definedName name="ГИП_1" localSheetId="7">#REF!</definedName>
    <definedName name="ГИП_1">#REF!</definedName>
    <definedName name="город" localSheetId="18">#REF!</definedName>
    <definedName name="город" localSheetId="0">#REF!</definedName>
    <definedName name="город" localSheetId="7">#REF!</definedName>
    <definedName name="город">#REF!</definedName>
    <definedName name="город_49" localSheetId="18">#REF!</definedName>
    <definedName name="город_49" localSheetId="0">#REF!</definedName>
    <definedName name="город_49">#REF!</definedName>
    <definedName name="город_50" localSheetId="18">#REF!</definedName>
    <definedName name="город_50" localSheetId="0">#REF!</definedName>
    <definedName name="город_50">#REF!</definedName>
    <definedName name="город_51" localSheetId="18">#REF!</definedName>
    <definedName name="город_51" localSheetId="0">#REF!</definedName>
    <definedName name="город_51">#REF!</definedName>
    <definedName name="город_52" localSheetId="18">#REF!</definedName>
    <definedName name="город_52" localSheetId="0">#REF!</definedName>
    <definedName name="город_52">#REF!</definedName>
    <definedName name="город_53" localSheetId="18">#REF!</definedName>
    <definedName name="город_53" localSheetId="0">#REF!</definedName>
    <definedName name="город_53">#REF!</definedName>
    <definedName name="город_54" localSheetId="18">#REF!</definedName>
    <definedName name="город_54" localSheetId="0">#REF!</definedName>
    <definedName name="город_54">#REF!</definedName>
    <definedName name="ГРП" localSheetId="18">#REF!</definedName>
    <definedName name="ГРП" localSheetId="0">#REF!</definedName>
    <definedName name="ГРП" localSheetId="19">#REF!</definedName>
    <definedName name="ГРП" localSheetId="15">#REF!</definedName>
    <definedName name="ГРП">#REF!</definedName>
    <definedName name="ГРП1" localSheetId="18">#REF!</definedName>
    <definedName name="ГРП1" localSheetId="0">#REF!</definedName>
    <definedName name="ГРП1" localSheetId="15">#REF!</definedName>
    <definedName name="ГРП1">#REF!</definedName>
    <definedName name="гшшг">NA()</definedName>
    <definedName name="д1" localSheetId="17">#REF!</definedName>
    <definedName name="д1" localSheetId="20">#REF!</definedName>
    <definedName name="д1" localSheetId="18">#REF!</definedName>
    <definedName name="д1" localSheetId="0">#REF!</definedName>
    <definedName name="д1" localSheetId="19">#REF!</definedName>
    <definedName name="д1" localSheetId="15">#REF!</definedName>
    <definedName name="д1" localSheetId="7">#REF!</definedName>
    <definedName name="д1">#REF!</definedName>
    <definedName name="д10" localSheetId="17">#REF!</definedName>
    <definedName name="д10" localSheetId="20">#REF!</definedName>
    <definedName name="д10" localSheetId="18">#REF!</definedName>
    <definedName name="д10" localSheetId="0">#REF!</definedName>
    <definedName name="д10" localSheetId="19">#REF!</definedName>
    <definedName name="д10">#REF!</definedName>
    <definedName name="д2" localSheetId="17">#REF!</definedName>
    <definedName name="д2" localSheetId="20">#REF!</definedName>
    <definedName name="д2" localSheetId="18">#REF!</definedName>
    <definedName name="д2" localSheetId="0">#REF!</definedName>
    <definedName name="д2" localSheetId="19">#REF!</definedName>
    <definedName name="д2">#REF!</definedName>
    <definedName name="д3" localSheetId="17">#REF!</definedName>
    <definedName name="д3" localSheetId="20">#REF!</definedName>
    <definedName name="д3" localSheetId="18">#REF!</definedName>
    <definedName name="д3" localSheetId="0">#REF!</definedName>
    <definedName name="д3">#REF!</definedName>
    <definedName name="д4" localSheetId="17">#REF!</definedName>
    <definedName name="д4" localSheetId="20">#REF!</definedName>
    <definedName name="д4" localSheetId="18">#REF!</definedName>
    <definedName name="д4" localSheetId="0">#REF!</definedName>
    <definedName name="д4">#REF!</definedName>
    <definedName name="д5" localSheetId="17">#REF!</definedName>
    <definedName name="д5" localSheetId="20">#REF!</definedName>
    <definedName name="д5" localSheetId="18">#REF!</definedName>
    <definedName name="д5" localSheetId="0">#REF!</definedName>
    <definedName name="д5">#REF!</definedName>
    <definedName name="д6" localSheetId="17">#REF!</definedName>
    <definedName name="д6" localSheetId="20">#REF!</definedName>
    <definedName name="д6" localSheetId="18">#REF!</definedName>
    <definedName name="д6" localSheetId="0">#REF!</definedName>
    <definedName name="д6">#REF!</definedName>
    <definedName name="д7" localSheetId="17">#REF!</definedName>
    <definedName name="д7" localSheetId="20">#REF!</definedName>
    <definedName name="д7" localSheetId="18">#REF!</definedName>
    <definedName name="д7" localSheetId="0">#REF!</definedName>
    <definedName name="д7">#REF!</definedName>
    <definedName name="д8" localSheetId="17">#REF!</definedName>
    <definedName name="д8" localSheetId="20">#REF!</definedName>
    <definedName name="д8" localSheetId="18">#REF!</definedName>
    <definedName name="д8" localSheetId="0">#REF!</definedName>
    <definedName name="д8">#REF!</definedName>
    <definedName name="д9" localSheetId="17">#REF!</definedName>
    <definedName name="д9" localSheetId="20">#REF!</definedName>
    <definedName name="д9" localSheetId="18">#REF!</definedName>
    <definedName name="д9" localSheetId="0">#REF!</definedName>
    <definedName name="д9">#REF!</definedName>
    <definedName name="дд" localSheetId="18">[25]Смета!#REF!</definedName>
    <definedName name="дд" localSheetId="0">[26]Смета!#REF!</definedName>
    <definedName name="дд">[26]Смета!#REF!</definedName>
    <definedName name="ддддд" localSheetId="18">#REF!</definedName>
    <definedName name="ддддд" localSheetId="0">#REF!</definedName>
    <definedName name="ддддд" localSheetId="7">#REF!</definedName>
    <definedName name="ддддд">#REF!</definedName>
    <definedName name="Дельта">[27]DATA!$B$4</definedName>
    <definedName name="Дефлятор" localSheetId="18">#REF!</definedName>
    <definedName name="Дефлятор" localSheetId="0">#REF!</definedName>
    <definedName name="Дефлятор" localSheetId="7">#REF!</definedName>
    <definedName name="Дефлятор">#REF!</definedName>
    <definedName name="Дефлятор_1" localSheetId="0">#REF!</definedName>
    <definedName name="Дефлятор_1" localSheetId="7">#REF!</definedName>
    <definedName name="Дефлятор_1">#REF!</definedName>
    <definedName name="дж">[11]Вспомогательный!$D$36</definedName>
    <definedName name="дж1">[11]Вспомогательный!$D$38</definedName>
    <definedName name="джэ" localSheetId="18" hidden="1">{#N/A,#N/A,TRUE,"Смета на пасс. обор. №1"}</definedName>
    <definedName name="джэ" localSheetId="0" hidden="1">{#N/A,#N/A,TRUE,"Смета на пасс. обор. №1"}</definedName>
    <definedName name="джэ" localSheetId="7" hidden="1">{#N/A,#N/A,TRUE,"Смета на пасс. обор. №1"}</definedName>
    <definedName name="джэ" hidden="1">{#N/A,#N/A,TRUE,"Смета на пасс. обор. №1"}</definedName>
    <definedName name="джэ_1" localSheetId="18" hidden="1">{#N/A,#N/A,TRUE,"Смета на пасс. обор. №1"}</definedName>
    <definedName name="джэ_1" localSheetId="0" hidden="1">{#N/A,#N/A,TRUE,"Смета на пасс. обор. №1"}</definedName>
    <definedName name="джэ_1" localSheetId="7" hidden="1">{#N/A,#N/A,TRUE,"Смета на пасс. обор. №1"}</definedName>
    <definedName name="джэ_1" hidden="1">{#N/A,#N/A,TRUE,"Смета на пасс. обор. №1"}</definedName>
    <definedName name="дл" localSheetId="18">#REF!</definedName>
    <definedName name="дл" localSheetId="0">#REF!</definedName>
    <definedName name="дл" localSheetId="7">#REF!</definedName>
    <definedName name="дл">#REF!</definedName>
    <definedName name="дл_1" localSheetId="18">#REF!</definedName>
    <definedName name="дл_1" localSheetId="0">#REF!</definedName>
    <definedName name="дл_1" localSheetId="7">#REF!</definedName>
    <definedName name="дл_1">#REF!</definedName>
    <definedName name="дл_10" localSheetId="18">#REF!</definedName>
    <definedName name="дл_10" localSheetId="0">#REF!</definedName>
    <definedName name="дл_10" localSheetId="7">#REF!</definedName>
    <definedName name="дл_10">#REF!</definedName>
    <definedName name="дл_11" localSheetId="18">#REF!</definedName>
    <definedName name="дл_11" localSheetId="0">#REF!</definedName>
    <definedName name="дл_11">#REF!</definedName>
    <definedName name="дл_12" localSheetId="18">#REF!</definedName>
    <definedName name="дл_12" localSheetId="0">#REF!</definedName>
    <definedName name="дл_12">#REF!</definedName>
    <definedName name="дл_13" localSheetId="18">#REF!</definedName>
    <definedName name="дл_13" localSheetId="0">#REF!</definedName>
    <definedName name="дл_13">#REF!</definedName>
    <definedName name="дл_14" localSheetId="18">#REF!</definedName>
    <definedName name="дл_14" localSheetId="0">#REF!</definedName>
    <definedName name="дл_14">#REF!</definedName>
    <definedName name="дл_15" localSheetId="18">#REF!</definedName>
    <definedName name="дл_15" localSheetId="0">#REF!</definedName>
    <definedName name="дл_15">#REF!</definedName>
    <definedName name="дл_16" localSheetId="18">#REF!</definedName>
    <definedName name="дл_16" localSheetId="0">#REF!</definedName>
    <definedName name="дл_16">#REF!</definedName>
    <definedName name="дл_17" localSheetId="18">#REF!</definedName>
    <definedName name="дл_17" localSheetId="0">#REF!</definedName>
    <definedName name="дл_17">#REF!</definedName>
    <definedName name="дл_18" localSheetId="18">#REF!</definedName>
    <definedName name="дл_18" localSheetId="0">#REF!</definedName>
    <definedName name="дл_18">#REF!</definedName>
    <definedName name="дл_19" localSheetId="18">#REF!</definedName>
    <definedName name="дл_19" localSheetId="0">#REF!</definedName>
    <definedName name="дл_19">#REF!</definedName>
    <definedName name="дл_2" localSheetId="18">#REF!</definedName>
    <definedName name="дл_2" localSheetId="0">#REF!</definedName>
    <definedName name="дл_2">#REF!</definedName>
    <definedName name="дл_20" localSheetId="18">#REF!</definedName>
    <definedName name="дл_20" localSheetId="0">#REF!</definedName>
    <definedName name="дл_20">#REF!</definedName>
    <definedName name="дл_21" localSheetId="18">#REF!</definedName>
    <definedName name="дл_21" localSheetId="0">#REF!</definedName>
    <definedName name="дл_21">#REF!</definedName>
    <definedName name="дл_49" localSheetId="18">#REF!</definedName>
    <definedName name="дл_49" localSheetId="0">#REF!</definedName>
    <definedName name="дл_49">#REF!</definedName>
    <definedName name="дл_50" localSheetId="18">#REF!</definedName>
    <definedName name="дл_50" localSheetId="0">#REF!</definedName>
    <definedName name="дл_50">#REF!</definedName>
    <definedName name="дл_51" localSheetId="18">#REF!</definedName>
    <definedName name="дл_51" localSheetId="0">#REF!</definedName>
    <definedName name="дл_51">#REF!</definedName>
    <definedName name="дл_52" localSheetId="18">#REF!</definedName>
    <definedName name="дл_52" localSheetId="0">#REF!</definedName>
    <definedName name="дл_52">#REF!</definedName>
    <definedName name="дл_53" localSheetId="18">#REF!</definedName>
    <definedName name="дл_53" localSheetId="0">#REF!</definedName>
    <definedName name="дл_53">#REF!</definedName>
    <definedName name="дл_54" localSheetId="18">#REF!</definedName>
    <definedName name="дл_54" localSheetId="0">#REF!</definedName>
    <definedName name="дл_54">#REF!</definedName>
    <definedName name="дл_6" localSheetId="18">#REF!</definedName>
    <definedName name="дл_6" localSheetId="0">#REF!</definedName>
    <definedName name="дл_6">#REF!</definedName>
    <definedName name="дл_7" localSheetId="18">#REF!</definedName>
    <definedName name="дл_7" localSheetId="0">#REF!</definedName>
    <definedName name="дл_7">#REF!</definedName>
    <definedName name="дл_8" localSheetId="18">#REF!</definedName>
    <definedName name="дл_8" localSheetId="0">#REF!</definedName>
    <definedName name="дл_8">#REF!</definedName>
    <definedName name="дл_9" localSheetId="18">#REF!</definedName>
    <definedName name="дл_9" localSheetId="0">#REF!</definedName>
    <definedName name="дл_9">#REF!</definedName>
    <definedName name="Длинна_границы" localSheetId="18">#REF!</definedName>
    <definedName name="Длинна_границы" localSheetId="0">#REF!</definedName>
    <definedName name="Длинна_границы">#REF!</definedName>
    <definedName name="Длинна_границы_1" localSheetId="0">#REF!</definedName>
    <definedName name="Длинна_границы_1">#REF!</definedName>
    <definedName name="Длинна_трассы" localSheetId="18">#REF!</definedName>
    <definedName name="Длинна_трассы" localSheetId="0">#REF!</definedName>
    <definedName name="Длинна_трассы">#REF!</definedName>
    <definedName name="Длинна_трассы_1" localSheetId="0">#REF!</definedName>
    <definedName name="Длинна_трассы_1">#REF!</definedName>
    <definedName name="ДЛО" localSheetId="17">#REF!</definedName>
    <definedName name="ДЛО" localSheetId="20">#REF!</definedName>
    <definedName name="ДЛО" localSheetId="18">#REF!</definedName>
    <definedName name="ДЛО" localSheetId="0">#REF!</definedName>
    <definedName name="ДЛО" localSheetId="19">#REF!</definedName>
    <definedName name="ДЛО" localSheetId="15">#REF!</definedName>
    <definedName name="ДЛО">#REF!</definedName>
    <definedName name="доп" localSheetId="18" hidden="1">{#N/A,#N/A,TRUE,"Смета на пасс. обор. №1"}</definedName>
    <definedName name="доп" localSheetId="0" hidden="1">{#N/A,#N/A,TRUE,"Смета на пасс. обор. №1"}</definedName>
    <definedName name="доп" localSheetId="7" hidden="1">{#N/A,#N/A,TRUE,"Смета на пасс. обор. №1"}</definedName>
    <definedName name="доп" hidden="1">{#N/A,#N/A,TRUE,"Смета на пасс. обор. №1"}</definedName>
    <definedName name="доп_1" localSheetId="18" hidden="1">{#N/A,#N/A,TRUE,"Смета на пасс. обор. №1"}</definedName>
    <definedName name="доп_1" localSheetId="0" hidden="1">{#N/A,#N/A,TRUE,"Смета на пасс. обор. №1"}</definedName>
    <definedName name="доп_1" localSheetId="7" hidden="1">{#N/A,#N/A,TRUE,"Смета на пасс. обор. №1"}</definedName>
    <definedName name="доп_1" hidden="1">{#N/A,#N/A,TRUE,"Смета на пасс. обор. №1"}</definedName>
    <definedName name="дп" localSheetId="17">#REF!</definedName>
    <definedName name="дп" localSheetId="20">#REF!</definedName>
    <definedName name="дп" localSheetId="18">#REF!</definedName>
    <definedName name="дп" localSheetId="0">#REF!</definedName>
    <definedName name="дп" localSheetId="19">#REF!</definedName>
    <definedName name="дп" localSheetId="15">#REF!</definedName>
    <definedName name="дп" localSheetId="7">#REF!</definedName>
    <definedName name="дп">#REF!</definedName>
    <definedName name="ДСК" localSheetId="17">[3]топография!#REF!</definedName>
    <definedName name="ДСК" localSheetId="20">[3]топография!#REF!</definedName>
    <definedName name="ДСК" localSheetId="18">[3]топография!#REF!</definedName>
    <definedName name="ДСК" localSheetId="11">[3]топография!#REF!</definedName>
    <definedName name="ДСК" localSheetId="0">[3]топография!#REF!</definedName>
    <definedName name="ДСК" localSheetId="15">[3]топография!#REF!</definedName>
    <definedName name="ДСК" localSheetId="7">[3]топография!#REF!</definedName>
    <definedName name="ДСК">[3]топография!#REF!</definedName>
    <definedName name="ДСК_1" localSheetId="0">[3]топография!#REF!</definedName>
    <definedName name="ДСК_1" localSheetId="7">[3]топография!#REF!</definedName>
    <definedName name="ДСК_1">[3]топография!#REF!</definedName>
    <definedName name="дэ" localSheetId="17">#REF!</definedName>
    <definedName name="дэ" localSheetId="20">#REF!</definedName>
    <definedName name="дэ" localSheetId="18">#REF!</definedName>
    <definedName name="дэ" localSheetId="0">#REF!</definedName>
    <definedName name="дэ" localSheetId="19">#REF!</definedName>
    <definedName name="дэ" localSheetId="15">#REF!</definedName>
    <definedName name="дэ" localSheetId="7">#REF!</definedName>
    <definedName name="дэ">#REF!</definedName>
    <definedName name="ен" localSheetId="18" hidden="1">{#N/A,#N/A,TRUE,"Смета на пасс. обор. №1"}</definedName>
    <definedName name="ен" localSheetId="0" hidden="1">{#N/A,#N/A,TRUE,"Смета на пасс. обор. №1"}</definedName>
    <definedName name="ен" localSheetId="7" hidden="1">{#N/A,#N/A,TRUE,"Смета на пасс. обор. №1"}</definedName>
    <definedName name="ен" hidden="1">{#N/A,#N/A,TRUE,"Смета на пасс. обор. №1"}</definedName>
    <definedName name="ен_1" localSheetId="18" hidden="1">{#N/A,#N/A,TRUE,"Смета на пасс. обор. №1"}</definedName>
    <definedName name="ен_1" localSheetId="0" hidden="1">{#N/A,#N/A,TRUE,"Смета на пасс. обор. №1"}</definedName>
    <definedName name="ен_1" localSheetId="7" hidden="1">{#N/A,#N/A,TRUE,"Смета на пасс. обор. №1"}</definedName>
    <definedName name="ен_1" hidden="1">{#N/A,#N/A,TRUE,"Смета на пасс. обор. №1"}</definedName>
    <definedName name="жж">[11]Вспомогательный!$D$80</definedName>
    <definedName name="жж_1" localSheetId="18" hidden="1">{#N/A,#N/A,TRUE,"Смета на пасс. обор. №1"}</definedName>
    <definedName name="жж_1" localSheetId="0" hidden="1">{#N/A,#N/A,TRUE,"Смета на пасс. обор. №1"}</definedName>
    <definedName name="жж_1" localSheetId="7" hidden="1">{#N/A,#N/A,TRUE,"Смета на пасс. обор. №1"}</definedName>
    <definedName name="жж_1" hidden="1">{#N/A,#N/A,TRUE,"Смета на пасс. обор. №1"}</definedName>
    <definedName name="жжж" localSheetId="18">#REF!</definedName>
    <definedName name="жжж" localSheetId="0">#REF!</definedName>
    <definedName name="жжж" localSheetId="7">#REF!</definedName>
    <definedName name="жжж">#REF!</definedName>
    <definedName name="жл" localSheetId="18">#REF!</definedName>
    <definedName name="жл" localSheetId="0">#REF!</definedName>
    <definedName name="жл" localSheetId="7">#REF!</definedName>
    <definedName name="жл">#REF!</definedName>
    <definedName name="жпф" localSheetId="18">#REF!</definedName>
    <definedName name="жпф" localSheetId="0">#REF!</definedName>
    <definedName name="жпф" localSheetId="7">#REF!</definedName>
    <definedName name="жпф">#REF!</definedName>
    <definedName name="жю" localSheetId="18" hidden="1">{#N/A,#N/A,TRUE,"Смета на пасс. обор. №1"}</definedName>
    <definedName name="жю" localSheetId="0" hidden="1">{#N/A,#N/A,TRUE,"Смета на пасс. обор. №1"}</definedName>
    <definedName name="жю" localSheetId="7" hidden="1">{#N/A,#N/A,TRUE,"Смета на пасс. обор. №1"}</definedName>
    <definedName name="жю" hidden="1">{#N/A,#N/A,TRUE,"Смета на пасс. обор. №1"}</definedName>
    <definedName name="жю_1" localSheetId="18" hidden="1">{#N/A,#N/A,TRUE,"Смета на пасс. обор. №1"}</definedName>
    <definedName name="жю_1" localSheetId="0" hidden="1">{#N/A,#N/A,TRUE,"Смета на пасс. обор. №1"}</definedName>
    <definedName name="жю_1" localSheetId="7" hidden="1">{#N/A,#N/A,TRUE,"Смета на пасс. обор. №1"}</definedName>
    <definedName name="жю_1" hidden="1">{#N/A,#N/A,TRUE,"Смета на пасс. обор. №1"}</definedName>
    <definedName name="_xlnm.Print_Titles" localSheetId="9">ПД!$18:$18</definedName>
    <definedName name="_xlnm.Print_Titles" localSheetId="16">Экология!$12:$12</definedName>
    <definedName name="ЗаказДолжность">[28]ОбмОбслЗемОд!$B$67</definedName>
    <definedName name="ЗаказИмя">[28]ОбмОбслЗемОд!$C$69</definedName>
    <definedName name="Заказчик" localSheetId="18">#REF!</definedName>
    <definedName name="Заказчик" localSheetId="0">#REF!</definedName>
    <definedName name="Заказчик" localSheetId="7">#REF!</definedName>
    <definedName name="Заказчик">#REF!</definedName>
    <definedName name="Заказчик_1" localSheetId="18">#REF!</definedName>
    <definedName name="Заказчик_1" localSheetId="0">#REF!</definedName>
    <definedName name="Заказчик_1" localSheetId="7">#REF!</definedName>
    <definedName name="Заказчик_1">#REF!</definedName>
    <definedName name="Зимнее_удорожание">[13]Коэфф!$B$1</definedName>
    <definedName name="зол" localSheetId="18">#REF!</definedName>
    <definedName name="зол" localSheetId="0">#REF!</definedName>
    <definedName name="зол" localSheetId="7">#REF!</definedName>
    <definedName name="зол">#REF!</definedName>
    <definedName name="зол_1" localSheetId="18">#REF!</definedName>
    <definedName name="зол_1" localSheetId="0">#REF!</definedName>
    <definedName name="зол_1" localSheetId="7">#REF!</definedName>
    <definedName name="зол_1">#REF!</definedName>
    <definedName name="зол_10" localSheetId="18">#REF!</definedName>
    <definedName name="зол_10" localSheetId="0">#REF!</definedName>
    <definedName name="зол_10" localSheetId="7">#REF!</definedName>
    <definedName name="зол_10">#REF!</definedName>
    <definedName name="зол_11" localSheetId="18">#REF!</definedName>
    <definedName name="зол_11" localSheetId="0">#REF!</definedName>
    <definedName name="зол_11">#REF!</definedName>
    <definedName name="зол_12" localSheetId="18">#REF!</definedName>
    <definedName name="зол_12" localSheetId="0">#REF!</definedName>
    <definedName name="зол_12">#REF!</definedName>
    <definedName name="зол_13" localSheetId="18">#REF!</definedName>
    <definedName name="зол_13" localSheetId="0">#REF!</definedName>
    <definedName name="зол_13">#REF!</definedName>
    <definedName name="зол_14" localSheetId="18">#REF!</definedName>
    <definedName name="зол_14" localSheetId="0">#REF!</definedName>
    <definedName name="зол_14">#REF!</definedName>
    <definedName name="зол_15" localSheetId="18">#REF!</definedName>
    <definedName name="зол_15" localSheetId="0">#REF!</definedName>
    <definedName name="зол_15">#REF!</definedName>
    <definedName name="зол_16" localSheetId="18">#REF!</definedName>
    <definedName name="зол_16" localSheetId="0">#REF!</definedName>
    <definedName name="зол_16">#REF!</definedName>
    <definedName name="зол_17" localSheetId="18">#REF!</definedName>
    <definedName name="зол_17" localSheetId="0">#REF!</definedName>
    <definedName name="зол_17">#REF!</definedName>
    <definedName name="зол_18" localSheetId="18">#REF!</definedName>
    <definedName name="зол_18" localSheetId="0">#REF!</definedName>
    <definedName name="зол_18">#REF!</definedName>
    <definedName name="зол_19" localSheetId="18">#REF!</definedName>
    <definedName name="зол_19" localSheetId="0">#REF!</definedName>
    <definedName name="зол_19">#REF!</definedName>
    <definedName name="зол_2" localSheetId="18">#REF!</definedName>
    <definedName name="зол_2" localSheetId="0">#REF!</definedName>
    <definedName name="зол_2">#REF!</definedName>
    <definedName name="зол_20" localSheetId="18">#REF!</definedName>
    <definedName name="зол_20" localSheetId="0">#REF!</definedName>
    <definedName name="зол_20">#REF!</definedName>
    <definedName name="зол_21" localSheetId="18">#REF!</definedName>
    <definedName name="зол_21" localSheetId="0">#REF!</definedName>
    <definedName name="зол_21">#REF!</definedName>
    <definedName name="зол_49" localSheetId="18">#REF!</definedName>
    <definedName name="зол_49" localSheetId="0">#REF!</definedName>
    <definedName name="зол_49">#REF!</definedName>
    <definedName name="зол_50" localSheetId="18">#REF!</definedName>
    <definedName name="зол_50" localSheetId="0">#REF!</definedName>
    <definedName name="зол_50">#REF!</definedName>
    <definedName name="зол_51" localSheetId="18">#REF!</definedName>
    <definedName name="зол_51" localSheetId="0">#REF!</definedName>
    <definedName name="зол_51">#REF!</definedName>
    <definedName name="зол_52" localSheetId="18">#REF!</definedName>
    <definedName name="зол_52" localSheetId="0">#REF!</definedName>
    <definedName name="зол_52">#REF!</definedName>
    <definedName name="зол_53" localSheetId="18">#REF!</definedName>
    <definedName name="зол_53" localSheetId="0">#REF!</definedName>
    <definedName name="зол_53">#REF!</definedName>
    <definedName name="зол_54" localSheetId="18">#REF!</definedName>
    <definedName name="зол_54" localSheetId="0">#REF!</definedName>
    <definedName name="зол_54">#REF!</definedName>
    <definedName name="зол_6" localSheetId="18">#REF!</definedName>
    <definedName name="зол_6" localSheetId="0">#REF!</definedName>
    <definedName name="зол_6">#REF!</definedName>
    <definedName name="зол_7" localSheetId="18">#REF!</definedName>
    <definedName name="зол_7" localSheetId="0">#REF!</definedName>
    <definedName name="зол_7">#REF!</definedName>
    <definedName name="зол_8" localSheetId="18">#REF!</definedName>
    <definedName name="зол_8" localSheetId="0">#REF!</definedName>
    <definedName name="зол_8">#REF!</definedName>
    <definedName name="зол_9" localSheetId="18">#REF!</definedName>
    <definedName name="зол_9" localSheetId="0">#REF!</definedName>
    <definedName name="зол_9">#REF!</definedName>
    <definedName name="зщ" localSheetId="18" hidden="1">{#N/A,#N/A,TRUE,"Смета на пасс. обор. №1"}</definedName>
    <definedName name="зщ" localSheetId="0" hidden="1">{#N/A,#N/A,TRUE,"Смета на пасс. обор. №1"}</definedName>
    <definedName name="зщ" localSheetId="7" hidden="1">{#N/A,#N/A,TRUE,"Смета на пасс. обор. №1"}</definedName>
    <definedName name="зщ" hidden="1">{#N/A,#N/A,TRUE,"Смета на пасс. обор. №1"}</definedName>
    <definedName name="зщ_1" localSheetId="18" hidden="1">{#N/A,#N/A,TRUE,"Смета на пасс. обор. №1"}</definedName>
    <definedName name="зщ_1" localSheetId="0" hidden="1">{#N/A,#N/A,TRUE,"Смета на пасс. обор. №1"}</definedName>
    <definedName name="зщ_1" localSheetId="7" hidden="1">{#N/A,#N/A,TRUE,"Смета на пасс. обор. №1"}</definedName>
    <definedName name="зщ_1" hidden="1">{#N/A,#N/A,TRUE,"Смета на пасс. обор. №1"}</definedName>
    <definedName name="изыск" localSheetId="0">#REF!</definedName>
    <definedName name="изыск">#REF!</definedName>
    <definedName name="изыск_1" localSheetId="0">#REF!</definedName>
    <definedName name="изыск_1">#REF!</definedName>
    <definedName name="ии" localSheetId="17">#REF!</definedName>
    <definedName name="ии" localSheetId="20">#REF!</definedName>
    <definedName name="ии" localSheetId="18">#REF!</definedName>
    <definedName name="ии" localSheetId="0">#REF!</definedName>
    <definedName name="ии" localSheetId="19">#REF!</definedName>
    <definedName name="ии" localSheetId="15">#REF!</definedName>
    <definedName name="ии">#REF!</definedName>
    <definedName name="ик" localSheetId="18">#REF!</definedName>
    <definedName name="ик" localSheetId="0">#REF!</definedName>
    <definedName name="ик">#REF!</definedName>
    <definedName name="Индекс" localSheetId="0">'[29]Расч(подряд)'!#REF!</definedName>
    <definedName name="Индекс">'[29]Расч(подряд)'!#REF!</definedName>
    <definedName name="индекс_0" localSheetId="18">#REF!</definedName>
    <definedName name="индекс_0" localSheetId="0">#REF!</definedName>
    <definedName name="индекс_0" localSheetId="7">#REF!</definedName>
    <definedName name="индекс_0">#REF!</definedName>
    <definedName name="Индекс_1" localSheetId="18">#REF!</definedName>
    <definedName name="Индекс_1" localSheetId="0">#REF!</definedName>
    <definedName name="Индекс_1" localSheetId="7">#REF!</definedName>
    <definedName name="Индекс_1">#REF!</definedName>
    <definedName name="индекс_100" localSheetId="18">#REF!</definedName>
    <definedName name="индекс_100" localSheetId="0">#REF!</definedName>
    <definedName name="индекс_100" localSheetId="7">#REF!</definedName>
    <definedName name="индекс_100">#REF!</definedName>
    <definedName name="индекс_101" localSheetId="0">#REF!</definedName>
    <definedName name="индекс_101">#REF!</definedName>
    <definedName name="индекс_102" localSheetId="0">#REF!</definedName>
    <definedName name="индекс_102">#REF!</definedName>
    <definedName name="индекс_103" localSheetId="0">#REF!</definedName>
    <definedName name="индекс_103">#REF!</definedName>
    <definedName name="индекс_104" localSheetId="0">#REF!</definedName>
    <definedName name="индекс_104">#REF!</definedName>
    <definedName name="индекс_105" localSheetId="0">#REF!</definedName>
    <definedName name="индекс_105">#REF!</definedName>
    <definedName name="индекс_105032654" localSheetId="0">#REF!</definedName>
    <definedName name="индекс_105032654">#REF!</definedName>
    <definedName name="индекс_999" localSheetId="0">#REF!</definedName>
    <definedName name="индекс_999">#REF!</definedName>
    <definedName name="индекс_С3" localSheetId="0">#REF!</definedName>
    <definedName name="индекс_С3">#REF!</definedName>
    <definedName name="Индекс1" localSheetId="0">'[29]Расч(подряд)'!#REF!</definedName>
    <definedName name="Индекс1">'[29]Расч(подряд)'!#REF!</definedName>
    <definedName name="Индекс2" localSheetId="0">'[29]Расч(подряд)'!#REF!</definedName>
    <definedName name="Индекс2">'[29]Расч(подряд)'!#REF!</definedName>
    <definedName name="ИндексА" localSheetId="18">#REF!</definedName>
    <definedName name="ИндексА" localSheetId="0">#REF!</definedName>
    <definedName name="ИндексА" localSheetId="7">#REF!</definedName>
    <definedName name="ИндексА">#REF!</definedName>
    <definedName name="инж" localSheetId="0">#REF!</definedName>
    <definedName name="инж" localSheetId="7">#REF!</definedName>
    <definedName name="инж">#REF!</definedName>
    <definedName name="инж_1" localSheetId="0">#REF!</definedName>
    <definedName name="инж_1" localSheetId="7">#REF!</definedName>
    <definedName name="инж_1">#REF!</definedName>
    <definedName name="инфл" localSheetId="17">#REF!</definedName>
    <definedName name="инфл" localSheetId="20">#REF!</definedName>
    <definedName name="инфл" localSheetId="18">#REF!</definedName>
    <definedName name="инфл" localSheetId="0">#REF!</definedName>
    <definedName name="инфл" localSheetId="19">#REF!</definedName>
    <definedName name="инфл" localSheetId="15">#REF!</definedName>
    <definedName name="инфл">#REF!</definedName>
    <definedName name="ип" localSheetId="17">#REF!</definedName>
    <definedName name="ип" localSheetId="20">#REF!</definedName>
    <definedName name="ип" localSheetId="18">#REF!</definedName>
    <definedName name="ип" localSheetId="0">#REF!</definedName>
    <definedName name="ип" localSheetId="15">#REF!</definedName>
    <definedName name="ип">#REF!</definedName>
    <definedName name="ИПусто" localSheetId="18">#REF!</definedName>
    <definedName name="ИПусто" localSheetId="0">#REF!</definedName>
    <definedName name="ИПусто">#REF!</definedName>
    <definedName name="ИПусто_1" localSheetId="0">#REF!</definedName>
    <definedName name="ИПусто_1">#REF!</definedName>
    <definedName name="ит" localSheetId="18">#REF!</definedName>
    <definedName name="ит" localSheetId="0">#REF!</definedName>
    <definedName name="ит">#REF!</definedName>
    <definedName name="итого" localSheetId="0">#REF!</definedName>
    <definedName name="итого">#REF!</definedName>
    <definedName name="итого_Куст" localSheetId="0">#REF!</definedName>
    <definedName name="итого_Куст">#REF!</definedName>
    <definedName name="итого_Куст_П" localSheetId="0">#REF!</definedName>
    <definedName name="итого_Куст_П">#REF!</definedName>
    <definedName name="ить" localSheetId="18">#REF!</definedName>
    <definedName name="ить" localSheetId="0">#REF!</definedName>
    <definedName name="ить">#REF!</definedName>
    <definedName name="йцйу3йк" localSheetId="18">#REF!</definedName>
    <definedName name="йцйу3йк" localSheetId="0">#REF!</definedName>
    <definedName name="йцйу3йк">#REF!</definedName>
    <definedName name="йцйц">NA()</definedName>
    <definedName name="йцу" localSheetId="18">#REF!</definedName>
    <definedName name="йцу" localSheetId="0">#REF!</definedName>
    <definedName name="йцу" localSheetId="7">#REF!</definedName>
    <definedName name="йцу">#REF!</definedName>
    <definedName name="к" localSheetId="18">#REF!</definedName>
    <definedName name="к" localSheetId="0">#REF!</definedName>
    <definedName name="к" localSheetId="7">#REF!</definedName>
    <definedName name="к">#REF!</definedName>
    <definedName name="к_1" localSheetId="18" hidden="1">{#N/A,#N/A,TRUE,"Смета на пасс. обор. №1"}</definedName>
    <definedName name="к_1" localSheetId="0" hidden="1">{#N/A,#N/A,TRUE,"Смета на пасс. обор. №1"}</definedName>
    <definedName name="к_1" localSheetId="7" hidden="1">{#N/A,#N/A,TRUE,"Смета на пасс. обор. №1"}</definedName>
    <definedName name="к_1" hidden="1">{#N/A,#N/A,TRUE,"Смета на пасс. обор. №1"}</definedName>
    <definedName name="к1" localSheetId="17">#REF!</definedName>
    <definedName name="к1" localSheetId="20">#REF!</definedName>
    <definedName name="к1" localSheetId="18">#REF!</definedName>
    <definedName name="к1" localSheetId="0">#REF!</definedName>
    <definedName name="к1" localSheetId="19">#REF!</definedName>
    <definedName name="к1" localSheetId="7">#REF!</definedName>
    <definedName name="к1">#REF!</definedName>
    <definedName name="к10" localSheetId="17">#REF!</definedName>
    <definedName name="к10" localSheetId="20">#REF!</definedName>
    <definedName name="к10" localSheetId="18">#REF!</definedName>
    <definedName name="к10" localSheetId="0">#REF!</definedName>
    <definedName name="к10" localSheetId="19">#REF!</definedName>
    <definedName name="к10">#REF!</definedName>
    <definedName name="к101" localSheetId="17">#REF!</definedName>
    <definedName name="к101" localSheetId="20">#REF!</definedName>
    <definedName name="к101" localSheetId="18">#REF!</definedName>
    <definedName name="к101" localSheetId="0">#REF!</definedName>
    <definedName name="к101" localSheetId="19">#REF!</definedName>
    <definedName name="к101">#REF!</definedName>
    <definedName name="К105" localSheetId="17">#REF!</definedName>
    <definedName name="К105" localSheetId="20">#REF!</definedName>
    <definedName name="К105" localSheetId="18">#REF!</definedName>
    <definedName name="К105" localSheetId="0">#REF!</definedName>
    <definedName name="К105">#REF!</definedName>
    <definedName name="к11" localSheetId="17">#REF!</definedName>
    <definedName name="к11" localSheetId="20">#REF!</definedName>
    <definedName name="к11" localSheetId="18">#REF!</definedName>
    <definedName name="к11" localSheetId="0">#REF!</definedName>
    <definedName name="к11">#REF!</definedName>
    <definedName name="к12" localSheetId="17">#REF!</definedName>
    <definedName name="к12" localSheetId="20">#REF!</definedName>
    <definedName name="к12" localSheetId="18">#REF!</definedName>
    <definedName name="к12" localSheetId="0">#REF!</definedName>
    <definedName name="к12">#REF!</definedName>
    <definedName name="к13" localSheetId="17">#REF!</definedName>
    <definedName name="к13" localSheetId="20">#REF!</definedName>
    <definedName name="к13" localSheetId="18">#REF!</definedName>
    <definedName name="к13" localSheetId="0">#REF!</definedName>
    <definedName name="к13">#REF!</definedName>
    <definedName name="к14" localSheetId="17">#REF!</definedName>
    <definedName name="к14" localSheetId="20">#REF!</definedName>
    <definedName name="к14" localSheetId="18">#REF!</definedName>
    <definedName name="к14" localSheetId="0">#REF!</definedName>
    <definedName name="к14">#REF!</definedName>
    <definedName name="к15" localSheetId="17">#REF!</definedName>
    <definedName name="к15" localSheetId="20">#REF!</definedName>
    <definedName name="к15" localSheetId="18">#REF!</definedName>
    <definedName name="к15" localSheetId="0">#REF!</definedName>
    <definedName name="к15">#REF!</definedName>
    <definedName name="к16" localSheetId="17">#REF!</definedName>
    <definedName name="к16" localSheetId="20">#REF!</definedName>
    <definedName name="к16" localSheetId="18">#REF!</definedName>
    <definedName name="к16" localSheetId="0">#REF!</definedName>
    <definedName name="к16">#REF!</definedName>
    <definedName name="к17" localSheetId="17">#REF!</definedName>
    <definedName name="к17" localSheetId="20">#REF!</definedName>
    <definedName name="к17" localSheetId="18">#REF!</definedName>
    <definedName name="к17" localSheetId="0">#REF!</definedName>
    <definedName name="к17">#REF!</definedName>
    <definedName name="к18" localSheetId="17">#REF!</definedName>
    <definedName name="к18" localSheetId="20">#REF!</definedName>
    <definedName name="к18" localSheetId="18">#REF!</definedName>
    <definedName name="к18" localSheetId="0">#REF!</definedName>
    <definedName name="к18">#REF!</definedName>
    <definedName name="к19" localSheetId="17">#REF!</definedName>
    <definedName name="к19" localSheetId="20">#REF!</definedName>
    <definedName name="к19" localSheetId="18">#REF!</definedName>
    <definedName name="к19" localSheetId="0">#REF!</definedName>
    <definedName name="к19">#REF!</definedName>
    <definedName name="к2" localSheetId="17">#REF!</definedName>
    <definedName name="к2" localSheetId="20">#REF!</definedName>
    <definedName name="к2" localSheetId="18">#REF!</definedName>
    <definedName name="к2" localSheetId="0">#REF!</definedName>
    <definedName name="к2">#REF!</definedName>
    <definedName name="к20" localSheetId="17">#REF!</definedName>
    <definedName name="к20" localSheetId="20">#REF!</definedName>
    <definedName name="к20" localSheetId="18">#REF!</definedName>
    <definedName name="к20" localSheetId="0">#REF!</definedName>
    <definedName name="к20">#REF!</definedName>
    <definedName name="к21" localSheetId="17">#REF!</definedName>
    <definedName name="к21" localSheetId="20">#REF!</definedName>
    <definedName name="к21" localSheetId="18">#REF!</definedName>
    <definedName name="к21" localSheetId="0">#REF!</definedName>
    <definedName name="к21">#REF!</definedName>
    <definedName name="к22" localSheetId="17">#REF!</definedName>
    <definedName name="к22" localSheetId="20">#REF!</definedName>
    <definedName name="к22" localSheetId="18">#REF!</definedName>
    <definedName name="к22" localSheetId="0">#REF!</definedName>
    <definedName name="к22">#REF!</definedName>
    <definedName name="к23" localSheetId="17">#REF!</definedName>
    <definedName name="к23" localSheetId="20">#REF!</definedName>
    <definedName name="к23" localSheetId="18">#REF!</definedName>
    <definedName name="к23" localSheetId="0">#REF!</definedName>
    <definedName name="к23">#REF!</definedName>
    <definedName name="к231" localSheetId="17">#REF!</definedName>
    <definedName name="к231" localSheetId="20">#REF!</definedName>
    <definedName name="к231" localSheetId="18">#REF!</definedName>
    <definedName name="к231" localSheetId="0">#REF!</definedName>
    <definedName name="к231">#REF!</definedName>
    <definedName name="к24" localSheetId="17">#REF!</definedName>
    <definedName name="к24" localSheetId="20">#REF!</definedName>
    <definedName name="к24" localSheetId="18">#REF!</definedName>
    <definedName name="к24" localSheetId="0">#REF!</definedName>
    <definedName name="к24">#REF!</definedName>
    <definedName name="к25" localSheetId="17">#REF!</definedName>
    <definedName name="к25" localSheetId="20">#REF!</definedName>
    <definedName name="к25" localSheetId="18">#REF!</definedName>
    <definedName name="к25" localSheetId="0">#REF!</definedName>
    <definedName name="к25">#REF!</definedName>
    <definedName name="к26" localSheetId="17">#REF!</definedName>
    <definedName name="к26" localSheetId="20">#REF!</definedName>
    <definedName name="к26" localSheetId="18">#REF!</definedName>
    <definedName name="к26" localSheetId="0">#REF!</definedName>
    <definedName name="к26">#REF!</definedName>
    <definedName name="к27" localSheetId="17">#REF!</definedName>
    <definedName name="к27" localSheetId="20">#REF!</definedName>
    <definedName name="к27" localSheetId="18">#REF!</definedName>
    <definedName name="к27" localSheetId="0">#REF!</definedName>
    <definedName name="к27">#REF!</definedName>
    <definedName name="к28" localSheetId="17">#REF!</definedName>
    <definedName name="к28" localSheetId="20">#REF!</definedName>
    <definedName name="к28" localSheetId="18">#REF!</definedName>
    <definedName name="к28" localSheetId="0">#REF!</definedName>
    <definedName name="к28">#REF!</definedName>
    <definedName name="к29" localSheetId="17">#REF!</definedName>
    <definedName name="к29" localSheetId="20">#REF!</definedName>
    <definedName name="к29" localSheetId="18">#REF!</definedName>
    <definedName name="к29" localSheetId="0">#REF!</definedName>
    <definedName name="к29">#REF!</definedName>
    <definedName name="к2п" localSheetId="17">#REF!</definedName>
    <definedName name="к2п" localSheetId="20">#REF!</definedName>
    <definedName name="к2п" localSheetId="18">#REF!</definedName>
    <definedName name="к2п" localSheetId="0">#REF!</definedName>
    <definedName name="к2п">#REF!</definedName>
    <definedName name="к3" localSheetId="17">#REF!</definedName>
    <definedName name="к3" localSheetId="20">#REF!</definedName>
    <definedName name="к3" localSheetId="18">#REF!</definedName>
    <definedName name="к3" localSheetId="0">#REF!</definedName>
    <definedName name="к3">#REF!</definedName>
    <definedName name="к30" localSheetId="17">#REF!</definedName>
    <definedName name="к30" localSheetId="20">#REF!</definedName>
    <definedName name="к30" localSheetId="18">#REF!</definedName>
    <definedName name="к30" localSheetId="0">#REF!</definedName>
    <definedName name="к30">#REF!</definedName>
    <definedName name="к3п" localSheetId="17">#REF!</definedName>
    <definedName name="к3п" localSheetId="20">#REF!</definedName>
    <definedName name="к3п" localSheetId="18">#REF!</definedName>
    <definedName name="к3п" localSheetId="0">#REF!</definedName>
    <definedName name="к3п">#REF!</definedName>
    <definedName name="к5" localSheetId="17">#REF!</definedName>
    <definedName name="к5" localSheetId="20">#REF!</definedName>
    <definedName name="к5" localSheetId="18">#REF!</definedName>
    <definedName name="к5" localSheetId="0">#REF!</definedName>
    <definedName name="к5">#REF!</definedName>
    <definedName name="к6" localSheetId="17">#REF!</definedName>
    <definedName name="к6" localSheetId="20">#REF!</definedName>
    <definedName name="к6" localSheetId="18">#REF!</definedName>
    <definedName name="к6" localSheetId="0">#REF!</definedName>
    <definedName name="к6">#REF!</definedName>
    <definedName name="к7" localSheetId="17">#REF!</definedName>
    <definedName name="к7" localSheetId="20">#REF!</definedName>
    <definedName name="к7" localSheetId="18">#REF!</definedName>
    <definedName name="к7" localSheetId="0">#REF!</definedName>
    <definedName name="к7">#REF!</definedName>
    <definedName name="к8" localSheetId="17">#REF!</definedName>
    <definedName name="к8" localSheetId="20">#REF!</definedName>
    <definedName name="к8" localSheetId="18">#REF!</definedName>
    <definedName name="к8" localSheetId="0">#REF!</definedName>
    <definedName name="к8">#REF!</definedName>
    <definedName name="к9" localSheetId="17">#REF!</definedName>
    <definedName name="к9" localSheetId="20">#REF!</definedName>
    <definedName name="к9" localSheetId="18">#REF!</definedName>
    <definedName name="к9" localSheetId="0">#REF!</definedName>
    <definedName name="к9">#REF!</definedName>
    <definedName name="кака" localSheetId="18">#REF!</definedName>
    <definedName name="кака" localSheetId="0">#REF!</definedName>
    <definedName name="кака">#REF!</definedName>
    <definedName name="калплан" localSheetId="18">#REF!</definedName>
    <definedName name="калплан" localSheetId="11">#REF!</definedName>
    <definedName name="калплан" localSheetId="0">#REF!</definedName>
    <definedName name="калплан">#REF!</definedName>
    <definedName name="калплан_1" localSheetId="0">#REF!</definedName>
    <definedName name="калплан_1">#REF!</definedName>
    <definedName name="Кам_стац" localSheetId="18">#REF!</definedName>
    <definedName name="Кам_стац" localSheetId="0">#REF!</definedName>
    <definedName name="Кам_стац">#REF!</definedName>
    <definedName name="Камер_эксп_усл" localSheetId="18">#REF!</definedName>
    <definedName name="Камер_эксп_усл" localSheetId="0">#REF!</definedName>
    <definedName name="Камер_эксп_усл">#REF!</definedName>
    <definedName name="КАТ1" localSheetId="18">'[30]Смета-Т'!#REF!</definedName>
    <definedName name="КАТ1" localSheetId="0">'[30]Смета-Т'!#REF!</definedName>
    <definedName name="КАТ1">'[30]Смета-Т'!#REF!</definedName>
    <definedName name="Категория_сложности" localSheetId="18">#REF!</definedName>
    <definedName name="Категория_сложности" localSheetId="0">#REF!</definedName>
    <definedName name="Категория_сложности" localSheetId="7">#REF!</definedName>
    <definedName name="Категория_сложности">#REF!</definedName>
    <definedName name="Категория_сложности_1" localSheetId="0">#REF!</definedName>
    <definedName name="Категория_сложности_1" localSheetId="7">#REF!</definedName>
    <definedName name="Категория_сложности_1">#REF!</definedName>
    <definedName name="катя" localSheetId="18">#REF!</definedName>
    <definedName name="катя" localSheetId="0">#REF!</definedName>
    <definedName name="катя" localSheetId="7">#REF!</definedName>
    <definedName name="катя">#REF!</definedName>
    <definedName name="кгкг" localSheetId="18">#REF!</definedName>
    <definedName name="кгкг" localSheetId="0">#REF!</definedName>
    <definedName name="кгкг">#REF!</definedName>
    <definedName name="кеке" localSheetId="18">#REF!</definedName>
    <definedName name="кеке" localSheetId="0">#REF!</definedName>
    <definedName name="кеке">#REF!</definedName>
    <definedName name="кенроолтьб" localSheetId="18">#REF!</definedName>
    <definedName name="кенроолтьб" localSheetId="0">#REF!</definedName>
    <definedName name="кенроолтьб">#REF!</definedName>
    <definedName name="ккее" localSheetId="17">#REF!</definedName>
    <definedName name="ккее" localSheetId="20">#REF!</definedName>
    <definedName name="ккее" localSheetId="18">#REF!</definedName>
    <definedName name="ккее" localSheetId="0">#REF!</definedName>
    <definedName name="ккее">#REF!</definedName>
    <definedName name="ккк" localSheetId="18">#REF!</definedName>
    <definedName name="ккк" localSheetId="0">#REF!</definedName>
    <definedName name="ккк">#REF!</definedName>
    <definedName name="ккккк" localSheetId="18" hidden="1">{#N/A,#N/A,TRUE,"Смета на пасс. обор. №1"}</definedName>
    <definedName name="ккккк" localSheetId="0" hidden="1">{#N/A,#N/A,TRUE,"Смета на пасс. обор. №1"}</definedName>
    <definedName name="ккккк" localSheetId="7" hidden="1">{#N/A,#N/A,TRUE,"Смета на пасс. обор. №1"}</definedName>
    <definedName name="ккккк" hidden="1">{#N/A,#N/A,TRUE,"Смета на пасс. обор. №1"}</definedName>
    <definedName name="ккккк_1" localSheetId="18" hidden="1">{#N/A,#N/A,TRUE,"Смета на пасс. обор. №1"}</definedName>
    <definedName name="ккккк_1" localSheetId="0" hidden="1">{#N/A,#N/A,TRUE,"Смета на пасс. обор. №1"}</definedName>
    <definedName name="ккккк_1" localSheetId="7" hidden="1">{#N/A,#N/A,TRUE,"Смета на пасс. обор. №1"}</definedName>
    <definedName name="ккккк_1" hidden="1">{#N/A,#N/A,TRUE,"Смета на пасс. обор. №1"}</definedName>
    <definedName name="книга" localSheetId="18">#REF!</definedName>
    <definedName name="книга" localSheetId="0">#REF!</definedName>
    <definedName name="книга" localSheetId="7">#REF!</definedName>
    <definedName name="книга">#REF!</definedName>
    <definedName name="Количество_землепользователей" localSheetId="18">#REF!</definedName>
    <definedName name="Количество_землепользователей" localSheetId="0">#REF!</definedName>
    <definedName name="Количество_землепользователей" localSheetId="7">#REF!</definedName>
    <definedName name="Количество_землепользователей">#REF!</definedName>
    <definedName name="Количество_землепользователей_1" localSheetId="0">#REF!</definedName>
    <definedName name="Количество_землепользователей_1" localSheetId="7">#REF!</definedName>
    <definedName name="Количество_землепользователей_1">#REF!</definedName>
    <definedName name="Количество_контуров" localSheetId="18">#REF!</definedName>
    <definedName name="Количество_контуров" localSheetId="0">#REF!</definedName>
    <definedName name="Количество_контуров">#REF!</definedName>
    <definedName name="Количество_контуров_1" localSheetId="0">#REF!</definedName>
    <definedName name="Количество_контуров_1">#REF!</definedName>
    <definedName name="Количество_культур" localSheetId="18">#REF!</definedName>
    <definedName name="Количество_культур" localSheetId="0">#REF!</definedName>
    <definedName name="Количество_культур">#REF!</definedName>
    <definedName name="Количество_культур_1" localSheetId="0">#REF!</definedName>
    <definedName name="Количество_культур_1">#REF!</definedName>
    <definedName name="Количество_планшетов" localSheetId="18">#REF!</definedName>
    <definedName name="Количество_планшетов" localSheetId="0">#REF!</definedName>
    <definedName name="Количество_планшетов">#REF!</definedName>
    <definedName name="Количество_планшетов_1" localSheetId="0">#REF!</definedName>
    <definedName name="Количество_планшетов_1">#REF!</definedName>
    <definedName name="Количество_предприятий" localSheetId="18">#REF!</definedName>
    <definedName name="Количество_предприятий" localSheetId="0">#REF!</definedName>
    <definedName name="Количество_предприятий">#REF!</definedName>
    <definedName name="Количество_предприятий_1" localSheetId="0">#REF!</definedName>
    <definedName name="Количество_предприятий_1">#REF!</definedName>
    <definedName name="Количество_согласований" localSheetId="18">#REF!</definedName>
    <definedName name="Количество_согласований" localSheetId="0">#REF!</definedName>
    <definedName name="Количество_согласований">#REF!</definedName>
    <definedName name="Количество_согласований_1" localSheetId="0">#REF!</definedName>
    <definedName name="Количество_согласований_1">#REF!</definedName>
    <definedName name="ком." localSheetId="18" hidden="1">{#N/A,#N/A,TRUE,"Смета на пасс. обор. №1"}</definedName>
    <definedName name="ком." localSheetId="0" hidden="1">{#N/A,#N/A,TRUE,"Смета на пасс. обор. №1"}</definedName>
    <definedName name="ком." localSheetId="7" hidden="1">{#N/A,#N/A,TRUE,"Смета на пасс. обор. №1"}</definedName>
    <definedName name="ком." hidden="1">{#N/A,#N/A,TRUE,"Смета на пасс. обор. №1"}</definedName>
    <definedName name="ком._1" localSheetId="18" hidden="1">{#N/A,#N/A,TRUE,"Смета на пасс. обор. №1"}</definedName>
    <definedName name="ком._1" localSheetId="0" hidden="1">{#N/A,#N/A,TRUE,"Смета на пасс. обор. №1"}</definedName>
    <definedName name="ком._1" localSheetId="7" hidden="1">{#N/A,#N/A,TRUE,"Смета на пасс. обор. №1"}</definedName>
    <definedName name="ком._1" hidden="1">{#N/A,#N/A,TRUE,"Смета на пасс. обор. №1"}</definedName>
    <definedName name="команд." localSheetId="18" hidden="1">{#N/A,#N/A,TRUE,"Смета на пасс. обор. №1"}</definedName>
    <definedName name="команд." localSheetId="0" hidden="1">{#N/A,#N/A,TRUE,"Смета на пасс. обор. №1"}</definedName>
    <definedName name="команд." localSheetId="7" hidden="1">{#N/A,#N/A,TRUE,"Смета на пасс. обор. №1"}</definedName>
    <definedName name="команд." hidden="1">{#N/A,#N/A,TRUE,"Смета на пасс. обор. №1"}</definedName>
    <definedName name="команд._1" localSheetId="18" hidden="1">{#N/A,#N/A,TRUE,"Смета на пасс. обор. №1"}</definedName>
    <definedName name="команд._1" localSheetId="0" hidden="1">{#N/A,#N/A,TRUE,"Смета на пасс. обор. №1"}</definedName>
    <definedName name="команд._1" localSheetId="7" hidden="1">{#N/A,#N/A,TRUE,"Смета на пасс. обор. №1"}</definedName>
    <definedName name="команд._1" hidden="1">{#N/A,#N/A,TRUE,"Смета на пасс. обор. №1"}</definedName>
    <definedName name="команд.обуч." localSheetId="18" hidden="1">{#N/A,#N/A,TRUE,"Смета на пасс. обор. №1"}</definedName>
    <definedName name="команд.обуч." localSheetId="0" hidden="1">{#N/A,#N/A,TRUE,"Смета на пасс. обор. №1"}</definedName>
    <definedName name="команд.обуч." localSheetId="7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8" hidden="1">{#N/A,#N/A,TRUE,"Смета на пасс. обор. №1"}</definedName>
    <definedName name="команд.обуч._1" localSheetId="0" hidden="1">{#N/A,#N/A,TRUE,"Смета на пасс. обор. №1"}</definedName>
    <definedName name="команд.обуч._1" localSheetId="7" hidden="1">{#N/A,#N/A,TRUE,"Смета на пасс. обор. №1"}</definedName>
    <definedName name="команд.обуч._1" hidden="1">{#N/A,#N/A,TRUE,"Смета на пасс. обор. №1"}</definedName>
    <definedName name="команд1" localSheetId="18">#REF!</definedName>
    <definedName name="команд1" localSheetId="0">#REF!</definedName>
    <definedName name="команд1" localSheetId="7">#REF!</definedName>
    <definedName name="команд1">#REF!</definedName>
    <definedName name="командировки" localSheetId="18" hidden="1">{#N/A,#N/A,TRUE,"Смета на пасс. обор. №1"}</definedName>
    <definedName name="командировки" localSheetId="0" hidden="1">{#N/A,#N/A,TRUE,"Смета на пасс. обор. №1"}</definedName>
    <definedName name="командировки" localSheetId="7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8">#REF!</definedName>
    <definedName name="Командировочные_расходы" localSheetId="0">#REF!</definedName>
    <definedName name="Командировочные_расходы" localSheetId="7">#REF!</definedName>
    <definedName name="Командировочные_расходы">#REF!</definedName>
    <definedName name="Командировочные_расходы_1" localSheetId="0">#REF!</definedName>
    <definedName name="Командировочные_расходы_1" localSheetId="7">#REF!</definedName>
    <definedName name="Командировочные_расходы_1">#REF!</definedName>
    <definedName name="КОН_ИО" localSheetId="0">#REF!</definedName>
    <definedName name="КОН_ИО" localSheetId="7">#REF!</definedName>
    <definedName name="КОН_ИО">#REF!</definedName>
    <definedName name="КОН_ИО_РД" localSheetId="0">#REF!</definedName>
    <definedName name="КОН_ИО_РД">#REF!</definedName>
    <definedName name="КОН_МО" localSheetId="0">#REF!</definedName>
    <definedName name="КОН_МО">#REF!</definedName>
    <definedName name="КОН_МО_РД" localSheetId="0">#REF!</definedName>
    <definedName name="КОН_МО_РД">#REF!</definedName>
    <definedName name="КОН_ОО" localSheetId="0">#REF!</definedName>
    <definedName name="КОН_ОО">#REF!</definedName>
    <definedName name="КОН_ОО_РД" localSheetId="0">#REF!</definedName>
    <definedName name="КОН_ОО_РД">#REF!</definedName>
    <definedName name="КОН_ОР" localSheetId="0">#REF!</definedName>
    <definedName name="КОН_ОР">#REF!</definedName>
    <definedName name="КОН_ОР_РД" localSheetId="0">#REF!</definedName>
    <definedName name="КОН_ОР_РД">#REF!</definedName>
    <definedName name="КОН_ПО" localSheetId="0">#REF!</definedName>
    <definedName name="КОН_ПО">#REF!</definedName>
    <definedName name="КОН_ПО_РД" localSheetId="0">#REF!</definedName>
    <definedName name="КОН_ПО_РД">#REF!</definedName>
    <definedName name="КОН_ТО" localSheetId="0">#REF!</definedName>
    <definedName name="КОН_ТО">#REF!</definedName>
    <definedName name="КОН_ТО_РД" localSheetId="0">#REF!</definedName>
    <definedName name="КОН_ТО_РД">#REF!</definedName>
    <definedName name="конкурс" localSheetId="17">#REF!</definedName>
    <definedName name="конкурс" localSheetId="20">#REF!</definedName>
    <definedName name="конкурс" localSheetId="18">#REF!</definedName>
    <definedName name="конкурс" localSheetId="0">#REF!</definedName>
    <definedName name="конкурс" localSheetId="19">#REF!</definedName>
    <definedName name="конкурс">#REF!</definedName>
    <definedName name="Конф" localSheetId="18">#REF!</definedName>
    <definedName name="Конф" localSheetId="0">#REF!</definedName>
    <definedName name="Конф">#REF!</definedName>
    <definedName name="Конф_49" localSheetId="18">#REF!</definedName>
    <definedName name="Конф_49" localSheetId="0">#REF!</definedName>
    <definedName name="Конф_49">#REF!</definedName>
    <definedName name="Конф_50" localSheetId="18">#REF!</definedName>
    <definedName name="Конф_50" localSheetId="0">#REF!</definedName>
    <definedName name="Конф_50">#REF!</definedName>
    <definedName name="Конф_51" localSheetId="18">#REF!</definedName>
    <definedName name="Конф_51" localSheetId="0">#REF!</definedName>
    <definedName name="Конф_51">#REF!</definedName>
    <definedName name="Конф_52" localSheetId="18">#REF!</definedName>
    <definedName name="Конф_52" localSheetId="0">#REF!</definedName>
    <definedName name="Конф_52">#REF!</definedName>
    <definedName name="Конф_53" localSheetId="18">#REF!</definedName>
    <definedName name="Конф_53" localSheetId="0">#REF!</definedName>
    <definedName name="Конф_53">#REF!</definedName>
    <definedName name="Конф_54" localSheetId="18">#REF!</definedName>
    <definedName name="Конф_54" localSheetId="0">#REF!</definedName>
    <definedName name="Конф_54">#REF!</definedName>
    <definedName name="конфл" localSheetId="18">#REF!</definedName>
    <definedName name="конфл" localSheetId="0">#REF!</definedName>
    <definedName name="конфл">#REF!</definedName>
    <definedName name="конфл_49" localSheetId="18">#REF!</definedName>
    <definedName name="конфл_49" localSheetId="0">#REF!</definedName>
    <definedName name="конфл_49">#REF!</definedName>
    <definedName name="конфл_50" localSheetId="18">#REF!</definedName>
    <definedName name="конфл_50" localSheetId="0">#REF!</definedName>
    <definedName name="конфл_50">#REF!</definedName>
    <definedName name="конфл_51" localSheetId="18">#REF!</definedName>
    <definedName name="конфл_51" localSheetId="0">#REF!</definedName>
    <definedName name="конфл_51">#REF!</definedName>
    <definedName name="конфл_52" localSheetId="18">#REF!</definedName>
    <definedName name="конфл_52" localSheetId="0">#REF!</definedName>
    <definedName name="конфл_52">#REF!</definedName>
    <definedName name="конфл_53" localSheetId="18">#REF!</definedName>
    <definedName name="конфл_53" localSheetId="0">#REF!</definedName>
    <definedName name="конфл_53">#REF!</definedName>
    <definedName name="конфл_54" localSheetId="18">#REF!</definedName>
    <definedName name="конфл_54" localSheetId="0">#REF!</definedName>
    <definedName name="конфл_54">#REF!</definedName>
    <definedName name="конфл2" localSheetId="18">#REF!</definedName>
    <definedName name="конфл2" localSheetId="0">#REF!</definedName>
    <definedName name="конфл2">#REF!</definedName>
    <definedName name="конфл2_49" localSheetId="18">#REF!</definedName>
    <definedName name="конфл2_49" localSheetId="0">#REF!</definedName>
    <definedName name="конфл2_49">#REF!</definedName>
    <definedName name="конфл2_50" localSheetId="18">#REF!</definedName>
    <definedName name="конфл2_50" localSheetId="0">#REF!</definedName>
    <definedName name="конфл2_50">#REF!</definedName>
    <definedName name="конфл2_51" localSheetId="18">#REF!</definedName>
    <definedName name="конфл2_51" localSheetId="0">#REF!</definedName>
    <definedName name="конфл2_51">#REF!</definedName>
    <definedName name="конфл2_52" localSheetId="18">#REF!</definedName>
    <definedName name="конфл2_52" localSheetId="0">#REF!</definedName>
    <definedName name="конфл2_52">#REF!</definedName>
    <definedName name="конфл2_53" localSheetId="18">#REF!</definedName>
    <definedName name="конфл2_53" localSheetId="0">#REF!</definedName>
    <definedName name="конфл2_53">#REF!</definedName>
    <definedName name="конфл2_54" localSheetId="18">#REF!</definedName>
    <definedName name="конфл2_54" localSheetId="0">#REF!</definedName>
    <definedName name="конфл2_54">#REF!</definedName>
    <definedName name="Копия" localSheetId="18" hidden="1">{#N/A,#N/A,TRUE,"Смета на пасс. обор. №1"}</definedName>
    <definedName name="Копия" localSheetId="0" hidden="1">{#N/A,#N/A,TRUE,"Смета на пасс. обор. №1"}</definedName>
    <definedName name="Копия" localSheetId="7" hidden="1">{#N/A,#N/A,TRUE,"Смета на пасс. обор. №1"}</definedName>
    <definedName name="Копия" hidden="1">{#N/A,#N/A,TRUE,"Смета на пасс. обор. №1"}</definedName>
    <definedName name="Копия2509" localSheetId="18" hidden="1">{#N/A,#N/A,TRUE,"Смета на пасс. обор. №1"}</definedName>
    <definedName name="Копия2509" localSheetId="0" hidden="1">{#N/A,#N/A,TRUE,"Смета на пасс. обор. №1"}</definedName>
    <definedName name="Копия2509" localSheetId="7" hidden="1">{#N/A,#N/A,TRUE,"Смета на пасс. обор. №1"}</definedName>
    <definedName name="Копия2509" hidden="1">{#N/A,#N/A,TRUE,"Смета на пасс. обор. №1"}</definedName>
    <definedName name="Корнеева" localSheetId="18">#REF!</definedName>
    <definedName name="Корнеева" localSheetId="0">#REF!</definedName>
    <definedName name="Корнеева" localSheetId="7">#REF!</definedName>
    <definedName name="Корнеева">#REF!</definedName>
    <definedName name="котофей" localSheetId="18" hidden="1">{#N/A,#N/A,TRUE,"Смета на пасс. обор. №1"}</definedName>
    <definedName name="котофей" localSheetId="0" hidden="1">{#N/A,#N/A,TRUE,"Смета на пасс. обор. №1"}</definedName>
    <definedName name="котофей" localSheetId="7" hidden="1">{#N/A,#N/A,TRUE,"Смета на пасс. обор. №1"}</definedName>
    <definedName name="котофей" hidden="1">{#N/A,#N/A,TRUE,"Смета на пасс. обор. №1"}</definedName>
    <definedName name="котофей_1" localSheetId="18" hidden="1">{#N/A,#N/A,TRUE,"Смета на пасс. обор. №1"}</definedName>
    <definedName name="котофей_1" localSheetId="0" hidden="1">{#N/A,#N/A,TRUE,"Смета на пасс. обор. №1"}</definedName>
    <definedName name="котофей_1" localSheetId="7" hidden="1">{#N/A,#N/A,TRUE,"Смета на пасс. обор. №1"}</definedName>
    <definedName name="котофей_1" hidden="1">{#N/A,#N/A,TRUE,"Смета на пасс. обор. №1"}</definedName>
    <definedName name="Коэф_монт">[13]Коэфф!$B$4</definedName>
    <definedName name="КоэфБезПоля" localSheetId="0">#REF!</definedName>
    <definedName name="КоэфБезПоля" localSheetId="7">#REF!</definedName>
    <definedName name="КоэфБезПоля">#REF!</definedName>
    <definedName name="КоэфГорЗак" localSheetId="0">#REF!</definedName>
    <definedName name="КоэфГорЗак" localSheetId="7">#REF!</definedName>
    <definedName name="КоэфГорЗак">#REF!</definedName>
    <definedName name="КоэфГорЗаказ">[28]ОбмОбслЗемОд!$E$29</definedName>
    <definedName name="КоэфУдорожания">[28]ОбмОбслЗемОд!$E$28</definedName>
    <definedName name="Коэффициент" localSheetId="18">#REF!</definedName>
    <definedName name="Коэффициент" localSheetId="0">#REF!</definedName>
    <definedName name="Коэффициент" localSheetId="7">#REF!</definedName>
    <definedName name="Коэффициент">#REF!</definedName>
    <definedName name="Коэффициент_1" localSheetId="0">#REF!</definedName>
    <definedName name="Коэффициент_1" localSheetId="7">#REF!</definedName>
    <definedName name="Коэффициент_1">#REF!</definedName>
    <definedName name="кп" localSheetId="17">#REF!</definedName>
    <definedName name="кп" localSheetId="20">#REF!</definedName>
    <definedName name="кп" localSheetId="18">#REF!</definedName>
    <definedName name="кп" localSheetId="0">#REF!</definedName>
    <definedName name="кп" localSheetId="19">#REF!</definedName>
    <definedName name="кп">#REF!</definedName>
    <definedName name="Кпроект" localSheetId="0">'[31]Исх. данные'!#REF!</definedName>
    <definedName name="Кпроект">'[32]Исх. данные'!#REF!</definedName>
    <definedName name="Крек">'[10]Лист опроса'!$B$17</definedName>
    <definedName name="Крп">'[10]Лист опроса'!$B$19</definedName>
    <definedName name="кук" localSheetId="18" hidden="1">{#N/A,#N/A,TRUE,"Смета на пасс. обор. №1"}</definedName>
    <definedName name="кук" localSheetId="0" hidden="1">{#N/A,#N/A,TRUE,"Смета на пасс. обор. №1"}</definedName>
    <definedName name="кук" localSheetId="7" hidden="1">{#N/A,#N/A,TRUE,"Смета на пасс. обор. №1"}</definedName>
    <definedName name="кук" hidden="1">{#N/A,#N/A,TRUE,"Смета на пасс. обор. №1"}</definedName>
    <definedName name="кук_1" localSheetId="18" hidden="1">{#N/A,#N/A,TRUE,"Смета на пасс. обор. №1"}</definedName>
    <definedName name="кук_1" localSheetId="0" hidden="1">{#N/A,#N/A,TRUE,"Смета на пасс. обор. №1"}</definedName>
    <definedName name="кук_1" localSheetId="7" hidden="1">{#N/A,#N/A,TRUE,"Смета на пасс. обор. №1"}</definedName>
    <definedName name="кук_1" hidden="1">{#N/A,#N/A,TRUE,"Смета на пасс. обор. №1"}</definedName>
    <definedName name="куку" localSheetId="18">#REF!</definedName>
    <definedName name="куку" localSheetId="0">#REF!</definedName>
    <definedName name="куку" localSheetId="7">#REF!</definedName>
    <definedName name="куку">#REF!</definedName>
    <definedName name="Курган" localSheetId="18">#REF!</definedName>
    <definedName name="Курган" localSheetId="0">#REF!</definedName>
    <definedName name="Курган" localSheetId="7">#REF!</definedName>
    <definedName name="Курган">#REF!</definedName>
    <definedName name="курорты" localSheetId="17">#REF!</definedName>
    <definedName name="курорты" localSheetId="20">#REF!</definedName>
    <definedName name="курорты" localSheetId="18">#REF!</definedName>
    <definedName name="курорты" localSheetId="0">#REF!</definedName>
    <definedName name="курорты" localSheetId="19">#REF!</definedName>
    <definedName name="курорты" localSheetId="15">#REF!</definedName>
    <definedName name="курорты">#REF!</definedName>
    <definedName name="Курс">[13]Коэфф!$B$3</definedName>
    <definedName name="Курс_доллара">'[33]Курс доллара'!$A$2</definedName>
    <definedName name="Кэл">'[10]Лист опроса'!$B$20</definedName>
    <definedName name="л" localSheetId="18" hidden="1">{#N/A,#N/A,TRUE,"Смета на пасс. обор. №1"}</definedName>
    <definedName name="л" localSheetId="0" hidden="1">{#N/A,#N/A,TRUE,"Смета на пасс. обор. №1"}</definedName>
    <definedName name="л" localSheetId="7" hidden="1">{#N/A,#N/A,TRUE,"Смета на пасс. обор. №1"}</definedName>
    <definedName name="л" hidden="1">{#N/A,#N/A,TRUE,"Смета на пасс. обор. №1"}</definedName>
    <definedName name="л_1" localSheetId="18" hidden="1">{#N/A,#N/A,TRUE,"Смета на пасс. обор. №1"}</definedName>
    <definedName name="л_1" localSheetId="0" hidden="1">{#N/A,#N/A,TRUE,"Смета на пасс. обор. №1"}</definedName>
    <definedName name="л_1" localSheetId="7" hidden="1">{#N/A,#N/A,TRUE,"Смета на пасс. обор. №1"}</definedName>
    <definedName name="л_1" hidden="1">{#N/A,#N/A,TRUE,"Смета на пасс. обор. №1"}</definedName>
    <definedName name="лаб_иссл" localSheetId="18">#REF!</definedName>
    <definedName name="лаб_иссл" localSheetId="0">#REF!</definedName>
    <definedName name="лаб_иссл" localSheetId="19">#REF!</definedName>
    <definedName name="лаб_иссл" localSheetId="15">#REF!</definedName>
    <definedName name="лаб_иссл" localSheetId="7">#REF!</definedName>
    <definedName name="лаб_иссл">#REF!</definedName>
    <definedName name="Лаб_стац" localSheetId="18">#REF!</definedName>
    <definedName name="Лаб_стац" localSheetId="0">#REF!</definedName>
    <definedName name="Лаб_стац" localSheetId="19">#REF!</definedName>
    <definedName name="Лаб_стац" localSheetId="15">#REF!</definedName>
    <definedName name="Лаб_стац">#REF!</definedName>
    <definedName name="Лаб_эксп_усл" localSheetId="18">#REF!</definedName>
    <definedName name="Лаб_эксп_усл" localSheetId="0">#REF!</definedName>
    <definedName name="Лаб_эксп_усл" localSheetId="19">#REF!</definedName>
    <definedName name="Лаб_эксп_усл" localSheetId="15">#REF!</definedName>
    <definedName name="Лаб_эксп_усл">#REF!</definedName>
    <definedName name="ЛабМашБур" localSheetId="18">[28]СмМашБур!#REF!</definedName>
    <definedName name="ЛабМашБур" localSheetId="0">[28]СмМашБур!#REF!</definedName>
    <definedName name="ЛабМашБур">[28]СмМашБур!#REF!</definedName>
    <definedName name="ЛабШурфов" localSheetId="18">#REF!</definedName>
    <definedName name="ЛабШурфов" localSheetId="0">#REF!</definedName>
    <definedName name="ЛабШурфов" localSheetId="7">#REF!</definedName>
    <definedName name="ЛабШурфов">#REF!</definedName>
    <definedName name="лдж" localSheetId="18" hidden="1">{#N/A,#N/A,TRUE,"Смета на пасс. обор. №1"}</definedName>
    <definedName name="лдж" localSheetId="0" hidden="1">{#N/A,#N/A,TRUE,"Смета на пасс. обор. №1"}</definedName>
    <definedName name="лдж" localSheetId="7" hidden="1">{#N/A,#N/A,TRUE,"Смета на пасс. обор. №1"}</definedName>
    <definedName name="лдж" hidden="1">{#N/A,#N/A,TRUE,"Смета на пасс. обор. №1"}</definedName>
    <definedName name="лдж_1" localSheetId="18" hidden="1">{#N/A,#N/A,TRUE,"Смета на пасс. обор. №1"}</definedName>
    <definedName name="лдж_1" localSheetId="0" hidden="1">{#N/A,#N/A,TRUE,"Смета на пасс. обор. №1"}</definedName>
    <definedName name="лдж_1" localSheetId="7" hidden="1">{#N/A,#N/A,TRUE,"Смета на пасс. обор. №1"}</definedName>
    <definedName name="лдж_1" hidden="1">{#N/A,#N/A,TRUE,"Смета на пасс. обор. №1"}</definedName>
    <definedName name="лл">[11]Вспомогательный!$D$78</definedName>
    <definedName name="ллдж" localSheetId="18">#REF!</definedName>
    <definedName name="ллдж" localSheetId="0">#REF!</definedName>
    <definedName name="ллдж" localSheetId="7">#REF!</definedName>
    <definedName name="ллдж">#REF!</definedName>
    <definedName name="ло" localSheetId="18">#REF!</definedName>
    <definedName name="ло" localSheetId="0">#REF!</definedName>
    <definedName name="ло" localSheetId="7">#REF!</definedName>
    <definedName name="ло">#REF!</definedName>
    <definedName name="лол" localSheetId="18">#REF!</definedName>
    <definedName name="лол" localSheetId="0">#REF!</definedName>
    <definedName name="лол" localSheetId="7">#REF!</definedName>
    <definedName name="лол">#REF!</definedName>
    <definedName name="лор" localSheetId="18" hidden="1">{#N/A,#N/A,TRUE,"Смета на пасс. обор. №1"}</definedName>
    <definedName name="лор" localSheetId="0" hidden="1">{#N/A,#N/A,TRUE,"Смета на пасс. обор. №1"}</definedName>
    <definedName name="лор" localSheetId="7" hidden="1">{#N/A,#N/A,TRUE,"Смета на пасс. обор. №1"}</definedName>
    <definedName name="лор" hidden="1">{#N/A,#N/A,TRUE,"Смета на пасс. обор. №1"}</definedName>
    <definedName name="лор_1" localSheetId="18" hidden="1">{#N/A,#N/A,TRUE,"Смета на пасс. обор. №1"}</definedName>
    <definedName name="лор_1" localSheetId="0" hidden="1">{#N/A,#N/A,TRUE,"Смета на пасс. обор. №1"}</definedName>
    <definedName name="лор_1" localSheetId="7" hidden="1">{#N/A,#N/A,TRUE,"Смета на пасс. обор. №1"}</definedName>
    <definedName name="лор_1" hidden="1">{#N/A,#N/A,TRUE,"Смета на пасс. обор. №1"}</definedName>
    <definedName name="лот" localSheetId="18" hidden="1">{#N/A,#N/A,TRUE,"Смета на пасс. обор. №1"}</definedName>
    <definedName name="лот" localSheetId="0" hidden="1">{#N/A,#N/A,TRUE,"Смета на пасс. обор. №1"}</definedName>
    <definedName name="лот" localSheetId="7" hidden="1">{#N/A,#N/A,TRUE,"Смета на пасс. обор. №1"}</definedName>
    <definedName name="лот" hidden="1">{#N/A,#N/A,TRUE,"Смета на пасс. обор. №1"}</definedName>
    <definedName name="лот_1" localSheetId="18" hidden="1">{#N/A,#N/A,TRUE,"Смета на пасс. обор. №1"}</definedName>
    <definedName name="лот_1" localSheetId="0" hidden="1">{#N/A,#N/A,TRUE,"Смета на пасс. обор. №1"}</definedName>
    <definedName name="лот_1" localSheetId="7" hidden="1">{#N/A,#N/A,TRUE,"Смета на пасс. обор. №1"}</definedName>
    <definedName name="лот_1" hidden="1">{#N/A,#N/A,TRUE,"Смета на пасс. обор. №1"}</definedName>
    <definedName name="лрпораплтль" localSheetId="0">#REF!</definedName>
    <definedName name="лрпораплтль">#REF!</definedName>
    <definedName name="Лс" localSheetId="18">#REF!</definedName>
    <definedName name="Лс" localSheetId="0">#REF!</definedName>
    <definedName name="Лс" localSheetId="7">#REF!</definedName>
    <definedName name="Лс">#REF!</definedName>
    <definedName name="Махачкала" localSheetId="18">#REF!</definedName>
    <definedName name="Махачкала" localSheetId="0">#REF!</definedName>
    <definedName name="Махачкала" localSheetId="7">#REF!</definedName>
    <definedName name="Махачкала">#REF!</definedName>
    <definedName name="Махачкала_1" localSheetId="18">#REF!</definedName>
    <definedName name="Махачкала_1" localSheetId="0">#REF!</definedName>
    <definedName name="Махачкала_1">#REF!</definedName>
    <definedName name="Махачкала_2" localSheetId="18">#REF!</definedName>
    <definedName name="Махачкала_2" localSheetId="0">#REF!</definedName>
    <definedName name="Махачкала_2">#REF!</definedName>
    <definedName name="Махачкала_22" localSheetId="18">#REF!</definedName>
    <definedName name="Махачкала_22" localSheetId="0">#REF!</definedName>
    <definedName name="Махачкала_22">#REF!</definedName>
    <definedName name="Махачкала_49" localSheetId="18">#REF!</definedName>
    <definedName name="Махачкала_49" localSheetId="0">#REF!</definedName>
    <definedName name="Махачкала_49">#REF!</definedName>
    <definedName name="Махачкала_5" localSheetId="18">#REF!</definedName>
    <definedName name="Махачкала_5" localSheetId="0">#REF!</definedName>
    <definedName name="Махачкала_5">#REF!</definedName>
    <definedName name="Махачкала_50" localSheetId="18">#REF!</definedName>
    <definedName name="Махачкала_50" localSheetId="0">#REF!</definedName>
    <definedName name="Махачкала_50">#REF!</definedName>
    <definedName name="Махачкала_51" localSheetId="18">#REF!</definedName>
    <definedName name="Махачкала_51" localSheetId="0">#REF!</definedName>
    <definedName name="Махачкала_51">#REF!</definedName>
    <definedName name="Махачкала_52" localSheetId="18">#REF!</definedName>
    <definedName name="Махачкала_52" localSheetId="0">#REF!</definedName>
    <definedName name="Махачкала_52">#REF!</definedName>
    <definedName name="Махачкала_53" localSheetId="18">#REF!</definedName>
    <definedName name="Махачкала_53" localSheetId="0">#REF!</definedName>
    <definedName name="Махачкала_53">#REF!</definedName>
    <definedName name="Махачкала_54" localSheetId="18">#REF!</definedName>
    <definedName name="Махачкала_54" localSheetId="0">#REF!</definedName>
    <definedName name="Махачкала_54">#REF!</definedName>
    <definedName name="Металли_еская_дверца_для_напольного_монтажного_шкафа_VERO__600x600x42U__с_замком_и_клю_ами" localSheetId="18">#REF!</definedName>
    <definedName name="Металли_еская_дверца_для_напольного_монтажного_шкафа_VERO__600x600x42U__с_замком_и_клю_ами" localSheetId="0">#REF!</definedName>
    <definedName name="Металли_еская_дверца_для_напольного_монтажного_шкафа_VERO__600x600x42U__с_замком_и_клю_ами">#REF!</definedName>
    <definedName name="мж1">'[34]СметаСводная 1 оч'!$D$6</definedName>
    <definedName name="мил" localSheetId="18">{0,"овz";1,"z";2,"аz";5,"овz"}</definedName>
    <definedName name="мил" localSheetId="0">{0,"овz";1,"z";2,"аz";5,"овz"}</definedName>
    <definedName name="мил" localSheetId="7">{0,"овz";1,"z";2,"аz";5,"овz"}</definedName>
    <definedName name="мил">{0,"овz";1,"z";2,"аz";5,"овz"}</definedName>
    <definedName name="мир" localSheetId="18" hidden="1">{#N/A,#N/A,TRUE,"Смета на пасс. обор. №1"}</definedName>
    <definedName name="мир" localSheetId="0" hidden="1">{#N/A,#N/A,TRUE,"Смета на пасс. обор. №1"}</definedName>
    <definedName name="мир" localSheetId="7" hidden="1">{#N/A,#N/A,TRUE,"Смета на пасс. обор. №1"}</definedName>
    <definedName name="мир" hidden="1">{#N/A,#N/A,TRUE,"Смета на пасс. обор. №1"}</definedName>
    <definedName name="мир_1" localSheetId="18" hidden="1">{#N/A,#N/A,TRUE,"Смета на пасс. обор. №1"}</definedName>
    <definedName name="мир_1" localSheetId="0" hidden="1">{#N/A,#N/A,TRUE,"Смета на пасс. обор. №1"}</definedName>
    <definedName name="мир_1" localSheetId="7" hidden="1">{#N/A,#N/A,TRUE,"Смета на пасс. обор. №1"}</definedName>
    <definedName name="мир_1" hidden="1">{#N/A,#N/A,TRUE,"Смета на пасс. обор. №1"}</definedName>
    <definedName name="мит" localSheetId="18">#REF!</definedName>
    <definedName name="мит" localSheetId="0">#REF!</definedName>
    <definedName name="мит" localSheetId="7">#REF!</definedName>
    <definedName name="мит">#REF!</definedName>
    <definedName name="митюгов" localSheetId="18">'[35]Данные для расчёта сметы'!$J$33</definedName>
    <definedName name="митюгов">'[35]Данные для расчёта сметы'!$J$33</definedName>
    <definedName name="митюгов_1">'[36]Данные для расчёта сметы'!$J$33</definedName>
    <definedName name="митюгов_2" localSheetId="18">'[37]Данные для расчёта сметы'!$J$33</definedName>
    <definedName name="митюгов_2">'[37]Данные для расчёта сметы'!$J$33</definedName>
    <definedName name="мм" localSheetId="18">#REF!</definedName>
    <definedName name="мм" localSheetId="0">#REF!</definedName>
    <definedName name="мм" localSheetId="7">#REF!</definedName>
    <definedName name="мм">#REF!</definedName>
    <definedName name="МММММММММ" localSheetId="18">#REF!</definedName>
    <definedName name="МММММММММ" localSheetId="0">#REF!</definedName>
    <definedName name="МММММММММ" localSheetId="7">#REF!</definedName>
    <definedName name="МММММММММ">#REF!</definedName>
    <definedName name="Название_проекта" localSheetId="18">#REF!</definedName>
    <definedName name="Название_проекта" localSheetId="0">#REF!</definedName>
    <definedName name="Название_проекта" localSheetId="7">#REF!</definedName>
    <definedName name="Название_проекта">#REF!</definedName>
    <definedName name="Название_проекта_1" localSheetId="0">#REF!</definedName>
    <definedName name="Название_проекта_1">#REF!</definedName>
    <definedName name="НАЧ_ИО" localSheetId="0">#REF!</definedName>
    <definedName name="НАЧ_ИО">#REF!</definedName>
    <definedName name="НАЧ_ИО_РД" localSheetId="0">#REF!</definedName>
    <definedName name="НАЧ_ИО_РД">#REF!</definedName>
    <definedName name="НАЧ_МО" localSheetId="0">#REF!</definedName>
    <definedName name="НАЧ_МО">#REF!</definedName>
    <definedName name="НАЧ_МО_РД" localSheetId="0">#REF!</definedName>
    <definedName name="НАЧ_МО_РД">#REF!</definedName>
    <definedName name="НАЧ_ОО" localSheetId="0">#REF!</definedName>
    <definedName name="НАЧ_ОО">#REF!</definedName>
    <definedName name="НАЧ_ОО_РД" localSheetId="0">#REF!</definedName>
    <definedName name="НАЧ_ОО_РД">#REF!</definedName>
    <definedName name="НАЧ_ОР" localSheetId="0">#REF!</definedName>
    <definedName name="НАЧ_ОР">#REF!</definedName>
    <definedName name="НАЧ_ОР_РД" localSheetId="0">#REF!</definedName>
    <definedName name="НАЧ_ОР_РД">#REF!</definedName>
    <definedName name="НАЧ_ПО" localSheetId="0">#REF!</definedName>
    <definedName name="НАЧ_ПО">#REF!</definedName>
    <definedName name="НАЧ_ПО_РД" localSheetId="0">#REF!</definedName>
    <definedName name="НАЧ_ПО_РД">#REF!</definedName>
    <definedName name="НАЧ_ТО" localSheetId="0">#REF!</definedName>
    <definedName name="НАЧ_ТО">#REF!</definedName>
    <definedName name="НАЧ_ТО_РД" localSheetId="0">#REF!</definedName>
    <definedName name="НАЧ_ТО_РД">#REF!</definedName>
    <definedName name="ндс" localSheetId="17">#REF!</definedName>
    <definedName name="ндс" localSheetId="20">#REF!</definedName>
    <definedName name="ндс" localSheetId="18">#REF!</definedName>
    <definedName name="ндс" localSheetId="0">#REF!</definedName>
    <definedName name="ндс" localSheetId="19">#REF!</definedName>
    <definedName name="ндс" localSheetId="15">#REF!</definedName>
    <definedName name="ндс">#REF!</definedName>
    <definedName name="неп" localSheetId="18">#REF!</definedName>
    <definedName name="неп" localSheetId="0">#REF!</definedName>
    <definedName name="неп">#REF!</definedName>
    <definedName name="неп_1" localSheetId="18">#REF!</definedName>
    <definedName name="неп_1" localSheetId="0">#REF!</definedName>
    <definedName name="неп_1">#REF!</definedName>
    <definedName name="неп_10" localSheetId="18">#REF!</definedName>
    <definedName name="неп_10" localSheetId="0">#REF!</definedName>
    <definedName name="неп_10">#REF!</definedName>
    <definedName name="неп_11" localSheetId="18">#REF!</definedName>
    <definedName name="неп_11" localSheetId="0">#REF!</definedName>
    <definedName name="неп_11">#REF!</definedName>
    <definedName name="неп_12" localSheetId="18">#REF!</definedName>
    <definedName name="неп_12" localSheetId="0">#REF!</definedName>
    <definedName name="неп_12">#REF!</definedName>
    <definedName name="неп_13" localSheetId="18">#REF!</definedName>
    <definedName name="неп_13" localSheetId="0">#REF!</definedName>
    <definedName name="неп_13">#REF!</definedName>
    <definedName name="неп_14" localSheetId="18">#REF!</definedName>
    <definedName name="неп_14" localSheetId="0">#REF!</definedName>
    <definedName name="неп_14">#REF!</definedName>
    <definedName name="неп_15" localSheetId="18">#REF!</definedName>
    <definedName name="неп_15" localSheetId="0">#REF!</definedName>
    <definedName name="неп_15">#REF!</definedName>
    <definedName name="неп_16" localSheetId="18">#REF!</definedName>
    <definedName name="неп_16" localSheetId="0">#REF!</definedName>
    <definedName name="неп_16">#REF!</definedName>
    <definedName name="неп_17" localSheetId="18">#REF!</definedName>
    <definedName name="неп_17" localSheetId="0">#REF!</definedName>
    <definedName name="неп_17">#REF!</definedName>
    <definedName name="неп_18" localSheetId="18">#REF!</definedName>
    <definedName name="неп_18" localSheetId="0">#REF!</definedName>
    <definedName name="неп_18">#REF!</definedName>
    <definedName name="неп_19" localSheetId="18">#REF!</definedName>
    <definedName name="неп_19" localSheetId="0">#REF!</definedName>
    <definedName name="неп_19">#REF!</definedName>
    <definedName name="неп_2" localSheetId="18">#REF!</definedName>
    <definedName name="неп_2" localSheetId="0">#REF!</definedName>
    <definedName name="неп_2">#REF!</definedName>
    <definedName name="неп_20" localSheetId="18">#REF!</definedName>
    <definedName name="неп_20" localSheetId="0">#REF!</definedName>
    <definedName name="неп_20">#REF!</definedName>
    <definedName name="неп_21" localSheetId="18">#REF!</definedName>
    <definedName name="неп_21" localSheetId="0">#REF!</definedName>
    <definedName name="неп_21">#REF!</definedName>
    <definedName name="неп_49" localSheetId="18">#REF!</definedName>
    <definedName name="неп_49" localSheetId="0">#REF!</definedName>
    <definedName name="неп_49">#REF!</definedName>
    <definedName name="неп_50" localSheetId="18">#REF!</definedName>
    <definedName name="неп_50" localSheetId="0">#REF!</definedName>
    <definedName name="неп_50">#REF!</definedName>
    <definedName name="неп_51" localSheetId="18">#REF!</definedName>
    <definedName name="неп_51" localSheetId="0">#REF!</definedName>
    <definedName name="неп_51">#REF!</definedName>
    <definedName name="неп_52" localSheetId="18">#REF!</definedName>
    <definedName name="неп_52" localSheetId="0">#REF!</definedName>
    <definedName name="неп_52">#REF!</definedName>
    <definedName name="неп_53" localSheetId="18">#REF!</definedName>
    <definedName name="неп_53" localSheetId="0">#REF!</definedName>
    <definedName name="неп_53">#REF!</definedName>
    <definedName name="неп_54" localSheetId="18">#REF!</definedName>
    <definedName name="неп_54" localSheetId="0">#REF!</definedName>
    <definedName name="неп_54">#REF!</definedName>
    <definedName name="неп_6" localSheetId="18">#REF!</definedName>
    <definedName name="неп_6" localSheetId="0">#REF!</definedName>
    <definedName name="неп_6">#REF!</definedName>
    <definedName name="неп_7" localSheetId="18">#REF!</definedName>
    <definedName name="неп_7" localSheetId="0">#REF!</definedName>
    <definedName name="неп_7">#REF!</definedName>
    <definedName name="неп_8" localSheetId="18">#REF!</definedName>
    <definedName name="неп_8" localSheetId="0">#REF!</definedName>
    <definedName name="неп_8">#REF!</definedName>
    <definedName name="неп_9" localSheetId="18">#REF!</definedName>
    <definedName name="неп_9" localSheetId="0">#REF!</definedName>
    <definedName name="неп_9">#REF!</definedName>
    <definedName name="Непредв">[13]Коэфф!$B$7</definedName>
    <definedName name="ННОвгород" localSheetId="18">#REF!</definedName>
    <definedName name="ННОвгород" localSheetId="0">#REF!</definedName>
    <definedName name="ННОвгород" localSheetId="7">#REF!</definedName>
    <definedName name="ННОвгород">#REF!</definedName>
    <definedName name="ННОвгород_1" localSheetId="18">#REF!</definedName>
    <definedName name="ННОвгород_1" localSheetId="0">#REF!</definedName>
    <definedName name="ННОвгород_1" localSheetId="7">#REF!</definedName>
    <definedName name="ННОвгород_1">#REF!</definedName>
    <definedName name="ННОвгород_2" localSheetId="18">#REF!</definedName>
    <definedName name="ННОвгород_2" localSheetId="0">#REF!</definedName>
    <definedName name="ННОвгород_2" localSheetId="7">#REF!</definedName>
    <definedName name="ННОвгород_2">#REF!</definedName>
    <definedName name="ННОвгород_22" localSheetId="18">#REF!</definedName>
    <definedName name="ННОвгород_22" localSheetId="0">#REF!</definedName>
    <definedName name="ННОвгород_22">#REF!</definedName>
    <definedName name="ННОвгород_49" localSheetId="18">#REF!</definedName>
    <definedName name="ННОвгород_49" localSheetId="0">#REF!</definedName>
    <definedName name="ННОвгород_49">#REF!</definedName>
    <definedName name="ННОвгород_5" localSheetId="18">#REF!</definedName>
    <definedName name="ННОвгород_5" localSheetId="0">#REF!</definedName>
    <definedName name="ННОвгород_5">#REF!</definedName>
    <definedName name="ННОвгород_50" localSheetId="18">#REF!</definedName>
    <definedName name="ННОвгород_50" localSheetId="0">#REF!</definedName>
    <definedName name="ННОвгород_50">#REF!</definedName>
    <definedName name="ННОвгород_51" localSheetId="18">#REF!</definedName>
    <definedName name="ННОвгород_51" localSheetId="0">#REF!</definedName>
    <definedName name="ННОвгород_51">#REF!</definedName>
    <definedName name="ННОвгород_52" localSheetId="18">#REF!</definedName>
    <definedName name="ННОвгород_52" localSheetId="0">#REF!</definedName>
    <definedName name="ННОвгород_52">#REF!</definedName>
    <definedName name="ННОвгород_53" localSheetId="18">#REF!</definedName>
    <definedName name="ННОвгород_53" localSheetId="0">#REF!</definedName>
    <definedName name="ННОвгород_53">#REF!</definedName>
    <definedName name="ННОвгород_54" localSheetId="18">#REF!</definedName>
    <definedName name="ННОвгород_54" localSheetId="0">#REF!</definedName>
    <definedName name="ННОвгород_54">#REF!</definedName>
    <definedName name="Номер_договора" localSheetId="18">#REF!</definedName>
    <definedName name="Номер_договора" localSheetId="0">#REF!</definedName>
    <definedName name="Номер_договора">#REF!</definedName>
    <definedName name="Номер_договора_1" localSheetId="0">#REF!</definedName>
    <definedName name="Номер_договора_1">#REF!</definedName>
    <definedName name="НомерДоговора">[28]ОбмОбслЗемОд!$F$2</definedName>
    <definedName name="Нсапк">'[10]Лист опроса'!$B$34</definedName>
    <definedName name="Нсстр">'[10]Лист опроса'!$B$32</definedName>
    <definedName name="о" localSheetId="18">#REF!</definedName>
    <definedName name="о" localSheetId="0">#REF!</definedName>
    <definedName name="о" localSheetId="7">#REF!</definedName>
    <definedName name="о">#REF!</definedName>
    <definedName name="о_1" localSheetId="0">#REF!</definedName>
    <definedName name="о_1" localSheetId="7">#REF!</definedName>
    <definedName name="о_1">#REF!</definedName>
    <definedName name="_xlnm.Print_Area" localSheetId="17">Археология!$A$1:$G$32</definedName>
    <definedName name="_xlnm.Print_Area" localSheetId="20">'ВОП (для справки) '!$A$1:$G$26</definedName>
    <definedName name="_xlnm.Print_Area" localSheetId="18">'ВОП по форме 3П'!$A$1:$G$33</definedName>
    <definedName name="_xlnm.Print_Area" localSheetId="11">Геодезия!$A$1:$N$57</definedName>
    <definedName name="_xlnm.Print_Area" localSheetId="12">Геология!$A$1:$L$70</definedName>
    <definedName name="_xlnm.Print_Area" localSheetId="0">'Календарный план'!$A$3:$D$46</definedName>
    <definedName name="_xlnm.Print_Area" localSheetId="5">НМЦ!$A$1:$E$17</definedName>
    <definedName name="_xlnm.Print_Area" localSheetId="6">НМЦК!$A$1:$G$42</definedName>
    <definedName name="_xlnm.Print_Area" localSheetId="3">'Пояснительная записка'!$A$1:$C$26</definedName>
    <definedName name="_xlnm.Print_Area" localSheetId="4">Протокол!$A$1:$O$32</definedName>
    <definedName name="_xlnm.Print_Area" localSheetId="1">'Расчет КВЛ'!$A$1:$N$128</definedName>
    <definedName name="_xlnm.Print_Area" localSheetId="8">'Сводная ПИР'!$A$1:$G$31</definedName>
    <definedName name="_xlnm.Print_Area" localSheetId="10">Экспертиза!$A$1:$H$19</definedName>
    <definedName name="Область_печати_ИМ" localSheetId="11">Геодезия!$A$1:$J$39</definedName>
    <definedName name="обуч" localSheetId="18" hidden="1">{#N/A,#N/A,TRUE,"Смета на пасс. обор. №1"}</definedName>
    <definedName name="обуч" localSheetId="0" hidden="1">{#N/A,#N/A,TRUE,"Смета на пасс. обор. №1"}</definedName>
    <definedName name="обуч" localSheetId="7" hidden="1">{#N/A,#N/A,TRUE,"Смета на пасс. обор. №1"}</definedName>
    <definedName name="обуч" hidden="1">{#N/A,#N/A,TRUE,"Смета на пасс. обор. №1"}</definedName>
    <definedName name="обуч_1" localSheetId="18" hidden="1">{#N/A,#N/A,TRUE,"Смета на пасс. обор. №1"}</definedName>
    <definedName name="обуч_1" localSheetId="0" hidden="1">{#N/A,#N/A,TRUE,"Смета на пасс. обор. №1"}</definedName>
    <definedName name="обуч_1" localSheetId="7" hidden="1">{#N/A,#N/A,TRUE,"Смета на пасс. обор. №1"}</definedName>
    <definedName name="обуч_1" hidden="1">{#N/A,#N/A,TRUE,"Смета на пасс. обор. №1"}</definedName>
    <definedName name="общ_МПА_П" localSheetId="0">#REF!</definedName>
    <definedName name="общ_МПА_П">#REF!</definedName>
    <definedName name="ОбъектАдрес">[28]ОбмОбслЗемОд!$A$4</definedName>
    <definedName name="Объекты" localSheetId="18">#REF!</definedName>
    <definedName name="Объекты" localSheetId="0">#REF!</definedName>
    <definedName name="Объекты" localSheetId="7">#REF!</definedName>
    <definedName name="Объекты">#REF!</definedName>
    <definedName name="объем" localSheetId="18">NA()</definedName>
    <definedName name="объем">#N/A</definedName>
    <definedName name="объем___0" localSheetId="18">NA()</definedName>
    <definedName name="объем___0" localSheetId="0">#REF!</definedName>
    <definedName name="объем___0" localSheetId="7">#REF!</definedName>
    <definedName name="объем___0">#REF!</definedName>
    <definedName name="объем___0___0" localSheetId="18">#REF!</definedName>
    <definedName name="объем___0___0" localSheetId="0">#REF!</definedName>
    <definedName name="объем___0___0" localSheetId="7">#REF!</definedName>
    <definedName name="объем___0___0">#REF!</definedName>
    <definedName name="объем___0___0___0" localSheetId="18">#REF!</definedName>
    <definedName name="объем___0___0___0" localSheetId="0">#REF!</definedName>
    <definedName name="объем___0___0___0" localSheetId="7">#REF!</definedName>
    <definedName name="объем___0___0___0">#REF!</definedName>
    <definedName name="объем___0___0___0___0" localSheetId="18">#REF!</definedName>
    <definedName name="объем___0___0___0___0" localSheetId="0">#REF!</definedName>
    <definedName name="объем___0___0___0___0">#REF!</definedName>
    <definedName name="объем___0___0___0___0___0" localSheetId="0">#REF!</definedName>
    <definedName name="объем___0___0___0___0___0">#REF!</definedName>
    <definedName name="объем___0___0___0___0___0_1" localSheetId="0">#REF!</definedName>
    <definedName name="объем___0___0___0___0___0_1">#REF!</definedName>
    <definedName name="объем___0___0___0___0_1" localSheetId="0">#REF!</definedName>
    <definedName name="объем___0___0___0___0_1">#REF!</definedName>
    <definedName name="объем___0___0___0___1" localSheetId="0">#REF!</definedName>
    <definedName name="объем___0___0___0___1">#REF!</definedName>
    <definedName name="объем___0___0___0___1_1" localSheetId="0">#REF!</definedName>
    <definedName name="объем___0___0___0___1_1">#REF!</definedName>
    <definedName name="объем___0___0___0___5" localSheetId="0">#REF!</definedName>
    <definedName name="объем___0___0___0___5">#REF!</definedName>
    <definedName name="объем___0___0___0___5_1" localSheetId="0">#REF!</definedName>
    <definedName name="объем___0___0___0___5_1">#REF!</definedName>
    <definedName name="объем___0___0___0_1" localSheetId="0">#REF!</definedName>
    <definedName name="объем___0___0___0_1">#REF!</definedName>
    <definedName name="объем___0___0___0_1_1" localSheetId="0">#REF!</definedName>
    <definedName name="объем___0___0___0_1_1">#REF!</definedName>
    <definedName name="объем___0___0___0_1_1_1" localSheetId="0">#REF!</definedName>
    <definedName name="объем___0___0___0_1_1_1">#REF!</definedName>
    <definedName name="объем___0___0___0_5" localSheetId="0">#REF!</definedName>
    <definedName name="объем___0___0___0_5">#REF!</definedName>
    <definedName name="объем___0___0___0_5_1" localSheetId="0">#REF!</definedName>
    <definedName name="объем___0___0___0_5_1">#REF!</definedName>
    <definedName name="объем___0___0___1" localSheetId="0">#REF!</definedName>
    <definedName name="объем___0___0___1">#REF!</definedName>
    <definedName name="объем___0___0___1_1" localSheetId="0">#REF!</definedName>
    <definedName name="объем___0___0___1_1">#REF!</definedName>
    <definedName name="объем___0___0___2" localSheetId="18">#REF!</definedName>
    <definedName name="объем___0___0___2" localSheetId="0">#REF!</definedName>
    <definedName name="объем___0___0___2">#REF!</definedName>
    <definedName name="объем___0___0___2_1" localSheetId="0">#REF!</definedName>
    <definedName name="объем___0___0___2_1">#REF!</definedName>
    <definedName name="объем___0___0___3" localSheetId="18">#REF!</definedName>
    <definedName name="объем___0___0___3" localSheetId="0">#REF!</definedName>
    <definedName name="объем___0___0___3">#REF!</definedName>
    <definedName name="объем___0___0___3_1" localSheetId="0">#REF!</definedName>
    <definedName name="объем___0___0___3_1">#REF!</definedName>
    <definedName name="объем___0___0___4" localSheetId="18">#REF!</definedName>
    <definedName name="объем___0___0___4" localSheetId="0">#REF!</definedName>
    <definedName name="объем___0___0___4">#REF!</definedName>
    <definedName name="объем___0___0___4_1" localSheetId="0">#REF!</definedName>
    <definedName name="объем___0___0___4_1">#REF!</definedName>
    <definedName name="объем___0___0___5" localSheetId="0">#REF!</definedName>
    <definedName name="объем___0___0___5">#REF!</definedName>
    <definedName name="объем___0___0___5_1" localSheetId="0">#REF!</definedName>
    <definedName name="объем___0___0___5_1">#REF!</definedName>
    <definedName name="объем___0___0_1" localSheetId="0">#REF!</definedName>
    <definedName name="объем___0___0_1">#REF!</definedName>
    <definedName name="объем___0___0_1_1" localSheetId="0">#REF!</definedName>
    <definedName name="объем___0___0_1_1">#REF!</definedName>
    <definedName name="объем___0___0_1_1_1" localSheetId="0">#REF!</definedName>
    <definedName name="объем___0___0_1_1_1">#REF!</definedName>
    <definedName name="объем___0___0_3" localSheetId="0">#REF!</definedName>
    <definedName name="объем___0___0_3">#REF!</definedName>
    <definedName name="объем___0___0_3_1" localSheetId="0">#REF!</definedName>
    <definedName name="объем___0___0_3_1">#REF!</definedName>
    <definedName name="объем___0___0_5" localSheetId="0">#REF!</definedName>
    <definedName name="объем___0___0_5">#REF!</definedName>
    <definedName name="объем___0___0_5_1" localSheetId="0">#REF!</definedName>
    <definedName name="объем___0___0_5_1">#REF!</definedName>
    <definedName name="объем___0___1" localSheetId="18">#REF!</definedName>
    <definedName name="объем___0___1" localSheetId="0">#REF!</definedName>
    <definedName name="объем___0___1">#REF!</definedName>
    <definedName name="объем___0___1___0" localSheetId="0">#REF!</definedName>
    <definedName name="объем___0___1___0">#REF!</definedName>
    <definedName name="объем___0___1___0_1" localSheetId="0">#REF!</definedName>
    <definedName name="объем___0___1___0_1">#REF!</definedName>
    <definedName name="объем___0___1_1" localSheetId="0">#REF!</definedName>
    <definedName name="объем___0___1_1">#REF!</definedName>
    <definedName name="объем___0___10" localSheetId="18">#REF!</definedName>
    <definedName name="объем___0___10" localSheetId="0">#REF!</definedName>
    <definedName name="объем___0___10">#REF!</definedName>
    <definedName name="объем___0___10_1" localSheetId="0">#REF!</definedName>
    <definedName name="объем___0___10_1">#REF!</definedName>
    <definedName name="объем___0___12" localSheetId="18">#REF!</definedName>
    <definedName name="объем___0___12" localSheetId="0">#REF!</definedName>
    <definedName name="объем___0___12">#REF!</definedName>
    <definedName name="объем___0___2" localSheetId="18">#REF!</definedName>
    <definedName name="объем___0___2" localSheetId="0">#REF!</definedName>
    <definedName name="объем___0___2">#REF!</definedName>
    <definedName name="объем___0___2___0" localSheetId="18">#REF!</definedName>
    <definedName name="объем___0___2___0" localSheetId="0">#REF!</definedName>
    <definedName name="объем___0___2___0">#REF!</definedName>
    <definedName name="объем___0___2___0___0" localSheetId="0">#REF!</definedName>
    <definedName name="объем___0___2___0___0">#REF!</definedName>
    <definedName name="объем___0___2___0___0_1" localSheetId="0">#REF!</definedName>
    <definedName name="объем___0___2___0___0_1">#REF!</definedName>
    <definedName name="объем___0___2___0_1" localSheetId="0">#REF!</definedName>
    <definedName name="объем___0___2___0_1">#REF!</definedName>
    <definedName name="объем___0___2___5" localSheetId="0">#REF!</definedName>
    <definedName name="объем___0___2___5">#REF!</definedName>
    <definedName name="объем___0___2___5_1" localSheetId="0">#REF!</definedName>
    <definedName name="объем___0___2___5_1">#REF!</definedName>
    <definedName name="объем___0___2_1" localSheetId="0">#REF!</definedName>
    <definedName name="объем___0___2_1">#REF!</definedName>
    <definedName name="объем___0___2_1_1" localSheetId="0">#REF!</definedName>
    <definedName name="объем___0___2_1_1">#REF!</definedName>
    <definedName name="объем___0___2_1_1_1" localSheetId="0">#REF!</definedName>
    <definedName name="объем___0___2_1_1_1">#REF!</definedName>
    <definedName name="объем___0___2_3" localSheetId="0">#REF!</definedName>
    <definedName name="объем___0___2_3">#REF!</definedName>
    <definedName name="объем___0___2_3_1" localSheetId="0">#REF!</definedName>
    <definedName name="объем___0___2_3_1">#REF!</definedName>
    <definedName name="объем___0___2_5" localSheetId="0">#REF!</definedName>
    <definedName name="объем___0___2_5">#REF!</definedName>
    <definedName name="объем___0___2_5_1" localSheetId="0">#REF!</definedName>
    <definedName name="объем___0___2_5_1">#REF!</definedName>
    <definedName name="объем___0___3" localSheetId="18">#REF!</definedName>
    <definedName name="объем___0___3" localSheetId="0">#REF!</definedName>
    <definedName name="объем___0___3">#REF!</definedName>
    <definedName name="объем___0___3___0" localSheetId="0">#REF!</definedName>
    <definedName name="объем___0___3___0">#REF!</definedName>
    <definedName name="объем___0___3___0_1" localSheetId="0">#REF!</definedName>
    <definedName name="объем___0___3___0_1">#REF!</definedName>
    <definedName name="объем___0___3___5" localSheetId="0">#REF!</definedName>
    <definedName name="объем___0___3___5">#REF!</definedName>
    <definedName name="объем___0___3___5_1" localSheetId="0">#REF!</definedName>
    <definedName name="объем___0___3___5_1">#REF!</definedName>
    <definedName name="объем___0___3_1" localSheetId="0">#REF!</definedName>
    <definedName name="объем___0___3_1">#REF!</definedName>
    <definedName name="объем___0___3_1_1" localSheetId="0">#REF!</definedName>
    <definedName name="объем___0___3_1_1">#REF!</definedName>
    <definedName name="объем___0___3_1_1_1" localSheetId="0">#REF!</definedName>
    <definedName name="объем___0___3_1_1_1">#REF!</definedName>
    <definedName name="объем___0___3_5" localSheetId="0">#REF!</definedName>
    <definedName name="объем___0___3_5">#REF!</definedName>
    <definedName name="объем___0___3_5_1" localSheetId="0">#REF!</definedName>
    <definedName name="объем___0___3_5_1">#REF!</definedName>
    <definedName name="объем___0___4" localSheetId="18">#REF!</definedName>
    <definedName name="объем___0___4" localSheetId="0">#REF!</definedName>
    <definedName name="объем___0___4">#REF!</definedName>
    <definedName name="объем___0___4___0" localSheetId="0">#REF!</definedName>
    <definedName name="объем___0___4___0">#REF!</definedName>
    <definedName name="объем___0___4___0_1" localSheetId="0">#REF!</definedName>
    <definedName name="объем___0___4___0_1">#REF!</definedName>
    <definedName name="объем___0___4___5" localSheetId="0">#REF!</definedName>
    <definedName name="объем___0___4___5">#REF!</definedName>
    <definedName name="объем___0___4___5_1" localSheetId="0">#REF!</definedName>
    <definedName name="объем___0___4___5_1">#REF!</definedName>
    <definedName name="объем___0___4_1" localSheetId="0">#REF!</definedName>
    <definedName name="объем___0___4_1">#REF!</definedName>
    <definedName name="объем___0___4_1_1" localSheetId="0">#REF!</definedName>
    <definedName name="объем___0___4_1_1">#REF!</definedName>
    <definedName name="объем___0___4_1_1_1" localSheetId="0">#REF!</definedName>
    <definedName name="объем___0___4_1_1_1">#REF!</definedName>
    <definedName name="объем___0___4_3" localSheetId="0">#REF!</definedName>
    <definedName name="объем___0___4_3">#REF!</definedName>
    <definedName name="объем___0___4_3_1" localSheetId="0">#REF!</definedName>
    <definedName name="объем___0___4_3_1">#REF!</definedName>
    <definedName name="объем___0___4_5" localSheetId="0">#REF!</definedName>
    <definedName name="объем___0___4_5">#REF!</definedName>
    <definedName name="объем___0___4_5_1" localSheetId="0">#REF!</definedName>
    <definedName name="объем___0___4_5_1">#REF!</definedName>
    <definedName name="объем___0___5" localSheetId="18">#REF!</definedName>
    <definedName name="объем___0___5" localSheetId="0">#REF!</definedName>
    <definedName name="объем___0___5">#REF!</definedName>
    <definedName name="объем___0___5_1" localSheetId="0">#REF!</definedName>
    <definedName name="объем___0___5_1">#REF!</definedName>
    <definedName name="объем___0___6" localSheetId="18">#REF!</definedName>
    <definedName name="объем___0___6" localSheetId="0">#REF!</definedName>
    <definedName name="объем___0___6">#REF!</definedName>
    <definedName name="объем___0___6_1" localSheetId="0">#REF!</definedName>
    <definedName name="объем___0___6_1">#REF!</definedName>
    <definedName name="объем___0___8" localSheetId="18">#REF!</definedName>
    <definedName name="объем___0___8" localSheetId="0">#REF!</definedName>
    <definedName name="объем___0___8">#REF!</definedName>
    <definedName name="объем___0___8_1" localSheetId="0">#REF!</definedName>
    <definedName name="объем___0___8_1">#REF!</definedName>
    <definedName name="объем___0_1" localSheetId="0">#REF!</definedName>
    <definedName name="объем___0_1">#REF!</definedName>
    <definedName name="объем___0_1_1" localSheetId="0">#REF!</definedName>
    <definedName name="объем___0_1_1">#REF!</definedName>
    <definedName name="объем___0_3" localSheetId="0">#REF!</definedName>
    <definedName name="объем___0_3">#REF!</definedName>
    <definedName name="объем___0_3_1" localSheetId="0">#REF!</definedName>
    <definedName name="объем___0_3_1">#REF!</definedName>
    <definedName name="объем___0_5" localSheetId="0">#REF!</definedName>
    <definedName name="объем___0_5">#REF!</definedName>
    <definedName name="объем___0_5_1" localSheetId="0">#REF!</definedName>
    <definedName name="объем___0_5_1">#REF!</definedName>
    <definedName name="объем___1" localSheetId="18">#REF!</definedName>
    <definedName name="объем___1" localSheetId="0">#REF!</definedName>
    <definedName name="объем___1">#REF!</definedName>
    <definedName name="объем___1___0" localSheetId="18">#REF!</definedName>
    <definedName name="объем___1___0" localSheetId="0">#REF!</definedName>
    <definedName name="объем___1___0">#REF!</definedName>
    <definedName name="объем___1___0___0" localSheetId="0">#REF!</definedName>
    <definedName name="объем___1___0___0">#REF!</definedName>
    <definedName name="объем___1___0___0_1" localSheetId="0">#REF!</definedName>
    <definedName name="объем___1___0___0_1">#REF!</definedName>
    <definedName name="объем___1___0_1" localSheetId="0">#REF!</definedName>
    <definedName name="объем___1___0_1">#REF!</definedName>
    <definedName name="объем___1___1" localSheetId="0">#REF!</definedName>
    <definedName name="объем___1___1">#REF!</definedName>
    <definedName name="объем___1___1_1" localSheetId="0">#REF!</definedName>
    <definedName name="объем___1___1_1">#REF!</definedName>
    <definedName name="объем___1___5" localSheetId="0">#REF!</definedName>
    <definedName name="объем___1___5">#REF!</definedName>
    <definedName name="объем___1___5_1" localSheetId="0">#REF!</definedName>
    <definedName name="объем___1___5_1">#REF!</definedName>
    <definedName name="объем___1_1" localSheetId="0">#REF!</definedName>
    <definedName name="объем___1_1">#REF!</definedName>
    <definedName name="объем___1_1_1" localSheetId="0">#REF!</definedName>
    <definedName name="объем___1_1_1">#REF!</definedName>
    <definedName name="объем___1_1_1_1" localSheetId="0">#REF!</definedName>
    <definedName name="объем___1_1_1_1">#REF!</definedName>
    <definedName name="объем___1_3" localSheetId="0">#REF!</definedName>
    <definedName name="объем___1_3">#REF!</definedName>
    <definedName name="объем___1_3_1" localSheetId="0">#REF!</definedName>
    <definedName name="объем___1_3_1">#REF!</definedName>
    <definedName name="объем___1_5" localSheetId="0">#REF!</definedName>
    <definedName name="объем___1_5">#REF!</definedName>
    <definedName name="объем___1_5_1" localSheetId="0">#REF!</definedName>
    <definedName name="объем___1_5_1">#REF!</definedName>
    <definedName name="объем___10" localSheetId="18">NA()</definedName>
    <definedName name="объем___10" localSheetId="0">#REF!</definedName>
    <definedName name="объем___10" localSheetId="7">#REF!</definedName>
    <definedName name="объем___10">#REF!</definedName>
    <definedName name="объем___10___0" localSheetId="18">#REF!</definedName>
    <definedName name="объем___10___0">NA()</definedName>
    <definedName name="объем___10___0___0" localSheetId="18">#REF!</definedName>
    <definedName name="объем___10___0___0" localSheetId="0">#REF!</definedName>
    <definedName name="объем___10___0___0" localSheetId="7">#REF!</definedName>
    <definedName name="объем___10___0___0">#REF!</definedName>
    <definedName name="объем___10___0___0___0" localSheetId="0">#REF!</definedName>
    <definedName name="объем___10___0___0___0" localSheetId="7">#REF!</definedName>
    <definedName name="объем___10___0___0___0">#REF!</definedName>
    <definedName name="объем___10___0___0___0_1" localSheetId="0">#REF!</definedName>
    <definedName name="объем___10___0___0___0_1" localSheetId="7">#REF!</definedName>
    <definedName name="объем___10___0___0___0_1">#REF!</definedName>
    <definedName name="объем___10___0___0_1" localSheetId="0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8">#REF!</definedName>
    <definedName name="объем___10___0_1" localSheetId="0">#REF!</definedName>
    <definedName name="объем___10___0_1" localSheetId="7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8">#REF!</definedName>
    <definedName name="объем___10___1" localSheetId="0">#REF!</definedName>
    <definedName name="объем___10___1" localSheetId="7">#REF!</definedName>
    <definedName name="объем___10___1">#REF!</definedName>
    <definedName name="объем___10___10" localSheetId="18">#REF!</definedName>
    <definedName name="объем___10___10" localSheetId="0">#REF!</definedName>
    <definedName name="объем___10___10" localSheetId="7">#REF!</definedName>
    <definedName name="объем___10___10">#REF!</definedName>
    <definedName name="объем___10___12" localSheetId="18">#REF!</definedName>
    <definedName name="объем___10___12" localSheetId="0">#REF!</definedName>
    <definedName name="объем___10___12" localSheetId="7">#REF!</definedName>
    <definedName name="объем___10___12">#REF!</definedName>
    <definedName name="объем___10___2">NA()</definedName>
    <definedName name="объем___10___4">NA()</definedName>
    <definedName name="объем___10___5" localSheetId="0">#REF!</definedName>
    <definedName name="объем___10___5">#REF!</definedName>
    <definedName name="объем___10___5_1" localSheetId="0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0">#REF!</definedName>
    <definedName name="объем___10_3">#REF!</definedName>
    <definedName name="объем___10_3_1" localSheetId="0">#REF!</definedName>
    <definedName name="объем___10_3_1">#REF!</definedName>
    <definedName name="объем___10_5" localSheetId="0">#REF!</definedName>
    <definedName name="объем___10_5">#REF!</definedName>
    <definedName name="объем___10_5_1" localSheetId="0">#REF!</definedName>
    <definedName name="объем___10_5_1">#REF!</definedName>
    <definedName name="объем___11" localSheetId="18">#REF!</definedName>
    <definedName name="объем___11" localSheetId="0">#REF!</definedName>
    <definedName name="объем___11">#REF!</definedName>
    <definedName name="объем___11___0">NA()</definedName>
    <definedName name="объем___11___10" localSheetId="18">#REF!</definedName>
    <definedName name="объем___11___10" localSheetId="0">#REF!</definedName>
    <definedName name="объем___11___10" localSheetId="7">#REF!</definedName>
    <definedName name="объем___11___10">#REF!</definedName>
    <definedName name="объем___11___2" localSheetId="18">#REF!</definedName>
    <definedName name="объем___11___2" localSheetId="0">#REF!</definedName>
    <definedName name="объем___11___2" localSheetId="7">#REF!</definedName>
    <definedName name="объем___11___2">#REF!</definedName>
    <definedName name="объем___11___4" localSheetId="18">#REF!</definedName>
    <definedName name="объем___11___4" localSheetId="0">#REF!</definedName>
    <definedName name="объем___11___4" localSheetId="7">#REF!</definedName>
    <definedName name="объем___11___4">#REF!</definedName>
    <definedName name="объем___11___6" localSheetId="18">#REF!</definedName>
    <definedName name="объем___11___6" localSheetId="0">#REF!</definedName>
    <definedName name="объем___11___6">#REF!</definedName>
    <definedName name="объем___11___8" localSheetId="18">#REF!</definedName>
    <definedName name="объем___11___8" localSheetId="0">#REF!</definedName>
    <definedName name="объем___11___8">#REF!</definedName>
    <definedName name="объем___11_1" localSheetId="0">#REF!</definedName>
    <definedName name="объем___11_1">#REF!</definedName>
    <definedName name="объем___12">NA()</definedName>
    <definedName name="объем___2" localSheetId="18">#REF!</definedName>
    <definedName name="объем___2" localSheetId="0">#REF!</definedName>
    <definedName name="объем___2" localSheetId="7">#REF!</definedName>
    <definedName name="объем___2">#REF!</definedName>
    <definedName name="объем___2___0" localSheetId="18">#REF!</definedName>
    <definedName name="объем___2___0" localSheetId="0">#REF!</definedName>
    <definedName name="объем___2___0" localSheetId="7">#REF!</definedName>
    <definedName name="объем___2___0">#REF!</definedName>
    <definedName name="объем___2___0___0" localSheetId="18">#REF!</definedName>
    <definedName name="объем___2___0___0" localSheetId="0">#REF!</definedName>
    <definedName name="объем___2___0___0" localSheetId="7">#REF!</definedName>
    <definedName name="объем___2___0___0">#REF!</definedName>
    <definedName name="объем___2___0___0___0" localSheetId="18">#REF!</definedName>
    <definedName name="объем___2___0___0___0" localSheetId="0">#REF!</definedName>
    <definedName name="объем___2___0___0___0">#REF!</definedName>
    <definedName name="объем___2___0___0___0___0" localSheetId="0">#REF!</definedName>
    <definedName name="объем___2___0___0___0___0">#REF!</definedName>
    <definedName name="объем___2___0___0___0___0_1" localSheetId="0">#REF!</definedName>
    <definedName name="объем___2___0___0___0___0_1">#REF!</definedName>
    <definedName name="объем___2___0___0___0_1" localSheetId="0">#REF!</definedName>
    <definedName name="объем___2___0___0___0_1">#REF!</definedName>
    <definedName name="объем___2___0___0___1" localSheetId="0">#REF!</definedName>
    <definedName name="объем___2___0___0___1">#REF!</definedName>
    <definedName name="объем___2___0___0___1_1" localSheetId="0">#REF!</definedName>
    <definedName name="объем___2___0___0___1_1">#REF!</definedName>
    <definedName name="объем___2___0___0___5" localSheetId="0">#REF!</definedName>
    <definedName name="объем___2___0___0___5">#REF!</definedName>
    <definedName name="объем___2___0___0___5_1" localSheetId="0">#REF!</definedName>
    <definedName name="объем___2___0___0___5_1">#REF!</definedName>
    <definedName name="объем___2___0___0_1" localSheetId="0">#REF!</definedName>
    <definedName name="объем___2___0___0_1">#REF!</definedName>
    <definedName name="объем___2___0___0_1_1" localSheetId="0">#REF!</definedName>
    <definedName name="объем___2___0___0_1_1">#REF!</definedName>
    <definedName name="объем___2___0___0_1_1_1" localSheetId="0">#REF!</definedName>
    <definedName name="объем___2___0___0_1_1_1">#REF!</definedName>
    <definedName name="объем___2___0___0_5" localSheetId="0">#REF!</definedName>
    <definedName name="объем___2___0___0_5">#REF!</definedName>
    <definedName name="объем___2___0___0_5_1" localSheetId="0">#REF!</definedName>
    <definedName name="объем___2___0___0_5_1">#REF!</definedName>
    <definedName name="объем___2___0___1" localSheetId="0">#REF!</definedName>
    <definedName name="объем___2___0___1">#REF!</definedName>
    <definedName name="объем___2___0___1_1" localSheetId="0">#REF!</definedName>
    <definedName name="объем___2___0___1_1">#REF!</definedName>
    <definedName name="объем___2___0___5" localSheetId="0">#REF!</definedName>
    <definedName name="объем___2___0___5">#REF!</definedName>
    <definedName name="объем___2___0___5_1" localSheetId="0">#REF!</definedName>
    <definedName name="объем___2___0___5_1">#REF!</definedName>
    <definedName name="объем___2___0_1" localSheetId="0">#REF!</definedName>
    <definedName name="объем___2___0_1">#REF!</definedName>
    <definedName name="объем___2___0_1_1" localSheetId="0">#REF!</definedName>
    <definedName name="объем___2___0_1_1">#REF!</definedName>
    <definedName name="объем___2___0_1_1_1" localSheetId="0">#REF!</definedName>
    <definedName name="объем___2___0_1_1_1">#REF!</definedName>
    <definedName name="объем___2___0_3" localSheetId="0">#REF!</definedName>
    <definedName name="объем___2___0_3">#REF!</definedName>
    <definedName name="объем___2___0_3_1" localSheetId="0">#REF!</definedName>
    <definedName name="объем___2___0_3_1">#REF!</definedName>
    <definedName name="объем___2___0_5" localSheetId="0">#REF!</definedName>
    <definedName name="объем___2___0_5">#REF!</definedName>
    <definedName name="объем___2___0_5_1" localSheetId="0">#REF!</definedName>
    <definedName name="объем___2___0_5_1">#REF!</definedName>
    <definedName name="объем___2___1" localSheetId="18">#REF!</definedName>
    <definedName name="объем___2___1" localSheetId="0">#REF!</definedName>
    <definedName name="объем___2___1">#REF!</definedName>
    <definedName name="объем___2___1_1" localSheetId="0">#REF!</definedName>
    <definedName name="объем___2___1_1">#REF!</definedName>
    <definedName name="объем___2___10" localSheetId="18">#REF!</definedName>
    <definedName name="объем___2___10" localSheetId="0">#REF!</definedName>
    <definedName name="объем___2___10">#REF!</definedName>
    <definedName name="объем___2___10_1" localSheetId="0">#REF!</definedName>
    <definedName name="объем___2___10_1">#REF!</definedName>
    <definedName name="объем___2___12" localSheetId="18">#REF!</definedName>
    <definedName name="объем___2___12" localSheetId="0">#REF!</definedName>
    <definedName name="объем___2___12">#REF!</definedName>
    <definedName name="объем___2___2" localSheetId="18">#REF!</definedName>
    <definedName name="объем___2___2" localSheetId="0">#REF!</definedName>
    <definedName name="объем___2___2">#REF!</definedName>
    <definedName name="объем___2___2_1" localSheetId="0">#REF!</definedName>
    <definedName name="объем___2___2_1">#REF!</definedName>
    <definedName name="объем___2___3" localSheetId="18">#REF!</definedName>
    <definedName name="объем___2___3" localSheetId="0">#REF!</definedName>
    <definedName name="объем___2___3">#REF!</definedName>
    <definedName name="объем___2___4" localSheetId="18">#REF!</definedName>
    <definedName name="объем___2___4" localSheetId="0">#REF!</definedName>
    <definedName name="объем___2___4">#REF!</definedName>
    <definedName name="объем___2___4___0" localSheetId="0">#REF!</definedName>
    <definedName name="объем___2___4___0">#REF!</definedName>
    <definedName name="объем___2___4___0_1" localSheetId="0">#REF!</definedName>
    <definedName name="объем___2___4___0_1">#REF!</definedName>
    <definedName name="объем___2___4___5" localSheetId="0">#REF!</definedName>
    <definedName name="объем___2___4___5">#REF!</definedName>
    <definedName name="объем___2___4___5_1" localSheetId="0">#REF!</definedName>
    <definedName name="объем___2___4___5_1">#REF!</definedName>
    <definedName name="объем___2___4_1" localSheetId="0">#REF!</definedName>
    <definedName name="объем___2___4_1">#REF!</definedName>
    <definedName name="объем___2___4_1_1" localSheetId="0">#REF!</definedName>
    <definedName name="объем___2___4_1_1">#REF!</definedName>
    <definedName name="объем___2___4_1_1_1" localSheetId="0">#REF!</definedName>
    <definedName name="объем___2___4_1_1_1">#REF!</definedName>
    <definedName name="объем___2___4_3" localSheetId="0">#REF!</definedName>
    <definedName name="объем___2___4_3">#REF!</definedName>
    <definedName name="объем___2___4_3_1" localSheetId="0">#REF!</definedName>
    <definedName name="объем___2___4_3_1">#REF!</definedName>
    <definedName name="объем___2___4_5" localSheetId="0">#REF!</definedName>
    <definedName name="объем___2___4_5">#REF!</definedName>
    <definedName name="объем___2___4_5_1" localSheetId="0">#REF!</definedName>
    <definedName name="объем___2___4_5_1">#REF!</definedName>
    <definedName name="объем___2___5" localSheetId="0">#REF!</definedName>
    <definedName name="объем___2___5">#REF!</definedName>
    <definedName name="объем___2___5_1" localSheetId="0">#REF!</definedName>
    <definedName name="объем___2___5_1">#REF!</definedName>
    <definedName name="объем___2___6" localSheetId="18">#REF!</definedName>
    <definedName name="объем___2___6" localSheetId="0">#REF!</definedName>
    <definedName name="объем___2___6">#REF!</definedName>
    <definedName name="объем___2___6_1" localSheetId="0">#REF!</definedName>
    <definedName name="объем___2___6_1">#REF!</definedName>
    <definedName name="объем___2___8" localSheetId="18">#REF!</definedName>
    <definedName name="объем___2___8" localSheetId="0">#REF!</definedName>
    <definedName name="объем___2___8">#REF!</definedName>
    <definedName name="объем___2___8_1" localSheetId="0">#REF!</definedName>
    <definedName name="объем___2___8_1">#REF!</definedName>
    <definedName name="объем___2_1" localSheetId="0">#REF!</definedName>
    <definedName name="объем___2_1">#REF!</definedName>
    <definedName name="объем___2_1_1" localSheetId="0">#REF!</definedName>
    <definedName name="объем___2_1_1">#REF!</definedName>
    <definedName name="объем___2_1_1_1" localSheetId="0">#REF!</definedName>
    <definedName name="объем___2_1_1_1">#REF!</definedName>
    <definedName name="объем___2_3" localSheetId="0">#REF!</definedName>
    <definedName name="объем___2_3">#REF!</definedName>
    <definedName name="объем___2_3_1" localSheetId="0">#REF!</definedName>
    <definedName name="объем___2_3_1">#REF!</definedName>
    <definedName name="объем___2_5" localSheetId="0">#REF!</definedName>
    <definedName name="объем___2_5">#REF!</definedName>
    <definedName name="объем___2_5_1" localSheetId="0">#REF!</definedName>
    <definedName name="объем___2_5_1">#REF!</definedName>
    <definedName name="объем___3" localSheetId="18">#REF!</definedName>
    <definedName name="объем___3" localSheetId="0">#REF!</definedName>
    <definedName name="объем___3">#REF!</definedName>
    <definedName name="объем___3___0" localSheetId="18">#REF!</definedName>
    <definedName name="объем___3___0" localSheetId="0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0">#REF!</definedName>
    <definedName name="объем___3___0___5">#REF!</definedName>
    <definedName name="объем___3___0___5_1" localSheetId="0">#REF!</definedName>
    <definedName name="объем___3___0___5_1">#REF!</definedName>
    <definedName name="объем___3___0_1" localSheetId="18">#REF!</definedName>
    <definedName name="объем___3___0_1" localSheetId="0">#REF!</definedName>
    <definedName name="объем___3___0_1" localSheetId="7">#REF!</definedName>
    <definedName name="объем___3___0_1">#REF!</definedName>
    <definedName name="объем___3___0_1_1">NA()</definedName>
    <definedName name="объем___3___0_3" localSheetId="0">#REF!</definedName>
    <definedName name="объем___3___0_3">#REF!</definedName>
    <definedName name="объем___3___0_3_1" localSheetId="0">#REF!</definedName>
    <definedName name="объем___3___0_3_1">#REF!</definedName>
    <definedName name="объем___3___0_5" localSheetId="0">#REF!</definedName>
    <definedName name="объем___3___0_5">#REF!</definedName>
    <definedName name="объем___3___0_5_1" localSheetId="0">#REF!</definedName>
    <definedName name="объем___3___0_5_1">#REF!</definedName>
    <definedName name="объем___3___10" localSheetId="18">#REF!</definedName>
    <definedName name="объем___3___10" localSheetId="0">#REF!</definedName>
    <definedName name="объем___3___10">#REF!</definedName>
    <definedName name="объем___3___2" localSheetId="18">#REF!</definedName>
    <definedName name="объем___3___2" localSheetId="0">#REF!</definedName>
    <definedName name="объем___3___2">#REF!</definedName>
    <definedName name="объем___3___2_1" localSheetId="0">#REF!</definedName>
    <definedName name="объем___3___2_1">#REF!</definedName>
    <definedName name="объем___3___3" localSheetId="18">#REF!</definedName>
    <definedName name="объем___3___3" localSheetId="0">#REF!</definedName>
    <definedName name="объем___3___3">#REF!</definedName>
    <definedName name="объем___3___3_1" localSheetId="0">#REF!</definedName>
    <definedName name="объем___3___3_1">#REF!</definedName>
    <definedName name="объем___3___4" localSheetId="18">#REF!</definedName>
    <definedName name="объем___3___4" localSheetId="0">#REF!</definedName>
    <definedName name="объем___3___4">#REF!</definedName>
    <definedName name="объем___3___5" localSheetId="0">#REF!</definedName>
    <definedName name="объем___3___5">#REF!</definedName>
    <definedName name="объем___3___5_1" localSheetId="0">#REF!</definedName>
    <definedName name="объем___3___5_1">#REF!</definedName>
    <definedName name="объем___3___6" localSheetId="18">#REF!</definedName>
    <definedName name="объем___3___6" localSheetId="0">#REF!</definedName>
    <definedName name="объем___3___6">#REF!</definedName>
    <definedName name="объем___3___8" localSheetId="18">#REF!</definedName>
    <definedName name="объем___3___8" localSheetId="0">#REF!</definedName>
    <definedName name="объем___3___8">#REF!</definedName>
    <definedName name="объем___3_1" localSheetId="0">#REF!</definedName>
    <definedName name="объем___3_1">#REF!</definedName>
    <definedName name="объем___3_1_1" localSheetId="0">#REF!</definedName>
    <definedName name="объем___3_1_1">#REF!</definedName>
    <definedName name="объем___3_1_1_1" localSheetId="0">#REF!</definedName>
    <definedName name="объем___3_1_1_1">#REF!</definedName>
    <definedName name="объем___3_3">NA()</definedName>
    <definedName name="объем___3_5" localSheetId="0">#REF!</definedName>
    <definedName name="объем___3_5">#REF!</definedName>
    <definedName name="объем___3_5_1" localSheetId="0">#REF!</definedName>
    <definedName name="объем___3_5_1">#REF!</definedName>
    <definedName name="объем___4" localSheetId="18">#REF!</definedName>
    <definedName name="объем___4" localSheetId="0">#REF!</definedName>
    <definedName name="объем___4" localSheetId="7">#REF!</definedName>
    <definedName name="объем___4">#REF!</definedName>
    <definedName name="объем___4___0" localSheetId="18">#REF!</definedName>
    <definedName name="объем___4___0">NA()</definedName>
    <definedName name="объем___4___0___0" localSheetId="18">#REF!</definedName>
    <definedName name="объем___4___0___0" localSheetId="0">#REF!</definedName>
    <definedName name="объем___4___0___0" localSheetId="7">#REF!</definedName>
    <definedName name="объем___4___0___0">#REF!</definedName>
    <definedName name="объем___4___0___0___0" localSheetId="18">#REF!</definedName>
    <definedName name="объем___4___0___0___0" localSheetId="0">#REF!</definedName>
    <definedName name="объем___4___0___0___0" localSheetId="7">#REF!</definedName>
    <definedName name="объем___4___0___0___0">#REF!</definedName>
    <definedName name="объем___4___0___0___0___0" localSheetId="0">#REF!</definedName>
    <definedName name="объем___4___0___0___0___0" localSheetId="7">#REF!</definedName>
    <definedName name="объем___4___0___0___0___0">#REF!</definedName>
    <definedName name="объем___4___0___0___0___0_1" localSheetId="0">#REF!</definedName>
    <definedName name="объем___4___0___0___0___0_1">#REF!</definedName>
    <definedName name="объем___4___0___0___0_1" localSheetId="0">#REF!</definedName>
    <definedName name="объем___4___0___0___0_1">#REF!</definedName>
    <definedName name="объем___4___0___0___1" localSheetId="0">#REF!</definedName>
    <definedName name="объем___4___0___0___1">#REF!</definedName>
    <definedName name="объем___4___0___0___1_1" localSheetId="0">#REF!</definedName>
    <definedName name="объем___4___0___0___1_1">#REF!</definedName>
    <definedName name="объем___4___0___0___5" localSheetId="0">#REF!</definedName>
    <definedName name="объем___4___0___0___5">#REF!</definedName>
    <definedName name="объем___4___0___0___5_1" localSheetId="0">#REF!</definedName>
    <definedName name="объем___4___0___0___5_1">#REF!</definedName>
    <definedName name="объем___4___0___0_1" localSheetId="0">#REF!</definedName>
    <definedName name="объем___4___0___0_1">#REF!</definedName>
    <definedName name="объем___4___0___0_1_1" localSheetId="0">#REF!</definedName>
    <definedName name="объем___4___0___0_1_1">#REF!</definedName>
    <definedName name="объем___4___0___0_1_1_1" localSheetId="0">#REF!</definedName>
    <definedName name="объем___4___0___0_1_1_1">#REF!</definedName>
    <definedName name="объем___4___0___0_5" localSheetId="0">#REF!</definedName>
    <definedName name="объем___4___0___0_5">#REF!</definedName>
    <definedName name="объем___4___0___0_5_1" localSheetId="0">#REF!</definedName>
    <definedName name="объем___4___0___0_5_1">#REF!</definedName>
    <definedName name="объем___4___0___1" localSheetId="0">#REF!</definedName>
    <definedName name="объем___4___0___1">#REF!</definedName>
    <definedName name="объем___4___0___1_1" localSheetId="0">#REF!</definedName>
    <definedName name="объем___4___0___1_1">#REF!</definedName>
    <definedName name="объем___4___0___5">NA()</definedName>
    <definedName name="объем___4___0_1" localSheetId="0">#REF!</definedName>
    <definedName name="объем___4___0_1">#REF!</definedName>
    <definedName name="объем___4___0_1_1" localSheetId="0">#REF!</definedName>
    <definedName name="объем___4___0_1_1">#REF!</definedName>
    <definedName name="объем___4___0_1_1_1" localSheetId="0">#REF!</definedName>
    <definedName name="объем___4___0_1_1_1">#REF!</definedName>
    <definedName name="объем___4___0_3" localSheetId="0">#REF!</definedName>
    <definedName name="объем___4___0_3">#REF!</definedName>
    <definedName name="объем___4___0_3_1" localSheetId="0">#REF!</definedName>
    <definedName name="объем___4___0_3_1">#REF!</definedName>
    <definedName name="объем___4___0_5">NA()</definedName>
    <definedName name="объем___4___1" localSheetId="0">#REF!</definedName>
    <definedName name="объем___4___1">#REF!</definedName>
    <definedName name="объем___4___1_1" localSheetId="0">#REF!</definedName>
    <definedName name="объем___4___1_1">#REF!</definedName>
    <definedName name="объем___4___10" localSheetId="18">#REF!</definedName>
    <definedName name="объем___4___10" localSheetId="0">#REF!</definedName>
    <definedName name="объем___4___10" localSheetId="7">#REF!</definedName>
    <definedName name="объем___4___10">#REF!</definedName>
    <definedName name="объем___4___10_1" localSheetId="0">#REF!</definedName>
    <definedName name="объем___4___10_1">#REF!</definedName>
    <definedName name="объем___4___12" localSheetId="18">#REF!</definedName>
    <definedName name="объем___4___12" localSheetId="0">#REF!</definedName>
    <definedName name="объем___4___12">#REF!</definedName>
    <definedName name="объем___4___2" localSheetId="18">#REF!</definedName>
    <definedName name="объем___4___2" localSheetId="0">#REF!</definedName>
    <definedName name="объем___4___2">#REF!</definedName>
    <definedName name="объем___4___2_1" localSheetId="0">#REF!</definedName>
    <definedName name="объем___4___2_1">#REF!</definedName>
    <definedName name="объем___4___3" localSheetId="18">#REF!</definedName>
    <definedName name="объем___4___3" localSheetId="0">#REF!</definedName>
    <definedName name="объем___4___3">#REF!</definedName>
    <definedName name="объем___4___3_1" localSheetId="0">#REF!</definedName>
    <definedName name="объем___4___3_1">#REF!</definedName>
    <definedName name="объем___4___4" localSheetId="18">#REF!</definedName>
    <definedName name="объем___4___4" localSheetId="0">#REF!</definedName>
    <definedName name="объем___4___4">#REF!</definedName>
    <definedName name="объем___4___4_1" localSheetId="0">#REF!</definedName>
    <definedName name="объем___4___4_1">#REF!</definedName>
    <definedName name="объем___4___5" localSheetId="0">#REF!</definedName>
    <definedName name="объем___4___5">#REF!</definedName>
    <definedName name="объем___4___5_1" localSheetId="0">#REF!</definedName>
    <definedName name="объем___4___5_1">#REF!</definedName>
    <definedName name="объем___4___6" localSheetId="18">#REF!</definedName>
    <definedName name="объем___4___6" localSheetId="0">#REF!</definedName>
    <definedName name="объем___4___6">#REF!</definedName>
    <definedName name="объем___4___6_1" localSheetId="0">#REF!</definedName>
    <definedName name="объем___4___6_1">#REF!</definedName>
    <definedName name="объем___4___8" localSheetId="18">#REF!</definedName>
    <definedName name="объем___4___8" localSheetId="0">#REF!</definedName>
    <definedName name="объем___4___8">#REF!</definedName>
    <definedName name="объем___4___8_1" localSheetId="0">#REF!</definedName>
    <definedName name="объем___4___8_1">#REF!</definedName>
    <definedName name="объем___4_1" localSheetId="0">#REF!</definedName>
    <definedName name="объем___4_1">#REF!</definedName>
    <definedName name="объем___4_1_1" localSheetId="0">#REF!</definedName>
    <definedName name="объем___4_1_1">#REF!</definedName>
    <definedName name="объем___4_1_1_1" localSheetId="0">#REF!</definedName>
    <definedName name="объем___4_1_1_1">#REF!</definedName>
    <definedName name="объем___4_3" localSheetId="0">#REF!</definedName>
    <definedName name="объем___4_3">#REF!</definedName>
    <definedName name="объем___4_3_1" localSheetId="0">#REF!</definedName>
    <definedName name="объем___4_3_1">#REF!</definedName>
    <definedName name="объем___4_5" localSheetId="0">#REF!</definedName>
    <definedName name="объем___4_5">#REF!</definedName>
    <definedName name="объем___4_5_1" localSheetId="0">#REF!</definedName>
    <definedName name="объем___4_5_1">#REF!</definedName>
    <definedName name="объем___5" localSheetId="18">#REF!</definedName>
    <definedName name="объем___5">NA()</definedName>
    <definedName name="объем___5___0" localSheetId="18">#REF!</definedName>
    <definedName name="объем___5___0" localSheetId="0">#REF!</definedName>
    <definedName name="объем___5___0" localSheetId="7">#REF!</definedName>
    <definedName name="объем___5___0">#REF!</definedName>
    <definedName name="объем___5___0___0" localSheetId="18">#REF!</definedName>
    <definedName name="объем___5___0___0" localSheetId="0">#REF!</definedName>
    <definedName name="объем___5___0___0" localSheetId="7">#REF!</definedName>
    <definedName name="объем___5___0___0">#REF!</definedName>
    <definedName name="объем___5___0___0___0" localSheetId="18">#REF!</definedName>
    <definedName name="объем___5___0___0___0" localSheetId="0">#REF!</definedName>
    <definedName name="объем___5___0___0___0" localSheetId="7">#REF!</definedName>
    <definedName name="объем___5___0___0___0">#REF!</definedName>
    <definedName name="объем___5___0___0___0___0" localSheetId="0">#REF!</definedName>
    <definedName name="объем___5___0___0___0___0">#REF!</definedName>
    <definedName name="объем___5___0___0___0___0_1" localSheetId="0">#REF!</definedName>
    <definedName name="объем___5___0___0___0___0_1">#REF!</definedName>
    <definedName name="объем___5___0___0___0_1" localSheetId="0">#REF!</definedName>
    <definedName name="объем___5___0___0___0_1">#REF!</definedName>
    <definedName name="объем___5___0___0_1" localSheetId="0">#REF!</definedName>
    <definedName name="объем___5___0___0_1">#REF!</definedName>
    <definedName name="объем___5___0___1" localSheetId="0">#REF!</definedName>
    <definedName name="объем___5___0___1">#REF!</definedName>
    <definedName name="объем___5___0___1_1" localSheetId="0">#REF!</definedName>
    <definedName name="объем___5___0___1_1">#REF!</definedName>
    <definedName name="объем___5___0___5" localSheetId="0">#REF!</definedName>
    <definedName name="объем___5___0___5">#REF!</definedName>
    <definedName name="объем___5___0___5_1" localSheetId="0">#REF!</definedName>
    <definedName name="объем___5___0___5_1">#REF!</definedName>
    <definedName name="объем___5___0_1" localSheetId="0">#REF!</definedName>
    <definedName name="объем___5___0_1">#REF!</definedName>
    <definedName name="объем___5___0_1_1" localSheetId="0">#REF!</definedName>
    <definedName name="объем___5___0_1_1">#REF!</definedName>
    <definedName name="объем___5___0_1_1_1" localSheetId="0">#REF!</definedName>
    <definedName name="объем___5___0_1_1_1">#REF!</definedName>
    <definedName name="объем___5___0_3" localSheetId="0">#REF!</definedName>
    <definedName name="объем___5___0_3">#REF!</definedName>
    <definedName name="объем___5___0_3_1" localSheetId="0">#REF!</definedName>
    <definedName name="объем___5___0_3_1">#REF!</definedName>
    <definedName name="объем___5___0_5" localSheetId="0">#REF!</definedName>
    <definedName name="объем___5___0_5">#REF!</definedName>
    <definedName name="объем___5___0_5_1" localSheetId="0">#REF!</definedName>
    <definedName name="объем___5___0_5_1">#REF!</definedName>
    <definedName name="объем___5___1" localSheetId="0">#REF!</definedName>
    <definedName name="объем___5___1">#REF!</definedName>
    <definedName name="объем___5___1_1" localSheetId="0">#REF!</definedName>
    <definedName name="объем___5___1_1">#REF!</definedName>
    <definedName name="объем___5___3">NA()</definedName>
    <definedName name="объем___5___5">NA()</definedName>
    <definedName name="объем___5_1" localSheetId="0">#REF!</definedName>
    <definedName name="объем___5_1">#REF!</definedName>
    <definedName name="объем___5_1_1" localSheetId="0">#REF!</definedName>
    <definedName name="объем___5_1_1">#REF!</definedName>
    <definedName name="объем___5_1_1_1" localSheetId="0">#REF!</definedName>
    <definedName name="объем___5_1_1_1">#REF!</definedName>
    <definedName name="объем___5_3">NA()</definedName>
    <definedName name="объем___5_5">NA()</definedName>
    <definedName name="объем___6" localSheetId="18">#REF!</definedName>
    <definedName name="объем___6">NA()</definedName>
    <definedName name="объем___6___0" localSheetId="18">#REF!</definedName>
    <definedName name="объем___6___0" localSheetId="0">#REF!</definedName>
    <definedName name="объем___6___0" localSheetId="7">#REF!</definedName>
    <definedName name="объем___6___0">#REF!</definedName>
    <definedName name="объем___6___0___0" localSheetId="18">#REF!</definedName>
    <definedName name="объем___6___0___0" localSheetId="0">#REF!</definedName>
    <definedName name="объем___6___0___0" localSheetId="7">#REF!</definedName>
    <definedName name="объем___6___0___0">#REF!</definedName>
    <definedName name="объем___6___0___0___0" localSheetId="18">#REF!</definedName>
    <definedName name="объем___6___0___0___0" localSheetId="0">#REF!</definedName>
    <definedName name="объем___6___0___0___0" localSheetId="7">#REF!</definedName>
    <definedName name="объем___6___0___0___0">#REF!</definedName>
    <definedName name="объем___6___0___0___0___0" localSheetId="0">#REF!</definedName>
    <definedName name="объем___6___0___0___0___0">#REF!</definedName>
    <definedName name="объем___6___0___0___0___0_1" localSheetId="0">#REF!</definedName>
    <definedName name="объем___6___0___0___0___0_1">#REF!</definedName>
    <definedName name="объем___6___0___0___0_1" localSheetId="0">#REF!</definedName>
    <definedName name="объем___6___0___0___0_1">#REF!</definedName>
    <definedName name="объем___6___0___0_1" localSheetId="0">#REF!</definedName>
    <definedName name="объем___6___0___0_1">#REF!</definedName>
    <definedName name="объем___6___0___1" localSheetId="0">#REF!</definedName>
    <definedName name="объем___6___0___1">#REF!</definedName>
    <definedName name="объем___6___0___1_1" localSheetId="0">#REF!</definedName>
    <definedName name="объем___6___0___1_1">#REF!</definedName>
    <definedName name="объем___6___0___5" localSheetId="0">#REF!</definedName>
    <definedName name="объем___6___0___5">#REF!</definedName>
    <definedName name="объем___6___0___5_1" localSheetId="0">#REF!</definedName>
    <definedName name="объем___6___0___5_1">#REF!</definedName>
    <definedName name="объем___6___0_1" localSheetId="0">#REF!</definedName>
    <definedName name="объем___6___0_1">#REF!</definedName>
    <definedName name="объем___6___0_1_1" localSheetId="0">#REF!</definedName>
    <definedName name="объем___6___0_1_1">#REF!</definedName>
    <definedName name="объем___6___0_1_1_1" localSheetId="0">#REF!</definedName>
    <definedName name="объем___6___0_1_1_1">#REF!</definedName>
    <definedName name="объем___6___0_3" localSheetId="0">#REF!</definedName>
    <definedName name="объем___6___0_3">#REF!</definedName>
    <definedName name="объем___6___0_3_1" localSheetId="0">#REF!</definedName>
    <definedName name="объем___6___0_3_1">#REF!</definedName>
    <definedName name="объем___6___0_5" localSheetId="0">#REF!</definedName>
    <definedName name="объем___6___0_5">#REF!</definedName>
    <definedName name="объем___6___0_5_1" localSheetId="0">#REF!</definedName>
    <definedName name="объем___6___0_5_1">#REF!</definedName>
    <definedName name="объем___6___1" localSheetId="18">#REF!</definedName>
    <definedName name="объем___6___1" localSheetId="0">#REF!</definedName>
    <definedName name="объем___6___1">#REF!</definedName>
    <definedName name="объем___6___10" localSheetId="18">#REF!</definedName>
    <definedName name="объем___6___10" localSheetId="0">#REF!</definedName>
    <definedName name="объем___6___10">#REF!</definedName>
    <definedName name="объем___6___10_1" localSheetId="0">#REF!</definedName>
    <definedName name="объем___6___10_1">#REF!</definedName>
    <definedName name="объем___6___12" localSheetId="18">#REF!</definedName>
    <definedName name="объем___6___12" localSheetId="0">#REF!</definedName>
    <definedName name="объем___6___12">#REF!</definedName>
    <definedName name="объем___6___2" localSheetId="18">#REF!</definedName>
    <definedName name="объем___6___2" localSheetId="0">#REF!</definedName>
    <definedName name="объем___6___2">#REF!</definedName>
    <definedName name="объем___6___2_1" localSheetId="0">#REF!</definedName>
    <definedName name="объем___6___2_1">#REF!</definedName>
    <definedName name="объем___6___4" localSheetId="18">#REF!</definedName>
    <definedName name="объем___6___4" localSheetId="0">#REF!</definedName>
    <definedName name="объем___6___4">#REF!</definedName>
    <definedName name="объем___6___4_1" localSheetId="0">#REF!</definedName>
    <definedName name="объем___6___4_1">#REF!</definedName>
    <definedName name="объем___6___5">NA()</definedName>
    <definedName name="объем___6___6" localSheetId="18">#REF!</definedName>
    <definedName name="объем___6___6" localSheetId="0">#REF!</definedName>
    <definedName name="объем___6___6" localSheetId="7">#REF!</definedName>
    <definedName name="объем___6___6">#REF!</definedName>
    <definedName name="объем___6___6_1" localSheetId="0">#REF!</definedName>
    <definedName name="объем___6___6_1" localSheetId="7">#REF!</definedName>
    <definedName name="объем___6___6_1">#REF!</definedName>
    <definedName name="объем___6___8" localSheetId="18">#REF!</definedName>
    <definedName name="объем___6___8" localSheetId="0">#REF!</definedName>
    <definedName name="объем___6___8" localSheetId="7">#REF!</definedName>
    <definedName name="объем___6___8">#REF!</definedName>
    <definedName name="объем___6___8_1" localSheetId="0">#REF!</definedName>
    <definedName name="объем___6___8_1">#REF!</definedName>
    <definedName name="объем___6_1" localSheetId="0">#REF!</definedName>
    <definedName name="объем___6_1">#REF!</definedName>
    <definedName name="объем___6_1_1" localSheetId="0">#REF!</definedName>
    <definedName name="объем___6_1_1">#REF!</definedName>
    <definedName name="объем___6_1_1_1" localSheetId="0">#REF!</definedName>
    <definedName name="объем___6_1_1_1">#REF!</definedName>
    <definedName name="объем___6_3" localSheetId="0">#REF!</definedName>
    <definedName name="объем___6_3">#REF!</definedName>
    <definedName name="объем___6_3_1" localSheetId="0">#REF!</definedName>
    <definedName name="объем___6_3_1">#REF!</definedName>
    <definedName name="объем___6_5">NA()</definedName>
    <definedName name="объем___7" localSheetId="18">#REF!</definedName>
    <definedName name="объем___7" localSheetId="0">#REF!</definedName>
    <definedName name="объем___7" localSheetId="7">#REF!</definedName>
    <definedName name="объем___7">#REF!</definedName>
    <definedName name="объем___7___0" localSheetId="18">#REF!</definedName>
    <definedName name="объем___7___0" localSheetId="0">#REF!</definedName>
    <definedName name="объем___7___0" localSheetId="7">#REF!</definedName>
    <definedName name="объем___7___0">#REF!</definedName>
    <definedName name="объем___7___10" localSheetId="18">#REF!</definedName>
    <definedName name="объем___7___10" localSheetId="0">#REF!</definedName>
    <definedName name="объем___7___10" localSheetId="7">#REF!</definedName>
    <definedName name="объем___7___10">#REF!</definedName>
    <definedName name="объем___7___2" localSheetId="18">#REF!</definedName>
    <definedName name="объем___7___2" localSheetId="0">#REF!</definedName>
    <definedName name="объем___7___2">#REF!</definedName>
    <definedName name="объем___7___4" localSheetId="18">#REF!</definedName>
    <definedName name="объем___7___4" localSheetId="0">#REF!</definedName>
    <definedName name="объем___7___4">#REF!</definedName>
    <definedName name="объем___7___6" localSheetId="18">#REF!</definedName>
    <definedName name="объем___7___6" localSheetId="0">#REF!</definedName>
    <definedName name="объем___7___6">#REF!</definedName>
    <definedName name="объем___7___8" localSheetId="18">#REF!</definedName>
    <definedName name="объем___7___8" localSheetId="0">#REF!</definedName>
    <definedName name="объем___7___8">#REF!</definedName>
    <definedName name="объем___7_1" localSheetId="0">#REF!</definedName>
    <definedName name="объем___7_1">#REF!</definedName>
    <definedName name="объем___8" localSheetId="18">#REF!</definedName>
    <definedName name="объем___8" localSheetId="0">#REF!</definedName>
    <definedName name="объем___8">#REF!</definedName>
    <definedName name="объем___8___0" localSheetId="18">#REF!</definedName>
    <definedName name="объем___8___0" localSheetId="0">#REF!</definedName>
    <definedName name="объем___8___0">#REF!</definedName>
    <definedName name="объем___8___0___0" localSheetId="18">#REF!</definedName>
    <definedName name="объем___8___0___0" localSheetId="0">#REF!</definedName>
    <definedName name="объем___8___0___0">#REF!</definedName>
    <definedName name="объем___8___0___0___0" localSheetId="18">#REF!</definedName>
    <definedName name="объем___8___0___0___0" localSheetId="0">#REF!</definedName>
    <definedName name="объем___8___0___0___0">#REF!</definedName>
    <definedName name="объем___8___0___0___0___0" localSheetId="0">#REF!</definedName>
    <definedName name="объем___8___0___0___0___0">#REF!</definedName>
    <definedName name="объем___8___0___0___0___0_1" localSheetId="0">#REF!</definedName>
    <definedName name="объем___8___0___0___0___0_1">#REF!</definedName>
    <definedName name="объем___8___0___0___0_1" localSheetId="0">#REF!</definedName>
    <definedName name="объем___8___0___0___0_1">#REF!</definedName>
    <definedName name="объем___8___0___0_1" localSheetId="0">#REF!</definedName>
    <definedName name="объем___8___0___0_1">#REF!</definedName>
    <definedName name="объем___8___0___1" localSheetId="0">#REF!</definedName>
    <definedName name="объем___8___0___1">#REF!</definedName>
    <definedName name="объем___8___0___1_1" localSheetId="0">#REF!</definedName>
    <definedName name="объем___8___0___1_1">#REF!</definedName>
    <definedName name="объем___8___0___5" localSheetId="0">#REF!</definedName>
    <definedName name="объем___8___0___5">#REF!</definedName>
    <definedName name="объем___8___0___5_1" localSheetId="0">#REF!</definedName>
    <definedName name="объем___8___0___5_1">#REF!</definedName>
    <definedName name="объем___8___0_1" localSheetId="0">#REF!</definedName>
    <definedName name="объем___8___0_1">#REF!</definedName>
    <definedName name="объем___8___0_1_1" localSheetId="0">#REF!</definedName>
    <definedName name="объем___8___0_1_1">#REF!</definedName>
    <definedName name="объем___8___0_1_1_1" localSheetId="0">#REF!</definedName>
    <definedName name="объем___8___0_1_1_1">#REF!</definedName>
    <definedName name="объем___8___0_3" localSheetId="0">#REF!</definedName>
    <definedName name="объем___8___0_3">#REF!</definedName>
    <definedName name="объем___8___0_3_1" localSheetId="0">#REF!</definedName>
    <definedName name="объем___8___0_3_1">#REF!</definedName>
    <definedName name="объем___8___0_5" localSheetId="0">#REF!</definedName>
    <definedName name="объем___8___0_5">#REF!</definedName>
    <definedName name="объем___8___0_5_1" localSheetId="0">#REF!</definedName>
    <definedName name="объем___8___0_5_1">#REF!</definedName>
    <definedName name="объем___8___1" localSheetId="18">#REF!</definedName>
    <definedName name="объем___8___1" localSheetId="0">#REF!</definedName>
    <definedName name="объем___8___1">#REF!</definedName>
    <definedName name="объем___8___10" localSheetId="18">#REF!</definedName>
    <definedName name="объем___8___10" localSheetId="0">#REF!</definedName>
    <definedName name="объем___8___10">#REF!</definedName>
    <definedName name="объем___8___10_1" localSheetId="0">#REF!</definedName>
    <definedName name="объем___8___10_1">#REF!</definedName>
    <definedName name="объем___8___12" localSheetId="18">#REF!</definedName>
    <definedName name="объем___8___12" localSheetId="0">#REF!</definedName>
    <definedName name="объем___8___12">#REF!</definedName>
    <definedName name="объем___8___2" localSheetId="18">#REF!</definedName>
    <definedName name="объем___8___2" localSheetId="0">#REF!</definedName>
    <definedName name="объем___8___2">#REF!</definedName>
    <definedName name="объем___8___2_1" localSheetId="0">#REF!</definedName>
    <definedName name="объем___8___2_1">#REF!</definedName>
    <definedName name="объем___8___4" localSheetId="18">#REF!</definedName>
    <definedName name="объем___8___4" localSheetId="0">#REF!</definedName>
    <definedName name="объем___8___4">#REF!</definedName>
    <definedName name="объем___8___4_1" localSheetId="0">#REF!</definedName>
    <definedName name="объем___8___4_1">#REF!</definedName>
    <definedName name="объем___8___5" localSheetId="0">#REF!</definedName>
    <definedName name="объем___8___5">#REF!</definedName>
    <definedName name="объем___8___5_1" localSheetId="0">#REF!</definedName>
    <definedName name="объем___8___5_1">#REF!</definedName>
    <definedName name="объем___8___6" localSheetId="18">#REF!</definedName>
    <definedName name="объем___8___6" localSheetId="0">#REF!</definedName>
    <definedName name="объем___8___6">#REF!</definedName>
    <definedName name="объем___8___6_1" localSheetId="0">#REF!</definedName>
    <definedName name="объем___8___6_1">#REF!</definedName>
    <definedName name="объем___8___8" localSheetId="18">#REF!</definedName>
    <definedName name="объем___8___8" localSheetId="0">#REF!</definedName>
    <definedName name="объем___8___8">#REF!</definedName>
    <definedName name="объем___8___8_1" localSheetId="0">#REF!</definedName>
    <definedName name="объем___8___8_1">#REF!</definedName>
    <definedName name="объем___8_1" localSheetId="0">#REF!</definedName>
    <definedName name="объем___8_1">#REF!</definedName>
    <definedName name="объем___8_1_1" localSheetId="0">#REF!</definedName>
    <definedName name="объем___8_1_1">#REF!</definedName>
    <definedName name="объем___8_1_1_1" localSheetId="0">#REF!</definedName>
    <definedName name="объем___8_1_1_1">#REF!</definedName>
    <definedName name="объем___8_3" localSheetId="0">#REF!</definedName>
    <definedName name="объем___8_3">#REF!</definedName>
    <definedName name="объем___8_3_1" localSheetId="0">#REF!</definedName>
    <definedName name="объем___8_3_1">#REF!</definedName>
    <definedName name="объем___8_5" localSheetId="0">#REF!</definedName>
    <definedName name="объем___8_5">#REF!</definedName>
    <definedName name="объем___8_5_1" localSheetId="0">#REF!</definedName>
    <definedName name="объем___8_5_1">#REF!</definedName>
    <definedName name="объем___9" localSheetId="18">#REF!</definedName>
    <definedName name="объем___9" localSheetId="0">#REF!</definedName>
    <definedName name="объем___9">#REF!</definedName>
    <definedName name="объем___9___0" localSheetId="18">#REF!</definedName>
    <definedName name="объем___9___0" localSheetId="0">#REF!</definedName>
    <definedName name="объем___9___0">#REF!</definedName>
    <definedName name="объем___9___0___0" localSheetId="18">#REF!</definedName>
    <definedName name="объем___9___0___0" localSheetId="0">#REF!</definedName>
    <definedName name="объем___9___0___0">#REF!</definedName>
    <definedName name="объем___9___0___0___0" localSheetId="18">#REF!</definedName>
    <definedName name="объем___9___0___0___0" localSheetId="0">#REF!</definedName>
    <definedName name="объем___9___0___0___0">#REF!</definedName>
    <definedName name="объем___9___0___0___0___0" localSheetId="0">#REF!</definedName>
    <definedName name="объем___9___0___0___0___0">#REF!</definedName>
    <definedName name="объем___9___0___0___0___0_1" localSheetId="0">#REF!</definedName>
    <definedName name="объем___9___0___0___0___0_1">#REF!</definedName>
    <definedName name="объем___9___0___0___0_1" localSheetId="0">#REF!</definedName>
    <definedName name="объем___9___0___0___0_1">#REF!</definedName>
    <definedName name="объем___9___0___0_1" localSheetId="0">#REF!</definedName>
    <definedName name="объем___9___0___0_1">#REF!</definedName>
    <definedName name="объем___9___0___5" localSheetId="0">#REF!</definedName>
    <definedName name="объем___9___0___5">#REF!</definedName>
    <definedName name="объем___9___0___5_1" localSheetId="0">#REF!</definedName>
    <definedName name="объем___9___0___5_1">#REF!</definedName>
    <definedName name="объем___9___0_1" localSheetId="0">#REF!</definedName>
    <definedName name="объем___9___0_1">#REF!</definedName>
    <definedName name="объем___9___0_5" localSheetId="0">#REF!</definedName>
    <definedName name="объем___9___0_5">#REF!</definedName>
    <definedName name="объем___9___0_5_1" localSheetId="0">#REF!</definedName>
    <definedName name="объем___9___0_5_1">#REF!</definedName>
    <definedName name="объем___9___10" localSheetId="18">#REF!</definedName>
    <definedName name="объем___9___10" localSheetId="0">#REF!</definedName>
    <definedName name="объем___9___10">#REF!</definedName>
    <definedName name="объем___9___2" localSheetId="18">#REF!</definedName>
    <definedName name="объем___9___2" localSheetId="0">#REF!</definedName>
    <definedName name="объем___9___2">#REF!</definedName>
    <definedName name="объем___9___4" localSheetId="18">#REF!</definedName>
    <definedName name="объем___9___4" localSheetId="0">#REF!</definedName>
    <definedName name="объем___9___4">#REF!</definedName>
    <definedName name="объем___9___5" localSheetId="0">#REF!</definedName>
    <definedName name="объем___9___5">#REF!</definedName>
    <definedName name="объем___9___5_1" localSheetId="0">#REF!</definedName>
    <definedName name="объем___9___5_1">#REF!</definedName>
    <definedName name="объем___9___6" localSheetId="18">#REF!</definedName>
    <definedName name="объем___9___6" localSheetId="0">#REF!</definedName>
    <definedName name="объем___9___6">#REF!</definedName>
    <definedName name="объем___9___8" localSheetId="18">#REF!</definedName>
    <definedName name="объем___9___8" localSheetId="0">#REF!</definedName>
    <definedName name="объем___9___8">#REF!</definedName>
    <definedName name="объем___9_1" localSheetId="0">#REF!</definedName>
    <definedName name="объем___9_1">#REF!</definedName>
    <definedName name="объем___9_1_1" localSheetId="0">#REF!</definedName>
    <definedName name="объем___9_1_1">#REF!</definedName>
    <definedName name="объем___9_1_1_1" localSheetId="0">#REF!</definedName>
    <definedName name="объем___9_1_1_1">#REF!</definedName>
    <definedName name="объем___9_3" localSheetId="0">#REF!</definedName>
    <definedName name="объем___9_3">#REF!</definedName>
    <definedName name="объем___9_3_1" localSheetId="0">#REF!</definedName>
    <definedName name="объем___9_3_1">#REF!</definedName>
    <definedName name="объем___9_5" localSheetId="0">#REF!</definedName>
    <definedName name="объем___9_5">#REF!</definedName>
    <definedName name="объем___9_5_1" localSheetId="0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8">#REF!</definedName>
    <definedName name="объем1" localSheetId="0">#REF!</definedName>
    <definedName name="объем1" localSheetId="7">#REF!</definedName>
    <definedName name="объем1">#REF!</definedName>
    <definedName name="ог" localSheetId="18" hidden="1">{#N/A,#N/A,TRUE,"Смета на пасс. обор. №1"}</definedName>
    <definedName name="ог" localSheetId="0" hidden="1">{#N/A,#N/A,TRUE,"Смета на пасс. обор. №1"}</definedName>
    <definedName name="ог" localSheetId="7" hidden="1">{#N/A,#N/A,TRUE,"Смета на пасс. обор. №1"}</definedName>
    <definedName name="ог" hidden="1">{#N/A,#N/A,TRUE,"Смета на пасс. обор. №1"}</definedName>
    <definedName name="ог_1" localSheetId="18" hidden="1">{#N/A,#N/A,TRUE,"Смета на пасс. обор. №1"}</definedName>
    <definedName name="ог_1" localSheetId="0" hidden="1">{#N/A,#N/A,TRUE,"Смета на пасс. обор. №1"}</definedName>
    <definedName name="ог_1" localSheetId="7" hidden="1">{#N/A,#N/A,TRUE,"Смета на пасс. обор. №1"}</definedName>
    <definedName name="ог_1" hidden="1">{#N/A,#N/A,TRUE,"Смета на пасс. обор. №1"}</definedName>
    <definedName name="ок" localSheetId="0">#REF!</definedName>
    <definedName name="ок">#REF!</definedName>
    <definedName name="ок_1" localSheetId="0">#REF!</definedName>
    <definedName name="ок_1">#REF!</definedName>
    <definedName name="Окончательно" localSheetId="0">#REF!</definedName>
    <definedName name="Окончательно">#REF!</definedName>
    <definedName name="олд" localSheetId="18" hidden="1">{#N/A,#N/A,TRUE,"Смета на пасс. обор. №1"}</definedName>
    <definedName name="олд" localSheetId="0" hidden="1">{#N/A,#N/A,TRUE,"Смета на пасс. обор. №1"}</definedName>
    <definedName name="олд" localSheetId="7" hidden="1">{#N/A,#N/A,TRUE,"Смета на пасс. обор. №1"}</definedName>
    <definedName name="олд" hidden="1">{#N/A,#N/A,TRUE,"Смета на пасс. обор. №1"}</definedName>
    <definedName name="олд_1" localSheetId="18" hidden="1">{#N/A,#N/A,TRUE,"Смета на пасс. обор. №1"}</definedName>
    <definedName name="олд_1" localSheetId="0" hidden="1">{#N/A,#N/A,TRUE,"Смета на пасс. обор. №1"}</definedName>
    <definedName name="олд_1" localSheetId="7" hidden="1">{#N/A,#N/A,TRUE,"Смета на пасс. обор. №1"}</definedName>
    <definedName name="олд_1" hidden="1">{#N/A,#N/A,TRUE,"Смета на пасс. обор. №1"}</definedName>
    <definedName name="олпрол" localSheetId="18">#REF!</definedName>
    <definedName name="олпрол" localSheetId="0">#REF!</definedName>
    <definedName name="олпрол" localSheetId="7">#REF!</definedName>
    <definedName name="олпрол">#REF!</definedName>
    <definedName name="олролрт" localSheetId="18">#REF!</definedName>
    <definedName name="олролрт" localSheetId="0">#REF!</definedName>
    <definedName name="олролрт" localSheetId="7">#REF!</definedName>
    <definedName name="олролрт">#REF!</definedName>
    <definedName name="ОЛЯ" localSheetId="18">#REF!</definedName>
    <definedName name="ОЛЯ" localSheetId="0">#REF!</definedName>
    <definedName name="ОЛЯ" localSheetId="7">#REF!</definedName>
    <definedName name="ОЛЯ">#REF!</definedName>
    <definedName name="ооо" localSheetId="18">#REF!</definedName>
    <definedName name="ооо" localSheetId="0">#REF!</definedName>
    <definedName name="ооо">#REF!</definedName>
    <definedName name="ООО_НИИПРИИ___Севзапинжтехнология" localSheetId="17">#REF!</definedName>
    <definedName name="ООО_НИИПРИИ___Севзапинжтехнология" localSheetId="20">#REF!</definedName>
    <definedName name="ООО_НИИПРИИ___Севзапинжтехнология" localSheetId="18">#REF!</definedName>
    <definedName name="ООО_НИИПРИИ___Севзапинжтехнология" localSheetId="0">#REF!</definedName>
    <definedName name="ООО_НИИПРИИ___Севзапинжтехнология" localSheetId="19">#REF!</definedName>
    <definedName name="ООО_НИИПРИИ___Севзапинжтехнология" localSheetId="15">#REF!</definedName>
    <definedName name="ООО_НИИПРИИ___Севзапинжтехнология">#REF!</definedName>
    <definedName name="оооо" localSheetId="18">#REF!</definedName>
    <definedName name="оооо" localSheetId="0">#REF!</definedName>
    <definedName name="оооо">#REF!</definedName>
    <definedName name="Опер">[38]Орг!$C$50:$C$86</definedName>
    <definedName name="орп" localSheetId="18">[39]Смета!#REF!</definedName>
    <definedName name="орп" localSheetId="0" hidden="1">{#N/A,#N/A,TRUE,"Смета на пасс. обор. №1"}</definedName>
    <definedName name="орп" localSheetId="7" hidden="1">{#N/A,#N/A,TRUE,"Смета на пасс. обор. №1"}</definedName>
    <definedName name="орп" hidden="1">{#N/A,#N/A,TRUE,"Смета на пасс. обор. №1"}</definedName>
    <definedName name="орп_1" localSheetId="18" hidden="1">{#N/A,#N/A,TRUE,"Смета на пасс. обор. №1"}</definedName>
    <definedName name="орп_1" localSheetId="0" hidden="1">{#N/A,#N/A,TRUE,"Смета на пасс. обор. №1"}</definedName>
    <definedName name="орп_1" localSheetId="7" hidden="1">{#N/A,#N/A,TRUE,"Смета на пасс. обор. №1"}</definedName>
    <definedName name="орп_1" hidden="1">{#N/A,#N/A,TRUE,"Смета на пасс. обор. №1"}</definedName>
    <definedName name="Осн_Камер" localSheetId="18">#REF!</definedName>
    <definedName name="Осн_Камер" localSheetId="0">#REF!</definedName>
    <definedName name="Осн_Камер" localSheetId="19">#REF!</definedName>
    <definedName name="Осн_Камер" localSheetId="15">#REF!</definedName>
    <definedName name="Осн_Камер" localSheetId="7">#REF!</definedName>
    <definedName name="Осн_Камер">#REF!</definedName>
    <definedName name="от" localSheetId="18" hidden="1">{#N/A,#N/A,TRUE,"Смета на пасс. обор. №1"}</definedName>
    <definedName name="от" localSheetId="0" hidden="1">{#N/A,#N/A,TRUE,"Смета на пасс. обор. №1"}</definedName>
    <definedName name="от" localSheetId="7" hidden="1">{#N/A,#N/A,TRUE,"Смета на пасс. обор. №1"}</definedName>
    <definedName name="от" hidden="1">{#N/A,#N/A,TRUE,"Смета на пасс. обор. №1"}</definedName>
    <definedName name="от_1" localSheetId="18" hidden="1">{#N/A,#N/A,TRUE,"Смета на пасс. обор. №1"}</definedName>
    <definedName name="от_1" localSheetId="0" hidden="1">{#N/A,#N/A,TRUE,"Смета на пасс. обор. №1"}</definedName>
    <definedName name="от_1" localSheetId="7" hidden="1">{#N/A,#N/A,TRUE,"Смета на пасс. обор. №1"}</definedName>
    <definedName name="от_1" hidden="1">{#N/A,#N/A,TRUE,"Смета на пасс. обор. №1"}</definedName>
    <definedName name="Отч_пож">[13]Коэфф!$B$6</definedName>
    <definedName name="Отчет" localSheetId="18">#REF!</definedName>
    <definedName name="Отчет" localSheetId="0">#REF!</definedName>
    <definedName name="Отчет" localSheetId="19">#REF!</definedName>
    <definedName name="Отчет" localSheetId="15">#REF!</definedName>
    <definedName name="Отчет" localSheetId="7">#REF!</definedName>
    <definedName name="Отчет">#REF!</definedName>
    <definedName name="п" localSheetId="18">#REF!</definedName>
    <definedName name="п" localSheetId="0">#REF!</definedName>
    <definedName name="п" localSheetId="7">#REF!</definedName>
    <definedName name="п">#REF!</definedName>
    <definedName name="п_1" localSheetId="0">#REF!</definedName>
    <definedName name="п_1">#REF!</definedName>
    <definedName name="п1111111" localSheetId="18">#REF!</definedName>
    <definedName name="п1111111" localSheetId="0">#REF!</definedName>
    <definedName name="п1111111" localSheetId="19">#REF!</definedName>
    <definedName name="п1111111" localSheetId="16">#REF!</definedName>
    <definedName name="п1111111">#REF!</definedName>
    <definedName name="п45" localSheetId="18">#REF!</definedName>
    <definedName name="п45" localSheetId="0">#REF!</definedName>
    <definedName name="п45">#REF!</definedName>
    <definedName name="ПА3" localSheetId="18">#REF!</definedName>
    <definedName name="ПА3" localSheetId="0">#REF!</definedName>
    <definedName name="ПА3" localSheetId="16">#REF!</definedName>
    <definedName name="ПА3">#REF!</definedName>
    <definedName name="ПА4" localSheetId="18">#REF!</definedName>
    <definedName name="ПА4" localSheetId="0">#REF!</definedName>
    <definedName name="ПА4" localSheetId="16">#REF!</definedName>
    <definedName name="ПА4">#REF!</definedName>
    <definedName name="паша" localSheetId="18">#REF!</definedName>
    <definedName name="паша" localSheetId="0">#REF!</definedName>
    <definedName name="паша">#REF!</definedName>
    <definedName name="ПБ" localSheetId="18">#REF!</definedName>
    <definedName name="ПБ" localSheetId="0">#REF!</definedName>
    <definedName name="ПБ">#REF!</definedName>
    <definedName name="ПД" localSheetId="18">#REF!</definedName>
    <definedName name="ПД" localSheetId="0">#REF!</definedName>
    <definedName name="ПД">#REF!</definedName>
    <definedName name="ПереченьДолжностей">[40]Должности!$A$2:$A$31</definedName>
    <definedName name="ПЗ2" localSheetId="18">#REF!</definedName>
    <definedName name="ПЗ2" localSheetId="0">#REF!</definedName>
    <definedName name="ПЗ2" localSheetId="7">#REF!</definedName>
    <definedName name="ПЗ2">#REF!</definedName>
    <definedName name="пионер" localSheetId="17">#REF!</definedName>
    <definedName name="пионер" localSheetId="20">#REF!</definedName>
    <definedName name="пионер" localSheetId="18">#REF!</definedName>
    <definedName name="пионер" localSheetId="0">#REF!</definedName>
    <definedName name="пионер" localSheetId="19">#REF!</definedName>
    <definedName name="пионер" localSheetId="7">#REF!</definedName>
    <definedName name="пионер">#REF!</definedName>
    <definedName name="ПИР" localSheetId="0">#REF!</definedName>
    <definedName name="ПИР">#REF!</definedName>
    <definedName name="ПИСС_стац" localSheetId="18">#REF!</definedName>
    <definedName name="ПИСС_стац" localSheetId="0">#REF!</definedName>
    <definedName name="ПИСС_стац" localSheetId="19">#REF!</definedName>
    <definedName name="ПИСС_стац">#REF!</definedName>
    <definedName name="ПИСС_эксп" localSheetId="18">#REF!</definedName>
    <definedName name="ПИСС_эксп" localSheetId="0">#REF!</definedName>
    <definedName name="ПИСС_эксп">#REF!</definedName>
    <definedName name="Пкр">'[10]Лист опроса'!$B$41</definedName>
    <definedName name="план" localSheetId="18">[3]топография!#REF!</definedName>
    <definedName name="план" localSheetId="11">[3]топография!#REF!</definedName>
    <definedName name="план" localSheetId="15">[3]топография!#REF!</definedName>
    <definedName name="План">'[41]Смета 7'!$F$1</definedName>
    <definedName name="Площадь" localSheetId="18">#REF!</definedName>
    <definedName name="Площадь" localSheetId="0">#REF!</definedName>
    <definedName name="Площадь" localSheetId="7">#REF!</definedName>
    <definedName name="Площадь">#REF!</definedName>
    <definedName name="Площадь_1" localSheetId="0">#REF!</definedName>
    <definedName name="Площадь_1" localSheetId="7">#REF!</definedName>
    <definedName name="Площадь_1">#REF!</definedName>
    <definedName name="Площадь_нелинейных_объектов" localSheetId="18">#REF!</definedName>
    <definedName name="Площадь_нелинейных_объектов" localSheetId="0">#REF!</definedName>
    <definedName name="Площадь_нелинейных_объектов" localSheetId="7">#REF!</definedName>
    <definedName name="Площадь_нелинейных_объектов">#REF!</definedName>
    <definedName name="Площадь_нелинейных_объектов_1" localSheetId="0">#REF!</definedName>
    <definedName name="Площадь_нелинейных_объектов_1">#REF!</definedName>
    <definedName name="Площадь_планшетов" localSheetId="18">#REF!</definedName>
    <definedName name="Площадь_планшетов" localSheetId="0">#REF!</definedName>
    <definedName name="Площадь_планшетов">#REF!</definedName>
    <definedName name="Площадь_планшетов_1" localSheetId="0">#REF!</definedName>
    <definedName name="Площадь_планшетов_1">#REF!</definedName>
    <definedName name="пнр" localSheetId="18">#REF!</definedName>
    <definedName name="пнр" localSheetId="0">#REF!</definedName>
    <definedName name="пнр">#REF!</definedName>
    <definedName name="ПодрядДолжн">[28]ОбмОбслЗемОд!$F$67</definedName>
    <definedName name="ПодрядИмя">[28]ОбмОбслЗемОд!$H$69</definedName>
    <definedName name="Подрядчик">[28]ОбмОбслЗемОд!$A$7</definedName>
    <definedName name="Полевые" localSheetId="18">#REF!</definedName>
    <definedName name="Полевые" localSheetId="0">#REF!</definedName>
    <definedName name="Полевые" localSheetId="19">#REF!</definedName>
    <definedName name="Полевые" localSheetId="15">#REF!</definedName>
    <definedName name="Полевые" localSheetId="7">#REF!</definedName>
    <definedName name="Полевые">#REF!</definedName>
    <definedName name="Полно" localSheetId="18">#REF!</definedName>
    <definedName name="Полно" localSheetId="0">#REF!</definedName>
    <definedName name="Полно" localSheetId="7">#REF!</definedName>
    <definedName name="Полно">#REF!</definedName>
    <definedName name="попр" localSheetId="18">#REF!</definedName>
    <definedName name="попр" localSheetId="0">#REF!</definedName>
    <definedName name="попр">#REF!</definedName>
    <definedName name="Поправочные_коэффициенты_по_письму_Госстроя_от_25.12.90" localSheetId="18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8">NA()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 localSheetId="7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8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 localSheetId="7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8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 localSheetId="7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8">#REF!</definedName>
    <definedName name="Поправочные_коэффициенты_по_письму_Госстроя_от_25.12.90___0___0___0___0" localSheetId="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0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0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0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0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0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0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0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0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0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0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0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0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8">#REF!</definedName>
    <definedName name="Поправочные_коэффициенты_по_письму_Госстроя_от_25.12.90___0___0___2" localSheetId="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0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8">#REF!</definedName>
    <definedName name="Поправочные_коэффициенты_по_письму_Госстроя_от_25.12.90___0___0___3" localSheetId="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0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8">#REF!</definedName>
    <definedName name="Поправочные_коэффициенты_по_письму_Госстроя_от_25.12.90___0___0___4" localSheetId="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0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0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0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0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0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0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0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0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0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0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8">#REF!</definedName>
    <definedName name="Поправочные_коэффициенты_по_письму_Госстроя_от_25.12.90___0___1" localSheetId="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0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0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8">#REF!</definedName>
    <definedName name="Поправочные_коэффициенты_по_письму_Госстроя_от_25.12.90___0___10" localSheetId="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8">#REF!</definedName>
    <definedName name="Поправочные_коэффициенты_по_письму_Госстроя_от_25.12.90___0___12" localSheetId="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8">#REF!</definedName>
    <definedName name="Поправочные_коэффициенты_по_письму_Госстроя_от_25.12.90___0___2" localSheetId="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8">#REF!</definedName>
    <definedName name="Поправочные_коэффициенты_по_письму_Госстроя_от_25.12.90___0___2___0" localSheetId="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0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0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0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0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0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0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0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0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0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8">#REF!</definedName>
    <definedName name="Поправочные_коэффициенты_по_письму_Госстроя_от_25.12.90___0___3" localSheetId="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8">#REF!</definedName>
    <definedName name="Поправочные_коэффициенты_по_письму_Госстроя_от_25.12.90___0___3___0" localSheetId="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0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0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0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0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0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0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0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0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0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0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0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0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0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0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0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8">#REF!</definedName>
    <definedName name="Поправочные_коэффициенты_по_письму_Госстроя_от_25.12.90___0___4" localSheetId="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0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0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0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0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0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0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0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0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0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8">#REF!</definedName>
    <definedName name="Поправочные_коэффициенты_по_письму_Госстроя_от_25.12.90___0___5" localSheetId="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0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8">#REF!</definedName>
    <definedName name="Поправочные_коэффициенты_по_письму_Госстроя_от_25.12.90___0___6" localSheetId="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0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8">#REF!</definedName>
    <definedName name="Поправочные_коэффициенты_по_письму_Госстроя_от_25.12.90___0___8" localSheetId="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0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0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0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0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0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0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0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8">#REF!</definedName>
    <definedName name="Поправочные_коэффициенты_по_письму_Госстроя_от_25.12.90___1" localSheetId="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8">#REF!</definedName>
    <definedName name="Поправочные_коэффициенты_по_письму_Госстроя_от_25.12.90___1___0" localSheetId="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0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0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8">#REF!</definedName>
    <definedName name="Поправочные_коэффициенты_по_письму_Госстроя_от_25.12.90___1___3" localSheetId="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0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0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0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0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0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0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0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8">NA()</definedName>
    <definedName name="Поправочные_коэффициенты_по_письму_Госстроя_от_25.12.90___10" localSheetId="0">#REF!</definedName>
    <definedName name="Поправочные_коэффициенты_по_письму_Госстроя_от_25.12.90___10" localSheetId="7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8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8">#REF!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 localSheetId="7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0">#REF!</definedName>
    <definedName name="Поправочные_коэффициенты_по_письму_Госстроя_от_25.12.90___10___0___0___0" localSheetId="7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0">#REF!</definedName>
    <definedName name="Поправочные_коэффициенты_по_письму_Госстроя_от_25.12.90___10___0___0___0_1" localSheetId="7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0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8">#REF!</definedName>
    <definedName name="Поправочные_коэффициенты_по_письму_Госстроя_от_25.12.90___10___0_1" localSheetId="0">#REF!</definedName>
    <definedName name="Поправочные_коэффициенты_по_письму_Госстроя_от_25.12.90___10___0_1" localSheetId="7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8">#REF!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 localSheetId="7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8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 localSheetId="7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8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 localSheetId="7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0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0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0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0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0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0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8">#REF!</definedName>
    <definedName name="Поправочные_коэффициенты_по_письму_Госстроя_от_25.12.90___11" localSheetId="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8">#REF!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 localSheetId="7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8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 localSheetId="7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8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 localSheetId="7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8">#REF!</definedName>
    <definedName name="Поправочные_коэффициенты_по_письму_Госстроя_от_25.12.90___11___6" localSheetId="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8">#REF!</definedName>
    <definedName name="Поправочные_коэффициенты_по_письму_Госстроя_от_25.12.90___11___8" localSheetId="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0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8">#REF!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 localSheetId="7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8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 localSheetId="7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8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 localSheetId="7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8">#REF!</definedName>
    <definedName name="Поправочные_коэффициенты_по_письму_Госстроя_от_25.12.90___2___0___0___0" localSheetId="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0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0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0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0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0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0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0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0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0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0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0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0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0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0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0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0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0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0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0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0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8">#REF!</definedName>
    <definedName name="Поправочные_коэффициенты_по_письму_Госстроя_от_25.12.90___2___1" localSheetId="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0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8">#REF!</definedName>
    <definedName name="Поправочные_коэффициенты_по_письму_Госстроя_от_25.12.90___2___10" localSheetId="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8">#REF!</definedName>
    <definedName name="Поправочные_коэффициенты_по_письму_Госстроя_от_25.12.90___2___12" localSheetId="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8">#REF!</definedName>
    <definedName name="Поправочные_коэффициенты_по_письму_Госстроя_от_25.12.90___2___2" localSheetId="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0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8">#REF!</definedName>
    <definedName name="Поправочные_коэффициенты_по_письму_Госстроя_от_25.12.90___2___3" localSheetId="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0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8">#REF!</definedName>
    <definedName name="Поправочные_коэффициенты_по_письму_Госстроя_от_25.12.90___2___4" localSheetId="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0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0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0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0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0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0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0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0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0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0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0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8">#REF!</definedName>
    <definedName name="Поправочные_коэффициенты_по_письму_Госстроя_от_25.12.90___2___6" localSheetId="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0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8">#REF!</definedName>
    <definedName name="Поправочные_коэффициенты_по_письму_Госстроя_от_25.12.90___2___8" localSheetId="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0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0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0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0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0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0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0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0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8">#REF!</definedName>
    <definedName name="Поправочные_коэффициенты_по_письму_Госстроя_от_25.12.90___3" localSheetId="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8">#REF!</definedName>
    <definedName name="Поправочные_коэффициенты_по_письму_Госстроя_от_25.12.90___3___0" localSheetId="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8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0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0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0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0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0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0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0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0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8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 localSheetId="7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0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0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0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0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0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0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0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0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0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0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8">#REF!</definedName>
    <definedName name="Поправочные_коэффициенты_по_письму_Госстроя_от_25.12.90___3___10" localSheetId="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8">#REF!</definedName>
    <definedName name="Поправочные_коэффициенты_по_письму_Госстроя_от_25.12.90___3___2" localSheetId="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0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8">#REF!</definedName>
    <definedName name="Поправочные_коэффициенты_по_письму_Госстроя_от_25.12.90___3___3" localSheetId="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0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8">#REF!</definedName>
    <definedName name="Поправочные_коэффициенты_по_письму_Госстроя_от_25.12.90___3___4" localSheetId="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0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8">#REF!</definedName>
    <definedName name="Поправочные_коэффициенты_по_письму_Госстроя_от_25.12.90___3___6" localSheetId="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8">#REF!</definedName>
    <definedName name="Поправочные_коэффициенты_по_письму_Госстроя_от_25.12.90___3___8" localSheetId="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0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0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0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0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0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8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 localSheetId="7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8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8">#REF!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 localSheetId="7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8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 localSheetId="7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0">#REF!</definedName>
    <definedName name="Поправочные_коэффициенты_по_письму_Госстроя_от_25.12.90___4___0___0___0___0" localSheetId="7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0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0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0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0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0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0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0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0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0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0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0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8">#REF!</definedName>
    <definedName name="Поправочные_коэффициенты_по_письму_Госстроя_от_25.12.90___4___0___2" localSheetId="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0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8">#REF!</definedName>
    <definedName name="Поправочные_коэффициенты_по_письму_Госстроя_от_25.12.90___4___0___4" localSheetId="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0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0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0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0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8">#REF!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 localSheetId="7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0">#REF!</definedName>
    <definedName name="Поправочные_коэффициенты_по_письму_Госстроя_от_25.12.90___4___10_1" localSheetId="7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8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 localSheetId="7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8">#REF!</definedName>
    <definedName name="Поправочные_коэффициенты_по_письму_Госстроя_от_25.12.90___4___2" localSheetId="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0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8">#REF!</definedName>
    <definedName name="Поправочные_коэффициенты_по_письму_Госстроя_от_25.12.90___4___3" localSheetId="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8">#REF!</definedName>
    <definedName name="Поправочные_коэффициенты_по_письму_Госстроя_от_25.12.90___4___3___0" localSheetId="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0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0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0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0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0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0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0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0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8">#REF!</definedName>
    <definedName name="Поправочные_коэффициенты_по_письму_Госстроя_от_25.12.90___4___4" localSheetId="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0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0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0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8">#REF!</definedName>
    <definedName name="Поправочные_коэффициенты_по_письму_Госстроя_от_25.12.90___4___6" localSheetId="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0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8">#REF!</definedName>
    <definedName name="Поправочные_коэффициенты_по_письму_Госстроя_от_25.12.90___4___8" localSheetId="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0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8">#REF!</definedName>
    <definedName name="Поправочные_коэффициенты_по_письму_Госстроя_от_25.12.90___4_1" localSheetId="0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0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0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0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0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8">#REF!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 localSheetId="7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8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 localSheetId="7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8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 localSheetId="7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0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0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0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0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0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0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0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0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0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0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0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0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0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0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0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0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0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8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8">#REF!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 localSheetId="7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8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 localSheetId="7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8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 localSheetId="7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0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0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0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0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0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0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0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0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0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0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0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0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8">#REF!</definedName>
    <definedName name="Поправочные_коэффициенты_по_письму_Госстроя_от_25.12.90___6___1" localSheetId="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8">#REF!</definedName>
    <definedName name="Поправочные_коэффициенты_по_письму_Госстроя_от_25.12.90___6___10" localSheetId="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8">#REF!</definedName>
    <definedName name="Поправочные_коэффициенты_по_письму_Госстроя_от_25.12.90___6___12" localSheetId="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8">#REF!</definedName>
    <definedName name="Поправочные_коэффициенты_по_письму_Госстроя_от_25.12.90___6___2" localSheetId="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0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8">#REF!</definedName>
    <definedName name="Поправочные_коэффициенты_по_письму_Госстроя_от_25.12.90___6___4" localSheetId="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0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8">#REF!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 localSheetId="7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0">#REF!</definedName>
    <definedName name="Поправочные_коэффициенты_по_письму_Госстроя_от_25.12.90___6___6_1" localSheetId="7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8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 localSheetId="7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0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0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0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0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0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0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8">#REF!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 localSheetId="7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8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 localSheetId="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0">#REF!</definedName>
    <definedName name="Поправочные_коэффициенты_по_письму_Госстроя_от_25.12.90___7___0_1" localSheetId="7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8">#REF!</definedName>
    <definedName name="Поправочные_коэффициенты_по_письму_Госстроя_от_25.12.90___7___10" localSheetId="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8">#REF!</definedName>
    <definedName name="Поправочные_коэффициенты_по_письму_Госстроя_от_25.12.90___7___2" localSheetId="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8">#REF!</definedName>
    <definedName name="Поправочные_коэффициенты_по_письму_Госстроя_от_25.12.90___7___4" localSheetId="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8">#REF!</definedName>
    <definedName name="Поправочные_коэффициенты_по_письму_Госстроя_от_25.12.90___7___6" localSheetId="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8">#REF!</definedName>
    <definedName name="Поправочные_коэффициенты_по_письму_Госстроя_от_25.12.90___7___8" localSheetId="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0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8">#REF!</definedName>
    <definedName name="Поправочные_коэффициенты_по_письму_Госстроя_от_25.12.90___8" localSheetId="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8">#REF!</definedName>
    <definedName name="Поправочные_коэффициенты_по_письму_Госстроя_от_25.12.90___8___0" localSheetId="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8">#REF!</definedName>
    <definedName name="Поправочные_коэффициенты_по_письму_Госстроя_от_25.12.90___8___0___0" localSheetId="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8">#REF!</definedName>
    <definedName name="Поправочные_коэффициенты_по_письму_Госстроя_от_25.12.90___8___0___0___0" localSheetId="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0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0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0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0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0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0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0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0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0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0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0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0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8">#REF!</definedName>
    <definedName name="Поправочные_коэффициенты_по_письму_Госстроя_от_25.12.90___8___1" localSheetId="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8">#REF!</definedName>
    <definedName name="Поправочные_коэффициенты_по_письму_Госстроя_от_25.12.90___8___10" localSheetId="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8">#REF!</definedName>
    <definedName name="Поправочные_коэффициенты_по_письму_Госстроя_от_25.12.90___8___12" localSheetId="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8">#REF!</definedName>
    <definedName name="Поправочные_коэффициенты_по_письму_Госстроя_от_25.12.90___8___2" localSheetId="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0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8">#REF!</definedName>
    <definedName name="Поправочные_коэффициенты_по_письму_Госстроя_от_25.12.90___8___4" localSheetId="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0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0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0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8">#REF!</definedName>
    <definedName name="Поправочные_коэффициенты_по_письму_Госстроя_от_25.12.90___8___6" localSheetId="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0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8">#REF!</definedName>
    <definedName name="Поправочные_коэффициенты_по_письму_Госстроя_от_25.12.90___8___8" localSheetId="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0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0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0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0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0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0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0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0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8">#REF!</definedName>
    <definedName name="Поправочные_коэффициенты_по_письму_Госстроя_от_25.12.90___9" localSheetId="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8">#REF!</definedName>
    <definedName name="Поправочные_коэффициенты_по_письму_Госстроя_от_25.12.90___9___0" localSheetId="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8">#REF!</definedName>
    <definedName name="Поправочные_коэффициенты_по_письму_Госстроя_от_25.12.90___9___0___0" localSheetId="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8">#REF!</definedName>
    <definedName name="Поправочные_коэффициенты_по_письму_Госстроя_от_25.12.90___9___0___0___0" localSheetId="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0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0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0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0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0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0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8">#REF!</definedName>
    <definedName name="Поправочные_коэффициенты_по_письму_Госстроя_от_25.12.90___9___10" localSheetId="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8">#REF!</definedName>
    <definedName name="Поправочные_коэффициенты_по_письму_Госстроя_от_25.12.90___9___2" localSheetId="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8">#REF!</definedName>
    <definedName name="Поправочные_коэффициенты_по_письму_Госстроя_от_25.12.90___9___4" localSheetId="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0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0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8">#REF!</definedName>
    <definedName name="Поправочные_коэффициенты_по_письму_Госстроя_от_25.12.90___9___6" localSheetId="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8">#REF!</definedName>
    <definedName name="Поправочные_коэффициенты_по_письму_Госстроя_от_25.12.90___9___8" localSheetId="0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0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0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0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8">#REF!</definedName>
    <definedName name="Поправочные_коэффициенты_по_письму_Госстроя_от_25.12.90___9_3" localSheetId="0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8">#REF!</definedName>
    <definedName name="Поправочные_коэффициенты_по_письму_Госстроя_от_25.12.90___9_3_1" localSheetId="0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0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0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8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0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0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8" hidden="1">{#N/A,#N/A,TRUE,"Смета на пасс. обор. №1"}</definedName>
    <definedName name="пор" localSheetId="0" hidden="1">{#N/A,#N/A,TRUE,"Смета на пасс. обор. №1"}</definedName>
    <definedName name="пор" localSheetId="7" hidden="1">{#N/A,#N/A,TRUE,"Смета на пасс. обор. №1"}</definedName>
    <definedName name="пор" hidden="1">{#N/A,#N/A,TRUE,"Смета на пасс. обор. №1"}</definedName>
    <definedName name="пор_1" localSheetId="18" hidden="1">{#N/A,#N/A,TRUE,"Смета на пасс. обор. №1"}</definedName>
    <definedName name="пор_1" localSheetId="0" hidden="1">{#N/A,#N/A,TRUE,"Смета на пасс. обор. №1"}</definedName>
    <definedName name="пор_1" localSheetId="7" hidden="1">{#N/A,#N/A,TRUE,"Смета на пасс. обор. №1"}</definedName>
    <definedName name="пор_1" hidden="1">{#N/A,#N/A,TRUE,"Смета на пасс. обор. №1"}</definedName>
    <definedName name="пояснит." localSheetId="18">#REF!</definedName>
    <definedName name="пояснит." localSheetId="0">#REF!</definedName>
    <definedName name="пояснит." localSheetId="7">#REF!</definedName>
    <definedName name="пояснит.">#REF!</definedName>
    <definedName name="ппп" localSheetId="18">#REF!</definedName>
    <definedName name="ппп" localSheetId="0">#REF!</definedName>
    <definedName name="ппп" localSheetId="7">#REF!</definedName>
    <definedName name="ппп">#REF!</definedName>
    <definedName name="пппп" localSheetId="17">#REF!</definedName>
    <definedName name="пппп" localSheetId="20">#REF!</definedName>
    <definedName name="пппп" localSheetId="18">#REF!</definedName>
    <definedName name="пппп" localSheetId="0">#REF!</definedName>
    <definedName name="пппп" localSheetId="19">#REF!</definedName>
    <definedName name="пппп" localSheetId="15">#REF!</definedName>
    <definedName name="пппп">#REF!</definedName>
    <definedName name="пр" localSheetId="18">[3]топография!#REF!</definedName>
    <definedName name="пр" localSheetId="0">[3]топография!#REF!</definedName>
    <definedName name="пр" localSheetId="19">[3]топография!#REF!</definedName>
    <definedName name="пр" localSheetId="15">[3]топография!#REF!</definedName>
    <definedName name="пр">[3]топография!#REF!</definedName>
    <definedName name="про" localSheetId="18" hidden="1">{#N/A,#N/A,TRUE,"Смета на пасс. обор. №1"}</definedName>
    <definedName name="про" localSheetId="0" hidden="1">{#N/A,#N/A,TRUE,"Смета на пасс. обор. №1"}</definedName>
    <definedName name="про" localSheetId="7" hidden="1">{#N/A,#N/A,TRUE,"Смета на пасс. обор. №1"}</definedName>
    <definedName name="про" hidden="1">{#N/A,#N/A,TRUE,"Смета на пасс. обор. №1"}</definedName>
    <definedName name="про_1" localSheetId="18" hidden="1">{#N/A,#N/A,TRUE,"Смета на пасс. обор. №1"}</definedName>
    <definedName name="про_1" localSheetId="0" hidden="1">{#N/A,#N/A,TRUE,"Смета на пасс. обор. №1"}</definedName>
    <definedName name="про_1" localSheetId="7" hidden="1">{#N/A,#N/A,TRUE,"Смета на пасс. обор. №1"}</definedName>
    <definedName name="про_1" hidden="1">{#N/A,#N/A,TRUE,"Смета на пасс. обор. №1"}</definedName>
    <definedName name="пробная" localSheetId="17">#REF!</definedName>
    <definedName name="пробная" localSheetId="20">#REF!</definedName>
    <definedName name="пробная" localSheetId="18">#REF!</definedName>
    <definedName name="пробная" localSheetId="11">#REF!</definedName>
    <definedName name="пробная" localSheetId="0">#REF!</definedName>
    <definedName name="пробная" localSheetId="19">#REF!</definedName>
    <definedName name="пробная" localSheetId="15">#REF!</definedName>
    <definedName name="пробная" localSheetId="7">#REF!</definedName>
    <definedName name="пробная">#REF!</definedName>
    <definedName name="пробная_1" localSheetId="0">#REF!</definedName>
    <definedName name="пробная_1" localSheetId="7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8">#REF!</definedName>
    <definedName name="Проектные2" localSheetId="0">#REF!</definedName>
    <definedName name="Проектные2" localSheetId="15">#REF!</definedName>
    <definedName name="Проектные2">#REF!</definedName>
    <definedName name="прол" localSheetId="18" hidden="1">{#N/A,#N/A,TRUE,"Смета на пасс. обор. №1"}</definedName>
    <definedName name="прол" localSheetId="0" hidden="1">{#N/A,#N/A,TRUE,"Смета на пасс. обор. №1"}</definedName>
    <definedName name="прол" localSheetId="7" hidden="1">{#N/A,#N/A,TRUE,"Смета на пасс. обор. №1"}</definedName>
    <definedName name="прол" hidden="1">{#N/A,#N/A,TRUE,"Смета на пасс. обор. №1"}</definedName>
    <definedName name="пролдж" localSheetId="18" hidden="1">{#N/A,#N/A,TRUE,"Смета на пасс. обор. №1"}</definedName>
    <definedName name="пролдж" localSheetId="0" hidden="1">{#N/A,#N/A,TRUE,"Смета на пасс. обор. №1"}</definedName>
    <definedName name="пролдж" localSheetId="7" hidden="1">{#N/A,#N/A,TRUE,"Смета на пасс. обор. №1"}</definedName>
    <definedName name="пролдж" hidden="1">{#N/A,#N/A,TRUE,"Смета на пасс. обор. №1"}</definedName>
    <definedName name="пролдж_1" localSheetId="18" hidden="1">{#N/A,#N/A,TRUE,"Смета на пасс. обор. №1"}</definedName>
    <definedName name="пролдж_1" localSheetId="0" hidden="1">{#N/A,#N/A,TRUE,"Смета на пасс. обор. №1"}</definedName>
    <definedName name="пролдж_1" localSheetId="7" hidden="1">{#N/A,#N/A,TRUE,"Смета на пасс. обор. №1"}</definedName>
    <definedName name="пролдж_1" hidden="1">{#N/A,#N/A,TRUE,"Смета на пасс. обор. №1"}</definedName>
    <definedName name="промбез" localSheetId="18">[3]топография!#REF!</definedName>
    <definedName name="промбез" localSheetId="0">[3]топография!#REF!</definedName>
    <definedName name="промбез">[3]топография!#REF!</definedName>
    <definedName name="Промбезоп" localSheetId="18">#REF!</definedName>
    <definedName name="Промбезоп" localSheetId="0">#REF!</definedName>
    <definedName name="Промбезоп" localSheetId="7">#REF!</definedName>
    <definedName name="Промбезоп">#REF!</definedName>
    <definedName name="Прот">'[10]Лист опроса'!$B$6</definedName>
    <definedName name="протоколРМВК" localSheetId="0">#REF!</definedName>
    <definedName name="протоколРМВК" localSheetId="7">#REF!</definedName>
    <definedName name="протоколРМВК">#REF!</definedName>
    <definedName name="пуск" localSheetId="18">#REF!</definedName>
    <definedName name="пуск" localSheetId="0">#REF!</definedName>
    <definedName name="пуск" localSheetId="7">#REF!</definedName>
    <definedName name="пуск">#REF!</definedName>
    <definedName name="р" localSheetId="18">#REF!</definedName>
    <definedName name="р" localSheetId="0">#REF!</definedName>
    <definedName name="р" localSheetId="7">#REF!</definedName>
    <definedName name="р">#REF!</definedName>
    <definedName name="Расчёт1">'[42]Смета 7'!$F$1</definedName>
    <definedName name="ргл" localSheetId="18">#REF!</definedName>
    <definedName name="ргл" localSheetId="0">#REF!</definedName>
    <definedName name="ргл" localSheetId="7">#REF!</definedName>
    <definedName name="ргл">#REF!</definedName>
    <definedName name="РД" localSheetId="18">#REF!</definedName>
    <definedName name="РД" localSheetId="0">#REF!</definedName>
    <definedName name="РД" localSheetId="7">#REF!</definedName>
    <definedName name="РД">#REF!</definedName>
    <definedName name="рек" localSheetId="17">#REF!</definedName>
    <definedName name="рек" localSheetId="20">#REF!</definedName>
    <definedName name="рек" localSheetId="18">#REF!</definedName>
    <definedName name="рек" localSheetId="0">#REF!</definedName>
    <definedName name="рек" localSheetId="19">#REF!</definedName>
    <definedName name="рек" localSheetId="15">#REF!</definedName>
    <definedName name="рек">#REF!</definedName>
    <definedName name="рига">'[43]СметаСводная снег'!$E$7</definedName>
    <definedName name="рл" localSheetId="18">[3]топография!#REF!</definedName>
    <definedName name="рл" localSheetId="0">[3]топография!#REF!</definedName>
    <definedName name="рл" localSheetId="7">[3]топография!#REF!</definedName>
    <definedName name="рл">[3]топография!#REF!</definedName>
    <definedName name="рол" localSheetId="18" hidden="1">{#N/A,#N/A,TRUE,"Смета на пасс. обор. №1"}</definedName>
    <definedName name="рол" localSheetId="0" hidden="1">{#N/A,#N/A,TRUE,"Смета на пасс. обор. №1"}</definedName>
    <definedName name="рол" localSheetId="7" hidden="1">{#N/A,#N/A,TRUE,"Смета на пасс. обор. №1"}</definedName>
    <definedName name="рол" hidden="1">{#N/A,#N/A,TRUE,"Смета на пасс. обор. №1"}</definedName>
    <definedName name="рол_1" localSheetId="18" hidden="1">{#N/A,#N/A,TRUE,"Смета на пасс. обор. №1"}</definedName>
    <definedName name="рол_1" localSheetId="0" hidden="1">{#N/A,#N/A,TRUE,"Смета на пасс. обор. №1"}</definedName>
    <definedName name="рол_1" localSheetId="7" hidden="1">{#N/A,#N/A,TRUE,"Смета на пасс. обор. №1"}</definedName>
    <definedName name="рол_1" hidden="1">{#N/A,#N/A,TRUE,"Смета на пасс. обор. №1"}</definedName>
    <definedName name="роло" localSheetId="18">#REF!</definedName>
    <definedName name="роло" localSheetId="0">#REF!</definedName>
    <definedName name="роло" localSheetId="7">#REF!</definedName>
    <definedName name="роло">#REF!</definedName>
    <definedName name="ропгнлпеглн" localSheetId="18">#REF!</definedName>
    <definedName name="ропгнлпеглн" localSheetId="0">#REF!</definedName>
    <definedName name="ропгнлпеглн" localSheetId="7">#REF!</definedName>
    <definedName name="ропгнлпеглн">#REF!</definedName>
    <definedName name="рот" localSheetId="18">#REF!</definedName>
    <definedName name="рот" localSheetId="0">#REF!</definedName>
    <definedName name="рот" localSheetId="7">#REF!</definedName>
    <definedName name="рот">#REF!</definedName>
    <definedName name="рпв" localSheetId="18">#REF!</definedName>
    <definedName name="рпв" localSheetId="0">#REF!</definedName>
    <definedName name="рпв">#REF!</definedName>
    <definedName name="рр" localSheetId="18" hidden="1">{#N/A,#N/A,TRUE,"Смета на пасс. обор. №1"}</definedName>
    <definedName name="рр" localSheetId="0" hidden="1">{#N/A,#N/A,TRUE,"Смета на пасс. обор. №1"}</definedName>
    <definedName name="рр" localSheetId="7" hidden="1">{#N/A,#N/A,TRUE,"Смета на пасс. обор. №1"}</definedName>
    <definedName name="рр" hidden="1">{#N/A,#N/A,TRUE,"Смета на пасс. обор. №1"}</definedName>
    <definedName name="рр_1" localSheetId="18" hidden="1">{#N/A,#N/A,TRUE,"Смета на пасс. обор. №1"}</definedName>
    <definedName name="рр_1" localSheetId="0" hidden="1">{#N/A,#N/A,TRUE,"Смета на пасс. обор. №1"}</definedName>
    <definedName name="рр_1" localSheetId="7" hidden="1">{#N/A,#N/A,TRUE,"Смета на пасс. обор. №1"}</definedName>
    <definedName name="рр_1" hidden="1">{#N/A,#N/A,TRUE,"Смета на пасс. обор. №1"}</definedName>
    <definedName name="РРК" localSheetId="18">#REF!</definedName>
    <definedName name="РРК" localSheetId="0">#REF!</definedName>
    <definedName name="РРК" localSheetId="19">#REF!</definedName>
    <definedName name="РРК" localSheetId="15">#REF!</definedName>
    <definedName name="РРК" localSheetId="7">#REF!</definedName>
    <definedName name="РРК">#REF!</definedName>
    <definedName name="РСЛ" localSheetId="18">#REF!</definedName>
    <definedName name="РСЛ" localSheetId="0">#REF!</definedName>
    <definedName name="РСЛ" localSheetId="19">#REF!</definedName>
    <definedName name="РСЛ" localSheetId="15">#REF!</definedName>
    <definedName name="РСЛ">#REF!</definedName>
    <definedName name="Руководитель" localSheetId="18">#REF!</definedName>
    <definedName name="Руководитель" localSheetId="0">#REF!</definedName>
    <definedName name="Руководитель">#REF!</definedName>
    <definedName name="Руководитель_1" localSheetId="0">#REF!</definedName>
    <definedName name="Руководитель_1">#REF!</definedName>
    <definedName name="С" localSheetId="17" hidden="1">{#N/A,#N/A,FALSE,"Шаблон_Спец1"}</definedName>
    <definedName name="С" localSheetId="20" hidden="1">{#N/A,#N/A,FALSE,"Шаблон_Спец1"}</definedName>
    <definedName name="С" localSheetId="18" hidden="1">{#N/A,#N/A,FALSE,"Шаблон_Спец1"}</definedName>
    <definedName name="С" localSheetId="14" hidden="1">{#N/A,#N/A,FALSE,"Шаблон_Спец1"}</definedName>
    <definedName name="С" localSheetId="0" hidden="1">{#N/A,#N/A,FALSE,"Шаблон_Спец1"}</definedName>
    <definedName name="С" localSheetId="19" hidden="1">{#N/A,#N/A,FALSE,"Шаблон_Спец1"}</definedName>
    <definedName name="С" localSheetId="15" hidden="1">{#N/A,#N/A,FALSE,"Шаблон_Спец1"}</definedName>
    <definedName name="С" localSheetId="7" hidden="1">{#N/A,#N/A,FALSE,"Шаблон_Спец1"}</definedName>
    <definedName name="С" hidden="1">{#N/A,#N/A,FALSE,"Шаблон_Спец1"}</definedName>
    <definedName name="с_1" localSheetId="18" hidden="1">{#N/A,#N/A,TRUE,"Смета на пасс. обор. №1"}</definedName>
    <definedName name="с_1" localSheetId="0" hidden="1">{#N/A,#N/A,TRUE,"Смета на пасс. обор. №1"}</definedName>
    <definedName name="с_1" localSheetId="7" hidden="1">{#N/A,#N/A,TRUE,"Смета на пасс. обор. №1"}</definedName>
    <definedName name="с_1" hidden="1">{#N/A,#N/A,TRUE,"Смета на пасс. обор. №1"}</definedName>
    <definedName name="с1" localSheetId="17">#REF!</definedName>
    <definedName name="с1" localSheetId="20">#REF!</definedName>
    <definedName name="с1" localSheetId="18">#REF!</definedName>
    <definedName name="с1" localSheetId="0">#REF!</definedName>
    <definedName name="с1" localSheetId="7">#REF!</definedName>
    <definedName name="с1">#REF!</definedName>
    <definedName name="с10" localSheetId="17">#REF!</definedName>
    <definedName name="с10" localSheetId="20">#REF!</definedName>
    <definedName name="с10" localSheetId="18">#REF!</definedName>
    <definedName name="с10" localSheetId="0">#REF!</definedName>
    <definedName name="с10" localSheetId="7">#REF!</definedName>
    <definedName name="с10">#REF!</definedName>
    <definedName name="с2" localSheetId="17">#REF!</definedName>
    <definedName name="с2" localSheetId="20">#REF!</definedName>
    <definedName name="с2" localSheetId="18">#REF!</definedName>
    <definedName name="с2" localSheetId="0">#REF!</definedName>
    <definedName name="с2" localSheetId="7">#REF!</definedName>
    <definedName name="с2">#REF!</definedName>
    <definedName name="с3" localSheetId="17">#REF!</definedName>
    <definedName name="с3" localSheetId="20">#REF!</definedName>
    <definedName name="с3" localSheetId="18">#REF!</definedName>
    <definedName name="с3" localSheetId="0">#REF!</definedName>
    <definedName name="с3">#REF!</definedName>
    <definedName name="с4" localSheetId="17">#REF!</definedName>
    <definedName name="с4" localSheetId="20">#REF!</definedName>
    <definedName name="с4" localSheetId="18">#REF!</definedName>
    <definedName name="с4" localSheetId="0">#REF!</definedName>
    <definedName name="с4">#REF!</definedName>
    <definedName name="с5" localSheetId="17">#REF!</definedName>
    <definedName name="с5" localSheetId="20">#REF!</definedName>
    <definedName name="с5" localSheetId="18">#REF!</definedName>
    <definedName name="с5" localSheetId="0">#REF!</definedName>
    <definedName name="с5">#REF!</definedName>
    <definedName name="с6" localSheetId="17">#REF!</definedName>
    <definedName name="с6" localSheetId="20">#REF!</definedName>
    <definedName name="с6" localSheetId="18">#REF!</definedName>
    <definedName name="с6" localSheetId="0">#REF!</definedName>
    <definedName name="с6">#REF!</definedName>
    <definedName name="с7" localSheetId="17">#REF!</definedName>
    <definedName name="с7" localSheetId="20">#REF!</definedName>
    <definedName name="с7" localSheetId="18">#REF!</definedName>
    <definedName name="с7" localSheetId="0">#REF!</definedName>
    <definedName name="с7">#REF!</definedName>
    <definedName name="с8" localSheetId="17">#REF!</definedName>
    <definedName name="с8" localSheetId="20">#REF!</definedName>
    <definedName name="с8" localSheetId="18">#REF!</definedName>
    <definedName name="с8" localSheetId="0">#REF!</definedName>
    <definedName name="с8">#REF!</definedName>
    <definedName name="с9" localSheetId="17">#REF!</definedName>
    <definedName name="с9" localSheetId="20">#REF!</definedName>
    <definedName name="с9" localSheetId="18">#REF!</definedName>
    <definedName name="с9" localSheetId="0">#REF!</definedName>
    <definedName name="с9">#REF!</definedName>
    <definedName name="сам" localSheetId="18" hidden="1">{#N/A,#N/A,TRUE,"Смета на пасс. обор. №1"}</definedName>
    <definedName name="сам" localSheetId="0" hidden="1">{#N/A,#N/A,TRUE,"Смета на пасс. обор. №1"}</definedName>
    <definedName name="сам" localSheetId="7" hidden="1">{#N/A,#N/A,TRUE,"Смета на пасс. обор. №1"}</definedName>
    <definedName name="сам" hidden="1">{#N/A,#N/A,TRUE,"Смета на пасс. обор. №1"}</definedName>
    <definedName name="сам_1" localSheetId="18" hidden="1">{#N/A,#N/A,TRUE,"Смета на пасс. обор. №1"}</definedName>
    <definedName name="сам_1" localSheetId="0" hidden="1">{#N/A,#N/A,TRUE,"Смета на пасс. обор. №1"}</definedName>
    <definedName name="сам_1" localSheetId="7" hidden="1">{#N/A,#N/A,TRUE,"Смета на пасс. обор. №1"}</definedName>
    <definedName name="сам_1" hidden="1">{#N/A,#N/A,TRUE,"Смета на пасс. обор. №1"}</definedName>
    <definedName name="СВ1" localSheetId="18">#REF!</definedName>
    <definedName name="СВ1" localSheetId="0">#REF!</definedName>
    <definedName name="СВ1" localSheetId="19">#REF!</definedName>
    <definedName name="СВ1" localSheetId="7">#REF!</definedName>
    <definedName name="СВ1">#REF!</definedName>
    <definedName name="Свод1" localSheetId="18">#REF!</definedName>
    <definedName name="свод1" localSheetId="11">[3]топография!#REF!</definedName>
    <definedName name="Свод1" localSheetId="0">#REF!</definedName>
    <definedName name="Свод1" localSheetId="19">#REF!</definedName>
    <definedName name="свод1" localSheetId="15">[3]топография!#REF!</definedName>
    <definedName name="Свод1" localSheetId="7">#REF!</definedName>
    <definedName name="Свод1" localSheetId="16">#REF!</definedName>
    <definedName name="Свод1">#REF!</definedName>
    <definedName name="Сводная" localSheetId="18">#REF!</definedName>
    <definedName name="Сводная" localSheetId="0">#REF!</definedName>
    <definedName name="Сводная" localSheetId="19">#REF!</definedName>
    <definedName name="Сводная" localSheetId="15">#REF!</definedName>
    <definedName name="Сводная">#REF!</definedName>
    <definedName name="Сводная_новая1" localSheetId="18">#REF!</definedName>
    <definedName name="Сводная_новая1" localSheetId="0">#REF!</definedName>
    <definedName name="Сводная_новая1" localSheetId="19">#REF!</definedName>
    <definedName name="Сводная_новая1" localSheetId="15">#REF!</definedName>
    <definedName name="Сводная_новая1">#REF!</definedName>
    <definedName name="Сводная1" localSheetId="18">#REF!</definedName>
    <definedName name="Сводная1" localSheetId="0">#REF!</definedName>
    <definedName name="Сводная1">#REF!</definedName>
    <definedName name="Сводно_сметный_расчет" localSheetId="18">#REF!</definedName>
    <definedName name="Сводно_сметный_расчет" localSheetId="0">#REF!</definedName>
    <definedName name="Сводно_сметный_расчет">#REF!</definedName>
    <definedName name="Сводно_сметный_расчет_49" localSheetId="18">#REF!</definedName>
    <definedName name="Сводно_сметный_расчет_49" localSheetId="0">#REF!</definedName>
    <definedName name="Сводно_сметный_расчет_49">#REF!</definedName>
    <definedName name="Сводно_сметный_расчет_50" localSheetId="18">#REF!</definedName>
    <definedName name="Сводно_сметный_расчет_50" localSheetId="0">#REF!</definedName>
    <definedName name="Сводно_сметный_расчет_50">#REF!</definedName>
    <definedName name="Сводно_сметный_расчет_51" localSheetId="18">#REF!</definedName>
    <definedName name="Сводно_сметный_расчет_51" localSheetId="0">#REF!</definedName>
    <definedName name="Сводно_сметный_расчет_51">#REF!</definedName>
    <definedName name="Сводно_сметный_расчет_52" localSheetId="18">#REF!</definedName>
    <definedName name="Сводно_сметный_расчет_52" localSheetId="0">#REF!</definedName>
    <definedName name="Сводно_сметный_расчет_52">#REF!</definedName>
    <definedName name="Сводно_сметный_расчет_53" localSheetId="18">#REF!</definedName>
    <definedName name="Сводно_сметный_расчет_53" localSheetId="0">#REF!</definedName>
    <definedName name="Сводно_сметный_расчет_53">#REF!</definedName>
    <definedName name="Сводно_сметный_расчет_54" localSheetId="18">#REF!</definedName>
    <definedName name="Сводно_сметный_расчет_54" localSheetId="0">#REF!</definedName>
    <definedName name="Сводно_сметный_расчет_54">#REF!</definedName>
    <definedName name="сврд" localSheetId="18">[3]топография!#REF!</definedName>
    <definedName name="сврд" localSheetId="0">[3]топография!#REF!</definedName>
    <definedName name="сврд">[3]топография!#REF!</definedName>
    <definedName name="СВсм">[11]Вспомогательный!$D$36</definedName>
    <definedName name="сев" localSheetId="17">#REF!</definedName>
    <definedName name="сев" localSheetId="20">#REF!</definedName>
    <definedName name="сев" localSheetId="18">#REF!</definedName>
    <definedName name="сев" localSheetId="0">#REF!</definedName>
    <definedName name="сев" localSheetId="19">#REF!</definedName>
    <definedName name="сев" localSheetId="15">#REF!</definedName>
    <definedName name="сев" localSheetId="7">#REF!</definedName>
    <definedName name="сев">#REF!</definedName>
    <definedName name="Север" localSheetId="18">#REF!</definedName>
    <definedName name="Север" localSheetId="0">#REF!</definedName>
    <definedName name="Север" localSheetId="19">#REF!</definedName>
    <definedName name="Север" localSheetId="15">#REF!</definedName>
    <definedName name="Север">#REF!</definedName>
    <definedName name="Семь" localSheetId="0">#REF!</definedName>
    <definedName name="Семь">#REF!</definedName>
    <definedName name="СМ" localSheetId="18">#REF!</definedName>
    <definedName name="СМ" localSheetId="0">#REF!</definedName>
    <definedName name="СМ">#REF!</definedName>
    <definedName name="см.расч.Ставрополь" localSheetId="18">#REF!</definedName>
    <definedName name="см.расч.Ставрополь" localSheetId="0">#REF!</definedName>
    <definedName name="см.расч.Ставрополь">#REF!</definedName>
    <definedName name="см.расч.Ставрополь_1" localSheetId="18">#REF!</definedName>
    <definedName name="см.расч.Ставрополь_1" localSheetId="0">#REF!</definedName>
    <definedName name="см.расч.Ставрополь_1">#REF!</definedName>
    <definedName name="см.расч.Ставрополь_2" localSheetId="18">#REF!</definedName>
    <definedName name="см.расч.Ставрополь_2" localSheetId="0">#REF!</definedName>
    <definedName name="см.расч.Ставрополь_2">#REF!</definedName>
    <definedName name="см.расч.Ставрополь_22" localSheetId="18">#REF!</definedName>
    <definedName name="см.расч.Ставрополь_22" localSheetId="0">#REF!</definedName>
    <definedName name="см.расч.Ставрополь_22">#REF!</definedName>
    <definedName name="см.расч.Ставрополь_49" localSheetId="18">#REF!</definedName>
    <definedName name="см.расч.Ставрополь_49" localSheetId="0">#REF!</definedName>
    <definedName name="см.расч.Ставрополь_49">#REF!</definedName>
    <definedName name="см.расч.Ставрополь_5" localSheetId="18">#REF!</definedName>
    <definedName name="см.расч.Ставрополь_5" localSheetId="0">#REF!</definedName>
    <definedName name="см.расч.Ставрополь_5">#REF!</definedName>
    <definedName name="см.расч.Ставрополь_50" localSheetId="18">#REF!</definedName>
    <definedName name="см.расч.Ставрополь_50" localSheetId="0">#REF!</definedName>
    <definedName name="см.расч.Ставрополь_50">#REF!</definedName>
    <definedName name="см.расч.Ставрополь_51" localSheetId="18">#REF!</definedName>
    <definedName name="см.расч.Ставрополь_51" localSheetId="0">#REF!</definedName>
    <definedName name="см.расч.Ставрополь_51">#REF!</definedName>
    <definedName name="см.расч.Ставрополь_52" localSheetId="18">#REF!</definedName>
    <definedName name="см.расч.Ставрополь_52" localSheetId="0">#REF!</definedName>
    <definedName name="см.расч.Ставрополь_52">#REF!</definedName>
    <definedName name="см.расч.Ставрополь_53" localSheetId="18">#REF!</definedName>
    <definedName name="см.расч.Ставрополь_53" localSheetId="0">#REF!</definedName>
    <definedName name="см.расч.Ставрополь_53">#REF!</definedName>
    <definedName name="см.расч.Ставрополь_54" localSheetId="18">#REF!</definedName>
    <definedName name="см.расч.Ставрополь_54" localSheetId="0">#REF!</definedName>
    <definedName name="см.расч.Ставрополь_54">#REF!</definedName>
    <definedName name="см.расчетАстрахань" localSheetId="18">#REF!</definedName>
    <definedName name="см.расчетАстрахань" localSheetId="0">#REF!</definedName>
    <definedName name="см.расчетАстрахань">#REF!</definedName>
    <definedName name="см.расчетАстрахань_1" localSheetId="18">#REF!</definedName>
    <definedName name="см.расчетАстрахань_1" localSheetId="0">#REF!</definedName>
    <definedName name="см.расчетАстрахань_1">#REF!</definedName>
    <definedName name="см.расчетАстрахань_2" localSheetId="18">#REF!</definedName>
    <definedName name="см.расчетАстрахань_2" localSheetId="0">#REF!</definedName>
    <definedName name="см.расчетАстрахань_2">#REF!</definedName>
    <definedName name="см.расчетАстрахань_22" localSheetId="18">#REF!</definedName>
    <definedName name="см.расчетАстрахань_22" localSheetId="0">#REF!</definedName>
    <definedName name="см.расчетАстрахань_22">#REF!</definedName>
    <definedName name="см.расчетАстрахань_49" localSheetId="18">#REF!</definedName>
    <definedName name="см.расчетАстрахань_49" localSheetId="0">#REF!</definedName>
    <definedName name="см.расчетАстрахань_49">#REF!</definedName>
    <definedName name="см.расчетАстрахань_5" localSheetId="18">#REF!</definedName>
    <definedName name="см.расчетАстрахань_5" localSheetId="0">#REF!</definedName>
    <definedName name="см.расчетАстрахань_5">#REF!</definedName>
    <definedName name="см.расчетАстрахань_50" localSheetId="18">#REF!</definedName>
    <definedName name="см.расчетАстрахань_50" localSheetId="0">#REF!</definedName>
    <definedName name="см.расчетАстрахань_50">#REF!</definedName>
    <definedName name="см.расчетАстрахань_51" localSheetId="18">#REF!</definedName>
    <definedName name="см.расчетАстрахань_51" localSheetId="0">#REF!</definedName>
    <definedName name="см.расчетАстрахань_51">#REF!</definedName>
    <definedName name="см.расчетАстрахань_52" localSheetId="18">#REF!</definedName>
    <definedName name="см.расчетАстрахань_52" localSheetId="0">#REF!</definedName>
    <definedName name="см.расчетАстрахань_52">#REF!</definedName>
    <definedName name="см.расчетАстрахань_53" localSheetId="18">#REF!</definedName>
    <definedName name="см.расчетАстрахань_53" localSheetId="0">#REF!</definedName>
    <definedName name="см.расчетАстрахань_53">#REF!</definedName>
    <definedName name="см.расчетАстрахань_54" localSheetId="18">#REF!</definedName>
    <definedName name="см.расчетАстрахань_54" localSheetId="0">#REF!</definedName>
    <definedName name="см.расчетАстрахань_54">#REF!</definedName>
    <definedName name="см.расчетМахачкала" localSheetId="18">#REF!</definedName>
    <definedName name="см.расчетМахачкала" localSheetId="0">#REF!</definedName>
    <definedName name="см.расчетМахачкала">#REF!</definedName>
    <definedName name="см.расчетМахачкала_1" localSheetId="18">#REF!</definedName>
    <definedName name="см.расчетМахачкала_1" localSheetId="0">#REF!</definedName>
    <definedName name="см.расчетМахачкала_1">#REF!</definedName>
    <definedName name="см.расчетМахачкала_2" localSheetId="18">#REF!</definedName>
    <definedName name="см.расчетМахачкала_2" localSheetId="0">#REF!</definedName>
    <definedName name="см.расчетМахачкала_2">#REF!</definedName>
    <definedName name="см.расчетМахачкала_22" localSheetId="18">#REF!</definedName>
    <definedName name="см.расчетМахачкала_22" localSheetId="0">#REF!</definedName>
    <definedName name="см.расчетМахачкала_22">#REF!</definedName>
    <definedName name="см.расчетМахачкала_49" localSheetId="18">#REF!</definedName>
    <definedName name="см.расчетМахачкала_49" localSheetId="0">#REF!</definedName>
    <definedName name="см.расчетМахачкала_49">#REF!</definedName>
    <definedName name="см.расчетМахачкала_5" localSheetId="18">#REF!</definedName>
    <definedName name="см.расчетМахачкала_5" localSheetId="0">#REF!</definedName>
    <definedName name="см.расчетМахачкала_5">#REF!</definedName>
    <definedName name="см.расчетМахачкала_50" localSheetId="18">#REF!</definedName>
    <definedName name="см.расчетМахачкала_50" localSheetId="0">#REF!</definedName>
    <definedName name="см.расчетМахачкала_50">#REF!</definedName>
    <definedName name="см.расчетМахачкала_51" localSheetId="18">#REF!</definedName>
    <definedName name="см.расчетМахачкала_51" localSheetId="0">#REF!</definedName>
    <definedName name="см.расчетМахачкала_51">#REF!</definedName>
    <definedName name="см.расчетМахачкала_52" localSheetId="18">#REF!</definedName>
    <definedName name="см.расчетМахачкала_52" localSheetId="0">#REF!</definedName>
    <definedName name="см.расчетМахачкала_52">#REF!</definedName>
    <definedName name="см.расчетМахачкала_53" localSheetId="18">#REF!</definedName>
    <definedName name="см.расчетМахачкала_53" localSheetId="0">#REF!</definedName>
    <definedName name="см.расчетМахачкала_53">#REF!</definedName>
    <definedName name="см.расчетМахачкала_54" localSheetId="18">#REF!</definedName>
    <definedName name="см.расчетМахачкала_54" localSheetId="0">#REF!</definedName>
    <definedName name="см.расчетМахачкала_54">#REF!</definedName>
    <definedName name="см.расчетН.Новгород" localSheetId="18">#REF!</definedName>
    <definedName name="см.расчетН.Новгород" localSheetId="0">#REF!</definedName>
    <definedName name="см.расчетН.Новгород">#REF!</definedName>
    <definedName name="см.расчетН.Новгород_1" localSheetId="18">#REF!</definedName>
    <definedName name="см.расчетН.Новгород_1" localSheetId="0">#REF!</definedName>
    <definedName name="см.расчетН.Новгород_1">#REF!</definedName>
    <definedName name="см.расчетН.Новгород_2" localSheetId="18">#REF!</definedName>
    <definedName name="см.расчетН.Новгород_2" localSheetId="0">#REF!</definedName>
    <definedName name="см.расчетН.Новгород_2">#REF!</definedName>
    <definedName name="см.расчетН.Новгород_22" localSheetId="18">#REF!</definedName>
    <definedName name="см.расчетН.Новгород_22" localSheetId="0">#REF!</definedName>
    <definedName name="см.расчетН.Новгород_22">#REF!</definedName>
    <definedName name="см.расчетН.Новгород_49" localSheetId="18">#REF!</definedName>
    <definedName name="см.расчетН.Новгород_49" localSheetId="0">#REF!</definedName>
    <definedName name="см.расчетН.Новгород_49">#REF!</definedName>
    <definedName name="см.расчетН.Новгород_5" localSheetId="18">#REF!</definedName>
    <definedName name="см.расчетН.Новгород_5" localSheetId="0">#REF!</definedName>
    <definedName name="см.расчетН.Новгород_5">#REF!</definedName>
    <definedName name="см.расчетН.Новгород_50" localSheetId="18">#REF!</definedName>
    <definedName name="см.расчетН.Новгород_50" localSheetId="0">#REF!</definedName>
    <definedName name="см.расчетН.Новгород_50">#REF!</definedName>
    <definedName name="см.расчетН.Новгород_51" localSheetId="18">#REF!</definedName>
    <definedName name="см.расчетН.Новгород_51" localSheetId="0">#REF!</definedName>
    <definedName name="см.расчетН.Новгород_51">#REF!</definedName>
    <definedName name="см.расчетН.Новгород_52" localSheetId="18">#REF!</definedName>
    <definedName name="см.расчетН.Новгород_52" localSheetId="0">#REF!</definedName>
    <definedName name="см.расчетН.Новгород_52">#REF!</definedName>
    <definedName name="см.расчетН.Новгород_53" localSheetId="18">#REF!</definedName>
    <definedName name="см.расчетН.Новгород_53" localSheetId="0">#REF!</definedName>
    <definedName name="см.расчетН.Новгород_53">#REF!</definedName>
    <definedName name="см.расчетН.Новгород_54" localSheetId="18">#REF!</definedName>
    <definedName name="см.расчетН.Новгород_54" localSheetId="0">#REF!</definedName>
    <definedName name="см.расчетН.Новгород_54">#REF!</definedName>
    <definedName name="см_1" localSheetId="0">#REF!</definedName>
    <definedName name="см_1">#REF!</definedName>
    <definedName name="см_конк" localSheetId="17">#REF!</definedName>
    <definedName name="см_конк" localSheetId="20">#REF!</definedName>
    <definedName name="см_конк" localSheetId="18">#REF!</definedName>
    <definedName name="см_конк" localSheetId="0">#REF!</definedName>
    <definedName name="см_конк" localSheetId="15">#REF!</definedName>
    <definedName name="см_конк">#REF!</definedName>
    <definedName name="См6">'[44]Смета 7'!$F$1</definedName>
    <definedName name="Смет" localSheetId="18" hidden="1">{#N/A,#N/A,TRUE,"Смета на пасс. обор. №1"}</definedName>
    <definedName name="Смет" localSheetId="0" hidden="1">{#N/A,#N/A,TRUE,"Смета на пасс. обор. №1"}</definedName>
    <definedName name="Смет" localSheetId="7" hidden="1">{#N/A,#N/A,TRUE,"Смета на пасс. обор. №1"}</definedName>
    <definedName name="Смет" hidden="1">{#N/A,#N/A,TRUE,"Смета на пасс. обор. №1"}</definedName>
    <definedName name="Смет_1" localSheetId="18" hidden="1">{#N/A,#N/A,TRUE,"Смета на пасс. обор. №1"}</definedName>
    <definedName name="Смет_1" localSheetId="0" hidden="1">{#N/A,#N/A,TRUE,"Смета на пасс. обор. №1"}</definedName>
    <definedName name="Смет_1" localSheetId="7" hidden="1">{#N/A,#N/A,TRUE,"Смета на пасс. обор. №1"}</definedName>
    <definedName name="Смет_1" hidden="1">{#N/A,#N/A,TRUE,"Смета на пасс. обор. №1"}</definedName>
    <definedName name="смета" localSheetId="18">#REF!</definedName>
    <definedName name="смета" localSheetId="0" hidden="1">{#N/A,#N/A,TRUE,"Смета на пасс. обор. №1"}</definedName>
    <definedName name="смета" localSheetId="7" hidden="1">{#N/A,#N/A,TRUE,"Смета на пасс. обор. №1"}</definedName>
    <definedName name="смета" hidden="1">{#N/A,#N/A,TRUE,"Смета на пасс. обор. №1"}</definedName>
    <definedName name="смета_1" localSheetId="18" hidden="1">{#N/A,#N/A,TRUE,"Смета на пасс. обор. №1"}</definedName>
    <definedName name="смета_1" localSheetId="0" hidden="1">{#N/A,#N/A,TRUE,"Смета на пасс. обор. №1"}</definedName>
    <definedName name="смета_1" localSheetId="7" hidden="1">{#N/A,#N/A,TRUE,"Смета на пасс. обор. №1"}</definedName>
    <definedName name="смета_1" hidden="1">{#N/A,#N/A,TRUE,"Смета на пасс. обор. №1"}</definedName>
    <definedName name="Смета_2">'[42]Смета 7'!$F$1</definedName>
    <definedName name="смета1" localSheetId="18">#REF!</definedName>
    <definedName name="смета1" localSheetId="0">#REF!</definedName>
    <definedName name="смета1" localSheetId="7">#REF!</definedName>
    <definedName name="смета1">#REF!</definedName>
    <definedName name="Смета11">'[45]Смета 7'!$F$1</definedName>
    <definedName name="Смета21">'[46]Смета 7'!$F$1</definedName>
    <definedName name="Смета3">[11]Вспомогательный!$D$78</definedName>
    <definedName name="сми" localSheetId="18">#REF!</definedName>
    <definedName name="сми" localSheetId="0">#REF!</definedName>
    <definedName name="сми" localSheetId="7">#REF!</definedName>
    <definedName name="сми">#REF!</definedName>
    <definedName name="Согласование" localSheetId="18">#REF!</definedName>
    <definedName name="Согласование" localSheetId="0">#REF!</definedName>
    <definedName name="Согласование" localSheetId="7">#REF!</definedName>
    <definedName name="Согласование">#REF!</definedName>
    <definedName name="Согласование_1" localSheetId="0">#REF!</definedName>
    <definedName name="Согласование_1" localSheetId="7">#REF!</definedName>
    <definedName name="Согласование_1">#REF!</definedName>
    <definedName name="содерж." localSheetId="18">#REF!</definedName>
    <definedName name="содерж." localSheetId="0">#REF!</definedName>
    <definedName name="содерж.">#REF!</definedName>
    <definedName name="Содерж_Осн_Базы" localSheetId="18">#REF!</definedName>
    <definedName name="Содерж_Осн_Базы" localSheetId="0">#REF!</definedName>
    <definedName name="Содерж_Осн_Базы" localSheetId="19">#REF!</definedName>
    <definedName name="Содерж_Осн_Базы" localSheetId="15">#REF!</definedName>
    <definedName name="Содерж_Осн_Базы">#REF!</definedName>
    <definedName name="Составитель" localSheetId="18">#REF!</definedName>
    <definedName name="Составитель" localSheetId="0">#REF!</definedName>
    <definedName name="Составитель">#REF!</definedName>
    <definedName name="Составитель_1" localSheetId="0">#REF!</definedName>
    <definedName name="Составитель_1">#REF!</definedName>
    <definedName name="сп1" localSheetId="17">#REF!</definedName>
    <definedName name="сп1" localSheetId="20">#REF!</definedName>
    <definedName name="сп1" localSheetId="18">#REF!</definedName>
    <definedName name="сп1" localSheetId="0">#REF!</definedName>
    <definedName name="сп1" localSheetId="15">#REF!</definedName>
    <definedName name="сп1">#REF!</definedName>
    <definedName name="сп2" localSheetId="17">#REF!</definedName>
    <definedName name="сп2" localSheetId="20">#REF!</definedName>
    <definedName name="сп2" localSheetId="18">#REF!</definedName>
    <definedName name="сп2" localSheetId="0">#REF!</definedName>
    <definedName name="сп2" localSheetId="15">#REF!</definedName>
    <definedName name="сп2">#REF!</definedName>
    <definedName name="сс" localSheetId="18" hidden="1">{#N/A,#N/A,TRUE,"Смета на пасс. обор. №1"}</definedName>
    <definedName name="сс" localSheetId="0" hidden="1">{#N/A,#N/A,TRUE,"Смета на пасс. обор. №1"}</definedName>
    <definedName name="сс" localSheetId="7" hidden="1">{#N/A,#N/A,TRUE,"Смета на пасс. обор. №1"}</definedName>
    <definedName name="сс" hidden="1">{#N/A,#N/A,TRUE,"Смета на пасс. обор. №1"}</definedName>
    <definedName name="сс_1" localSheetId="18" hidden="1">{#N/A,#N/A,TRUE,"Смета на пасс. обор. №1"}</definedName>
    <definedName name="сс_1" localSheetId="0" hidden="1">{#N/A,#N/A,TRUE,"Смета на пасс. обор. №1"}</definedName>
    <definedName name="сс_1" localSheetId="7" hidden="1">{#N/A,#N/A,TRUE,"Смета на пасс. обор. №1"}</definedName>
    <definedName name="сс_1" hidden="1">{#N/A,#N/A,TRUE,"Смета на пасс. обор. №1"}</definedName>
    <definedName name="ссп" localSheetId="18" hidden="1">{#N/A,#N/A,TRUE,"Смета на пасс. обор. №1"}</definedName>
    <definedName name="ссп" localSheetId="0" hidden="1">{#N/A,#N/A,TRUE,"Смета на пасс. обор. №1"}</definedName>
    <definedName name="ссп" localSheetId="7" hidden="1">{#N/A,#N/A,TRUE,"Смета на пасс. обор. №1"}</definedName>
    <definedName name="ссп" hidden="1">{#N/A,#N/A,TRUE,"Смета на пасс. обор. №1"}</definedName>
    <definedName name="ссп_1" localSheetId="18" hidden="1">{#N/A,#N/A,TRUE,"Смета на пасс. обор. №1"}</definedName>
    <definedName name="ссп_1" localSheetId="0" hidden="1">{#N/A,#N/A,TRUE,"Смета на пасс. обор. №1"}</definedName>
    <definedName name="ссп_1" localSheetId="7" hidden="1">{#N/A,#N/A,TRUE,"Смета на пасс. обор. №1"}</definedName>
    <definedName name="ссп_1" hidden="1">{#N/A,#N/A,TRUE,"Смета на пасс. обор. №1"}</definedName>
    <definedName name="сср" localSheetId="18">#REF!</definedName>
    <definedName name="ССР" localSheetId="0">#REF!</definedName>
    <definedName name="ССР" localSheetId="7">#REF!</definedName>
    <definedName name="ССР">#REF!</definedName>
    <definedName name="ССР_ИИ_Д1_корр" localSheetId="18">#REF!</definedName>
    <definedName name="ССР_ИИ_Д1_корр" localSheetId="0">#REF!</definedName>
    <definedName name="ССР_ИИ_Д1_корр" localSheetId="19">#REF!</definedName>
    <definedName name="ССР_ИИ_Д1_корр" localSheetId="7">#REF!</definedName>
    <definedName name="ССР_ИИ_Д1_корр">#REF!</definedName>
    <definedName name="ссс" localSheetId="18">#REF!</definedName>
    <definedName name="ссс" localSheetId="0">#REF!</definedName>
    <definedName name="ссс">#REF!</definedName>
    <definedName name="ссср" localSheetId="0">#REF!</definedName>
    <definedName name="ссср">#REF!</definedName>
    <definedName name="ссссс" localSheetId="18" hidden="1">{#N/A,#N/A,TRUE,"Смета на пасс. обор. №1"}</definedName>
    <definedName name="ссссс" localSheetId="0" hidden="1">{#N/A,#N/A,TRUE,"Смета на пасс. обор. №1"}</definedName>
    <definedName name="ссссс" localSheetId="7" hidden="1">{#N/A,#N/A,TRUE,"Смета на пасс. обор. №1"}</definedName>
    <definedName name="ссссс" hidden="1">{#N/A,#N/A,TRUE,"Смета на пасс. обор. №1"}</definedName>
    <definedName name="ссссс_1" localSheetId="18" hidden="1">{#N/A,#N/A,TRUE,"Смета на пасс. обор. №1"}</definedName>
    <definedName name="ссссс_1" localSheetId="0" hidden="1">{#N/A,#N/A,TRUE,"Смета на пасс. обор. №1"}</definedName>
    <definedName name="ссссс_1" localSheetId="7" hidden="1">{#N/A,#N/A,TRUE,"Смета на пасс. обор. №1"}</definedName>
    <definedName name="ссссс_1" hidden="1">{#N/A,#N/A,TRUE,"Смета на пасс. обор. №1"}</definedName>
    <definedName name="Ставрополь" localSheetId="18">#REF!</definedName>
    <definedName name="Ставрополь" localSheetId="0">#REF!</definedName>
    <definedName name="Ставрополь" localSheetId="7">#REF!</definedName>
    <definedName name="Ставрополь">#REF!</definedName>
    <definedName name="Ставрополь_1" localSheetId="18">#REF!</definedName>
    <definedName name="Ставрополь_1" localSheetId="0">#REF!</definedName>
    <definedName name="Ставрополь_1" localSheetId="7">#REF!</definedName>
    <definedName name="Ставрополь_1">#REF!</definedName>
    <definedName name="Ставрополь_2" localSheetId="18">#REF!</definedName>
    <definedName name="Ставрополь_2" localSheetId="0">#REF!</definedName>
    <definedName name="Ставрополь_2" localSheetId="7">#REF!</definedName>
    <definedName name="Ставрополь_2">#REF!</definedName>
    <definedName name="Ставрополь_22" localSheetId="18">#REF!</definedName>
    <definedName name="Ставрополь_22" localSheetId="0">#REF!</definedName>
    <definedName name="Ставрополь_22">#REF!</definedName>
    <definedName name="Ставрополь_49" localSheetId="18">#REF!</definedName>
    <definedName name="Ставрополь_49" localSheetId="0">#REF!</definedName>
    <definedName name="Ставрополь_49">#REF!</definedName>
    <definedName name="Ставрополь_5" localSheetId="18">#REF!</definedName>
    <definedName name="Ставрополь_5" localSheetId="0">#REF!</definedName>
    <definedName name="Ставрополь_5">#REF!</definedName>
    <definedName name="Ставрополь_50" localSheetId="18">#REF!</definedName>
    <definedName name="Ставрополь_50" localSheetId="0">#REF!</definedName>
    <definedName name="Ставрополь_50">#REF!</definedName>
    <definedName name="Ставрополь_51" localSheetId="18">#REF!</definedName>
    <definedName name="Ставрополь_51" localSheetId="0">#REF!</definedName>
    <definedName name="Ставрополь_51">#REF!</definedName>
    <definedName name="Ставрополь_52" localSheetId="18">#REF!</definedName>
    <definedName name="Ставрополь_52" localSheetId="0">#REF!</definedName>
    <definedName name="Ставрополь_52">#REF!</definedName>
    <definedName name="Ставрополь_53" localSheetId="18">#REF!</definedName>
    <definedName name="Ставрополь_53" localSheetId="0">#REF!</definedName>
    <definedName name="Ставрополь_53">#REF!</definedName>
    <definedName name="Ставрополь_54" localSheetId="18">#REF!</definedName>
    <definedName name="Ставрополь_54" localSheetId="0">#REF!</definedName>
    <definedName name="Ставрополь_54">#REF!</definedName>
    <definedName name="Станц10">'[10]Лист опроса'!$B$23</definedName>
    <definedName name="СтОф" localSheetId="18">NA()</definedName>
    <definedName name="СтОф">NA()</definedName>
    <definedName name="СтОф_1">NA()</definedName>
    <definedName name="СтОф_2">NA()</definedName>
    <definedName name="СтПр" localSheetId="18">NA()</definedName>
    <definedName name="СтПр">NA()</definedName>
    <definedName name="СтПр_1">NA()</definedName>
    <definedName name="СтПр_2">NA()</definedName>
    <definedName name="Стр10">'[10]Лист опроса'!$B$24</definedName>
    <definedName name="СтрАУ">'[10]Лист опроса'!$B$12</definedName>
    <definedName name="СтрДУ">'[10]Лист опроса'!$B$11</definedName>
    <definedName name="Стрелки">'[10]Лист опроса'!$B$10</definedName>
    <definedName name="Строительная_полоса" localSheetId="18">#REF!</definedName>
    <definedName name="Строительная_полоса" localSheetId="0">#REF!</definedName>
    <definedName name="Строительная_полоса" localSheetId="7">#REF!</definedName>
    <definedName name="Строительная_полоса">#REF!</definedName>
    <definedName name="Строительная_полоса_1" localSheetId="0">#REF!</definedName>
    <definedName name="Строительная_полоса_1" localSheetId="7">#REF!</definedName>
    <definedName name="Строительная_полоса_1">#REF!</definedName>
    <definedName name="структ." localSheetId="18">#REF!</definedName>
    <definedName name="структ." localSheetId="0">#REF!</definedName>
    <definedName name="структ." localSheetId="7">#REF!</definedName>
    <definedName name="структ.">#REF!</definedName>
    <definedName name="Сургут">NA()</definedName>
    <definedName name="сусусу" localSheetId="18" hidden="1">{#N/A,#N/A,TRUE,"Смета на пасс. обор. №1"}</definedName>
    <definedName name="сусусу" localSheetId="0" hidden="1">{#N/A,#N/A,TRUE,"Смета на пасс. обор. №1"}</definedName>
    <definedName name="сусусу" localSheetId="7" hidden="1">{#N/A,#N/A,TRUE,"Смета на пасс. обор. №1"}</definedName>
    <definedName name="сусусу" hidden="1">{#N/A,#N/A,TRUE,"Смета на пасс. обор. №1"}</definedName>
    <definedName name="сусусу_1" localSheetId="18" hidden="1">{#N/A,#N/A,TRUE,"Смета на пасс. обор. №1"}</definedName>
    <definedName name="сусусу_1" localSheetId="0" hidden="1">{#N/A,#N/A,TRUE,"Смета на пасс. обор. №1"}</definedName>
    <definedName name="сусусу_1" localSheetId="7" hidden="1">{#N/A,#N/A,TRUE,"Смета на пасс. обор. №1"}</definedName>
    <definedName name="сусусу_1" hidden="1">{#N/A,#N/A,TRUE,"Смета на пасс. обор. №1"}</definedName>
    <definedName name="Т5" localSheetId="18">#REF!</definedName>
    <definedName name="Т5" localSheetId="0">#REF!</definedName>
    <definedName name="Т5" localSheetId="19">#REF!</definedName>
    <definedName name="Т5" localSheetId="15">#REF!</definedName>
    <definedName name="Т5" localSheetId="7">#REF!</definedName>
    <definedName name="Т5">#REF!</definedName>
    <definedName name="Т6" localSheetId="18">#REF!</definedName>
    <definedName name="Т6" localSheetId="0">#REF!</definedName>
    <definedName name="Т6" localSheetId="19">#REF!</definedName>
    <definedName name="Т6" localSheetId="15">#REF!</definedName>
    <definedName name="Т6">#REF!</definedName>
    <definedName name="тасс" localSheetId="18" hidden="1">{#N/A,#N/A,TRUE,"Смета на пасс. обор. №1"}</definedName>
    <definedName name="тасс" localSheetId="0" hidden="1">{#N/A,#N/A,TRUE,"Смета на пасс. обор. №1"}</definedName>
    <definedName name="тасс" localSheetId="7" hidden="1">{#N/A,#N/A,TRUE,"Смета на пасс. обор. №1"}</definedName>
    <definedName name="тасс" hidden="1">{#N/A,#N/A,TRUE,"Смета на пасс. обор. №1"}</definedName>
    <definedName name="тасс_1" localSheetId="18" hidden="1">{#N/A,#N/A,TRUE,"Смета на пасс. обор. №1"}</definedName>
    <definedName name="тасс_1" localSheetId="0" hidden="1">{#N/A,#N/A,TRUE,"Смета на пасс. обор. №1"}</definedName>
    <definedName name="тасс_1" localSheetId="7" hidden="1">{#N/A,#N/A,TRUE,"Смета на пасс. обор. №1"}</definedName>
    <definedName name="тасс_1" hidden="1">{#N/A,#N/A,TRUE,"Смета на пасс. обор. №1"}</definedName>
    <definedName name="ТекДата" localSheetId="18">[47]информация!$B$8</definedName>
    <definedName name="ТекДата">[47]информация!$B$8</definedName>
    <definedName name="ТекДата_1">[48]информация!$B$8</definedName>
    <definedName name="ТекДата_2" localSheetId="18">[49]информация!$B$8</definedName>
    <definedName name="ТекДата_2">[49]информация!$B$8</definedName>
    <definedName name="теодкккккккккккк" localSheetId="18">#REF!</definedName>
    <definedName name="теодкккккккккккк" localSheetId="0">#REF!</definedName>
    <definedName name="теодкккккккккккк" localSheetId="19">#REF!</definedName>
    <definedName name="теодкккккккккккк" localSheetId="15">#REF!</definedName>
    <definedName name="теодкккккккккккк" localSheetId="7">#REF!</definedName>
    <definedName name="теодкккккккккккк">#REF!</definedName>
    <definedName name="ТолкоМашЛаб" localSheetId="18">[28]СмМашБур!#REF!</definedName>
    <definedName name="ТолкоМашЛаб" localSheetId="0">[28]СмМашБур!#REF!</definedName>
    <definedName name="ТолкоМашЛаб" localSheetId="7">[28]СмМашБур!#REF!</definedName>
    <definedName name="ТолкоМашЛаб">[28]СмМашБур!#REF!</definedName>
    <definedName name="ТолькоМашБур" localSheetId="18">[28]СмМашБур!#REF!</definedName>
    <definedName name="ТолькоМашБур" localSheetId="0">[28]СмМашБур!#REF!</definedName>
    <definedName name="ТолькоМашБур" localSheetId="7">[28]СмМашБур!#REF!</definedName>
    <definedName name="ТолькоМашБур">[28]СмМашБур!#REF!</definedName>
    <definedName name="ТолькоРучБур" localSheetId="18">[28]СмРучБур!#REF!</definedName>
    <definedName name="ТолькоРучБур" localSheetId="0">[28]СмРучБур!#REF!</definedName>
    <definedName name="ТолькоРучБур" localSheetId="7">[28]СмРучБур!#REF!</definedName>
    <definedName name="ТолькоРучБур">[28]СмРучБур!#REF!</definedName>
    <definedName name="ТолькоРучЛаб">[28]СмРучБур!$K$39</definedName>
    <definedName name="топ1" localSheetId="18">#REF!</definedName>
    <definedName name="топ1" localSheetId="0">#REF!</definedName>
    <definedName name="топ1" localSheetId="7">#REF!</definedName>
    <definedName name="топ1">#REF!</definedName>
    <definedName name="топ2" localSheetId="18">#REF!</definedName>
    <definedName name="топ2" localSheetId="0">#REF!</definedName>
    <definedName name="топ2" localSheetId="7">#REF!</definedName>
    <definedName name="топ2">#REF!</definedName>
    <definedName name="топо" localSheetId="18">#REF!</definedName>
    <definedName name="топо" localSheetId="0">#REF!</definedName>
    <definedName name="топо" localSheetId="7">#REF!</definedName>
    <definedName name="топо">#REF!</definedName>
    <definedName name="топо_1" localSheetId="0">#REF!</definedName>
    <definedName name="топо_1">#REF!</definedName>
    <definedName name="топогр1" localSheetId="18">#REF!</definedName>
    <definedName name="топогр1" localSheetId="0">#REF!</definedName>
    <definedName name="топогр1">#REF!</definedName>
    <definedName name="топограф" localSheetId="18">#REF!</definedName>
    <definedName name="топограф" localSheetId="0">#REF!</definedName>
    <definedName name="топограф">#REF!</definedName>
    <definedName name="тор" localSheetId="18">#REF!</definedName>
    <definedName name="тор" localSheetId="0">#REF!</definedName>
    <definedName name="тор">#REF!</definedName>
    <definedName name="трп" localSheetId="18" hidden="1">{#N/A,#N/A,TRUE,"Смета на пасс. обор. №1"}</definedName>
    <definedName name="трп" localSheetId="0" hidden="1">{#N/A,#N/A,TRUE,"Смета на пасс. обор. №1"}</definedName>
    <definedName name="трп" localSheetId="7" hidden="1">{#N/A,#N/A,TRUE,"Смета на пасс. обор. №1"}</definedName>
    <definedName name="трп" hidden="1">{#N/A,#N/A,TRUE,"Смета на пасс. обор. №1"}</definedName>
    <definedName name="трп_1" localSheetId="18" hidden="1">{#N/A,#N/A,TRUE,"Смета на пасс. обор. №1"}</definedName>
    <definedName name="трп_1" localSheetId="0" hidden="1">{#N/A,#N/A,TRUE,"Смета на пасс. обор. №1"}</definedName>
    <definedName name="трп_1" localSheetId="7" hidden="1">{#N/A,#N/A,TRUE,"Смета на пасс. обор. №1"}</definedName>
    <definedName name="трп_1" hidden="1">{#N/A,#N/A,TRUE,"Смета на пасс. обор. №1"}</definedName>
    <definedName name="ТС1" localSheetId="18">#REF!</definedName>
    <definedName name="ТС1" localSheetId="0">#REF!</definedName>
    <definedName name="ТС1" localSheetId="7">#REF!</definedName>
    <definedName name="ТС1">#REF!</definedName>
    <definedName name="тыс" localSheetId="18">{0,"тысячz";1,"тысячаz";2,"тысячиz";5,"тысячz"}</definedName>
    <definedName name="тыс" localSheetId="0">{0,"тысячz";1,"тысячаz";2,"тысячиz";5,"тысячz"}</definedName>
    <definedName name="тыс" localSheetId="7">{0,"тысячz";1,"тысячаz";2,"тысячиz";5,"тысячz"}</definedName>
    <definedName name="тыс">{0,"тысячz";1,"тысячаz";2,"тысячиz";5,"тысячz"}</definedName>
    <definedName name="тьбю" localSheetId="18">#REF!</definedName>
    <definedName name="тьбю" localSheetId="0">#REF!</definedName>
    <definedName name="тьбю" localSheetId="7">#REF!</definedName>
    <definedName name="тьбю">#REF!</definedName>
    <definedName name="ТЭО" localSheetId="18">#REF!</definedName>
    <definedName name="ТЭО" localSheetId="0">#REF!</definedName>
    <definedName name="ТЭО" localSheetId="19">#REF!</definedName>
    <definedName name="ТЭО" localSheetId="7">#REF!</definedName>
    <definedName name="ТЭО">#REF!</definedName>
    <definedName name="ТЭО1" localSheetId="18">#REF!</definedName>
    <definedName name="ТЭО1" localSheetId="0">#REF!</definedName>
    <definedName name="ТЭО1">#REF!</definedName>
    <definedName name="ТЭО2" localSheetId="18">#REF!</definedName>
    <definedName name="ТЭО2" localSheetId="0">#REF!</definedName>
    <definedName name="ТЭО2">#REF!</definedName>
    <definedName name="ТЭОДКК" localSheetId="18">#REF!</definedName>
    <definedName name="ТЭОДКК" localSheetId="0">#REF!</definedName>
    <definedName name="ТЭОДКК">#REF!</definedName>
    <definedName name="ТЭОДККК" localSheetId="18">#REF!</definedName>
    <definedName name="ТЭОДККК" localSheetId="0">#REF!</definedName>
    <definedName name="ТЭОДККК">#REF!</definedName>
    <definedName name="ук" localSheetId="18" hidden="1">{#N/A,#N/A,TRUE,"Смета на пасс. обор. №1"}</definedName>
    <definedName name="ук" localSheetId="0" hidden="1">{#N/A,#N/A,TRUE,"Смета на пасс. обор. №1"}</definedName>
    <definedName name="ук" localSheetId="7" hidden="1">{#N/A,#N/A,TRUE,"Смета на пасс. обор. №1"}</definedName>
    <definedName name="ук" hidden="1">{#N/A,#N/A,TRUE,"Смета на пасс. обор. №1"}</definedName>
    <definedName name="ук_1" localSheetId="18" hidden="1">{#N/A,#N/A,TRUE,"Смета на пасс. обор. №1"}</definedName>
    <definedName name="ук_1" localSheetId="0" hidden="1">{#N/A,#N/A,TRUE,"Смета на пасс. обор. №1"}</definedName>
    <definedName name="ук_1" localSheetId="7" hidden="1">{#N/A,#N/A,TRUE,"Смета на пасс. обор. №1"}</definedName>
    <definedName name="ук_1" hidden="1">{#N/A,#N/A,TRUE,"Смета на пасс. обор. №1"}</definedName>
    <definedName name="уукк" localSheetId="18">#REF!</definedName>
    <definedName name="уукк" localSheetId="0">#REF!</definedName>
    <definedName name="уукк" localSheetId="7">#REF!</definedName>
    <definedName name="уукк">#REF!</definedName>
    <definedName name="ууу" localSheetId="0">#REF!</definedName>
    <definedName name="ууу" localSheetId="7">#REF!</definedName>
    <definedName name="ууу">#REF!</definedName>
    <definedName name="уцуц" localSheetId="18">#REF!</definedName>
    <definedName name="уцуц" localSheetId="0">#REF!</definedName>
    <definedName name="уцуц" localSheetId="7">#REF!</definedName>
    <definedName name="уцуц">#REF!</definedName>
    <definedName name="Участок" localSheetId="18">#REF!</definedName>
    <definedName name="Участок" localSheetId="0">#REF!</definedName>
    <definedName name="Участок">#REF!</definedName>
    <definedName name="Участок_1" localSheetId="0">#REF!</definedName>
    <definedName name="Участок_1">#REF!</definedName>
    <definedName name="уы" localSheetId="18" hidden="1">{#N/A,#N/A,TRUE,"Смета на пасс. обор. №1"}</definedName>
    <definedName name="уы" localSheetId="0" hidden="1">{#N/A,#N/A,TRUE,"Смета на пасс. обор. №1"}</definedName>
    <definedName name="уы" localSheetId="7" hidden="1">{#N/A,#N/A,TRUE,"Смета на пасс. обор. №1"}</definedName>
    <definedName name="уы" hidden="1">{#N/A,#N/A,TRUE,"Смета на пасс. обор. №1"}</definedName>
    <definedName name="уы_1" localSheetId="18" hidden="1">{#N/A,#N/A,TRUE,"Смета на пасс. обор. №1"}</definedName>
    <definedName name="уы_1" localSheetId="0" hidden="1">{#N/A,#N/A,TRUE,"Смета на пасс. обор. №1"}</definedName>
    <definedName name="уы_1" localSheetId="7" hidden="1">{#N/A,#N/A,TRUE,"Смета на пасс. обор. №1"}</definedName>
    <definedName name="уы_1" hidden="1">{#N/A,#N/A,TRUE,"Смета на пасс. обор. №1"}</definedName>
    <definedName name="ф" localSheetId="18" hidden="1">{#N/A,#N/A,TRUE,"Смета на пасс. обор. №1"}</definedName>
    <definedName name="ф" localSheetId="0" hidden="1">{#N/A,#N/A,TRUE,"Смета на пасс. обор. №1"}</definedName>
    <definedName name="ф" localSheetId="7" hidden="1">{#N/A,#N/A,TRUE,"Смета на пасс. обор. №1"}</definedName>
    <definedName name="ф" hidden="1">{#N/A,#N/A,TRUE,"Смета на пасс. обор. №1"}</definedName>
    <definedName name="ф_1" localSheetId="18" hidden="1">{#N/A,#N/A,TRUE,"Смета на пасс. обор. №1"}</definedName>
    <definedName name="ф_1" localSheetId="0" hidden="1">{#N/A,#N/A,TRUE,"Смета на пасс. обор. №1"}</definedName>
    <definedName name="ф_1" localSheetId="7" hidden="1">{#N/A,#N/A,TRUE,"Смета на пасс. обор. №1"}</definedName>
    <definedName name="ф_1" hidden="1">{#N/A,#N/A,TRUE,"Смета на пасс. обор. №1"}</definedName>
    <definedName name="ффыв" localSheetId="18">#REF!</definedName>
    <definedName name="ффыв" localSheetId="0">#REF!</definedName>
    <definedName name="ффыв" localSheetId="7">#REF!</definedName>
    <definedName name="ффыв">#REF!</definedName>
    <definedName name="фы" localSheetId="18">[3]топография!#REF!</definedName>
    <definedName name="фы" localSheetId="0">[3]топография!#REF!</definedName>
    <definedName name="фы" localSheetId="7">[3]топография!#REF!</definedName>
    <definedName name="фы">[3]топография!#REF!</definedName>
    <definedName name="фыв" localSheetId="18" hidden="1">{#N/A,#N/A,TRUE,"Смета на пасс. обор. №1"}</definedName>
    <definedName name="фыв" localSheetId="0" hidden="1">{#N/A,#N/A,TRUE,"Смета на пасс. обор. №1"}</definedName>
    <definedName name="фыв" localSheetId="7" hidden="1">{#N/A,#N/A,TRUE,"Смета на пасс. обор. №1"}</definedName>
    <definedName name="фыв" hidden="1">{#N/A,#N/A,TRUE,"Смета на пасс. обор. №1"}</definedName>
    <definedName name="фыв_1" localSheetId="18" hidden="1">{#N/A,#N/A,TRUE,"Смета на пасс. обор. №1"}</definedName>
    <definedName name="фыв_1" localSheetId="0" hidden="1">{#N/A,#N/A,TRUE,"Смета на пасс. обор. №1"}</definedName>
    <definedName name="фыв_1" localSheetId="7" hidden="1">{#N/A,#N/A,TRUE,"Смета на пасс. обор. №1"}</definedName>
    <definedName name="фыв_1" hidden="1">{#N/A,#N/A,TRUE,"Смета на пасс. обор. №1"}</definedName>
    <definedName name="хэ" localSheetId="18" hidden="1">{#N/A,#N/A,TRUE,"Смета на пасс. обор. №1"}</definedName>
    <definedName name="хэ" localSheetId="0" hidden="1">{#N/A,#N/A,TRUE,"Смета на пасс. обор. №1"}</definedName>
    <definedName name="хэ" localSheetId="7" hidden="1">{#N/A,#N/A,TRUE,"Смета на пасс. обор. №1"}</definedName>
    <definedName name="хэ" hidden="1">{#N/A,#N/A,TRUE,"Смета на пасс. обор. №1"}</definedName>
    <definedName name="хэ_1" localSheetId="18" hidden="1">{#N/A,#N/A,TRUE,"Смета на пасс. обор. №1"}</definedName>
    <definedName name="хэ_1" localSheetId="0" hidden="1">{#N/A,#N/A,TRUE,"Смета на пасс. обор. №1"}</definedName>
    <definedName name="хэ_1" localSheetId="7" hidden="1">{#N/A,#N/A,TRUE,"Смета на пасс. обор. №1"}</definedName>
    <definedName name="хэ_1" hidden="1">{#N/A,#N/A,TRUE,"Смета на пасс. обор. №1"}</definedName>
    <definedName name="цвет" localSheetId="18" hidden="1">{#N/A,#N/A,TRUE,"Смета на пасс. обор. №1"}</definedName>
    <definedName name="цвет" localSheetId="0" hidden="1">{#N/A,#N/A,TRUE,"Смета на пасс. обор. №1"}</definedName>
    <definedName name="цвет" localSheetId="7" hidden="1">{#N/A,#N/A,TRUE,"Смета на пасс. обор. №1"}</definedName>
    <definedName name="цвет" hidden="1">{#N/A,#N/A,TRUE,"Смета на пасс. обор. №1"}</definedName>
    <definedName name="цвет_1" localSheetId="18" hidden="1">{#N/A,#N/A,TRUE,"Смета на пасс. обор. №1"}</definedName>
    <definedName name="цвет_1" localSheetId="0" hidden="1">{#N/A,#N/A,TRUE,"Смета на пасс. обор. №1"}</definedName>
    <definedName name="цвет_1" localSheetId="7" hidden="1">{#N/A,#N/A,TRUE,"Смета на пасс. обор. №1"}</definedName>
    <definedName name="цвет_1" hidden="1">{#N/A,#N/A,TRUE,"Смета на пасс. обор. №1"}</definedName>
    <definedName name="цена" localSheetId="18">NA()</definedName>
    <definedName name="цена">#N/A</definedName>
    <definedName name="цена___0" localSheetId="18">NA()</definedName>
    <definedName name="цена___0" localSheetId="0">#REF!</definedName>
    <definedName name="цена___0" localSheetId="7">#REF!</definedName>
    <definedName name="цена___0">#REF!</definedName>
    <definedName name="цена___0___0" localSheetId="18">#REF!</definedName>
    <definedName name="цена___0___0" localSheetId="0">#REF!</definedName>
    <definedName name="цена___0___0" localSheetId="7">#REF!</definedName>
    <definedName name="цена___0___0">#REF!</definedName>
    <definedName name="цена___0___0___0" localSheetId="18">#REF!</definedName>
    <definedName name="цена___0___0___0" localSheetId="0">#REF!</definedName>
    <definedName name="цена___0___0___0" localSheetId="7">#REF!</definedName>
    <definedName name="цена___0___0___0">#REF!</definedName>
    <definedName name="цена___0___0___0___0" localSheetId="18">#REF!</definedName>
    <definedName name="цена___0___0___0___0" localSheetId="0">#REF!</definedName>
    <definedName name="цена___0___0___0___0">#REF!</definedName>
    <definedName name="цена___0___0___0___0___0" localSheetId="0">#REF!</definedName>
    <definedName name="цена___0___0___0___0___0">#REF!</definedName>
    <definedName name="цена___0___0___0___0___0_1" localSheetId="0">#REF!</definedName>
    <definedName name="цена___0___0___0___0___0_1">#REF!</definedName>
    <definedName name="цена___0___0___0___0_1" localSheetId="0">#REF!</definedName>
    <definedName name="цена___0___0___0___0_1">#REF!</definedName>
    <definedName name="цена___0___0___0___1" localSheetId="0">#REF!</definedName>
    <definedName name="цена___0___0___0___1">#REF!</definedName>
    <definedName name="цена___0___0___0___1_1" localSheetId="0">#REF!</definedName>
    <definedName name="цена___0___0___0___1_1">#REF!</definedName>
    <definedName name="цена___0___0___0___5" localSheetId="0">#REF!</definedName>
    <definedName name="цена___0___0___0___5">#REF!</definedName>
    <definedName name="цена___0___0___0___5_1" localSheetId="0">#REF!</definedName>
    <definedName name="цена___0___0___0___5_1">#REF!</definedName>
    <definedName name="цена___0___0___0_1" localSheetId="0">#REF!</definedName>
    <definedName name="цена___0___0___0_1">#REF!</definedName>
    <definedName name="цена___0___0___0_1_1" localSheetId="0">#REF!</definedName>
    <definedName name="цена___0___0___0_1_1">#REF!</definedName>
    <definedName name="цена___0___0___0_1_1_1" localSheetId="0">#REF!</definedName>
    <definedName name="цена___0___0___0_1_1_1">#REF!</definedName>
    <definedName name="цена___0___0___0_5" localSheetId="0">#REF!</definedName>
    <definedName name="цена___0___0___0_5">#REF!</definedName>
    <definedName name="цена___0___0___0_5_1" localSheetId="0">#REF!</definedName>
    <definedName name="цена___0___0___0_5_1">#REF!</definedName>
    <definedName name="цена___0___0___1" localSheetId="0">#REF!</definedName>
    <definedName name="цена___0___0___1">#REF!</definedName>
    <definedName name="цена___0___0___1_1" localSheetId="0">#REF!</definedName>
    <definedName name="цена___0___0___1_1">#REF!</definedName>
    <definedName name="цена___0___0___2" localSheetId="18">#REF!</definedName>
    <definedName name="цена___0___0___2" localSheetId="0">#REF!</definedName>
    <definedName name="цена___0___0___2">#REF!</definedName>
    <definedName name="цена___0___0___2_1" localSheetId="0">#REF!</definedName>
    <definedName name="цена___0___0___2_1">#REF!</definedName>
    <definedName name="цена___0___0___3" localSheetId="18">#REF!</definedName>
    <definedName name="цена___0___0___3" localSheetId="0">#REF!</definedName>
    <definedName name="цена___0___0___3">#REF!</definedName>
    <definedName name="цена___0___0___3_1" localSheetId="0">#REF!</definedName>
    <definedName name="цена___0___0___3_1">#REF!</definedName>
    <definedName name="цена___0___0___4" localSheetId="18">#REF!</definedName>
    <definedName name="цена___0___0___4" localSheetId="0">#REF!</definedName>
    <definedName name="цена___0___0___4">#REF!</definedName>
    <definedName name="цена___0___0___4_1" localSheetId="0">#REF!</definedName>
    <definedName name="цена___0___0___4_1">#REF!</definedName>
    <definedName name="цена___0___0___5" localSheetId="0">#REF!</definedName>
    <definedName name="цена___0___0___5">#REF!</definedName>
    <definedName name="цена___0___0___5_1" localSheetId="0">#REF!</definedName>
    <definedName name="цена___0___0___5_1">#REF!</definedName>
    <definedName name="цена___0___0_1" localSheetId="0">#REF!</definedName>
    <definedName name="цена___0___0_1">#REF!</definedName>
    <definedName name="цена___0___0_1_1" localSheetId="0">#REF!</definedName>
    <definedName name="цена___0___0_1_1">#REF!</definedName>
    <definedName name="цена___0___0_1_1_1" localSheetId="0">#REF!</definedName>
    <definedName name="цена___0___0_1_1_1">#REF!</definedName>
    <definedName name="цена___0___0_3" localSheetId="0">#REF!</definedName>
    <definedName name="цена___0___0_3">#REF!</definedName>
    <definedName name="цена___0___0_3_1" localSheetId="0">#REF!</definedName>
    <definedName name="цена___0___0_3_1">#REF!</definedName>
    <definedName name="цена___0___0_5" localSheetId="0">#REF!</definedName>
    <definedName name="цена___0___0_5">#REF!</definedName>
    <definedName name="цена___0___0_5_1" localSheetId="0">#REF!</definedName>
    <definedName name="цена___0___0_5_1">#REF!</definedName>
    <definedName name="цена___0___1" localSheetId="18">#REF!</definedName>
    <definedName name="цена___0___1" localSheetId="0">#REF!</definedName>
    <definedName name="цена___0___1">#REF!</definedName>
    <definedName name="цена___0___1___0" localSheetId="0">#REF!</definedName>
    <definedName name="цена___0___1___0">#REF!</definedName>
    <definedName name="цена___0___1___0_1" localSheetId="0">#REF!</definedName>
    <definedName name="цена___0___1___0_1">#REF!</definedName>
    <definedName name="цена___0___1_1" localSheetId="0">#REF!</definedName>
    <definedName name="цена___0___1_1">#REF!</definedName>
    <definedName name="цена___0___10" localSheetId="18">#REF!</definedName>
    <definedName name="цена___0___10" localSheetId="0">#REF!</definedName>
    <definedName name="цена___0___10">#REF!</definedName>
    <definedName name="цена___0___10_1" localSheetId="0">#REF!</definedName>
    <definedName name="цена___0___10_1">#REF!</definedName>
    <definedName name="цена___0___12" localSheetId="18">#REF!</definedName>
    <definedName name="цена___0___12" localSheetId="0">#REF!</definedName>
    <definedName name="цена___0___12">#REF!</definedName>
    <definedName name="цена___0___2" localSheetId="18">#REF!</definedName>
    <definedName name="цена___0___2" localSheetId="0">#REF!</definedName>
    <definedName name="цена___0___2">#REF!</definedName>
    <definedName name="цена___0___2___0" localSheetId="18">#REF!</definedName>
    <definedName name="цена___0___2___0" localSheetId="0">#REF!</definedName>
    <definedName name="цена___0___2___0">#REF!</definedName>
    <definedName name="цена___0___2___0___0" localSheetId="0">#REF!</definedName>
    <definedName name="цена___0___2___0___0">#REF!</definedName>
    <definedName name="цена___0___2___0___0_1" localSheetId="0">#REF!</definedName>
    <definedName name="цена___0___2___0___0_1">#REF!</definedName>
    <definedName name="цена___0___2___0_1" localSheetId="0">#REF!</definedName>
    <definedName name="цена___0___2___0_1">#REF!</definedName>
    <definedName name="цена___0___2___5" localSheetId="0">#REF!</definedName>
    <definedName name="цена___0___2___5">#REF!</definedName>
    <definedName name="цена___0___2___5_1" localSheetId="0">#REF!</definedName>
    <definedName name="цена___0___2___5_1">#REF!</definedName>
    <definedName name="цена___0___2_1" localSheetId="0">#REF!</definedName>
    <definedName name="цена___0___2_1">#REF!</definedName>
    <definedName name="цена___0___2_1_1" localSheetId="0">#REF!</definedName>
    <definedName name="цена___0___2_1_1">#REF!</definedName>
    <definedName name="цена___0___2_1_1_1" localSheetId="0">#REF!</definedName>
    <definedName name="цена___0___2_1_1_1">#REF!</definedName>
    <definedName name="цена___0___2_3" localSheetId="0">#REF!</definedName>
    <definedName name="цена___0___2_3">#REF!</definedName>
    <definedName name="цена___0___2_3_1" localSheetId="0">#REF!</definedName>
    <definedName name="цена___0___2_3_1">#REF!</definedName>
    <definedName name="цена___0___2_5" localSheetId="0">#REF!</definedName>
    <definedName name="цена___0___2_5">#REF!</definedName>
    <definedName name="цена___0___2_5_1" localSheetId="0">#REF!</definedName>
    <definedName name="цена___0___2_5_1">#REF!</definedName>
    <definedName name="цена___0___3" localSheetId="18">#REF!</definedName>
    <definedName name="цена___0___3" localSheetId="0">#REF!</definedName>
    <definedName name="цена___0___3">#REF!</definedName>
    <definedName name="цена___0___3___0" localSheetId="0">#REF!</definedName>
    <definedName name="цена___0___3___0">#REF!</definedName>
    <definedName name="цена___0___3___0_1" localSheetId="0">#REF!</definedName>
    <definedName name="цена___0___3___0_1">#REF!</definedName>
    <definedName name="цена___0___3___5" localSheetId="0">#REF!</definedName>
    <definedName name="цена___0___3___5">#REF!</definedName>
    <definedName name="цена___0___3___5_1" localSheetId="0">#REF!</definedName>
    <definedName name="цена___0___3___5_1">#REF!</definedName>
    <definedName name="цена___0___3_1" localSheetId="0">#REF!</definedName>
    <definedName name="цена___0___3_1">#REF!</definedName>
    <definedName name="цена___0___3_1_1" localSheetId="0">#REF!</definedName>
    <definedName name="цена___0___3_1_1">#REF!</definedName>
    <definedName name="цена___0___3_1_1_1" localSheetId="0">#REF!</definedName>
    <definedName name="цена___0___3_1_1_1">#REF!</definedName>
    <definedName name="цена___0___3_5" localSheetId="0">#REF!</definedName>
    <definedName name="цена___0___3_5">#REF!</definedName>
    <definedName name="цена___0___3_5_1" localSheetId="0">#REF!</definedName>
    <definedName name="цена___0___3_5_1">#REF!</definedName>
    <definedName name="цена___0___4" localSheetId="18">#REF!</definedName>
    <definedName name="цена___0___4" localSheetId="0">#REF!</definedName>
    <definedName name="цена___0___4">#REF!</definedName>
    <definedName name="цена___0___4___0" localSheetId="0">#REF!</definedName>
    <definedName name="цена___0___4___0">#REF!</definedName>
    <definedName name="цена___0___4___0_1" localSheetId="0">#REF!</definedName>
    <definedName name="цена___0___4___0_1">#REF!</definedName>
    <definedName name="цена___0___4___5" localSheetId="0">#REF!</definedName>
    <definedName name="цена___0___4___5">#REF!</definedName>
    <definedName name="цена___0___4___5_1" localSheetId="0">#REF!</definedName>
    <definedName name="цена___0___4___5_1">#REF!</definedName>
    <definedName name="цена___0___4_1" localSheetId="0">#REF!</definedName>
    <definedName name="цена___0___4_1">#REF!</definedName>
    <definedName name="цена___0___4_1_1" localSheetId="0">#REF!</definedName>
    <definedName name="цена___0___4_1_1">#REF!</definedName>
    <definedName name="цена___0___4_1_1_1" localSheetId="0">#REF!</definedName>
    <definedName name="цена___0___4_1_1_1">#REF!</definedName>
    <definedName name="цена___0___4_3" localSheetId="0">#REF!</definedName>
    <definedName name="цена___0___4_3">#REF!</definedName>
    <definedName name="цена___0___4_3_1" localSheetId="0">#REF!</definedName>
    <definedName name="цена___0___4_3_1">#REF!</definedName>
    <definedName name="цена___0___4_5" localSheetId="0">#REF!</definedName>
    <definedName name="цена___0___4_5">#REF!</definedName>
    <definedName name="цена___0___4_5_1" localSheetId="0">#REF!</definedName>
    <definedName name="цена___0___4_5_1">#REF!</definedName>
    <definedName name="цена___0___5" localSheetId="18">#REF!</definedName>
    <definedName name="цена___0___5" localSheetId="0">#REF!</definedName>
    <definedName name="цена___0___5">#REF!</definedName>
    <definedName name="цена___0___5_1" localSheetId="0">#REF!</definedName>
    <definedName name="цена___0___5_1">#REF!</definedName>
    <definedName name="цена___0___6" localSheetId="18">#REF!</definedName>
    <definedName name="цена___0___6" localSheetId="0">#REF!</definedName>
    <definedName name="цена___0___6">#REF!</definedName>
    <definedName name="цена___0___6_1" localSheetId="0">#REF!</definedName>
    <definedName name="цена___0___6_1">#REF!</definedName>
    <definedName name="цена___0___8" localSheetId="18">#REF!</definedName>
    <definedName name="цена___0___8" localSheetId="0">#REF!</definedName>
    <definedName name="цена___0___8">#REF!</definedName>
    <definedName name="цена___0___8_1" localSheetId="0">#REF!</definedName>
    <definedName name="цена___0___8_1">#REF!</definedName>
    <definedName name="цена___0_1" localSheetId="0">#REF!</definedName>
    <definedName name="цена___0_1">#REF!</definedName>
    <definedName name="цена___0_1_1" localSheetId="0">#REF!</definedName>
    <definedName name="цена___0_1_1">#REF!</definedName>
    <definedName name="цена___0_3" localSheetId="0">#REF!</definedName>
    <definedName name="цена___0_3">#REF!</definedName>
    <definedName name="цена___0_3_1" localSheetId="0">#REF!</definedName>
    <definedName name="цена___0_3_1">#REF!</definedName>
    <definedName name="цена___0_5" localSheetId="0">#REF!</definedName>
    <definedName name="цена___0_5">#REF!</definedName>
    <definedName name="цена___0_5_1" localSheetId="0">#REF!</definedName>
    <definedName name="цена___0_5_1">#REF!</definedName>
    <definedName name="цена___1" localSheetId="18">#REF!</definedName>
    <definedName name="цена___1" localSheetId="0">#REF!</definedName>
    <definedName name="цена___1">#REF!</definedName>
    <definedName name="цена___1___0" localSheetId="18">#REF!</definedName>
    <definedName name="цена___1___0" localSheetId="0">#REF!</definedName>
    <definedName name="цена___1___0">#REF!</definedName>
    <definedName name="цена___1___0___0" localSheetId="0">#REF!</definedName>
    <definedName name="цена___1___0___0">#REF!</definedName>
    <definedName name="цена___1___0___0_1" localSheetId="0">#REF!</definedName>
    <definedName name="цена___1___0___0_1">#REF!</definedName>
    <definedName name="цена___1___0_1" localSheetId="0">#REF!</definedName>
    <definedName name="цена___1___0_1">#REF!</definedName>
    <definedName name="цена___1___1" localSheetId="0">#REF!</definedName>
    <definedName name="цена___1___1">#REF!</definedName>
    <definedName name="цена___1___1_1" localSheetId="0">#REF!</definedName>
    <definedName name="цена___1___1_1">#REF!</definedName>
    <definedName name="цена___1___5" localSheetId="0">#REF!</definedName>
    <definedName name="цена___1___5">#REF!</definedName>
    <definedName name="цена___1___5_1" localSheetId="0">#REF!</definedName>
    <definedName name="цена___1___5_1">#REF!</definedName>
    <definedName name="цена___1_1" localSheetId="0">#REF!</definedName>
    <definedName name="цена___1_1">#REF!</definedName>
    <definedName name="цена___1_1_1" localSheetId="0">#REF!</definedName>
    <definedName name="цена___1_1_1">#REF!</definedName>
    <definedName name="цена___1_1_1_1" localSheetId="0">#REF!</definedName>
    <definedName name="цена___1_1_1_1">#REF!</definedName>
    <definedName name="цена___1_3" localSheetId="0">#REF!</definedName>
    <definedName name="цена___1_3">#REF!</definedName>
    <definedName name="цена___1_3_1" localSheetId="0">#REF!</definedName>
    <definedName name="цена___1_3_1">#REF!</definedName>
    <definedName name="цена___1_5" localSheetId="0">#REF!</definedName>
    <definedName name="цена___1_5">#REF!</definedName>
    <definedName name="цена___1_5_1" localSheetId="0">#REF!</definedName>
    <definedName name="цена___1_5_1">#REF!</definedName>
    <definedName name="цена___10" localSheetId="18">NA()</definedName>
    <definedName name="цена___10" localSheetId="0">#REF!</definedName>
    <definedName name="цена___10" localSheetId="7">#REF!</definedName>
    <definedName name="цена___10">#REF!</definedName>
    <definedName name="цена___10___0" localSheetId="18">#REF!</definedName>
    <definedName name="цена___10___0">NA()</definedName>
    <definedName name="цена___10___0___0" localSheetId="18">#REF!</definedName>
    <definedName name="цена___10___0___0" localSheetId="0">#REF!</definedName>
    <definedName name="цена___10___0___0" localSheetId="7">#REF!</definedName>
    <definedName name="цена___10___0___0">#REF!</definedName>
    <definedName name="цена___10___0___0___0" localSheetId="0">#REF!</definedName>
    <definedName name="цена___10___0___0___0" localSheetId="7">#REF!</definedName>
    <definedName name="цена___10___0___0___0">#REF!</definedName>
    <definedName name="цена___10___0___0___0_1" localSheetId="0">#REF!</definedName>
    <definedName name="цена___10___0___0___0_1" localSheetId="7">#REF!</definedName>
    <definedName name="цена___10___0___0___0_1">#REF!</definedName>
    <definedName name="цена___10___0___0_1" localSheetId="0">#REF!</definedName>
    <definedName name="цена___10___0___0_1">#REF!</definedName>
    <definedName name="цена___10___0___1">NA()</definedName>
    <definedName name="цена___10___0___5">NA()</definedName>
    <definedName name="цена___10___0_1" localSheetId="18">#REF!</definedName>
    <definedName name="цена___10___0_1" localSheetId="0">#REF!</definedName>
    <definedName name="цена___10___0_1" localSheetId="7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8">#REF!</definedName>
    <definedName name="цена___10___1" localSheetId="0">#REF!</definedName>
    <definedName name="цена___10___1" localSheetId="7">#REF!</definedName>
    <definedName name="цена___10___1">#REF!</definedName>
    <definedName name="цена___10___10" localSheetId="18">#REF!</definedName>
    <definedName name="цена___10___10" localSheetId="0">#REF!</definedName>
    <definedName name="цена___10___10" localSheetId="7">#REF!</definedName>
    <definedName name="цена___10___10">#REF!</definedName>
    <definedName name="цена___10___12" localSheetId="18">#REF!</definedName>
    <definedName name="цена___10___12" localSheetId="0">#REF!</definedName>
    <definedName name="цена___10___12" localSheetId="7">#REF!</definedName>
    <definedName name="цена___10___12">#REF!</definedName>
    <definedName name="цена___10___2">NA()</definedName>
    <definedName name="цена___10___4">NA()</definedName>
    <definedName name="цена___10___5" localSheetId="0">#REF!</definedName>
    <definedName name="цена___10___5">#REF!</definedName>
    <definedName name="цена___10___5_1" localSheetId="0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0">#REF!</definedName>
    <definedName name="цена___10_3">#REF!</definedName>
    <definedName name="цена___10_3_1" localSheetId="0">#REF!</definedName>
    <definedName name="цена___10_3_1">#REF!</definedName>
    <definedName name="цена___10_5" localSheetId="0">#REF!</definedName>
    <definedName name="цена___10_5">#REF!</definedName>
    <definedName name="цена___10_5_1" localSheetId="0">#REF!</definedName>
    <definedName name="цена___10_5_1">#REF!</definedName>
    <definedName name="цена___11" localSheetId="18">#REF!</definedName>
    <definedName name="цена___11" localSheetId="0">#REF!</definedName>
    <definedName name="цена___11">#REF!</definedName>
    <definedName name="цена___11___0">NA()</definedName>
    <definedName name="цена___11___10" localSheetId="18">#REF!</definedName>
    <definedName name="цена___11___10" localSheetId="0">#REF!</definedName>
    <definedName name="цена___11___10" localSheetId="7">#REF!</definedName>
    <definedName name="цена___11___10">#REF!</definedName>
    <definedName name="цена___11___2" localSheetId="18">#REF!</definedName>
    <definedName name="цена___11___2" localSheetId="0">#REF!</definedName>
    <definedName name="цена___11___2" localSheetId="7">#REF!</definedName>
    <definedName name="цена___11___2">#REF!</definedName>
    <definedName name="цена___11___4" localSheetId="18">#REF!</definedName>
    <definedName name="цена___11___4" localSheetId="0">#REF!</definedName>
    <definedName name="цена___11___4" localSheetId="7">#REF!</definedName>
    <definedName name="цена___11___4">#REF!</definedName>
    <definedName name="цена___11___6" localSheetId="18">#REF!</definedName>
    <definedName name="цена___11___6" localSheetId="0">#REF!</definedName>
    <definedName name="цена___11___6">#REF!</definedName>
    <definedName name="цена___11___8" localSheetId="18">#REF!</definedName>
    <definedName name="цена___11___8" localSheetId="0">#REF!</definedName>
    <definedName name="цена___11___8">#REF!</definedName>
    <definedName name="цена___11_1" localSheetId="0">#REF!</definedName>
    <definedName name="цена___11_1">#REF!</definedName>
    <definedName name="цена___12">NA()</definedName>
    <definedName name="цена___2" localSheetId="18">#REF!</definedName>
    <definedName name="цена___2" localSheetId="0">#REF!</definedName>
    <definedName name="цена___2" localSheetId="7">#REF!</definedName>
    <definedName name="цена___2">#REF!</definedName>
    <definedName name="цена___2___0" localSheetId="18">#REF!</definedName>
    <definedName name="цена___2___0" localSheetId="0">#REF!</definedName>
    <definedName name="цена___2___0" localSheetId="7">#REF!</definedName>
    <definedName name="цена___2___0">#REF!</definedName>
    <definedName name="цена___2___0___0" localSheetId="18">#REF!</definedName>
    <definedName name="цена___2___0___0" localSheetId="0">#REF!</definedName>
    <definedName name="цена___2___0___0" localSheetId="7">#REF!</definedName>
    <definedName name="цена___2___0___0">#REF!</definedName>
    <definedName name="цена___2___0___0___0" localSheetId="18">#REF!</definedName>
    <definedName name="цена___2___0___0___0" localSheetId="0">#REF!</definedName>
    <definedName name="цена___2___0___0___0">#REF!</definedName>
    <definedName name="цена___2___0___0___0___0" localSheetId="0">#REF!</definedName>
    <definedName name="цена___2___0___0___0___0">#REF!</definedName>
    <definedName name="цена___2___0___0___0___0_1" localSheetId="0">#REF!</definedName>
    <definedName name="цена___2___0___0___0___0_1">#REF!</definedName>
    <definedName name="цена___2___0___0___0_1" localSheetId="0">#REF!</definedName>
    <definedName name="цена___2___0___0___0_1">#REF!</definedName>
    <definedName name="цена___2___0___0___1" localSheetId="0">#REF!</definedName>
    <definedName name="цена___2___0___0___1">#REF!</definedName>
    <definedName name="цена___2___0___0___1_1" localSheetId="0">#REF!</definedName>
    <definedName name="цена___2___0___0___1_1">#REF!</definedName>
    <definedName name="цена___2___0___0___5" localSheetId="0">#REF!</definedName>
    <definedName name="цена___2___0___0___5">#REF!</definedName>
    <definedName name="цена___2___0___0___5_1" localSheetId="0">#REF!</definedName>
    <definedName name="цена___2___0___0___5_1">#REF!</definedName>
    <definedName name="цена___2___0___0_1" localSheetId="0">#REF!</definedName>
    <definedName name="цена___2___0___0_1">#REF!</definedName>
    <definedName name="цена___2___0___0_1_1" localSheetId="0">#REF!</definedName>
    <definedName name="цена___2___0___0_1_1">#REF!</definedName>
    <definedName name="цена___2___0___0_1_1_1" localSheetId="0">#REF!</definedName>
    <definedName name="цена___2___0___0_1_1_1">#REF!</definedName>
    <definedName name="цена___2___0___0_5" localSheetId="0">#REF!</definedName>
    <definedName name="цена___2___0___0_5">#REF!</definedName>
    <definedName name="цена___2___0___0_5_1" localSheetId="0">#REF!</definedName>
    <definedName name="цена___2___0___0_5_1">#REF!</definedName>
    <definedName name="цена___2___0___1" localSheetId="0">#REF!</definedName>
    <definedName name="цена___2___0___1">#REF!</definedName>
    <definedName name="цена___2___0___1_1" localSheetId="0">#REF!</definedName>
    <definedName name="цена___2___0___1_1">#REF!</definedName>
    <definedName name="цена___2___0___5" localSheetId="0">#REF!</definedName>
    <definedName name="цена___2___0___5">#REF!</definedName>
    <definedName name="цена___2___0___5_1" localSheetId="0">#REF!</definedName>
    <definedName name="цена___2___0___5_1">#REF!</definedName>
    <definedName name="цена___2___0_1" localSheetId="0">#REF!</definedName>
    <definedName name="цена___2___0_1">#REF!</definedName>
    <definedName name="цена___2___0_1_1" localSheetId="0">#REF!</definedName>
    <definedName name="цена___2___0_1_1">#REF!</definedName>
    <definedName name="цена___2___0_1_1_1" localSheetId="0">#REF!</definedName>
    <definedName name="цена___2___0_1_1_1">#REF!</definedName>
    <definedName name="цена___2___0_3" localSheetId="0">#REF!</definedName>
    <definedName name="цена___2___0_3">#REF!</definedName>
    <definedName name="цена___2___0_3_1" localSheetId="0">#REF!</definedName>
    <definedName name="цена___2___0_3_1">#REF!</definedName>
    <definedName name="цена___2___0_5" localSheetId="0">#REF!</definedName>
    <definedName name="цена___2___0_5">#REF!</definedName>
    <definedName name="цена___2___0_5_1" localSheetId="0">#REF!</definedName>
    <definedName name="цена___2___0_5_1">#REF!</definedName>
    <definedName name="цена___2___1" localSheetId="18">#REF!</definedName>
    <definedName name="цена___2___1" localSheetId="0">#REF!</definedName>
    <definedName name="цена___2___1">#REF!</definedName>
    <definedName name="цена___2___1_1" localSheetId="0">#REF!</definedName>
    <definedName name="цена___2___1_1">#REF!</definedName>
    <definedName name="цена___2___10" localSheetId="18">#REF!</definedName>
    <definedName name="цена___2___10" localSheetId="0">#REF!</definedName>
    <definedName name="цена___2___10">#REF!</definedName>
    <definedName name="цена___2___10_1" localSheetId="0">#REF!</definedName>
    <definedName name="цена___2___10_1">#REF!</definedName>
    <definedName name="цена___2___12" localSheetId="18">#REF!</definedName>
    <definedName name="цена___2___12" localSheetId="0">#REF!</definedName>
    <definedName name="цена___2___12">#REF!</definedName>
    <definedName name="цена___2___2" localSheetId="18">#REF!</definedName>
    <definedName name="цена___2___2" localSheetId="0">#REF!</definedName>
    <definedName name="цена___2___2">#REF!</definedName>
    <definedName name="цена___2___2_1" localSheetId="0">#REF!</definedName>
    <definedName name="цена___2___2_1">#REF!</definedName>
    <definedName name="цена___2___3" localSheetId="18">#REF!</definedName>
    <definedName name="цена___2___3" localSheetId="0">#REF!</definedName>
    <definedName name="цена___2___3">#REF!</definedName>
    <definedName name="цена___2___4" localSheetId="18">#REF!</definedName>
    <definedName name="цена___2___4" localSheetId="0">#REF!</definedName>
    <definedName name="цена___2___4">#REF!</definedName>
    <definedName name="цена___2___4___0" localSheetId="0">#REF!</definedName>
    <definedName name="цена___2___4___0">#REF!</definedName>
    <definedName name="цена___2___4___0_1" localSheetId="0">#REF!</definedName>
    <definedName name="цена___2___4___0_1">#REF!</definedName>
    <definedName name="цена___2___4___5" localSheetId="0">#REF!</definedName>
    <definedName name="цена___2___4___5">#REF!</definedName>
    <definedName name="цена___2___4___5_1" localSheetId="0">#REF!</definedName>
    <definedName name="цена___2___4___5_1">#REF!</definedName>
    <definedName name="цена___2___4_1" localSheetId="0">#REF!</definedName>
    <definedName name="цена___2___4_1">#REF!</definedName>
    <definedName name="цена___2___4_1_1" localSheetId="0">#REF!</definedName>
    <definedName name="цена___2___4_1_1">#REF!</definedName>
    <definedName name="цена___2___4_1_1_1" localSheetId="0">#REF!</definedName>
    <definedName name="цена___2___4_1_1_1">#REF!</definedName>
    <definedName name="цена___2___4_3" localSheetId="0">#REF!</definedName>
    <definedName name="цена___2___4_3">#REF!</definedName>
    <definedName name="цена___2___4_3_1" localSheetId="0">#REF!</definedName>
    <definedName name="цена___2___4_3_1">#REF!</definedName>
    <definedName name="цена___2___4_5" localSheetId="0">#REF!</definedName>
    <definedName name="цена___2___4_5">#REF!</definedName>
    <definedName name="цена___2___4_5_1" localSheetId="0">#REF!</definedName>
    <definedName name="цена___2___4_5_1">#REF!</definedName>
    <definedName name="цена___2___5" localSheetId="0">#REF!</definedName>
    <definedName name="цена___2___5">#REF!</definedName>
    <definedName name="цена___2___5_1" localSheetId="0">#REF!</definedName>
    <definedName name="цена___2___5_1">#REF!</definedName>
    <definedName name="цена___2___6" localSheetId="18">#REF!</definedName>
    <definedName name="цена___2___6" localSheetId="0">#REF!</definedName>
    <definedName name="цена___2___6">#REF!</definedName>
    <definedName name="цена___2___6_1" localSheetId="0">#REF!</definedName>
    <definedName name="цена___2___6_1">#REF!</definedName>
    <definedName name="цена___2___8" localSheetId="18">#REF!</definedName>
    <definedName name="цена___2___8" localSheetId="0">#REF!</definedName>
    <definedName name="цена___2___8">#REF!</definedName>
    <definedName name="цена___2___8_1" localSheetId="0">#REF!</definedName>
    <definedName name="цена___2___8_1">#REF!</definedName>
    <definedName name="цена___2_1" localSheetId="0">#REF!</definedName>
    <definedName name="цена___2_1">#REF!</definedName>
    <definedName name="цена___2_1_1" localSheetId="0">#REF!</definedName>
    <definedName name="цена___2_1_1">#REF!</definedName>
    <definedName name="цена___2_1_1_1" localSheetId="0">#REF!</definedName>
    <definedName name="цена___2_1_1_1">#REF!</definedName>
    <definedName name="цена___2_3" localSheetId="0">#REF!</definedName>
    <definedName name="цена___2_3">#REF!</definedName>
    <definedName name="цена___2_3_1" localSheetId="0">#REF!</definedName>
    <definedName name="цена___2_3_1">#REF!</definedName>
    <definedName name="цена___2_5" localSheetId="0">#REF!</definedName>
    <definedName name="цена___2_5">#REF!</definedName>
    <definedName name="цена___2_5_1" localSheetId="0">#REF!</definedName>
    <definedName name="цена___2_5_1">#REF!</definedName>
    <definedName name="цена___3" localSheetId="18">#REF!</definedName>
    <definedName name="цена___3" localSheetId="0">#REF!</definedName>
    <definedName name="цена___3">#REF!</definedName>
    <definedName name="цена___3___0" localSheetId="18">#REF!</definedName>
    <definedName name="цена___3___0" localSheetId="0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0">#REF!</definedName>
    <definedName name="цена___3___0___5">#REF!</definedName>
    <definedName name="цена___3___0___5_1" localSheetId="0">#REF!</definedName>
    <definedName name="цена___3___0___5_1">#REF!</definedName>
    <definedName name="цена___3___0_1" localSheetId="18">#REF!</definedName>
    <definedName name="цена___3___0_1" localSheetId="0">#REF!</definedName>
    <definedName name="цена___3___0_1" localSheetId="7">#REF!</definedName>
    <definedName name="цена___3___0_1">#REF!</definedName>
    <definedName name="цена___3___0_1_1">NA()</definedName>
    <definedName name="цена___3___0_3" localSheetId="0">#REF!</definedName>
    <definedName name="цена___3___0_3">#REF!</definedName>
    <definedName name="цена___3___0_3_1" localSheetId="0">#REF!</definedName>
    <definedName name="цена___3___0_3_1">#REF!</definedName>
    <definedName name="цена___3___0_5" localSheetId="0">#REF!</definedName>
    <definedName name="цена___3___0_5">#REF!</definedName>
    <definedName name="цена___3___0_5_1" localSheetId="0">#REF!</definedName>
    <definedName name="цена___3___0_5_1">#REF!</definedName>
    <definedName name="цена___3___10" localSheetId="18">#REF!</definedName>
    <definedName name="цена___3___10" localSheetId="0">#REF!</definedName>
    <definedName name="цена___3___10">#REF!</definedName>
    <definedName name="цена___3___2" localSheetId="18">#REF!</definedName>
    <definedName name="цена___3___2" localSheetId="0">#REF!</definedName>
    <definedName name="цена___3___2">#REF!</definedName>
    <definedName name="цена___3___2_1" localSheetId="0">#REF!</definedName>
    <definedName name="цена___3___2_1">#REF!</definedName>
    <definedName name="цена___3___3" localSheetId="18">#REF!</definedName>
    <definedName name="цена___3___3" localSheetId="0">#REF!</definedName>
    <definedName name="цена___3___3">#REF!</definedName>
    <definedName name="цена___3___3_1" localSheetId="0">#REF!</definedName>
    <definedName name="цена___3___3_1">#REF!</definedName>
    <definedName name="цена___3___4" localSheetId="18">#REF!</definedName>
    <definedName name="цена___3___4" localSheetId="0">#REF!</definedName>
    <definedName name="цена___3___4">#REF!</definedName>
    <definedName name="цена___3___5" localSheetId="0">#REF!</definedName>
    <definedName name="цена___3___5">#REF!</definedName>
    <definedName name="цена___3___5_1" localSheetId="0">#REF!</definedName>
    <definedName name="цена___3___5_1">#REF!</definedName>
    <definedName name="цена___3___6" localSheetId="18">#REF!</definedName>
    <definedName name="цена___3___6" localSheetId="0">#REF!</definedName>
    <definedName name="цена___3___6">#REF!</definedName>
    <definedName name="цена___3___8" localSheetId="18">#REF!</definedName>
    <definedName name="цена___3___8" localSheetId="0">#REF!</definedName>
    <definedName name="цена___3___8">#REF!</definedName>
    <definedName name="цена___3_1" localSheetId="0">#REF!</definedName>
    <definedName name="цена___3_1">#REF!</definedName>
    <definedName name="цена___3_1_1" localSheetId="0">#REF!</definedName>
    <definedName name="цена___3_1_1">#REF!</definedName>
    <definedName name="цена___3_1_1_1" localSheetId="0">#REF!</definedName>
    <definedName name="цена___3_1_1_1">#REF!</definedName>
    <definedName name="цена___3_3">NA()</definedName>
    <definedName name="цена___3_5" localSheetId="0">#REF!</definedName>
    <definedName name="цена___3_5">#REF!</definedName>
    <definedName name="цена___3_5_1" localSheetId="0">#REF!</definedName>
    <definedName name="цена___3_5_1">#REF!</definedName>
    <definedName name="цена___4" localSheetId="18">#REF!</definedName>
    <definedName name="цена___4" localSheetId="0">#REF!</definedName>
    <definedName name="цена___4" localSheetId="7">#REF!</definedName>
    <definedName name="цена___4">#REF!</definedName>
    <definedName name="цена___4___0" localSheetId="18">#REF!</definedName>
    <definedName name="цена___4___0">NA()</definedName>
    <definedName name="цена___4___0___0" localSheetId="18">#REF!</definedName>
    <definedName name="цена___4___0___0" localSheetId="0">#REF!</definedName>
    <definedName name="цена___4___0___0" localSheetId="7">#REF!</definedName>
    <definedName name="цена___4___0___0">#REF!</definedName>
    <definedName name="цена___4___0___0___0" localSheetId="18">#REF!</definedName>
    <definedName name="цена___4___0___0___0" localSheetId="0">#REF!</definedName>
    <definedName name="цена___4___0___0___0" localSheetId="7">#REF!</definedName>
    <definedName name="цена___4___0___0___0">#REF!</definedName>
    <definedName name="цена___4___0___0___0___0" localSheetId="0">#REF!</definedName>
    <definedName name="цена___4___0___0___0___0" localSheetId="7">#REF!</definedName>
    <definedName name="цена___4___0___0___0___0">#REF!</definedName>
    <definedName name="цена___4___0___0___0___0_1" localSheetId="0">#REF!</definedName>
    <definedName name="цена___4___0___0___0___0_1">#REF!</definedName>
    <definedName name="цена___4___0___0___0_1" localSheetId="0">#REF!</definedName>
    <definedName name="цена___4___0___0___0_1">#REF!</definedName>
    <definedName name="цена___4___0___0___1" localSheetId="0">#REF!</definedName>
    <definedName name="цена___4___0___0___1">#REF!</definedName>
    <definedName name="цена___4___0___0___1_1" localSheetId="0">#REF!</definedName>
    <definedName name="цена___4___0___0___1_1">#REF!</definedName>
    <definedName name="цена___4___0___0___5" localSheetId="0">#REF!</definedName>
    <definedName name="цена___4___0___0___5">#REF!</definedName>
    <definedName name="цена___4___0___0___5_1" localSheetId="0">#REF!</definedName>
    <definedName name="цена___4___0___0___5_1">#REF!</definedName>
    <definedName name="цена___4___0___0_1" localSheetId="0">#REF!</definedName>
    <definedName name="цена___4___0___0_1">#REF!</definedName>
    <definedName name="цена___4___0___0_1_1" localSheetId="0">#REF!</definedName>
    <definedName name="цена___4___0___0_1_1">#REF!</definedName>
    <definedName name="цена___4___0___0_1_1_1" localSheetId="0">#REF!</definedName>
    <definedName name="цена___4___0___0_1_1_1">#REF!</definedName>
    <definedName name="цена___4___0___0_5" localSheetId="0">#REF!</definedName>
    <definedName name="цена___4___0___0_5">#REF!</definedName>
    <definedName name="цена___4___0___0_5_1" localSheetId="0">#REF!</definedName>
    <definedName name="цена___4___0___0_5_1">#REF!</definedName>
    <definedName name="цена___4___0___1" localSheetId="0">#REF!</definedName>
    <definedName name="цена___4___0___1">#REF!</definedName>
    <definedName name="цена___4___0___1_1" localSheetId="0">#REF!</definedName>
    <definedName name="цена___4___0___1_1">#REF!</definedName>
    <definedName name="цена___4___0___5">NA()</definedName>
    <definedName name="цена___4___0_1" localSheetId="0">#REF!</definedName>
    <definedName name="цена___4___0_1">#REF!</definedName>
    <definedName name="цена___4___0_1_1" localSheetId="0">#REF!</definedName>
    <definedName name="цена___4___0_1_1">#REF!</definedName>
    <definedName name="цена___4___0_1_1_1" localSheetId="0">#REF!</definedName>
    <definedName name="цена___4___0_1_1_1">#REF!</definedName>
    <definedName name="цена___4___0_3" localSheetId="0">#REF!</definedName>
    <definedName name="цена___4___0_3">#REF!</definedName>
    <definedName name="цена___4___0_3_1" localSheetId="0">#REF!</definedName>
    <definedName name="цена___4___0_3_1">#REF!</definedName>
    <definedName name="цена___4___0_5">NA()</definedName>
    <definedName name="цена___4___1" localSheetId="0">#REF!</definedName>
    <definedName name="цена___4___1">#REF!</definedName>
    <definedName name="цена___4___1_1" localSheetId="0">#REF!</definedName>
    <definedName name="цена___4___1_1">#REF!</definedName>
    <definedName name="цена___4___10" localSheetId="18">#REF!</definedName>
    <definedName name="цена___4___10" localSheetId="0">#REF!</definedName>
    <definedName name="цена___4___10" localSheetId="7">#REF!</definedName>
    <definedName name="цена___4___10">#REF!</definedName>
    <definedName name="цена___4___10_1" localSheetId="0">#REF!</definedName>
    <definedName name="цена___4___10_1">#REF!</definedName>
    <definedName name="цена___4___12" localSheetId="18">#REF!</definedName>
    <definedName name="цена___4___12" localSheetId="0">#REF!</definedName>
    <definedName name="цена___4___12">#REF!</definedName>
    <definedName name="цена___4___2" localSheetId="18">#REF!</definedName>
    <definedName name="цена___4___2" localSheetId="0">#REF!</definedName>
    <definedName name="цена___4___2">#REF!</definedName>
    <definedName name="цена___4___2_1" localSheetId="0">#REF!</definedName>
    <definedName name="цена___4___2_1">#REF!</definedName>
    <definedName name="цена___4___3" localSheetId="18">#REF!</definedName>
    <definedName name="цена___4___3" localSheetId="0">#REF!</definedName>
    <definedName name="цена___4___3">#REF!</definedName>
    <definedName name="цена___4___3_1" localSheetId="0">#REF!</definedName>
    <definedName name="цена___4___3_1">#REF!</definedName>
    <definedName name="цена___4___4" localSheetId="18">#REF!</definedName>
    <definedName name="цена___4___4" localSheetId="0">#REF!</definedName>
    <definedName name="цена___4___4">#REF!</definedName>
    <definedName name="цена___4___4_1" localSheetId="0">#REF!</definedName>
    <definedName name="цена___4___4_1">#REF!</definedName>
    <definedName name="цена___4___5" localSheetId="0">#REF!</definedName>
    <definedName name="цена___4___5">#REF!</definedName>
    <definedName name="цена___4___5_1" localSheetId="0">#REF!</definedName>
    <definedName name="цена___4___5_1">#REF!</definedName>
    <definedName name="цена___4___6" localSheetId="18">#REF!</definedName>
    <definedName name="цена___4___6" localSheetId="0">#REF!</definedName>
    <definedName name="цена___4___6">#REF!</definedName>
    <definedName name="цена___4___6_1" localSheetId="0">#REF!</definedName>
    <definedName name="цена___4___6_1">#REF!</definedName>
    <definedName name="цена___4___8" localSheetId="18">#REF!</definedName>
    <definedName name="цена___4___8" localSheetId="0">#REF!</definedName>
    <definedName name="цена___4___8">#REF!</definedName>
    <definedName name="цена___4___8_1" localSheetId="0">#REF!</definedName>
    <definedName name="цена___4___8_1">#REF!</definedName>
    <definedName name="цена___4_1" localSheetId="0">#REF!</definedName>
    <definedName name="цена___4_1">#REF!</definedName>
    <definedName name="цена___4_1_1" localSheetId="0">#REF!</definedName>
    <definedName name="цена___4_1_1">#REF!</definedName>
    <definedName name="цена___4_1_1_1" localSheetId="0">#REF!</definedName>
    <definedName name="цена___4_1_1_1">#REF!</definedName>
    <definedName name="цена___4_3" localSheetId="0">#REF!</definedName>
    <definedName name="цена___4_3">#REF!</definedName>
    <definedName name="цена___4_3_1" localSheetId="0">#REF!</definedName>
    <definedName name="цена___4_3_1">#REF!</definedName>
    <definedName name="цена___4_5" localSheetId="0">#REF!</definedName>
    <definedName name="цена___4_5">#REF!</definedName>
    <definedName name="цена___4_5_1" localSheetId="0">#REF!</definedName>
    <definedName name="цена___4_5_1">#REF!</definedName>
    <definedName name="цена___5" localSheetId="18">#REF!</definedName>
    <definedName name="цена___5">NA()</definedName>
    <definedName name="цена___5___0" localSheetId="18">#REF!</definedName>
    <definedName name="цена___5___0" localSheetId="0">#REF!</definedName>
    <definedName name="цена___5___0" localSheetId="7">#REF!</definedName>
    <definedName name="цена___5___0">#REF!</definedName>
    <definedName name="цена___5___0___0" localSheetId="18">#REF!</definedName>
    <definedName name="цена___5___0___0" localSheetId="0">#REF!</definedName>
    <definedName name="цена___5___0___0" localSheetId="7">#REF!</definedName>
    <definedName name="цена___5___0___0">#REF!</definedName>
    <definedName name="цена___5___0___0___0" localSheetId="18">#REF!</definedName>
    <definedName name="цена___5___0___0___0" localSheetId="0">#REF!</definedName>
    <definedName name="цена___5___0___0___0" localSheetId="7">#REF!</definedName>
    <definedName name="цена___5___0___0___0">#REF!</definedName>
    <definedName name="цена___5___0___0___0___0" localSheetId="0">#REF!</definedName>
    <definedName name="цена___5___0___0___0___0">#REF!</definedName>
    <definedName name="цена___5___0___0___0___0_1" localSheetId="0">#REF!</definedName>
    <definedName name="цена___5___0___0___0___0_1">#REF!</definedName>
    <definedName name="цена___5___0___0___0_1" localSheetId="0">#REF!</definedName>
    <definedName name="цена___5___0___0___0_1">#REF!</definedName>
    <definedName name="цена___5___0___0_1" localSheetId="0">#REF!</definedName>
    <definedName name="цена___5___0___0_1">#REF!</definedName>
    <definedName name="цена___5___0___1" localSheetId="0">#REF!</definedName>
    <definedName name="цена___5___0___1">#REF!</definedName>
    <definedName name="цена___5___0___1_1" localSheetId="0">#REF!</definedName>
    <definedName name="цена___5___0___1_1">#REF!</definedName>
    <definedName name="цена___5___0___5" localSheetId="0">#REF!</definedName>
    <definedName name="цена___5___0___5">#REF!</definedName>
    <definedName name="цена___5___0___5_1" localSheetId="0">#REF!</definedName>
    <definedName name="цена___5___0___5_1">#REF!</definedName>
    <definedName name="цена___5___0_1" localSheetId="0">#REF!</definedName>
    <definedName name="цена___5___0_1">#REF!</definedName>
    <definedName name="цена___5___0_1_1" localSheetId="0">#REF!</definedName>
    <definedName name="цена___5___0_1_1">#REF!</definedName>
    <definedName name="цена___5___0_1_1_1" localSheetId="0">#REF!</definedName>
    <definedName name="цена___5___0_1_1_1">#REF!</definedName>
    <definedName name="цена___5___0_3" localSheetId="0">#REF!</definedName>
    <definedName name="цена___5___0_3">#REF!</definedName>
    <definedName name="цена___5___0_3_1" localSheetId="0">#REF!</definedName>
    <definedName name="цена___5___0_3_1">#REF!</definedName>
    <definedName name="цена___5___0_5" localSheetId="0">#REF!</definedName>
    <definedName name="цена___5___0_5">#REF!</definedName>
    <definedName name="цена___5___0_5_1" localSheetId="0">#REF!</definedName>
    <definedName name="цена___5___0_5_1">#REF!</definedName>
    <definedName name="цена___5___1" localSheetId="0">#REF!</definedName>
    <definedName name="цена___5___1">#REF!</definedName>
    <definedName name="цена___5___1_1" localSheetId="0">#REF!</definedName>
    <definedName name="цена___5___1_1">#REF!</definedName>
    <definedName name="цена___5___3">NA()</definedName>
    <definedName name="цена___5___5">NA()</definedName>
    <definedName name="цена___5_1" localSheetId="0">#REF!</definedName>
    <definedName name="цена___5_1">#REF!</definedName>
    <definedName name="цена___5_1_1" localSheetId="0">#REF!</definedName>
    <definedName name="цена___5_1_1">#REF!</definedName>
    <definedName name="цена___5_1_1_1" localSheetId="0">#REF!</definedName>
    <definedName name="цена___5_1_1_1">#REF!</definedName>
    <definedName name="цена___5_3">NA()</definedName>
    <definedName name="цена___5_5">NA()</definedName>
    <definedName name="цена___6" localSheetId="18">#REF!</definedName>
    <definedName name="цена___6">NA()</definedName>
    <definedName name="цена___6___0" localSheetId="18">#REF!</definedName>
    <definedName name="цена___6___0" localSheetId="0">#REF!</definedName>
    <definedName name="цена___6___0" localSheetId="7">#REF!</definedName>
    <definedName name="цена___6___0">#REF!</definedName>
    <definedName name="цена___6___0___0" localSheetId="18">#REF!</definedName>
    <definedName name="цена___6___0___0" localSheetId="0">#REF!</definedName>
    <definedName name="цена___6___0___0" localSheetId="7">#REF!</definedName>
    <definedName name="цена___6___0___0">#REF!</definedName>
    <definedName name="цена___6___0___0___0" localSheetId="18">#REF!</definedName>
    <definedName name="цена___6___0___0___0" localSheetId="0">#REF!</definedName>
    <definedName name="цена___6___0___0___0" localSheetId="7">#REF!</definedName>
    <definedName name="цена___6___0___0___0">#REF!</definedName>
    <definedName name="цена___6___0___0___0___0" localSheetId="0">#REF!</definedName>
    <definedName name="цена___6___0___0___0___0">#REF!</definedName>
    <definedName name="цена___6___0___0___0___0_1" localSheetId="0">#REF!</definedName>
    <definedName name="цена___6___0___0___0___0_1">#REF!</definedName>
    <definedName name="цена___6___0___0___0_1" localSheetId="0">#REF!</definedName>
    <definedName name="цена___6___0___0___0_1">#REF!</definedName>
    <definedName name="цена___6___0___0_1" localSheetId="0">#REF!</definedName>
    <definedName name="цена___6___0___0_1">#REF!</definedName>
    <definedName name="цена___6___0___1" localSheetId="0">#REF!</definedName>
    <definedName name="цена___6___0___1">#REF!</definedName>
    <definedName name="цена___6___0___1_1" localSheetId="0">#REF!</definedName>
    <definedName name="цена___6___0___1_1">#REF!</definedName>
    <definedName name="цена___6___0___5" localSheetId="0">#REF!</definedName>
    <definedName name="цена___6___0___5">#REF!</definedName>
    <definedName name="цена___6___0___5_1" localSheetId="0">#REF!</definedName>
    <definedName name="цена___6___0___5_1">#REF!</definedName>
    <definedName name="цена___6___0_1" localSheetId="0">#REF!</definedName>
    <definedName name="цена___6___0_1">#REF!</definedName>
    <definedName name="цена___6___0_1_1" localSheetId="0">#REF!</definedName>
    <definedName name="цена___6___0_1_1">#REF!</definedName>
    <definedName name="цена___6___0_1_1_1" localSheetId="0">#REF!</definedName>
    <definedName name="цена___6___0_1_1_1">#REF!</definedName>
    <definedName name="цена___6___0_3" localSheetId="0">#REF!</definedName>
    <definedName name="цена___6___0_3">#REF!</definedName>
    <definedName name="цена___6___0_3_1" localSheetId="0">#REF!</definedName>
    <definedName name="цена___6___0_3_1">#REF!</definedName>
    <definedName name="цена___6___0_5" localSheetId="0">#REF!</definedName>
    <definedName name="цена___6___0_5">#REF!</definedName>
    <definedName name="цена___6___0_5_1" localSheetId="0">#REF!</definedName>
    <definedName name="цена___6___0_5_1">#REF!</definedName>
    <definedName name="цена___6___1" localSheetId="18">#REF!</definedName>
    <definedName name="цена___6___1" localSheetId="0">#REF!</definedName>
    <definedName name="цена___6___1">#REF!</definedName>
    <definedName name="цена___6___10" localSheetId="18">#REF!</definedName>
    <definedName name="цена___6___10" localSheetId="0">#REF!</definedName>
    <definedName name="цена___6___10">#REF!</definedName>
    <definedName name="цена___6___10_1" localSheetId="0">#REF!</definedName>
    <definedName name="цена___6___10_1">#REF!</definedName>
    <definedName name="цена___6___12" localSheetId="18">#REF!</definedName>
    <definedName name="цена___6___12" localSheetId="0">#REF!</definedName>
    <definedName name="цена___6___12">#REF!</definedName>
    <definedName name="цена___6___2" localSheetId="18">#REF!</definedName>
    <definedName name="цена___6___2" localSheetId="0">#REF!</definedName>
    <definedName name="цена___6___2">#REF!</definedName>
    <definedName name="цена___6___2_1" localSheetId="0">#REF!</definedName>
    <definedName name="цена___6___2_1">#REF!</definedName>
    <definedName name="цена___6___4" localSheetId="18">#REF!</definedName>
    <definedName name="цена___6___4" localSheetId="0">#REF!</definedName>
    <definedName name="цена___6___4">#REF!</definedName>
    <definedName name="цена___6___4_1" localSheetId="0">#REF!</definedName>
    <definedName name="цена___6___4_1">#REF!</definedName>
    <definedName name="цена___6___5">NA()</definedName>
    <definedName name="цена___6___6" localSheetId="18">#REF!</definedName>
    <definedName name="цена___6___6" localSheetId="0">#REF!</definedName>
    <definedName name="цена___6___6" localSheetId="7">#REF!</definedName>
    <definedName name="цена___6___6">#REF!</definedName>
    <definedName name="цена___6___6_1" localSheetId="0">#REF!</definedName>
    <definedName name="цена___6___6_1" localSheetId="7">#REF!</definedName>
    <definedName name="цена___6___6_1">#REF!</definedName>
    <definedName name="цена___6___8" localSheetId="18">#REF!</definedName>
    <definedName name="цена___6___8" localSheetId="0">#REF!</definedName>
    <definedName name="цена___6___8" localSheetId="7">#REF!</definedName>
    <definedName name="цена___6___8">#REF!</definedName>
    <definedName name="цена___6___8_1" localSheetId="0">#REF!</definedName>
    <definedName name="цена___6___8_1">#REF!</definedName>
    <definedName name="цена___6_1" localSheetId="0">#REF!</definedName>
    <definedName name="цена___6_1">#REF!</definedName>
    <definedName name="цена___6_1_1" localSheetId="0">#REF!</definedName>
    <definedName name="цена___6_1_1">#REF!</definedName>
    <definedName name="цена___6_1_1_1" localSheetId="0">#REF!</definedName>
    <definedName name="цена___6_1_1_1">#REF!</definedName>
    <definedName name="цена___6_3" localSheetId="0">#REF!</definedName>
    <definedName name="цена___6_3">#REF!</definedName>
    <definedName name="цена___6_3_1" localSheetId="0">#REF!</definedName>
    <definedName name="цена___6_3_1">#REF!</definedName>
    <definedName name="цена___6_5">NA()</definedName>
    <definedName name="цена___7" localSheetId="18">#REF!</definedName>
    <definedName name="цена___7" localSheetId="0">#REF!</definedName>
    <definedName name="цена___7" localSheetId="7">#REF!</definedName>
    <definedName name="цена___7">#REF!</definedName>
    <definedName name="цена___7___0" localSheetId="18">#REF!</definedName>
    <definedName name="цена___7___0" localSheetId="0">#REF!</definedName>
    <definedName name="цена___7___0" localSheetId="7">#REF!</definedName>
    <definedName name="цена___7___0">#REF!</definedName>
    <definedName name="цена___7___10" localSheetId="18">#REF!</definedName>
    <definedName name="цена___7___10" localSheetId="0">#REF!</definedName>
    <definedName name="цена___7___10" localSheetId="7">#REF!</definedName>
    <definedName name="цена___7___10">#REF!</definedName>
    <definedName name="цена___7___2" localSheetId="18">#REF!</definedName>
    <definedName name="цена___7___2" localSheetId="0">#REF!</definedName>
    <definedName name="цена___7___2">#REF!</definedName>
    <definedName name="цена___7___4" localSheetId="18">#REF!</definedName>
    <definedName name="цена___7___4" localSheetId="0">#REF!</definedName>
    <definedName name="цена___7___4">#REF!</definedName>
    <definedName name="цена___7___6" localSheetId="18">#REF!</definedName>
    <definedName name="цена___7___6" localSheetId="0">#REF!</definedName>
    <definedName name="цена___7___6">#REF!</definedName>
    <definedName name="цена___7___8" localSheetId="18">#REF!</definedName>
    <definedName name="цена___7___8" localSheetId="0">#REF!</definedName>
    <definedName name="цена___7___8">#REF!</definedName>
    <definedName name="цена___7_1" localSheetId="0">#REF!</definedName>
    <definedName name="цена___7_1">#REF!</definedName>
    <definedName name="цена___8" localSheetId="18">#REF!</definedName>
    <definedName name="цена___8" localSheetId="0">#REF!</definedName>
    <definedName name="цена___8">#REF!</definedName>
    <definedName name="цена___8___0" localSheetId="18">#REF!</definedName>
    <definedName name="цена___8___0" localSheetId="0">#REF!</definedName>
    <definedName name="цена___8___0">#REF!</definedName>
    <definedName name="цена___8___0___0" localSheetId="18">#REF!</definedName>
    <definedName name="цена___8___0___0" localSheetId="0">#REF!</definedName>
    <definedName name="цена___8___0___0">#REF!</definedName>
    <definedName name="цена___8___0___0___0" localSheetId="18">#REF!</definedName>
    <definedName name="цена___8___0___0___0" localSheetId="0">#REF!</definedName>
    <definedName name="цена___8___0___0___0">#REF!</definedName>
    <definedName name="цена___8___0___0___0___0" localSheetId="0">#REF!</definedName>
    <definedName name="цена___8___0___0___0___0">#REF!</definedName>
    <definedName name="цена___8___0___0___0___0_1" localSheetId="0">#REF!</definedName>
    <definedName name="цена___8___0___0___0___0_1">#REF!</definedName>
    <definedName name="цена___8___0___0___0_1" localSheetId="0">#REF!</definedName>
    <definedName name="цена___8___0___0___0_1">#REF!</definedName>
    <definedName name="цена___8___0___0_1" localSheetId="0">#REF!</definedName>
    <definedName name="цена___8___0___0_1">#REF!</definedName>
    <definedName name="цена___8___0___1" localSheetId="0">#REF!</definedName>
    <definedName name="цена___8___0___1">#REF!</definedName>
    <definedName name="цена___8___0___1_1" localSheetId="0">#REF!</definedName>
    <definedName name="цена___8___0___1_1">#REF!</definedName>
    <definedName name="цена___8___0___5" localSheetId="0">#REF!</definedName>
    <definedName name="цена___8___0___5">#REF!</definedName>
    <definedName name="цена___8___0___5_1" localSheetId="0">#REF!</definedName>
    <definedName name="цена___8___0___5_1">#REF!</definedName>
    <definedName name="цена___8___0_1" localSheetId="0">#REF!</definedName>
    <definedName name="цена___8___0_1">#REF!</definedName>
    <definedName name="цена___8___0_1_1" localSheetId="0">#REF!</definedName>
    <definedName name="цена___8___0_1_1">#REF!</definedName>
    <definedName name="цена___8___0_1_1_1" localSheetId="0">#REF!</definedName>
    <definedName name="цена___8___0_1_1_1">#REF!</definedName>
    <definedName name="цена___8___0_3" localSheetId="0">#REF!</definedName>
    <definedName name="цена___8___0_3">#REF!</definedName>
    <definedName name="цена___8___0_3_1" localSheetId="0">#REF!</definedName>
    <definedName name="цена___8___0_3_1">#REF!</definedName>
    <definedName name="цена___8___0_5" localSheetId="0">#REF!</definedName>
    <definedName name="цена___8___0_5">#REF!</definedName>
    <definedName name="цена___8___0_5_1" localSheetId="0">#REF!</definedName>
    <definedName name="цена___8___0_5_1">#REF!</definedName>
    <definedName name="цена___8___1" localSheetId="18">#REF!</definedName>
    <definedName name="цена___8___1" localSheetId="0">#REF!</definedName>
    <definedName name="цена___8___1">#REF!</definedName>
    <definedName name="цена___8___10" localSheetId="18">#REF!</definedName>
    <definedName name="цена___8___10" localSheetId="0">#REF!</definedName>
    <definedName name="цена___8___10">#REF!</definedName>
    <definedName name="цена___8___10_1" localSheetId="0">#REF!</definedName>
    <definedName name="цена___8___10_1">#REF!</definedName>
    <definedName name="цена___8___12" localSheetId="18">#REF!</definedName>
    <definedName name="цена___8___12" localSheetId="0">#REF!</definedName>
    <definedName name="цена___8___12">#REF!</definedName>
    <definedName name="цена___8___2" localSheetId="18">#REF!</definedName>
    <definedName name="цена___8___2" localSheetId="0">#REF!</definedName>
    <definedName name="цена___8___2">#REF!</definedName>
    <definedName name="цена___8___2_1" localSheetId="0">#REF!</definedName>
    <definedName name="цена___8___2_1">#REF!</definedName>
    <definedName name="цена___8___4" localSheetId="18">#REF!</definedName>
    <definedName name="цена___8___4" localSheetId="0">#REF!</definedName>
    <definedName name="цена___8___4">#REF!</definedName>
    <definedName name="цена___8___4_1" localSheetId="0">#REF!</definedName>
    <definedName name="цена___8___4_1">#REF!</definedName>
    <definedName name="цена___8___5" localSheetId="0">#REF!</definedName>
    <definedName name="цена___8___5">#REF!</definedName>
    <definedName name="цена___8___5_1" localSheetId="0">#REF!</definedName>
    <definedName name="цена___8___5_1">#REF!</definedName>
    <definedName name="цена___8___6" localSheetId="18">#REF!</definedName>
    <definedName name="цена___8___6" localSheetId="0">#REF!</definedName>
    <definedName name="цена___8___6">#REF!</definedName>
    <definedName name="цена___8___6_1" localSheetId="0">#REF!</definedName>
    <definedName name="цена___8___6_1">#REF!</definedName>
    <definedName name="цена___8___8" localSheetId="18">#REF!</definedName>
    <definedName name="цена___8___8" localSheetId="0">#REF!</definedName>
    <definedName name="цена___8___8">#REF!</definedName>
    <definedName name="цена___8___8_1" localSheetId="0">#REF!</definedName>
    <definedName name="цена___8___8_1">#REF!</definedName>
    <definedName name="цена___8_1" localSheetId="0">#REF!</definedName>
    <definedName name="цена___8_1">#REF!</definedName>
    <definedName name="цена___8_1_1" localSheetId="0">#REF!</definedName>
    <definedName name="цена___8_1_1">#REF!</definedName>
    <definedName name="цена___8_1_1_1" localSheetId="0">#REF!</definedName>
    <definedName name="цена___8_1_1_1">#REF!</definedName>
    <definedName name="цена___8_3" localSheetId="0">#REF!</definedName>
    <definedName name="цена___8_3">#REF!</definedName>
    <definedName name="цена___8_3_1" localSheetId="0">#REF!</definedName>
    <definedName name="цена___8_3_1">#REF!</definedName>
    <definedName name="цена___8_5" localSheetId="0">#REF!</definedName>
    <definedName name="цена___8_5">#REF!</definedName>
    <definedName name="цена___8_5_1" localSheetId="0">#REF!</definedName>
    <definedName name="цена___8_5_1">#REF!</definedName>
    <definedName name="цена___9" localSheetId="18">#REF!</definedName>
    <definedName name="цена___9" localSheetId="0">#REF!</definedName>
    <definedName name="цена___9">#REF!</definedName>
    <definedName name="цена___9___0" localSheetId="18">#REF!</definedName>
    <definedName name="цена___9___0" localSheetId="0">#REF!</definedName>
    <definedName name="цена___9___0">#REF!</definedName>
    <definedName name="цена___9___0___0" localSheetId="18">#REF!</definedName>
    <definedName name="цена___9___0___0" localSheetId="0">#REF!</definedName>
    <definedName name="цена___9___0___0">#REF!</definedName>
    <definedName name="цена___9___0___0___0" localSheetId="18">#REF!</definedName>
    <definedName name="цена___9___0___0___0" localSheetId="0">#REF!</definedName>
    <definedName name="цена___9___0___0___0">#REF!</definedName>
    <definedName name="цена___9___0___0___0___0" localSheetId="0">#REF!</definedName>
    <definedName name="цена___9___0___0___0___0">#REF!</definedName>
    <definedName name="цена___9___0___0___0___0_1" localSheetId="0">#REF!</definedName>
    <definedName name="цена___9___0___0___0___0_1">#REF!</definedName>
    <definedName name="цена___9___0___0___0_1" localSheetId="0">#REF!</definedName>
    <definedName name="цена___9___0___0___0_1">#REF!</definedName>
    <definedName name="цена___9___0___0_1" localSheetId="0">#REF!</definedName>
    <definedName name="цена___9___0___0_1">#REF!</definedName>
    <definedName name="цена___9___0___5" localSheetId="0">#REF!</definedName>
    <definedName name="цена___9___0___5">#REF!</definedName>
    <definedName name="цена___9___0___5_1" localSheetId="0">#REF!</definedName>
    <definedName name="цена___9___0___5_1">#REF!</definedName>
    <definedName name="цена___9___0_1" localSheetId="0">#REF!</definedName>
    <definedName name="цена___9___0_1">#REF!</definedName>
    <definedName name="цена___9___0_5" localSheetId="0">#REF!</definedName>
    <definedName name="цена___9___0_5">#REF!</definedName>
    <definedName name="цена___9___0_5_1" localSheetId="0">#REF!</definedName>
    <definedName name="цена___9___0_5_1">#REF!</definedName>
    <definedName name="цена___9___10" localSheetId="18">#REF!</definedName>
    <definedName name="цена___9___10" localSheetId="0">#REF!</definedName>
    <definedName name="цена___9___10">#REF!</definedName>
    <definedName name="цена___9___2" localSheetId="18">#REF!</definedName>
    <definedName name="цена___9___2" localSheetId="0">#REF!</definedName>
    <definedName name="цена___9___2">#REF!</definedName>
    <definedName name="цена___9___4" localSheetId="18">#REF!</definedName>
    <definedName name="цена___9___4" localSheetId="0">#REF!</definedName>
    <definedName name="цена___9___4">#REF!</definedName>
    <definedName name="цена___9___5" localSheetId="0">#REF!</definedName>
    <definedName name="цена___9___5">#REF!</definedName>
    <definedName name="цена___9___5_1" localSheetId="0">#REF!</definedName>
    <definedName name="цена___9___5_1">#REF!</definedName>
    <definedName name="цена___9___6" localSheetId="18">#REF!</definedName>
    <definedName name="цена___9___6" localSheetId="0">#REF!</definedName>
    <definedName name="цена___9___6">#REF!</definedName>
    <definedName name="цена___9___8" localSheetId="18">#REF!</definedName>
    <definedName name="цена___9___8" localSheetId="0">#REF!</definedName>
    <definedName name="цена___9___8">#REF!</definedName>
    <definedName name="цена___9_1" localSheetId="0">#REF!</definedName>
    <definedName name="цена___9_1">#REF!</definedName>
    <definedName name="цена___9_1_1" localSheetId="0">#REF!</definedName>
    <definedName name="цена___9_1_1">#REF!</definedName>
    <definedName name="цена___9_1_1_1" localSheetId="0">#REF!</definedName>
    <definedName name="цена___9_1_1_1">#REF!</definedName>
    <definedName name="цена___9_3" localSheetId="0">#REF!</definedName>
    <definedName name="цена___9_3">#REF!</definedName>
    <definedName name="цена___9_3_1" localSheetId="0">#REF!</definedName>
    <definedName name="цена___9_3_1">#REF!</definedName>
    <definedName name="цена___9_5" localSheetId="0">#REF!</definedName>
    <definedName name="цена___9_5">#REF!</definedName>
    <definedName name="цена___9_5_1" localSheetId="0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8">#REF!</definedName>
    <definedName name="Цена1" localSheetId="0">#REF!</definedName>
    <definedName name="Цена1" localSheetId="7">#REF!</definedName>
    <definedName name="Цена1">#REF!</definedName>
    <definedName name="ЦенаМашБур" localSheetId="18">[28]СмМашБур!#REF!</definedName>
    <definedName name="ЦенаМашБур" localSheetId="0">[28]СмМашБур!#REF!</definedName>
    <definedName name="ЦенаМашБур" localSheetId="7">[28]СмМашБур!#REF!</definedName>
    <definedName name="ЦенаМашБур">[28]СмМашБур!#REF!</definedName>
    <definedName name="ЦенаОбслед">[28]ОбмОбслЗемОд!$F$62</definedName>
    <definedName name="ЦенаРучБур" localSheetId="18">[28]СмРучБур!#REF!</definedName>
    <definedName name="ЦенаРучБур" localSheetId="0">[28]СмРучБур!#REF!</definedName>
    <definedName name="ЦенаРучБур" localSheetId="7">[28]СмРучБур!#REF!</definedName>
    <definedName name="ЦенаРучБур">[28]СмРучБур!#REF!</definedName>
    <definedName name="ЦенаШурфов" localSheetId="18">#REF!</definedName>
    <definedName name="ЦенаШурфов" localSheetId="0">#REF!</definedName>
    <definedName name="ЦенаШурфов" localSheetId="7">#REF!</definedName>
    <definedName name="ЦенаШурфов">#REF!</definedName>
    <definedName name="цуе" localSheetId="18" hidden="1">{#N/A,#N/A,TRUE,"Смета на пасс. обор. №1"}</definedName>
    <definedName name="цуе" localSheetId="0" hidden="1">{#N/A,#N/A,TRUE,"Смета на пасс. обор. №1"}</definedName>
    <definedName name="цуе" localSheetId="7" hidden="1">{#N/A,#N/A,TRUE,"Смета на пасс. обор. №1"}</definedName>
    <definedName name="цуе" hidden="1">{#N/A,#N/A,TRUE,"Смета на пасс. обор. №1"}</definedName>
    <definedName name="цук" localSheetId="18">#REF!</definedName>
    <definedName name="цук" localSheetId="0">#REF!</definedName>
    <definedName name="цук" localSheetId="7">#REF!</definedName>
    <definedName name="цук">#REF!</definedName>
    <definedName name="ццц" localSheetId="0">#REF!</definedName>
    <definedName name="ццц" localSheetId="7">#REF!</definedName>
    <definedName name="ццц">#REF!</definedName>
    <definedName name="цы" localSheetId="0">#REF!</definedName>
    <definedName name="цы" localSheetId="7">#REF!</definedName>
    <definedName name="цы">#REF!</definedName>
    <definedName name="цы_1" localSheetId="0">#REF!</definedName>
    <definedName name="цы_1">#REF!</definedName>
    <definedName name="ч" localSheetId="18" hidden="1">{#N/A,#N/A,TRUE,"Смета на пасс. обор. №1"}</definedName>
    <definedName name="ч" localSheetId="0" hidden="1">{#N/A,#N/A,TRUE,"Смета на пасс. обор. №1"}</definedName>
    <definedName name="ч" localSheetId="7" hidden="1">{#N/A,#N/A,TRUE,"Смета на пасс. обор. №1"}</definedName>
    <definedName name="ч" hidden="1">{#N/A,#N/A,TRUE,"Смета на пасс. обор. №1"}</definedName>
    <definedName name="ч_1" localSheetId="18" hidden="1">{#N/A,#N/A,TRUE,"Смета на пасс. обор. №1"}</definedName>
    <definedName name="ч_1" localSheetId="0" hidden="1">{#N/A,#N/A,TRUE,"Смета на пасс. обор. №1"}</definedName>
    <definedName name="ч_1" localSheetId="7" hidden="1">{#N/A,#N/A,TRUE,"Смета на пасс. обор. №1"}</definedName>
    <definedName name="ч_1" hidden="1">{#N/A,#N/A,TRUE,"Смета на пасс. обор. №1"}</definedName>
    <definedName name="чс" localSheetId="18">#REF!</definedName>
    <definedName name="чс" localSheetId="0">#REF!</definedName>
    <definedName name="чс" localSheetId="7">#REF!</definedName>
    <definedName name="чс">#REF!</definedName>
    <definedName name="чсипа" localSheetId="18">[3]топография!#REF!</definedName>
    <definedName name="чсипа" localSheetId="0">[3]топография!#REF!</definedName>
    <definedName name="чсипа" localSheetId="7">[3]топография!#REF!</definedName>
    <definedName name="чсипа">[3]топография!#REF!</definedName>
    <definedName name="чть" localSheetId="18">#REF!</definedName>
    <definedName name="чть" localSheetId="0">#REF!</definedName>
    <definedName name="чть" localSheetId="7">#REF!</definedName>
    <definedName name="чть">#REF!</definedName>
    <definedName name="ш" localSheetId="18" hidden="1">{#N/A,#N/A,TRUE,"Смета на пасс. обор. №1"}</definedName>
    <definedName name="ш" localSheetId="0" hidden="1">{#N/A,#N/A,TRUE,"Смета на пасс. обор. №1"}</definedName>
    <definedName name="ш" localSheetId="7" hidden="1">{#N/A,#N/A,TRUE,"Смета на пасс. обор. №1"}</definedName>
    <definedName name="ш" hidden="1">{#N/A,#N/A,TRUE,"Смета на пасс. обор. №1"}</definedName>
    <definedName name="ш_1" localSheetId="18" hidden="1">{#N/A,#N/A,TRUE,"Смета на пасс. обор. №1"}</definedName>
    <definedName name="ш_1" localSheetId="0" hidden="1">{#N/A,#N/A,TRUE,"Смета на пасс. обор. №1"}</definedName>
    <definedName name="ш_1" localSheetId="7" hidden="1">{#N/A,#N/A,TRUE,"Смета на пасс. обор. №1"}</definedName>
    <definedName name="ш_1" hidden="1">{#N/A,#N/A,TRUE,"Смета на пасс. обор. №1"}</definedName>
    <definedName name="шгнкушгрдаы" localSheetId="18">#REF!</definedName>
    <definedName name="шгнкушгрдаы" localSheetId="0">#REF!</definedName>
    <definedName name="шгнкушгрдаы" localSheetId="7">#REF!</definedName>
    <definedName name="шгнкушгрдаы">#REF!</definedName>
    <definedName name="шгфуждлоэзшщ\ыфтм" localSheetId="18">#REF!</definedName>
    <definedName name="шгфуждлоэзшщ\ыфтм" localSheetId="0">#REF!</definedName>
    <definedName name="шгфуждлоэзшщ\ыфтм" localSheetId="7">#REF!</definedName>
    <definedName name="шгфуждлоэзшщ\ыфтм">#REF!</definedName>
    <definedName name="Шесть" localSheetId="0">#REF!</definedName>
    <definedName name="Шесть" localSheetId="7">#REF!</definedName>
    <definedName name="Шесть">#REF!</definedName>
    <definedName name="щщ" localSheetId="18">#REF!</definedName>
    <definedName name="щщ" localSheetId="0">#REF!</definedName>
    <definedName name="щщ">#REF!</definedName>
    <definedName name="ъхз" localSheetId="18">#REF!</definedName>
    <definedName name="ъхз" localSheetId="0">#REF!</definedName>
    <definedName name="ъхз">#REF!</definedName>
    <definedName name="ы" localSheetId="18" hidden="1">{#N/A,#N/A,TRUE,"Смета на пасс. обор. №1"}</definedName>
    <definedName name="ы" localSheetId="0" hidden="1">{#N/A,#N/A,TRUE,"Смета на пасс. обор. №1"}</definedName>
    <definedName name="ы" localSheetId="7" hidden="1">{#N/A,#N/A,TRUE,"Смета на пасс. обор. №1"}</definedName>
    <definedName name="ы" hidden="1">{#N/A,#N/A,TRUE,"Смета на пасс. обор. №1"}</definedName>
    <definedName name="ы_1" localSheetId="18" hidden="1">{#N/A,#N/A,TRUE,"Смета на пасс. обор. №1"}</definedName>
    <definedName name="ы_1" localSheetId="0" hidden="1">{#N/A,#N/A,TRUE,"Смета на пасс. обор. №1"}</definedName>
    <definedName name="ы_1" localSheetId="7" hidden="1">{#N/A,#N/A,TRUE,"Смета на пасс. обор. №1"}</definedName>
    <definedName name="ы_1" hidden="1">{#N/A,#N/A,TRUE,"Смета на пасс. обор. №1"}</definedName>
    <definedName name="ЫВGGGGGGGGGGGGGGG" localSheetId="18">#REF!</definedName>
    <definedName name="ЫВGGGGGGGGGGGGGGG" localSheetId="0">#REF!</definedName>
    <definedName name="ЫВGGGGGGGGGGGGGGG" localSheetId="7">#REF!</definedName>
    <definedName name="ЫВGGGGGGGGGGGGGGG">#REF!</definedName>
    <definedName name="ыва" localSheetId="18" hidden="1">{#N/A,#N/A,TRUE,"Смета на пасс. обор. №1"}</definedName>
    <definedName name="ыва" localSheetId="0" hidden="1">{#N/A,#N/A,TRUE,"Смета на пасс. обор. №1"}</definedName>
    <definedName name="ыва" localSheetId="7" hidden="1">{#N/A,#N/A,TRUE,"Смета на пасс. обор. №1"}</definedName>
    <definedName name="ыва" hidden="1">{#N/A,#N/A,TRUE,"Смета на пасс. обор. №1"}</definedName>
    <definedName name="ыва_1" localSheetId="18" hidden="1">{#N/A,#N/A,TRUE,"Смета на пасс. обор. №1"}</definedName>
    <definedName name="ыва_1" localSheetId="0" hidden="1">{#N/A,#N/A,TRUE,"Смета на пасс. обор. №1"}</definedName>
    <definedName name="ыва_1" localSheetId="7" hidden="1">{#N/A,#N/A,TRUE,"Смета на пасс. обор. №1"}</definedName>
    <definedName name="ыва_1" hidden="1">{#N/A,#N/A,TRUE,"Смета на пасс. обор. №1"}</definedName>
    <definedName name="ыы" localSheetId="18">#REF!</definedName>
    <definedName name="ыы" localSheetId="0">#REF!</definedName>
    <definedName name="ыы" localSheetId="7">#REF!</definedName>
    <definedName name="ыы">#REF!</definedName>
    <definedName name="ыы_1" localSheetId="18">#REF!</definedName>
    <definedName name="ыы_1" localSheetId="0">#REF!</definedName>
    <definedName name="ыы_1" localSheetId="7">#REF!</definedName>
    <definedName name="ыы_1">#REF!</definedName>
    <definedName name="ыы_10" localSheetId="18">#REF!</definedName>
    <definedName name="ыы_10" localSheetId="0">#REF!</definedName>
    <definedName name="ыы_10" localSheetId="7">#REF!</definedName>
    <definedName name="ыы_10">#REF!</definedName>
    <definedName name="ыы_11" localSheetId="18">#REF!</definedName>
    <definedName name="ыы_11" localSheetId="0">#REF!</definedName>
    <definedName name="ыы_11">#REF!</definedName>
    <definedName name="ыы_12" localSheetId="18">#REF!</definedName>
    <definedName name="ыы_12" localSheetId="0">#REF!</definedName>
    <definedName name="ыы_12">#REF!</definedName>
    <definedName name="ыы_13" localSheetId="18">#REF!</definedName>
    <definedName name="ыы_13" localSheetId="0">#REF!</definedName>
    <definedName name="ыы_13">#REF!</definedName>
    <definedName name="ыы_14" localSheetId="18">#REF!</definedName>
    <definedName name="ыы_14" localSheetId="0">#REF!</definedName>
    <definedName name="ыы_14">#REF!</definedName>
    <definedName name="ыы_15" localSheetId="18">#REF!</definedName>
    <definedName name="ыы_15" localSheetId="0">#REF!</definedName>
    <definedName name="ыы_15">#REF!</definedName>
    <definedName name="ыы_16" localSheetId="18">#REF!</definedName>
    <definedName name="ыы_16" localSheetId="0">#REF!</definedName>
    <definedName name="ыы_16">#REF!</definedName>
    <definedName name="ыы_17" localSheetId="18">#REF!</definedName>
    <definedName name="ыы_17" localSheetId="0">#REF!</definedName>
    <definedName name="ыы_17">#REF!</definedName>
    <definedName name="ыы_18" localSheetId="18">#REF!</definedName>
    <definedName name="ыы_18" localSheetId="0">#REF!</definedName>
    <definedName name="ыы_18">#REF!</definedName>
    <definedName name="ыы_19" localSheetId="18">#REF!</definedName>
    <definedName name="ыы_19" localSheetId="0">#REF!</definedName>
    <definedName name="ыы_19">#REF!</definedName>
    <definedName name="ыы_2" localSheetId="18">#REF!</definedName>
    <definedName name="ыы_2" localSheetId="0">#REF!</definedName>
    <definedName name="ыы_2">#REF!</definedName>
    <definedName name="ыы_20" localSheetId="18">#REF!</definedName>
    <definedName name="ыы_20" localSheetId="0">#REF!</definedName>
    <definedName name="ыы_20">#REF!</definedName>
    <definedName name="ыы_21" localSheetId="18">#REF!</definedName>
    <definedName name="ыы_21" localSheetId="0">#REF!</definedName>
    <definedName name="ыы_21">#REF!</definedName>
    <definedName name="ыы_49" localSheetId="18">#REF!</definedName>
    <definedName name="ыы_49" localSheetId="0">#REF!</definedName>
    <definedName name="ыы_49">#REF!</definedName>
    <definedName name="ыы_50" localSheetId="18">#REF!</definedName>
    <definedName name="ыы_50" localSheetId="0">#REF!</definedName>
    <definedName name="ыы_50">#REF!</definedName>
    <definedName name="ыы_51" localSheetId="18">#REF!</definedName>
    <definedName name="ыы_51" localSheetId="0">#REF!</definedName>
    <definedName name="ыы_51">#REF!</definedName>
    <definedName name="ыы_52" localSheetId="18">#REF!</definedName>
    <definedName name="ыы_52" localSheetId="0">#REF!</definedName>
    <definedName name="ыы_52">#REF!</definedName>
    <definedName name="ыы_53" localSheetId="18">#REF!</definedName>
    <definedName name="ыы_53" localSheetId="0">#REF!</definedName>
    <definedName name="ыы_53">#REF!</definedName>
    <definedName name="ыы_54" localSheetId="18">#REF!</definedName>
    <definedName name="ыы_54" localSheetId="0">#REF!</definedName>
    <definedName name="ыы_54">#REF!</definedName>
    <definedName name="ыы_6" localSheetId="18">#REF!</definedName>
    <definedName name="ыы_6" localSheetId="0">#REF!</definedName>
    <definedName name="ыы_6">#REF!</definedName>
    <definedName name="ыы_7" localSheetId="18">#REF!</definedName>
    <definedName name="ыы_7" localSheetId="0">#REF!</definedName>
    <definedName name="ыы_7">#REF!</definedName>
    <definedName name="ыы_8" localSheetId="18">#REF!</definedName>
    <definedName name="ыы_8" localSheetId="0">#REF!</definedName>
    <definedName name="ыы_8">#REF!</definedName>
    <definedName name="ыы_9" localSheetId="18">#REF!</definedName>
    <definedName name="ыы_9" localSheetId="0">#REF!</definedName>
    <definedName name="ыы_9">#REF!</definedName>
    <definedName name="ыыы" localSheetId="18">#REF!</definedName>
    <definedName name="ыыы" localSheetId="0">#REF!</definedName>
    <definedName name="ыыы">#REF!</definedName>
    <definedName name="э1" localSheetId="18">#REF!</definedName>
    <definedName name="э1" localSheetId="0">#REF!</definedName>
    <definedName name="э1">#REF!</definedName>
    <definedName name="эж" localSheetId="18">#REF!</definedName>
    <definedName name="эж" localSheetId="0">#REF!</definedName>
    <definedName name="эж">#REF!</definedName>
    <definedName name="эж_1" localSheetId="18">#REF!</definedName>
    <definedName name="эж_1" localSheetId="0">#REF!</definedName>
    <definedName name="эж_1">#REF!</definedName>
    <definedName name="эж_10" localSheetId="18">#REF!</definedName>
    <definedName name="эж_10" localSheetId="0">#REF!</definedName>
    <definedName name="эж_10">#REF!</definedName>
    <definedName name="эж_11" localSheetId="18">#REF!</definedName>
    <definedName name="эж_11" localSheetId="0">#REF!</definedName>
    <definedName name="эж_11">#REF!</definedName>
    <definedName name="эж_12" localSheetId="18">#REF!</definedName>
    <definedName name="эж_12" localSheetId="0">#REF!</definedName>
    <definedName name="эж_12">#REF!</definedName>
    <definedName name="эж_13" localSheetId="18">#REF!</definedName>
    <definedName name="эж_13" localSheetId="0">#REF!</definedName>
    <definedName name="эж_13">#REF!</definedName>
    <definedName name="эж_14" localSheetId="18">#REF!</definedName>
    <definedName name="эж_14" localSheetId="0">#REF!</definedName>
    <definedName name="эж_14">#REF!</definedName>
    <definedName name="эж_15" localSheetId="18">#REF!</definedName>
    <definedName name="эж_15" localSheetId="0">#REF!</definedName>
    <definedName name="эж_15">#REF!</definedName>
    <definedName name="эж_16" localSheetId="18">#REF!</definedName>
    <definedName name="эж_16" localSheetId="0">#REF!</definedName>
    <definedName name="эж_16">#REF!</definedName>
    <definedName name="эж_17" localSheetId="18">#REF!</definedName>
    <definedName name="эж_17" localSheetId="0">#REF!</definedName>
    <definedName name="эж_17">#REF!</definedName>
    <definedName name="эж_18" localSheetId="18">#REF!</definedName>
    <definedName name="эж_18" localSheetId="0">#REF!</definedName>
    <definedName name="эж_18">#REF!</definedName>
    <definedName name="эж_19" localSheetId="18">#REF!</definedName>
    <definedName name="эж_19" localSheetId="0">#REF!</definedName>
    <definedName name="эж_19">#REF!</definedName>
    <definedName name="эж_2" localSheetId="18">#REF!</definedName>
    <definedName name="эж_2" localSheetId="0">#REF!</definedName>
    <definedName name="эж_2">#REF!</definedName>
    <definedName name="эж_20" localSheetId="18">#REF!</definedName>
    <definedName name="эж_20" localSheetId="0">#REF!</definedName>
    <definedName name="эж_20">#REF!</definedName>
    <definedName name="эж_21" localSheetId="18">#REF!</definedName>
    <definedName name="эж_21" localSheetId="0">#REF!</definedName>
    <definedName name="эж_21">#REF!</definedName>
    <definedName name="эж_49" localSheetId="18">#REF!</definedName>
    <definedName name="эж_49" localSheetId="0">#REF!</definedName>
    <definedName name="эж_49">#REF!</definedName>
    <definedName name="эж_50" localSheetId="18">#REF!</definedName>
    <definedName name="эж_50" localSheetId="0">#REF!</definedName>
    <definedName name="эж_50">#REF!</definedName>
    <definedName name="эж_51" localSheetId="18">#REF!</definedName>
    <definedName name="эж_51" localSheetId="0">#REF!</definedName>
    <definedName name="эж_51">#REF!</definedName>
    <definedName name="эж_52" localSheetId="18">#REF!</definedName>
    <definedName name="эж_52" localSheetId="0">#REF!</definedName>
    <definedName name="эж_52">#REF!</definedName>
    <definedName name="эж_53" localSheetId="18">#REF!</definedName>
    <definedName name="эж_53" localSheetId="0">#REF!</definedName>
    <definedName name="эж_53">#REF!</definedName>
    <definedName name="эж_54" localSheetId="18">#REF!</definedName>
    <definedName name="эж_54" localSheetId="0">#REF!</definedName>
    <definedName name="эж_54">#REF!</definedName>
    <definedName name="эж_6" localSheetId="18">#REF!</definedName>
    <definedName name="эж_6" localSheetId="0">#REF!</definedName>
    <definedName name="эж_6">#REF!</definedName>
    <definedName name="эж_7" localSheetId="18">#REF!</definedName>
    <definedName name="эж_7" localSheetId="0">#REF!</definedName>
    <definedName name="эж_7">#REF!</definedName>
    <definedName name="эж_8" localSheetId="18">#REF!</definedName>
    <definedName name="эж_8" localSheetId="0">#REF!</definedName>
    <definedName name="эж_8">#REF!</definedName>
    <definedName name="эж_9" localSheetId="18">#REF!</definedName>
    <definedName name="эж_9" localSheetId="0">#REF!</definedName>
    <definedName name="эж_9">#REF!</definedName>
    <definedName name="эк" localSheetId="18">#REF!</definedName>
    <definedName name="эк" localSheetId="0">#REF!</definedName>
    <definedName name="эк">#REF!</definedName>
    <definedName name="эк1" localSheetId="18">#REF!</definedName>
    <definedName name="эк1" localSheetId="0">#REF!</definedName>
    <definedName name="эк1">#REF!</definedName>
    <definedName name="эко" localSheetId="18">#REF!</definedName>
    <definedName name="эко" localSheetId="0">#REF!</definedName>
    <definedName name="эко">#REF!</definedName>
    <definedName name="эко___0" localSheetId="0">#REF!</definedName>
    <definedName name="эко___0">#REF!</definedName>
    <definedName name="эко___0_1" localSheetId="0">#REF!</definedName>
    <definedName name="эко___0_1">#REF!</definedName>
    <definedName name="эко_1" localSheetId="0">#REF!</definedName>
    <definedName name="эко_1">#REF!</definedName>
    <definedName name="эко_5" localSheetId="0">#REF!</definedName>
    <definedName name="эко_5">#REF!</definedName>
    <definedName name="эко_5_1" localSheetId="0">#REF!</definedName>
    <definedName name="эко_5_1">#REF!</definedName>
    <definedName name="эко1" localSheetId="18">#REF!</definedName>
    <definedName name="эко1" localSheetId="0">#REF!</definedName>
    <definedName name="эко1">#REF!</definedName>
    <definedName name="экол.1" localSheetId="18">[3]топография!#REF!</definedName>
    <definedName name="экол.1" localSheetId="0">[3]топография!#REF!</definedName>
    <definedName name="экол.1">[3]топография!#REF!</definedName>
    <definedName name="экол1" localSheetId="18">#REF!</definedName>
    <definedName name="экол1" localSheetId="0">#REF!</definedName>
    <definedName name="экол1" localSheetId="7">#REF!</definedName>
    <definedName name="экол1">#REF!</definedName>
    <definedName name="экол2" localSheetId="18">#REF!</definedName>
    <definedName name="экол2" localSheetId="0">#REF!</definedName>
    <definedName name="экол2" localSheetId="7">#REF!</definedName>
    <definedName name="экол2">#REF!</definedName>
    <definedName name="Экол3" localSheetId="18">#REF!</definedName>
    <definedName name="Экол3" localSheetId="0">#REF!</definedName>
    <definedName name="Экол3" localSheetId="7">#REF!</definedName>
    <definedName name="Экол3">#REF!</definedName>
    <definedName name="эколог" localSheetId="18">#REF!</definedName>
    <definedName name="эколог" localSheetId="0">#REF!</definedName>
    <definedName name="эколог">#REF!</definedName>
    <definedName name="экология">NA()</definedName>
    <definedName name="экологияч" localSheetId="0">#REF!</definedName>
    <definedName name="экологияч">#REF!</definedName>
    <definedName name="эл" localSheetId="18" hidden="1">{#N/A,#N/A,TRUE,"Смета на пасс. обор. №1"}</definedName>
    <definedName name="эл" localSheetId="0" hidden="1">{#N/A,#N/A,TRUE,"Смета на пасс. обор. №1"}</definedName>
    <definedName name="эл" localSheetId="7" hidden="1">{#N/A,#N/A,TRUE,"Смета на пасс. обор. №1"}</definedName>
    <definedName name="эл" hidden="1">{#N/A,#N/A,TRUE,"Смета на пасс. обор. №1"}</definedName>
    <definedName name="эл_1" localSheetId="18" hidden="1">{#N/A,#N/A,TRUE,"Смета на пасс. обор. №1"}</definedName>
    <definedName name="эл_1" localSheetId="0" hidden="1">{#N/A,#N/A,TRUE,"Смета на пасс. обор. №1"}</definedName>
    <definedName name="эл_1" localSheetId="7" hidden="1">{#N/A,#N/A,TRUE,"Смета на пасс. обор. №1"}</definedName>
    <definedName name="эл_1" hidden="1">{#N/A,#N/A,TRUE,"Смета на пасс. обор. №1"}</definedName>
    <definedName name="эмс" localSheetId="18">[3]топография!#REF!</definedName>
    <definedName name="эмс" localSheetId="0">[3]топография!#REF!</definedName>
    <definedName name="эмс">[3]топография!#REF!</definedName>
    <definedName name="ю" localSheetId="18">#REF!</definedName>
    <definedName name="ю" localSheetId="0">#REF!</definedName>
    <definedName name="ю" localSheetId="7">#REF!</definedName>
    <definedName name="ю">#REF!</definedName>
    <definedName name="юб" localSheetId="18">#REF!</definedName>
    <definedName name="юб" localSheetId="0">#REF!</definedName>
    <definedName name="юб" localSheetId="7">#REF!</definedName>
    <definedName name="юб">#REF!</definedName>
    <definedName name="ЮФУ" localSheetId="18">#REF!</definedName>
    <definedName name="ЮФУ" localSheetId="0">#REF!</definedName>
    <definedName name="ЮФУ" localSheetId="7">#REF!</definedName>
    <definedName name="ЮФУ">#REF!</definedName>
    <definedName name="ЮФУ2" localSheetId="18">#REF!</definedName>
    <definedName name="ЮФУ2" localSheetId="0">#REF!</definedName>
    <definedName name="ЮФУ2">#REF!</definedName>
    <definedName name="ююю" localSheetId="18" hidden="1">{#N/A,#N/A,TRUE,"Смета на пасс. обор. №1"}</definedName>
    <definedName name="ююю" localSheetId="0" hidden="1">{#N/A,#N/A,TRUE,"Смета на пасс. обор. №1"}</definedName>
    <definedName name="ююю" localSheetId="7" hidden="1">{#N/A,#N/A,TRUE,"Смета на пасс. обор. №1"}</definedName>
    <definedName name="ююю" hidden="1">{#N/A,#N/A,TRUE,"Смета на пасс. обор. №1"}</definedName>
    <definedName name="ююю_1" localSheetId="18" hidden="1">{#N/A,#N/A,TRUE,"Смета на пасс. обор. №1"}</definedName>
    <definedName name="ююю_1" localSheetId="0" hidden="1">{#N/A,#N/A,TRUE,"Смета на пасс. обор. №1"}</definedName>
    <definedName name="ююю_1" localSheetId="7" hidden="1">{#N/A,#N/A,TRUE,"Смета на пасс. обор. №1"}</definedName>
    <definedName name="ююю_1" hidden="1">{#N/A,#N/A,TRUE,"Смета на пасс. обор. №1"}</definedName>
    <definedName name="я" localSheetId="18">[50]ОбмОбслЗемОд!$E$28</definedName>
    <definedName name="я" localSheetId="0">#REF!</definedName>
    <definedName name="я" localSheetId="7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C38" i="21" l="1"/>
  <c r="F39" i="21"/>
  <c r="C39" i="21"/>
  <c r="J52" i="47" l="1"/>
  <c r="J51" i="47"/>
  <c r="J53" i="47" l="1"/>
  <c r="J42" i="47"/>
  <c r="J40" i="47"/>
  <c r="J29" i="47" l="1"/>
  <c r="J25" i="47"/>
  <c r="J21" i="47"/>
  <c r="J36" i="47"/>
  <c r="J16" i="47"/>
  <c r="J31" i="47" l="1"/>
  <c r="J39" i="47"/>
  <c r="O42" i="47" s="1"/>
  <c r="D35" i="46"/>
  <c r="F44" i="47" l="1"/>
  <c r="J44" i="47" s="1"/>
  <c r="J46" i="47" s="1"/>
  <c r="J47" i="47" s="1"/>
  <c r="G11" i="51"/>
  <c r="G23" i="51"/>
  <c r="G15" i="43"/>
  <c r="G14" i="43"/>
  <c r="F14" i="43"/>
  <c r="E12" i="51"/>
  <c r="E109" i="50"/>
  <c r="E108" i="50"/>
  <c r="E107" i="50"/>
  <c r="E106" i="50"/>
  <c r="E105" i="50"/>
  <c r="E104" i="50"/>
  <c r="E103" i="50"/>
  <c r="G85" i="50"/>
  <c r="G81" i="50"/>
  <c r="G80" i="50"/>
  <c r="G79" i="50"/>
  <c r="G78" i="50"/>
  <c r="G83" i="50"/>
  <c r="G82" i="50"/>
  <c r="G84" i="50"/>
  <c r="G67" i="50"/>
  <c r="G68" i="50"/>
  <c r="G69" i="50"/>
  <c r="G70" i="50"/>
  <c r="G71" i="50"/>
  <c r="G72" i="50"/>
  <c r="G73" i="50"/>
  <c r="G74" i="50"/>
  <c r="G75" i="50"/>
  <c r="G76" i="50"/>
  <c r="G77" i="50"/>
  <c r="G59" i="50"/>
  <c r="G60" i="50"/>
  <c r="G61" i="50"/>
  <c r="G62" i="50"/>
  <c r="G63" i="50"/>
  <c r="G64" i="50"/>
  <c r="G65" i="50"/>
  <c r="G66" i="50"/>
  <c r="G54" i="50"/>
  <c r="G55" i="50"/>
  <c r="G56" i="50"/>
  <c r="G57" i="50"/>
  <c r="G58" i="50"/>
  <c r="G53" i="50"/>
  <c r="D44" i="46" l="1"/>
  <c r="D42" i="46"/>
  <c r="D43" i="46"/>
  <c r="D41" i="46"/>
  <c r="D40" i="46"/>
  <c r="D39" i="46"/>
  <c r="D38" i="46"/>
  <c r="D37" i="46"/>
  <c r="D36" i="46"/>
  <c r="D34" i="46"/>
  <c r="D33" i="46"/>
  <c r="D32" i="46"/>
  <c r="D57" i="46"/>
  <c r="D56" i="46"/>
  <c r="L49" i="46"/>
  <c r="L13" i="46"/>
  <c r="F22" i="49"/>
  <c r="D39" i="45" l="1"/>
  <c r="D37" i="45"/>
  <c r="G36" i="45" s="1"/>
  <c r="G38" i="45"/>
  <c r="E38" i="45"/>
  <c r="I23" i="45"/>
  <c r="G23" i="45"/>
  <c r="E23" i="45"/>
  <c r="E36" i="45"/>
  <c r="I20" i="45"/>
  <c r="G20" i="45"/>
  <c r="E20" i="45"/>
  <c r="N23" i="45" l="1"/>
  <c r="N36" i="45"/>
  <c r="N20" i="45"/>
  <c r="N26" i="45" s="1"/>
  <c r="N38" i="45"/>
  <c r="K95" i="20"/>
  <c r="G95" i="20"/>
  <c r="I95" i="20" s="1"/>
  <c r="J95" i="20" s="1"/>
  <c r="L95" i="20" s="1"/>
  <c r="M95" i="20" s="1"/>
  <c r="G94" i="20"/>
  <c r="K94" i="20"/>
  <c r="I94" i="20"/>
  <c r="J94" i="20" s="1"/>
  <c r="L94" i="20" s="1"/>
  <c r="M94" i="20" s="1"/>
  <c r="G93" i="20"/>
  <c r="K93" i="20"/>
  <c r="I93" i="20"/>
  <c r="J93" i="20" s="1"/>
  <c r="L93" i="20" s="1"/>
  <c r="M93" i="20" s="1"/>
  <c r="K92" i="20"/>
  <c r="G92" i="20"/>
  <c r="I92" i="20" s="1"/>
  <c r="J92" i="20" s="1"/>
  <c r="L92" i="20" s="1"/>
  <c r="M92" i="20" s="1"/>
  <c r="K84" i="20"/>
  <c r="I84" i="20"/>
  <c r="J84" i="20" s="1"/>
  <c r="L84" i="20" s="1"/>
  <c r="M84" i="20" s="1"/>
  <c r="K83" i="20"/>
  <c r="G83" i="20"/>
  <c r="I83" i="20" s="1"/>
  <c r="J83" i="20" s="1"/>
  <c r="L83" i="20" s="1"/>
  <c r="M83" i="20" s="1"/>
  <c r="K82" i="20"/>
  <c r="G82" i="20"/>
  <c r="I82" i="20" s="1"/>
  <c r="J82" i="20" s="1"/>
  <c r="L82" i="20" s="1"/>
  <c r="M82" i="20" s="1"/>
  <c r="K22" i="20"/>
  <c r="G22" i="20"/>
  <c r="I22" i="20" s="1"/>
  <c r="J22" i="20" s="1"/>
  <c r="L22" i="20" s="1"/>
  <c r="M22" i="20" s="1"/>
  <c r="K141" i="20"/>
  <c r="I141" i="20"/>
  <c r="J141" i="20" s="1"/>
  <c r="L141" i="20" s="1"/>
  <c r="M141" i="20" s="1"/>
  <c r="K21" i="20"/>
  <c r="I21" i="20"/>
  <c r="J21" i="20" s="1"/>
  <c r="L21" i="20" s="1"/>
  <c r="M21" i="20" s="1"/>
  <c r="K20" i="20"/>
  <c r="G20" i="20"/>
  <c r="I20" i="20" s="1"/>
  <c r="J20" i="20" s="1"/>
  <c r="L20" i="20" s="1"/>
  <c r="M20" i="20" s="1"/>
  <c r="K19" i="20"/>
  <c r="G19" i="20"/>
  <c r="I19" i="20" s="1"/>
  <c r="J19" i="20" s="1"/>
  <c r="L19" i="20" s="1"/>
  <c r="M19" i="20" s="1"/>
  <c r="K62" i="20"/>
  <c r="G62" i="20"/>
  <c r="I62" i="20" s="1"/>
  <c r="J62" i="20" s="1"/>
  <c r="L62" i="20" s="1"/>
  <c r="M62" i="20" s="1"/>
  <c r="K58" i="20"/>
  <c r="I58" i="20"/>
  <c r="J58" i="20" s="1"/>
  <c r="L58" i="20" s="1"/>
  <c r="M58" i="20" s="1"/>
  <c r="G58" i="20"/>
  <c r="G57" i="20"/>
  <c r="I57" i="20" s="1"/>
  <c r="J57" i="20" s="1"/>
  <c r="L57" i="20" s="1"/>
  <c r="M57" i="20" s="1"/>
  <c r="G59" i="20"/>
  <c r="I59" i="20" s="1"/>
  <c r="J59" i="20" s="1"/>
  <c r="L59" i="20" s="1"/>
  <c r="M59" i="20" s="1"/>
  <c r="K59" i="20"/>
  <c r="K57" i="20"/>
  <c r="K60" i="20"/>
  <c r="I60" i="20"/>
  <c r="J60" i="20" s="1"/>
  <c r="L60" i="20" s="1"/>
  <c r="M60" i="20" s="1"/>
  <c r="K61" i="20"/>
  <c r="L61" i="20" s="1"/>
  <c r="M61" i="20" s="1"/>
  <c r="J61" i="20"/>
  <c r="I61" i="20"/>
  <c r="F22" i="18"/>
  <c r="E45" i="45" l="1"/>
  <c r="N40" i="45"/>
  <c r="K104" i="20"/>
  <c r="G104" i="20"/>
  <c r="I104" i="20" s="1"/>
  <c r="J104" i="20" s="1"/>
  <c r="L104" i="20" s="1"/>
  <c r="M104" i="20" s="1"/>
  <c r="D90" i="20"/>
  <c r="I90" i="20"/>
  <c r="K78" i="20"/>
  <c r="I78" i="20"/>
  <c r="J78" i="20" s="1"/>
  <c r="L78" i="20" s="1"/>
  <c r="M78" i="20" s="1"/>
  <c r="G78" i="20"/>
  <c r="K77" i="20"/>
  <c r="G77" i="20"/>
  <c r="I77" i="20" s="1"/>
  <c r="J77" i="20" s="1"/>
  <c r="L77" i="20" s="1"/>
  <c r="M77" i="20" s="1"/>
  <c r="K42" i="20"/>
  <c r="G42" i="20"/>
  <c r="I42" i="20" s="1"/>
  <c r="J42" i="20" s="1"/>
  <c r="L42" i="20" s="1"/>
  <c r="M42" i="20" s="1"/>
  <c r="E23" i="50"/>
  <c r="G23" i="50" s="1"/>
  <c r="E22" i="50"/>
  <c r="G22" i="50" s="1"/>
  <c r="E93" i="50"/>
  <c r="G93" i="50" s="1"/>
  <c r="G18" i="50"/>
  <c r="G88" i="50"/>
  <c r="G14" i="50"/>
  <c r="E90" i="50"/>
  <c r="G90" i="50" s="1"/>
  <c r="G15" i="50"/>
  <c r="J18" i="49"/>
  <c r="D64" i="46"/>
  <c r="L26" i="46"/>
  <c r="L21" i="46"/>
  <c r="L20" i="46"/>
  <c r="L19" i="46"/>
  <c r="L25" i="46"/>
  <c r="L23" i="46"/>
  <c r="L22" i="46"/>
  <c r="L24" i="46"/>
  <c r="L16" i="46"/>
  <c r="L15" i="46"/>
  <c r="L14" i="46"/>
  <c r="L18" i="46"/>
  <c r="L17" i="46"/>
  <c r="L12" i="46"/>
  <c r="L11" i="46"/>
  <c r="D49" i="46"/>
  <c r="K13" i="20" l="1"/>
  <c r="J13" i="20"/>
  <c r="L13" i="20" s="1"/>
  <c r="M13" i="20" s="1"/>
  <c r="I13" i="20"/>
  <c r="K24" i="20" l="1"/>
  <c r="I24" i="20"/>
  <c r="J24" i="20" s="1"/>
  <c r="L24" i="20" s="1"/>
  <c r="M24" i="20" s="1"/>
  <c r="D24" i="20"/>
  <c r="D25" i="20"/>
  <c r="K25" i="20"/>
  <c r="I25" i="20"/>
  <c r="D63" i="20"/>
  <c r="K63" i="20"/>
  <c r="I63" i="20"/>
  <c r="K96" i="20"/>
  <c r="I96" i="20"/>
  <c r="D96" i="20"/>
  <c r="K147" i="20"/>
  <c r="I147" i="20"/>
  <c r="J147" i="20" s="1"/>
  <c r="F136" i="30"/>
  <c r="G136" i="30"/>
  <c r="G137" i="30"/>
  <c r="L147" i="20" l="1"/>
  <c r="M147" i="20" s="1"/>
  <c r="J63" i="20"/>
  <c r="L63" i="20" s="1"/>
  <c r="M63" i="20" s="1"/>
  <c r="J25" i="20"/>
  <c r="L25" i="20" s="1"/>
  <c r="M25" i="20" s="1"/>
  <c r="F25" i="30" l="1"/>
  <c r="F24" i="30" s="1"/>
  <c r="K16" i="20"/>
  <c r="K12" i="20"/>
  <c r="K15" i="20"/>
  <c r="G19" i="30"/>
  <c r="F18" i="30"/>
  <c r="G18" i="30" s="1"/>
  <c r="K11" i="20"/>
  <c r="F11" i="30"/>
  <c r="F5" i="30"/>
  <c r="I8" i="20" s="1"/>
  <c r="K106" i="20"/>
  <c r="K72" i="20"/>
  <c r="K35" i="20"/>
  <c r="K7" i="20"/>
  <c r="I11" i="20" l="1"/>
  <c r="J11" i="20" s="1"/>
  <c r="L11" i="20" s="1"/>
  <c r="M11" i="20" s="1"/>
  <c r="G24" i="30"/>
  <c r="I16" i="20"/>
  <c r="I15" i="20"/>
  <c r="G25" i="30"/>
  <c r="G26" i="30" s="1"/>
  <c r="K103" i="20"/>
  <c r="G103" i="20"/>
  <c r="I103" i="20" s="1"/>
  <c r="J103" i="20" s="1"/>
  <c r="K70" i="20"/>
  <c r="G70" i="20"/>
  <c r="I70" i="20" s="1"/>
  <c r="J70" i="20" s="1"/>
  <c r="K33" i="20"/>
  <c r="G33" i="20"/>
  <c r="I33" i="20" s="1"/>
  <c r="J33" i="20" s="1"/>
  <c r="L70" i="20" l="1"/>
  <c r="M70" i="20" s="1"/>
  <c r="L33" i="20"/>
  <c r="M33" i="20" s="1"/>
  <c r="L103" i="20"/>
  <c r="M103" i="20" s="1"/>
  <c r="K90" i="20" l="1"/>
  <c r="F44" i="30"/>
  <c r="G45" i="30"/>
  <c r="G44" i="30"/>
  <c r="K88" i="20"/>
  <c r="D88" i="20"/>
  <c r="D80" i="20"/>
  <c r="K80" i="20"/>
  <c r="G52" i="30"/>
  <c r="G53" i="30" s="1"/>
  <c r="F51" i="30"/>
  <c r="G51" i="30" s="1"/>
  <c r="K55" i="20"/>
  <c r="G38" i="30"/>
  <c r="G39" i="30" s="1"/>
  <c r="F37" i="30"/>
  <c r="G37" i="30" s="1"/>
  <c r="D55" i="20"/>
  <c r="K53" i="20"/>
  <c r="D53" i="20"/>
  <c r="K17" i="20"/>
  <c r="D17" i="20"/>
  <c r="F30" i="30"/>
  <c r="G30" i="30" s="1"/>
  <c r="G31" i="30"/>
  <c r="G32" i="30" s="1"/>
  <c r="K97" i="20"/>
  <c r="G116" i="30"/>
  <c r="G117" i="30" s="1"/>
  <c r="F115" i="30"/>
  <c r="G115" i="30" s="1"/>
  <c r="K65" i="20"/>
  <c r="G109" i="30"/>
  <c r="G110" i="30" s="1"/>
  <c r="F108" i="30"/>
  <c r="G108" i="30" s="1"/>
  <c r="K89" i="20"/>
  <c r="D89" i="20"/>
  <c r="K54" i="20"/>
  <c r="F89" i="30"/>
  <c r="F88" i="30" s="1"/>
  <c r="D54" i="20"/>
  <c r="K27" i="20"/>
  <c r="D32" i="20"/>
  <c r="K32" i="20"/>
  <c r="I32" i="20"/>
  <c r="D69" i="20"/>
  <c r="K69" i="20"/>
  <c r="I69" i="20"/>
  <c r="D86" i="20"/>
  <c r="K86" i="20"/>
  <c r="I86" i="20"/>
  <c r="K26" i="20"/>
  <c r="I26" i="20"/>
  <c r="J26" i="20" s="1"/>
  <c r="D30" i="20"/>
  <c r="K30" i="20"/>
  <c r="I30" i="20"/>
  <c r="K68" i="20"/>
  <c r="I68" i="20"/>
  <c r="J68" i="20" s="1"/>
  <c r="D29" i="20"/>
  <c r="K29" i="20"/>
  <c r="I29" i="20"/>
  <c r="D28" i="20"/>
  <c r="K28" i="20"/>
  <c r="I28" i="20"/>
  <c r="K66" i="20"/>
  <c r="I66" i="20"/>
  <c r="J66" i="20" s="1"/>
  <c r="D67" i="20"/>
  <c r="K67" i="20"/>
  <c r="I67" i="20"/>
  <c r="D85" i="20"/>
  <c r="K85" i="20"/>
  <c r="I85" i="20"/>
  <c r="K98" i="20"/>
  <c r="I98" i="20"/>
  <c r="J98" i="20" s="1"/>
  <c r="D99" i="20"/>
  <c r="D23" i="20"/>
  <c r="D101" i="20"/>
  <c r="K101" i="20"/>
  <c r="I101" i="20"/>
  <c r="D102" i="20"/>
  <c r="G72" i="20"/>
  <c r="I72" i="20" s="1"/>
  <c r="J72" i="20" s="1"/>
  <c r="G35" i="20"/>
  <c r="I35" i="20" s="1"/>
  <c r="J35" i="20" s="1"/>
  <c r="D37" i="20"/>
  <c r="K37" i="20"/>
  <c r="K74" i="20"/>
  <c r="G106" i="20"/>
  <c r="I106" i="20" s="1"/>
  <c r="J106" i="20" s="1"/>
  <c r="K10" i="20"/>
  <c r="D10" i="20"/>
  <c r="G11" i="30"/>
  <c r="G12" i="30"/>
  <c r="K9" i="20"/>
  <c r="F77" i="30"/>
  <c r="F76" i="30" s="1"/>
  <c r="G76" i="30" s="1"/>
  <c r="D16" i="20"/>
  <c r="J16" i="20" s="1"/>
  <c r="D15" i="20"/>
  <c r="J15" i="20" s="1"/>
  <c r="L15" i="20" s="1"/>
  <c r="M15" i="20" s="1"/>
  <c r="L16" i="20" l="1"/>
  <c r="M16" i="20" s="1"/>
  <c r="J90" i="20"/>
  <c r="L90" i="20" s="1"/>
  <c r="M90" i="20" s="1"/>
  <c r="J32" i="20"/>
  <c r="L32" i="20" s="1"/>
  <c r="M32" i="20" s="1"/>
  <c r="I80" i="20"/>
  <c r="J80" i="20" s="1"/>
  <c r="L80" i="20" s="1"/>
  <c r="M80" i="20" s="1"/>
  <c r="I65" i="20"/>
  <c r="J65" i="20" s="1"/>
  <c r="L65" i="20" s="1"/>
  <c r="M65" i="20" s="1"/>
  <c r="G88" i="30"/>
  <c r="I89" i="20"/>
  <c r="J89" i="20" s="1"/>
  <c r="L89" i="20" s="1"/>
  <c r="M89" i="20" s="1"/>
  <c r="I54" i="20"/>
  <c r="J54" i="20" s="1"/>
  <c r="L54" i="20" s="1"/>
  <c r="M54" i="20" s="1"/>
  <c r="I88" i="20"/>
  <c r="J88" i="20" s="1"/>
  <c r="L88" i="20" s="1"/>
  <c r="M88" i="20" s="1"/>
  <c r="I17" i="20"/>
  <c r="J17" i="20" s="1"/>
  <c r="L17" i="20" s="1"/>
  <c r="M17" i="20" s="1"/>
  <c r="I97" i="20"/>
  <c r="J97" i="20" s="1"/>
  <c r="L97" i="20" s="1"/>
  <c r="M97" i="20" s="1"/>
  <c r="I53" i="20"/>
  <c r="J53" i="20" s="1"/>
  <c r="L53" i="20" s="1"/>
  <c r="I55" i="20"/>
  <c r="J55" i="20" s="1"/>
  <c r="L55" i="20" s="1"/>
  <c r="M55" i="20" s="1"/>
  <c r="G89" i="30"/>
  <c r="G90" i="30" s="1"/>
  <c r="J30" i="20"/>
  <c r="L30" i="20" s="1"/>
  <c r="M30" i="20" s="1"/>
  <c r="J69" i="20"/>
  <c r="L69" i="20" s="1"/>
  <c r="M69" i="20" s="1"/>
  <c r="L68" i="20"/>
  <c r="M68" i="20" s="1"/>
  <c r="L26" i="20"/>
  <c r="M26" i="20" s="1"/>
  <c r="J86" i="20"/>
  <c r="L86" i="20" s="1"/>
  <c r="M86" i="20" s="1"/>
  <c r="J67" i="20"/>
  <c r="L67" i="20" s="1"/>
  <c r="M67" i="20" s="1"/>
  <c r="J29" i="20"/>
  <c r="L29" i="20" s="1"/>
  <c r="M29" i="20" s="1"/>
  <c r="L98" i="20"/>
  <c r="M98" i="20" s="1"/>
  <c r="L66" i="20"/>
  <c r="M66" i="20" s="1"/>
  <c r="J85" i="20"/>
  <c r="L85" i="20" s="1"/>
  <c r="M85" i="20" s="1"/>
  <c r="J28" i="20"/>
  <c r="L28" i="20" s="1"/>
  <c r="M28" i="20" s="1"/>
  <c r="J101" i="20"/>
  <c r="L101" i="20" s="1"/>
  <c r="M101" i="20" s="1"/>
  <c r="I10" i="20"/>
  <c r="J10" i="20" s="1"/>
  <c r="L10" i="20" s="1"/>
  <c r="M10" i="20" s="1"/>
  <c r="I9" i="20"/>
  <c r="J9" i="20" s="1"/>
  <c r="L9" i="20" s="1"/>
  <c r="M9" i="20" s="1"/>
  <c r="G77" i="30"/>
  <c r="G78" i="30" s="1"/>
  <c r="M53" i="20" l="1"/>
  <c r="M79" i="20"/>
  <c r="L79" i="20"/>
  <c r="G51" i="20"/>
  <c r="G50" i="20"/>
  <c r="G46" i="20"/>
  <c r="G47" i="20"/>
  <c r="G48" i="20"/>
  <c r="G49" i="20"/>
  <c r="K48" i="20" l="1"/>
  <c r="I48" i="20"/>
  <c r="J48" i="20" s="1"/>
  <c r="K51" i="20"/>
  <c r="I51" i="20"/>
  <c r="J51" i="20" s="1"/>
  <c r="K50" i="20"/>
  <c r="I50" i="20"/>
  <c r="J50" i="20" s="1"/>
  <c r="K49" i="20"/>
  <c r="I49" i="20"/>
  <c r="J49" i="20" s="1"/>
  <c r="K47" i="20"/>
  <c r="I47" i="20"/>
  <c r="J47" i="20" s="1"/>
  <c r="K46" i="20"/>
  <c r="I46" i="20"/>
  <c r="J46" i="20" s="1"/>
  <c r="G26" i="18"/>
  <c r="G25" i="18"/>
  <c r="G24" i="18"/>
  <c r="A2" i="55"/>
  <c r="I22" i="55"/>
  <c r="K22" i="55" s="1"/>
  <c r="K17" i="55"/>
  <c r="K16" i="55"/>
  <c r="K14" i="55" s="1"/>
  <c r="K18" i="55" s="1"/>
  <c r="K15" i="55"/>
  <c r="J14" i="55"/>
  <c r="I14" i="55"/>
  <c r="I21" i="55" s="1"/>
  <c r="K21" i="55" s="1"/>
  <c r="L46" i="20" l="1"/>
  <c r="M46" i="20" s="1"/>
  <c r="L47" i="20"/>
  <c r="M47" i="20" s="1"/>
  <c r="L48" i="20"/>
  <c r="M48" i="20" s="1"/>
  <c r="L49" i="20"/>
  <c r="M49" i="20" s="1"/>
  <c r="L50" i="20"/>
  <c r="M50" i="20" s="1"/>
  <c r="L51" i="20"/>
  <c r="M51" i="20" s="1"/>
  <c r="K23" i="55"/>
  <c r="I20" i="55"/>
  <c r="K20" i="55" s="1"/>
  <c r="K19" i="55" s="1"/>
  <c r="K24" i="55" s="1"/>
  <c r="K25" i="55" s="1"/>
  <c r="F30" i="21"/>
  <c r="F31" i="21"/>
  <c r="F38" i="21" l="1"/>
  <c r="G29" i="18"/>
  <c r="B16" i="21" s="1"/>
  <c r="D16" i="21" s="1"/>
  <c r="F16" i="21" s="1"/>
  <c r="G16" i="21" s="1"/>
  <c r="C13" i="7" s="1"/>
  <c r="D13" i="7" s="1"/>
  <c r="E13" i="7" s="1"/>
  <c r="G30" i="18" l="1"/>
  <c r="A2" i="30"/>
  <c r="A2" i="20"/>
  <c r="G29" i="51" l="1"/>
  <c r="F29" i="51"/>
  <c r="E22" i="51"/>
  <c r="G22" i="51" s="1"/>
  <c r="G24" i="51" s="1"/>
  <c r="G21" i="51"/>
  <c r="G16" i="51"/>
  <c r="G15" i="51"/>
  <c r="G14" i="51"/>
  <c r="G13" i="51"/>
  <c r="G12" i="51"/>
  <c r="G10" i="51"/>
  <c r="G109" i="50"/>
  <c r="G106" i="50"/>
  <c r="G105" i="50"/>
  <c r="G104" i="50"/>
  <c r="E94" i="50"/>
  <c r="G94" i="50" s="1"/>
  <c r="E92" i="50"/>
  <c r="G92" i="50" s="1"/>
  <c r="E91" i="50"/>
  <c r="G91" i="50" s="1"/>
  <c r="E89" i="50"/>
  <c r="G89" i="50" s="1"/>
  <c r="E51" i="50"/>
  <c r="G51" i="50" s="1"/>
  <c r="E50" i="50"/>
  <c r="G50" i="50" s="1"/>
  <c r="F49" i="50"/>
  <c r="G49" i="50" s="1"/>
  <c r="G44" i="50"/>
  <c r="G24" i="50"/>
  <c r="G27" i="50"/>
  <c r="G26" i="50"/>
  <c r="G25" i="50"/>
  <c r="G21" i="50"/>
  <c r="G19" i="50"/>
  <c r="G20" i="50"/>
  <c r="G17" i="50"/>
  <c r="G16" i="50"/>
  <c r="J40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E26" i="49"/>
  <c r="J25" i="49"/>
  <c r="E25" i="49"/>
  <c r="F20" i="49"/>
  <c r="J20" i="49" s="1"/>
  <c r="J17" i="49"/>
  <c r="J16" i="49"/>
  <c r="J15" i="49"/>
  <c r="I43" i="48"/>
  <c r="I42" i="48"/>
  <c r="I41" i="48"/>
  <c r="J37" i="48"/>
  <c r="J36" i="48"/>
  <c r="I36" i="48"/>
  <c r="J35" i="48"/>
  <c r="I35" i="48"/>
  <c r="J34" i="48"/>
  <c r="I34" i="48"/>
  <c r="I33" i="48"/>
  <c r="J33" i="48" s="1"/>
  <c r="I32" i="48"/>
  <c r="J32" i="48" s="1"/>
  <c r="I31" i="48"/>
  <c r="J31" i="48" s="1"/>
  <c r="J30" i="48"/>
  <c r="I30" i="48"/>
  <c r="J29" i="48"/>
  <c r="I29" i="48"/>
  <c r="J28" i="48"/>
  <c r="I28" i="48"/>
  <c r="I27" i="48"/>
  <c r="J27" i="48" s="1"/>
  <c r="J26" i="48"/>
  <c r="I26" i="48"/>
  <c r="J25" i="48"/>
  <c r="I25" i="48"/>
  <c r="J24" i="48"/>
  <c r="I24" i="48"/>
  <c r="D24" i="48"/>
  <c r="I23" i="48"/>
  <c r="J23" i="48" s="1"/>
  <c r="D23" i="48"/>
  <c r="I22" i="48"/>
  <c r="J22" i="48" s="1"/>
  <c r="D22" i="48"/>
  <c r="J21" i="48"/>
  <c r="I21" i="48"/>
  <c r="D21" i="48"/>
  <c r="C21" i="48"/>
  <c r="B21" i="48"/>
  <c r="J18" i="48"/>
  <c r="I18" i="48"/>
  <c r="J17" i="48"/>
  <c r="I17" i="48"/>
  <c r="J16" i="48"/>
  <c r="I16" i="48"/>
  <c r="J15" i="48"/>
  <c r="I15" i="48"/>
  <c r="J14" i="48"/>
  <c r="I14" i="48"/>
  <c r="I13" i="48"/>
  <c r="J13" i="48" s="1"/>
  <c r="J12" i="48"/>
  <c r="I12" i="48"/>
  <c r="J11" i="48"/>
  <c r="I11" i="48"/>
  <c r="B57" i="47"/>
  <c r="J32" i="47"/>
  <c r="J33" i="47" s="1"/>
  <c r="L64" i="46"/>
  <c r="L57" i="46"/>
  <c r="L56" i="46"/>
  <c r="L55" i="46"/>
  <c r="D50" i="46"/>
  <c r="L50" i="46" s="1"/>
  <c r="E49" i="46"/>
  <c r="D48" i="46"/>
  <c r="L48" i="46" s="1"/>
  <c r="D47" i="46"/>
  <c r="L47" i="46" s="1"/>
  <c r="L44" i="46"/>
  <c r="D52" i="46" s="1"/>
  <c r="L52" i="46" s="1"/>
  <c r="L43" i="46"/>
  <c r="D54" i="46" s="1"/>
  <c r="L54" i="46" s="1"/>
  <c r="L42" i="46"/>
  <c r="L41" i="46"/>
  <c r="L40" i="46"/>
  <c r="L39" i="46"/>
  <c r="L38" i="46"/>
  <c r="L37" i="46"/>
  <c r="L36" i="46"/>
  <c r="L35" i="46"/>
  <c r="L34" i="46"/>
  <c r="L33" i="46"/>
  <c r="L32" i="46"/>
  <c r="G48" i="45"/>
  <c r="G45" i="45"/>
  <c r="G42" i="45"/>
  <c r="N32" i="45"/>
  <c r="I32" i="45"/>
  <c r="G32" i="45"/>
  <c r="E32" i="45"/>
  <c r="N28" i="45"/>
  <c r="K28" i="45"/>
  <c r="I28" i="45"/>
  <c r="G28" i="45"/>
  <c r="E28" i="45"/>
  <c r="E17" i="51" l="1"/>
  <c r="G17" i="51" s="1"/>
  <c r="E18" i="51"/>
  <c r="G18" i="51" s="1"/>
  <c r="G19" i="51" s="1"/>
  <c r="G25" i="51" s="1"/>
  <c r="G26" i="51" s="1"/>
  <c r="G27" i="51" s="1"/>
  <c r="G30" i="51" s="1"/>
  <c r="E13" i="53" s="1"/>
  <c r="G13" i="53" s="1"/>
  <c r="E18" i="18" s="1"/>
  <c r="G28" i="50"/>
  <c r="F29" i="50" s="1"/>
  <c r="G29" i="50" s="1"/>
  <c r="F30" i="50" s="1"/>
  <c r="G30" i="50" s="1"/>
  <c r="G46" i="50"/>
  <c r="G38" i="50"/>
  <c r="G40" i="50"/>
  <c r="G41" i="50"/>
  <c r="G42" i="50"/>
  <c r="G43" i="50"/>
  <c r="G107" i="50"/>
  <c r="G45" i="50"/>
  <c r="G108" i="50"/>
  <c r="G47" i="50"/>
  <c r="G86" i="50" s="1"/>
  <c r="G39" i="50"/>
  <c r="J39" i="49"/>
  <c r="J41" i="49" s="1"/>
  <c r="J42" i="49" s="1"/>
  <c r="J19" i="48"/>
  <c r="L45" i="46"/>
  <c r="D51" i="46"/>
  <c r="L51" i="46" s="1"/>
  <c r="D53" i="46"/>
  <c r="L53" i="46" s="1"/>
  <c r="L27" i="46"/>
  <c r="D28" i="46" s="1"/>
  <c r="L28" i="46" s="1"/>
  <c r="D29" i="46" s="1"/>
  <c r="L29" i="46" s="1"/>
  <c r="L30" i="46" s="1"/>
  <c r="D37" i="48"/>
  <c r="F21" i="49"/>
  <c r="F41" i="48"/>
  <c r="D38" i="48"/>
  <c r="J38" i="48"/>
  <c r="J39" i="48" s="1"/>
  <c r="J34" i="47"/>
  <c r="J49" i="47" l="1"/>
  <c r="G31" i="51"/>
  <c r="C13" i="53" s="1"/>
  <c r="E42" i="45"/>
  <c r="N42" i="45" s="1"/>
  <c r="E48" i="45"/>
  <c r="E47" i="45"/>
  <c r="F31" i="50"/>
  <c r="G31" i="50" s="1"/>
  <c r="F32" i="50" s="1"/>
  <c r="F33" i="50" s="1"/>
  <c r="G33" i="50" s="1"/>
  <c r="E95" i="50"/>
  <c r="G95" i="50" s="1"/>
  <c r="F97" i="50" s="1"/>
  <c r="G97" i="50" s="1"/>
  <c r="D58" i="46"/>
  <c r="L58" i="46" s="1"/>
  <c r="L59" i="46" s="1"/>
  <c r="D61" i="46"/>
  <c r="J21" i="49"/>
  <c r="J22" i="49"/>
  <c r="J41" i="48"/>
  <c r="F43" i="48" s="1"/>
  <c r="J43" i="48" s="1"/>
  <c r="J50" i="47" l="1"/>
  <c r="J23" i="49"/>
  <c r="J43" i="49" s="1"/>
  <c r="J44" i="49" s="1"/>
  <c r="J45" i="49" s="1"/>
  <c r="N45" i="45"/>
  <c r="N48" i="45"/>
  <c r="E50" i="45"/>
  <c r="N51" i="45"/>
  <c r="N52" i="45" s="1"/>
  <c r="E53" i="45" s="1"/>
  <c r="N53" i="45" s="1"/>
  <c r="N54" i="45" s="1"/>
  <c r="N55" i="45" s="1"/>
  <c r="E7" i="53" s="1"/>
  <c r="G96" i="50"/>
  <c r="G98" i="50" s="1"/>
  <c r="G32" i="50"/>
  <c r="G34" i="50" s="1"/>
  <c r="G35" i="50" s="1"/>
  <c r="F42" i="48"/>
  <c r="J42" i="48" s="1"/>
  <c r="J44" i="48" s="1"/>
  <c r="J45" i="48" s="1"/>
  <c r="L61" i="46"/>
  <c r="J54" i="47" l="1"/>
  <c r="J55" i="47" s="1"/>
  <c r="G99" i="50"/>
  <c r="G100" i="50" s="1"/>
  <c r="G110" i="50" s="1"/>
  <c r="J46" i="49"/>
  <c r="C11" i="53" s="1"/>
  <c r="E11" i="53"/>
  <c r="F7" i="53"/>
  <c r="J46" i="48"/>
  <c r="J47" i="48" s="1"/>
  <c r="N56" i="45"/>
  <c r="M57" i="45" s="1"/>
  <c r="D62" i="46"/>
  <c r="L62" i="46" s="1"/>
  <c r="D63" i="46"/>
  <c r="L63" i="46" s="1"/>
  <c r="J56" i="47" l="1"/>
  <c r="J57" i="47" s="1"/>
  <c r="J58" i="47" s="1"/>
  <c r="C9" i="53" s="1"/>
  <c r="E9" i="53"/>
  <c r="F9" i="53" s="1"/>
  <c r="G9" i="53" s="1"/>
  <c r="E14" i="18" s="1"/>
  <c r="G111" i="50"/>
  <c r="C12" i="53" s="1"/>
  <c r="E12" i="53"/>
  <c r="G12" i="53" s="1"/>
  <c r="E17" i="18" s="1"/>
  <c r="L65" i="46"/>
  <c r="L66" i="46" s="1"/>
  <c r="L67" i="46" s="1"/>
  <c r="E8" i="53" s="1"/>
  <c r="F8" i="53" s="1"/>
  <c r="G8" i="53" s="1"/>
  <c r="E13" i="18" s="1"/>
  <c r="F11" i="53"/>
  <c r="G11" i="53" s="1"/>
  <c r="E16" i="18" s="1"/>
  <c r="J48" i="48"/>
  <c r="J49" i="48" s="1"/>
  <c r="C10" i="53" s="1"/>
  <c r="E10" i="53"/>
  <c r="G7" i="53"/>
  <c r="L57" i="45"/>
  <c r="C7" i="53" s="1"/>
  <c r="L68" i="46" l="1"/>
  <c r="L69" i="46" s="1"/>
  <c r="L70" i="46" s="1"/>
  <c r="C8" i="53" s="1"/>
  <c r="F10" i="53"/>
  <c r="F15" i="53" s="1"/>
  <c r="B13" i="21" s="1"/>
  <c r="E12" i="18"/>
  <c r="G10" i="53" l="1"/>
  <c r="G12" i="43"/>
  <c r="G11" i="43"/>
  <c r="E15" i="43" s="1"/>
  <c r="G10" i="43"/>
  <c r="G13" i="43" l="1"/>
  <c r="E21" i="43" s="1"/>
  <c r="G21" i="43" s="1"/>
  <c r="E14" i="43"/>
  <c r="E17" i="43" s="1"/>
  <c r="G17" i="43" s="1"/>
  <c r="E15" i="18"/>
  <c r="G18" i="43" l="1"/>
  <c r="G19" i="43" s="1"/>
  <c r="G22" i="43" s="1"/>
  <c r="G23" i="43" s="1"/>
  <c r="G24" i="43" s="1"/>
  <c r="G25" i="43" s="1"/>
  <c r="C5" i="42" l="1"/>
  <c r="G19" i="42"/>
  <c r="F19" i="42"/>
  <c r="G18" i="42"/>
  <c r="F18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20" i="42" l="1"/>
  <c r="G22" i="42" s="1"/>
  <c r="G21" i="42" l="1"/>
  <c r="G24" i="42" s="1"/>
  <c r="G23" i="42" l="1"/>
  <c r="G25" i="42" s="1"/>
  <c r="G26" i="42" l="1"/>
  <c r="G27" i="42" s="1"/>
  <c r="C14" i="53" s="1"/>
  <c r="C15" i="53" s="1"/>
  <c r="E14" i="53"/>
  <c r="F128" i="30"/>
  <c r="F122" i="30"/>
  <c r="I23" i="20" s="1"/>
  <c r="J23" i="20" s="1"/>
  <c r="F101" i="30"/>
  <c r="F94" i="30"/>
  <c r="G94" i="30" s="1"/>
  <c r="F70" i="30"/>
  <c r="F64" i="30"/>
  <c r="F58" i="30"/>
  <c r="G58" i="30" s="1"/>
  <c r="G5" i="30"/>
  <c r="G14" i="53" l="1"/>
  <c r="E15" i="53"/>
  <c r="B12" i="21" s="1"/>
  <c r="I136" i="20"/>
  <c r="J136" i="20" s="1"/>
  <c r="I12" i="20"/>
  <c r="J12" i="20" s="1"/>
  <c r="L12" i="20" s="1"/>
  <c r="M12" i="20" s="1"/>
  <c r="G64" i="30"/>
  <c r="I14" i="20"/>
  <c r="J14" i="20" s="1"/>
  <c r="G101" i="30"/>
  <c r="I27" i="20"/>
  <c r="J27" i="20" s="1"/>
  <c r="L27" i="20" s="1"/>
  <c r="M27" i="20" s="1"/>
  <c r="G128" i="30"/>
  <c r="I74" i="20"/>
  <c r="J74" i="20" s="1"/>
  <c r="L74" i="20" s="1"/>
  <c r="I108" i="20"/>
  <c r="J108" i="20" s="1"/>
  <c r="I37" i="20"/>
  <c r="J37" i="20" s="1"/>
  <c r="L37" i="20" s="1"/>
  <c r="M37" i="20" s="1"/>
  <c r="I146" i="20"/>
  <c r="J146" i="20" s="1"/>
  <c r="G70" i="30"/>
  <c r="I135" i="20"/>
  <c r="J135" i="20" s="1"/>
  <c r="J8" i="20"/>
  <c r="K64" i="20"/>
  <c r="I64" i="20"/>
  <c r="J64" i="20" s="1"/>
  <c r="E19" i="18" l="1"/>
  <c r="G19" i="18" s="1"/>
  <c r="G15" i="53"/>
  <c r="M74" i="20"/>
  <c r="M52" i="20" s="1"/>
  <c r="L52" i="20"/>
  <c r="L64" i="20"/>
  <c r="M64" i="20" s="1"/>
  <c r="K41" i="20"/>
  <c r="G41" i="20"/>
  <c r="I41" i="20" s="1"/>
  <c r="J41" i="20" l="1"/>
  <c r="L41" i="20" s="1"/>
  <c r="M41" i="20" s="1"/>
  <c r="K146" i="20"/>
  <c r="G95" i="30"/>
  <c r="G96" i="30" s="1"/>
  <c r="G102" i="30"/>
  <c r="G103" i="30" s="1"/>
  <c r="K145" i="20"/>
  <c r="I145" i="20"/>
  <c r="J145" i="20" s="1"/>
  <c r="L145" i="20" l="1"/>
  <c r="M145" i="20" s="1"/>
  <c r="L146" i="20"/>
  <c r="M146" i="20" s="1"/>
  <c r="K112" i="20" l="1"/>
  <c r="F23" i="18"/>
  <c r="K108" i="20"/>
  <c r="K23" i="20" l="1"/>
  <c r="K99" i="20"/>
  <c r="I99" i="20"/>
  <c r="J99" i="20" s="1"/>
  <c r="K100" i="20"/>
  <c r="K135" i="20"/>
  <c r="G59" i="30"/>
  <c r="G60" i="30" s="1"/>
  <c r="K8" i="20"/>
  <c r="G6" i="30"/>
  <c r="L99" i="20" l="1"/>
  <c r="M99" i="20" s="1"/>
  <c r="L135" i="20"/>
  <c r="M135" i="20" s="1"/>
  <c r="L8" i="20"/>
  <c r="M8" i="20" l="1"/>
  <c r="K142" i="20" l="1"/>
  <c r="F83" i="30"/>
  <c r="F82" i="30" s="1"/>
  <c r="G82" i="30" l="1"/>
  <c r="I142" i="20"/>
  <c r="J142" i="20" s="1"/>
  <c r="G83" i="30" l="1"/>
  <c r="G84" i="30" s="1"/>
  <c r="K136" i="20"/>
  <c r="K14" i="20"/>
  <c r="L142" i="20" l="1"/>
  <c r="M142" i="20" s="1"/>
  <c r="G65" i="30" l="1"/>
  <c r="G66" i="30" s="1"/>
  <c r="L14" i="20" l="1"/>
  <c r="F37" i="21" l="1"/>
  <c r="D37" i="21"/>
  <c r="F35" i="21"/>
  <c r="D35" i="21"/>
  <c r="F29" i="21"/>
  <c r="F32" i="21" s="1"/>
  <c r="F33" i="21" l="1"/>
  <c r="C40" i="21" l="1"/>
  <c r="F40" i="21"/>
  <c r="E15" i="21" s="1"/>
  <c r="C4" i="17"/>
  <c r="E13" i="21" l="1"/>
  <c r="E12" i="21"/>
  <c r="E14" i="21"/>
  <c r="K143" i="20"/>
  <c r="I143" i="20"/>
  <c r="J143" i="20" s="1"/>
  <c r="B2" i="21"/>
  <c r="C4" i="18"/>
  <c r="L143" i="20" l="1"/>
  <c r="M143" i="20" s="1"/>
  <c r="D13" i="21"/>
  <c r="K102" i="20" l="1"/>
  <c r="K140" i="20"/>
  <c r="K144" i="20"/>
  <c r="G14" i="18" l="1"/>
  <c r="I102" i="20" l="1"/>
  <c r="I140" i="20"/>
  <c r="J140" i="20" s="1"/>
  <c r="J102" i="20" l="1"/>
  <c r="L102" i="20" s="1"/>
  <c r="M102" i="20" s="1"/>
  <c r="L140" i="20"/>
  <c r="M140" i="20" s="1"/>
  <c r="C4" i="7" l="1"/>
  <c r="G23" i="18" l="1"/>
  <c r="J96" i="20" l="1"/>
  <c r="E122" i="30"/>
  <c r="I137" i="20"/>
  <c r="J137" i="20" s="1"/>
  <c r="I7" i="20"/>
  <c r="J7" i="20" s="1"/>
  <c r="L23" i="20" l="1"/>
  <c r="M23" i="20" s="1"/>
  <c r="G122" i="30"/>
  <c r="I112" i="20"/>
  <c r="J112" i="20" s="1"/>
  <c r="I100" i="20"/>
  <c r="J100" i="20" s="1"/>
  <c r="I144" i="20" l="1"/>
  <c r="J144" i="20" s="1"/>
  <c r="G17" i="18" l="1"/>
  <c r="G71" i="30" l="1"/>
  <c r="G72" i="30" s="1"/>
  <c r="L136" i="20" s="1"/>
  <c r="M136" i="20" l="1"/>
  <c r="M14" i="20"/>
  <c r="G129" i="30"/>
  <c r="G130" i="30" l="1"/>
  <c r="L108" i="20" s="1"/>
  <c r="M108" i="20" s="1"/>
  <c r="G22" i="18" l="1"/>
  <c r="G27" i="18" s="1"/>
  <c r="D14" i="17" l="1"/>
  <c r="G18" i="18"/>
  <c r="G16" i="18"/>
  <c r="G15" i="18"/>
  <c r="G13" i="18"/>
  <c r="G12" i="18"/>
  <c r="C15" i="21"/>
  <c r="C14" i="21"/>
  <c r="C12" i="21"/>
  <c r="C4" i="22"/>
  <c r="A3" i="14"/>
  <c r="L106" i="20" l="1"/>
  <c r="M106" i="20" s="1"/>
  <c r="L72" i="20"/>
  <c r="M72" i="20" s="1"/>
  <c r="L35" i="20"/>
  <c r="M35" i="20" s="1"/>
  <c r="G20" i="18"/>
  <c r="G31" i="18" s="1"/>
  <c r="K137" i="20"/>
  <c r="L137" i="20" s="1"/>
  <c r="M137" i="20" s="1"/>
  <c r="L7" i="20"/>
  <c r="L96" i="20"/>
  <c r="L100" i="20"/>
  <c r="M100" i="20" s="1"/>
  <c r="L144" i="20"/>
  <c r="L112" i="20"/>
  <c r="D16" i="17"/>
  <c r="B14" i="21"/>
  <c r="L87" i="20" l="1"/>
  <c r="M112" i="20"/>
  <c r="M111" i="20" s="1"/>
  <c r="L111" i="20"/>
  <c r="L6" i="20"/>
  <c r="B15" i="21"/>
  <c r="D15" i="21" s="1"/>
  <c r="F15" i="21" s="1"/>
  <c r="D11" i="17"/>
  <c r="D13" i="17" s="1"/>
  <c r="D17" i="17" s="1"/>
  <c r="M96" i="20"/>
  <c r="M87" i="20" s="1"/>
  <c r="M144" i="20"/>
  <c r="M7" i="20"/>
  <c r="M6" i="20" s="1"/>
  <c r="D14" i="21"/>
  <c r="L113" i="20" l="1"/>
  <c r="M113" i="20"/>
  <c r="B17" i="21"/>
  <c r="F13" i="21"/>
  <c r="G13" i="21" s="1"/>
  <c r="H18" i="17"/>
  <c r="H19" i="17" s="1"/>
  <c r="H20" i="17" s="1"/>
  <c r="H21" i="17" s="1"/>
  <c r="D12" i="21"/>
  <c r="D17" i="21" s="1"/>
  <c r="F14" i="21"/>
  <c r="G15" i="21" l="1"/>
  <c r="C17" i="7" s="1"/>
  <c r="D17" i="7" s="1"/>
  <c r="E17" i="7" s="1"/>
  <c r="G14" i="21"/>
  <c r="C12" i="7" s="1"/>
  <c r="F12" i="21"/>
  <c r="F17" i="21" s="1"/>
  <c r="G12" i="21" l="1"/>
  <c r="F18" i="21"/>
  <c r="F19" i="21" s="1"/>
  <c r="D18" i="21"/>
  <c r="B18" i="21"/>
  <c r="B19" i="21" s="1"/>
  <c r="C11" i="7" l="1"/>
  <c r="C14" i="7" s="1"/>
  <c r="G17" i="21"/>
  <c r="G18" i="21" s="1"/>
  <c r="G19" i="21" s="1"/>
  <c r="D19" i="21"/>
  <c r="D12" i="7"/>
  <c r="D11" i="7" l="1"/>
  <c r="E11" i="7" s="1"/>
  <c r="C15" i="7"/>
  <c r="D15" i="7" s="1"/>
  <c r="E15" i="7" s="1"/>
  <c r="E12" i="7"/>
  <c r="D14" i="7" l="1"/>
  <c r="E14" i="7"/>
  <c r="J14" i="7" s="1"/>
  <c r="G6" i="22" l="1"/>
  <c r="B23" i="14"/>
  <c r="O113" i="20" l="1"/>
  <c r="H14" i="7"/>
</calcChain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2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12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128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12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12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<sst xmlns="http://schemas.openxmlformats.org/spreadsheetml/2006/main" count="4727" uniqueCount="2213">
  <si>
    <t>№ п/п</t>
  </si>
  <si>
    <t>Итого:</t>
  </si>
  <si>
    <t xml:space="preserve"> 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</si>
  <si>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</si>
  <si>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</si>
  <si>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</si>
  <si>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</si>
  <si>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</si>
  <si>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с учетом НДС</t>
  </si>
  <si>
    <t>В том числе инфляционная составляющая за период выполнения работ</t>
  </si>
  <si>
    <t xml:space="preserve"> Стоимость в прогнозных   ценах, руб.</t>
  </si>
  <si>
    <t>без учета НДС</t>
  </si>
  <si>
    <t>ПОЯСНИТЕЛЬНАЯ ЗАПИСКА</t>
  </si>
  <si>
    <t>К РАСЧЕТУ НАЧАЛЬНОЙ МАКСИМАЛЬНОЙ ЦЕНЫ ДОГОВОРА</t>
  </si>
  <si>
    <t>Описание метода расчета стоимости изыскательских работ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</si>
  <si>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</si>
  <si>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Описание метода расчета стоимости проектных работ</t>
  </si>
  <si>
    <t>рублей с учетом НДС</t>
  </si>
  <si>
    <t>Смета № 1-пд</t>
  </si>
  <si>
    <t>на проектные (изыскательские) работы</t>
  </si>
  <si>
    <t>Наименование предприятия, здания, сооружения</t>
  </si>
  <si>
    <t>Стадия проектирования</t>
  </si>
  <si>
    <t>Проектная документация</t>
  </si>
  <si>
    <t>Наименование проектной (изыскательской) организации</t>
  </si>
  <si>
    <t>Наименование организации
заказчика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</si>
  <si>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</si>
  <si>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</si>
  <si>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Единица измерения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</si>
  <si>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</si>
  <si>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</si>
  <si>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Инженерные изыскания</t>
  </si>
  <si>
    <t>Перечень выполняемых работ</t>
  </si>
  <si>
    <t>Итого</t>
  </si>
  <si>
    <t>1.1</t>
  </si>
  <si>
    <t>1.2</t>
  </si>
  <si>
    <t>1.3</t>
  </si>
  <si>
    <t>2.1</t>
  </si>
  <si>
    <t>Вид проектных или
изыскательских работ</t>
  </si>
  <si>
    <t>Экспертиза проектно-изыскательских работ</t>
  </si>
  <si>
    <t>Изыскательские работы</t>
  </si>
  <si>
    <t>рублей</t>
  </si>
  <si>
    <t>Стоимость инж.изыск.в базовых ценах без НДС</t>
  </si>
  <si>
    <t>Стоимость проектных работ в базовых ценах без НДС</t>
  </si>
  <si>
    <t>Итого: ИЗ+ПД</t>
  </si>
  <si>
    <t>Постановление Правительства РФ от 05.03.2007 № 145</t>
  </si>
  <si>
    <t>% от суммы Спд и Сиж</t>
  </si>
  <si>
    <t xml:space="preserve">СВОДНАЯ  СМЕТА 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</si>
  <si>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</si>
  <si>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</si>
  <si>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</si>
  <si>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Руб.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</si>
  <si>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</si>
  <si>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</si>
  <si>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</si>
  <si>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Проектные работы</t>
  </si>
  <si>
    <t>1. ИЗЫСКАТЕЛЬСКИЕ РАБОТЫ</t>
  </si>
  <si>
    <t>комплекс</t>
  </si>
  <si>
    <t>ИТОГО по разделу 1:</t>
  </si>
  <si>
    <t>ИТОГО по разделу 2:</t>
  </si>
  <si>
    <t>ВСЕГО:</t>
  </si>
  <si>
    <t>Расчет затрат на проведение экспертизы проектных решений и результатов инженерных изысканий</t>
  </si>
  <si>
    <t xml:space="preserve">Продолжительность работ </t>
  </si>
  <si>
    <t>НДС-20 %</t>
  </si>
  <si>
    <t>Налог на добавленную стоимость - 20 %</t>
  </si>
  <si>
    <t>Итоговая начальная максимальная цена   составляет:</t>
  </si>
  <si>
    <t>2. Разработка проектной документации</t>
  </si>
  <si>
    <t xml:space="preserve">Предполагаемая (предельная) стоимость строительства объекта: </t>
  </si>
  <si>
    <t>№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</si>
  <si>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</si>
  <si>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</si>
  <si>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</si>
  <si>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</si>
  <si>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</si>
  <si>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</si>
  <si>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</si>
  <si>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</si>
  <si>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</si>
  <si>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</si>
  <si>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</si>
  <si>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</si>
  <si>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</si>
  <si>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</si>
  <si>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</si>
  <si>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</si>
  <si>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</si>
  <si>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</si>
  <si>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</si>
  <si>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</si>
  <si>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</si>
  <si>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</si>
  <si>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</si>
  <si>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</si>
  <si>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</si>
  <si>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</si>
  <si>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</si>
  <si>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</si>
  <si>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 xml:space="preserve">Для определения цены изыскательских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</si>
  <si>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</si>
  <si>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учтен резерв средств на непредвиденные затраты в размере 2%</t>
  </si>
  <si>
    <t>В том числе непредвиденные расходы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</si>
  <si>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</si>
  <si>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</si>
  <si>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</si>
  <si>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</si>
  <si>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</si>
  <si>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</si>
  <si>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</si>
  <si>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</si>
  <si>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</si>
  <si>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</si>
  <si>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Примечание:</t>
  </si>
  <si>
    <t>1.4</t>
  </si>
  <si>
    <t>1.5</t>
  </si>
  <si>
    <t>Инженерно-геодезические изыскания</t>
  </si>
  <si>
    <t>Смета № 1-из</t>
  </si>
  <si>
    <t>Инженерно-геологические изыскания</t>
  </si>
  <si>
    <t>Смета № 2-из</t>
  </si>
  <si>
    <t>Смета № 3-из</t>
  </si>
  <si>
    <t>Инженерно-гидрометеорологические изыскания</t>
  </si>
  <si>
    <t>Смета № 4-из</t>
  </si>
  <si>
    <t>Смета № 5-из</t>
  </si>
  <si>
    <t>*Индекс фактической инфляции по данным Росстата от цен  сметной документации до даты формирования НМЦК = 1</t>
  </si>
  <si>
    <t>Объект закупки:</t>
  </si>
  <si>
    <t>Индекс пересчета в текущие цены на 2021 г.</t>
  </si>
  <si>
    <t>Наименование объекта строительства</t>
  </si>
  <si>
    <t>Обоснование</t>
  </si>
  <si>
    <t>Кол.</t>
  </si>
  <si>
    <t>Стоимость в  тыс. руб.</t>
  </si>
  <si>
    <t>Итого с учетом коэффициентов по общим указаниям сборника НЦС</t>
  </si>
  <si>
    <t>Поправочные коэффициенты</t>
  </si>
  <si>
    <t xml:space="preserve">Регионально-климатический коэффициент </t>
  </si>
  <si>
    <t>Коэффициент на сейсмичность</t>
  </si>
  <si>
    <t>Итого стоимость по аналогам:</t>
  </si>
  <si>
    <t>В расчете приняты предполагаемые виды и объемы проектных работ в соответствие с заданием на проектирование, предполагаемые технические характеристики объектов проектирования.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</si>
  <si>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</si>
  <si>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</si>
  <si>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</si>
  <si>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</si>
  <si>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</si>
  <si>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</si>
  <si>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</si>
  <si>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</si>
  <si>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</si>
  <si>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</si>
  <si>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</si>
  <si>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</si>
  <si>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</si>
  <si>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 Стадийность проектирования К=0,4;</t>
  </si>
  <si>
    <t>Пояснительная записка 2%;</t>
  </si>
  <si>
    <t>Котн=100%</t>
  </si>
  <si>
    <t>м2</t>
  </si>
  <si>
    <t>Мероприятия по обеспечению доступа инвалидов 1%;</t>
  </si>
  <si>
    <t>Проект организации строительства 2%;</t>
  </si>
  <si>
    <t>Схема планировочной организации земельного участка 2%;</t>
  </si>
  <si>
    <t>Архитектурные решения 5%;</t>
  </si>
  <si>
    <t>Проект организации строительства 6%;</t>
  </si>
  <si>
    <t>Перечень мероприятий по охране окружающей среды 8%;</t>
  </si>
  <si>
    <t>Мероприятия по обеспечению пожарной безопасности 4%;</t>
  </si>
  <si>
    <t>Требования к обеспечению безопасной эксплуатации объекта капитального строительства 1%;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</si>
  <si>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2%;</t>
  </si>
  <si>
    <t>Смета на строительство 7%;</t>
  </si>
  <si>
    <t xml:space="preserve"> Стадийность проектирования К=0,5;</t>
  </si>
  <si>
    <t>Проект полосы отвода 2%;</t>
  </si>
  <si>
    <t>Проект организации работ по сносу (демонтажу) 1%;</t>
  </si>
  <si>
    <t>Мероприятия по охране окружающей среды 9%;</t>
  </si>
  <si>
    <t>Мероприятия по обеспечению пожарной безопасности 3%;</t>
  </si>
  <si>
    <t xml:space="preserve">СБЦП "Коммунальные инженерные сети и сооружения (2012)" табл.4 п.18
(СБЦП07-4-18) </t>
  </si>
  <si>
    <t>Проект организации строительства 3%;</t>
  </si>
  <si>
    <t>Мероприятия по охране окружающей среды 8%;</t>
  </si>
  <si>
    <t>Мероприятия по обеспечению пожарной безопасности 6%;</t>
  </si>
  <si>
    <t>ТЧ п.2.3.4 Стадийность проектирования К=0,5;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</si>
  <si>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</si>
  <si>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>Здания и сооружения, входящие в инфраструктуру объекта 6%;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</si>
  <si>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</si>
  <si>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</si>
  <si>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</si>
  <si>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 xml:space="preserve">СБЦП "Объекты связи (2010)" табл.2 п.2
(СБЦП02-2-2) </t>
  </si>
  <si>
    <t xml:space="preserve"> Стадийность проектирования К=0,42;</t>
  </si>
  <si>
    <t>Электроснабжение 16%;</t>
  </si>
  <si>
    <t>Проект организация строительства 3%;</t>
  </si>
  <si>
    <t>Охрана окружающей среды (ООС) 9%;</t>
  </si>
  <si>
    <t xml:space="preserve">СБЦП "Объекты связи (2010)" табл.20 п.7
(СБЦП02-20-7) </t>
  </si>
  <si>
    <t>ТЧ п.2.45 Проектирование наружных установок промышленного телевизионного оборудования на территории объекта К=1,1;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</si>
  <si>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</si>
  <si>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</si>
  <si>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</si>
  <si>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</si>
  <si>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ТЧ сборника п.20
Таблица № 1</t>
  </si>
  <si>
    <t>ТЧ сборника п.21
Таблица № 2
I температурная зона</t>
  </si>
  <si>
    <t>НЦС 81-02-18-2021</t>
  </si>
  <si>
    <t>Оценка селевой и лавинной опасности</t>
  </si>
  <si>
    <t>Инженерно-экологические изыскания</t>
  </si>
  <si>
    <t>м</t>
  </si>
  <si>
    <t>м3</t>
  </si>
  <si>
    <t>II квартал 2016 г.</t>
  </si>
  <si>
    <t>п.м</t>
  </si>
  <si>
    <t>Наружное освещение</t>
  </si>
  <si>
    <t>IV квартал 2019 г.</t>
  </si>
  <si>
    <t>2.</t>
  </si>
  <si>
    <t>НЦС 81-02-12-2021</t>
  </si>
  <si>
    <t>Стоимость по НЦС (Прокладка линии уличного освещения с подземной прокладкой кабеля силового с медн.жилами с изоляцией ПВХ, с броней, в защитном шланге из ПВХ напряжением 1 кВ, число жил 4 и сеч.16 мм2)</t>
  </si>
  <si>
    <t>12-03-004-01</t>
  </si>
  <si>
    <t>100м</t>
  </si>
  <si>
    <t>ТЧ сборника п.23
Таблица № 2</t>
  </si>
  <si>
    <t>ТЧ сборника п.24 
Таблица № 3
I температурная зона</t>
  </si>
  <si>
    <t>ТЧ сборника п.26</t>
  </si>
  <si>
    <t>- затраты на инженерные изыскания:</t>
  </si>
  <si>
    <t>- затраты на проектные работы стадии "Проектная документация"</t>
  </si>
  <si>
    <t>- затраты на оценку воздействия проектируемого объекта на водные биологические ресурсы и среду их обитания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</si>
  <si>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</si>
  <si>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</si>
  <si>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I квартал 2017 г.</t>
  </si>
  <si>
    <t>НЦС 81-02-19-2021</t>
  </si>
  <si>
    <t>1м3</t>
  </si>
  <si>
    <t>ТЧ сборника п.24</t>
  </si>
  <si>
    <t xml:space="preserve">СБЦП "Объекты водоснабжения и канализации (2015)" табл.2 п.3
(СБЦП17-2-3) </t>
  </si>
  <si>
    <t>ОП п.1.7 Стадия проектирования К=0,6;</t>
  </si>
  <si>
    <t>Конструктивные и объемнопланировочные решения 18%;</t>
  </si>
  <si>
    <t>Инженерное оборудование, сети, инженерно-технические мероприятия, технологические решения: Система электроснабжения 8%;</t>
  </si>
  <si>
    <t>Инженерное оборудование, сети, инженерно-технические мероприятия, технологические решения: Система водоснабжения 2%;</t>
  </si>
  <si>
    <t>Инженерное оборудование, сети, инженерно-технические мероприятия, технологические решения: Система водоотведения 2%;</t>
  </si>
  <si>
    <t>Инженерное оборудование, сети, инженерно-технические мероприятия, технологические решения: Отопление, вентиляция 6%;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</si>
  <si>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 2%;</t>
  </si>
  <si>
    <t>Инженерное оборудование, сети, инженерно-технические мероприятия, технологические решения: Технологические решения 25%;</t>
  </si>
  <si>
    <t>Смета на строительство 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</si>
  <si>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</si>
  <si>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</si>
  <si>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</si>
  <si>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 xml:space="preserve">СБЦП "Объекты водоснабжения и канализации (2015)" табл.5 п.3
(СБЦП17-5-3) </t>
  </si>
  <si>
    <t xml:space="preserve">СБЦП "Коммунальные инженерные сети и сооружения (2012)" табл.4 п.3
(СБЦП07-4-3) </t>
  </si>
  <si>
    <t>ТЧ п.2.3.3 При применении альбомов типовых решений и чертежей повторного применения при проектировании узлов управления К=0,2;</t>
  </si>
  <si>
    <t>Схема планировочной организации земельного участка ;</t>
  </si>
  <si>
    <t>Архитектурные решения ;</t>
  </si>
  <si>
    <t>Конструктивные и объемно-планировочные решения ;</t>
  </si>
  <si>
    <t>Раздел "Инженерное оборудование, сети, инженерно-технические мероприятия, технологические решения": Система электроснабжения ;</t>
  </si>
  <si>
    <t>Раздел "Инженерное оборудование, сети, инженерно-технические мероприятия, технологические решения": Система водоснабжения ;</t>
  </si>
  <si>
    <t>Раздел "Инженерное оборудование, сети, инженерно-технические мероприятия, технологические решения": Система водоотведения 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</si>
  <si>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;</t>
  </si>
  <si>
    <t>Раздел "Инженерное оборудование, сети, инженерно-технические мероприятия, технологические решения": Сети связи ;</t>
  </si>
  <si>
    <t>Раздел "Инженерное оборудование, сети, инженерно-технические мероприятия, технологические решения": Система газоснабжения ;</t>
  </si>
  <si>
    <t>Раздел "Инженерное оборудование, сети, инженерно-технические мероприятия, технологические решения": Технологические решения ;</t>
  </si>
  <si>
    <t>Мероприятия по обеспечению доступа инвалидов 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</si>
  <si>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;</t>
  </si>
  <si>
    <t xml:space="preserve">СБЦП "Коммунальные инженерные сети и сооружения (2012)" табл.17 п.5
(СБЦП07-17-5) </t>
  </si>
  <si>
    <t xml:space="preserve">СБЦП "Коммунальные инженерные сети и сооружения (2012)" табл.37 п.2
(СБЦП07-37-2) </t>
  </si>
  <si>
    <t>Конструктивные и объемно-планировочные решения 11%;</t>
  </si>
  <si>
    <t>Раздел "Инженерное оборудование, сети, инженерно-технические мероприятия, технологические решения": Система электроснабжения 7%;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</si>
  <si>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 2%;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</si>
  <si>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 2%;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</si>
  <si>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6%;</t>
  </si>
  <si>
    <t>Раздел "Инженерное оборудование, сети, инженерно-технические мероприятия, технологические решения": Сети связи 2%;</t>
  </si>
  <si>
    <t>Раздел "Инженерное оборудование, сети, инженерно-технические мероприятия, технологические решения": Система газоснабжения 1%;</t>
  </si>
  <si>
    <t>Раздел "Инженерное оборудование, сети, инженерно-технические мероприятия, технологические решения": Технологические решения 30%;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</si>
  <si>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5%;</t>
  </si>
  <si>
    <t>Раздел 4. Сети связи и безопасности</t>
  </si>
  <si>
    <t xml:space="preserve">СБЦП "Железные дороги (2014)" табл.10 п.21
(СБЦП09-10-21) </t>
  </si>
  <si>
    <t>Архитектурные решения 6%;</t>
  </si>
  <si>
    <t>Конструктивные и объемно-планировочные решения 12%;</t>
  </si>
  <si>
    <t>Водоснабжение 2%;</t>
  </si>
  <si>
    <t>Водоотведение 2%;</t>
  </si>
  <si>
    <t>Отопление, вентиляция, кондиционирование воздуха 10%;</t>
  </si>
  <si>
    <t>Связь 2%;</t>
  </si>
  <si>
    <t>Газоснабжение 1%;</t>
  </si>
  <si>
    <t>Технологические решения 18%;</t>
  </si>
  <si>
    <t>Смета на строительство 8%;</t>
  </si>
  <si>
    <t xml:space="preserve">Автоматизированное рабочее место (АРМ) оператора на базе ПЭВМ, 1(1 АРМ) </t>
  </si>
  <si>
    <t xml:space="preserve">СБЦП "Объекты связи (2010)" табл.24 п.1
(СБЦП02-24-1) </t>
  </si>
  <si>
    <t>Итого по разделу 4 Сети связи и безопасности</t>
  </si>
  <si>
    <t xml:space="preserve">   Итого по разделу 4 Сети связи и безопасности</t>
  </si>
  <si>
    <t>ТЧ п.2.1.6 При проектировании конструкций, обеспечивающих устойчивость ограждающих стен котлованов заглубленных сооружений с использованием анкеров в грунте, а также при проектировании удерживающих сооружений на оползнеопасных и оползневых склонах и откосах с использованием анкеров в грунте (до) К=1,1;</t>
  </si>
  <si>
    <t>ОП п.1.7 Стадия проектирования К=0,3;</t>
  </si>
  <si>
    <t>Схема планировочной организации земельного участка 4%;</t>
  </si>
  <si>
    <t>Архитектурные решения 7%;</t>
  </si>
  <si>
    <t>Конструктивные и объемно-планировочные решения 7%;</t>
  </si>
  <si>
    <t>Инженерное оборудование, сети инженерно-технические мероприятия, технологические решения: Технологические решения 49%;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</si>
  <si>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 12%;</t>
  </si>
  <si>
    <t>Проект организация строительства (ПОС) 4%;</t>
  </si>
  <si>
    <t>Охрана окружающей среды (ООС) 8%;</t>
  </si>
  <si>
    <t>Мероприятия по обеспечению пожарной безопасности 2%;</t>
  </si>
  <si>
    <t>1.6</t>
  </si>
  <si>
    <t>Смета № 6-из</t>
  </si>
  <si>
    <t>Археологические исследования</t>
  </si>
  <si>
    <t>ОП п.1.10 При проведении государственной экологической экспертизы проектной документации, К= от 1,2 до 1,25 К=1,25;</t>
  </si>
  <si>
    <t>ТЧ п.2.2.1 При проектировании лучевого водозабора, каптажа ключей, горизонтального водозабора и подруслового водозабора, К= от 1,02 до 1,05 К=1,05;</t>
  </si>
  <si>
    <t xml:space="preserve">Водопропускные трубы на автомобильных дорогах: прямоугольные бетонные трубы отверстием до 2000 мм, 300(м) </t>
  </si>
  <si>
    <t xml:space="preserve">СБЦП "Искусственные сооружения (2015)" табл.2 п.2.10
(СБЦП16-2-2.10) </t>
  </si>
  <si>
    <t>ОП п.1.7 Разработка раздела «Мероприятия по охране окружающей среды» (до) К=1,1;</t>
  </si>
  <si>
    <t xml:space="preserve">СБЦП "Железные дороги (2014)" табл.10 п.9-1
(СБЦП09-10-9-1) </t>
  </si>
  <si>
    <t>Пояснительная записка 1%;</t>
  </si>
  <si>
    <t>Схема планировочной организации земельного участка 3%;</t>
  </si>
  <si>
    <t>Мероприятия по обеспечению энергетической эффективности 1%;</t>
  </si>
  <si>
    <t>Мероприятия по обеспечению пожарной безопасности 5%;</t>
  </si>
  <si>
    <t xml:space="preserve">СБЦП "Объекты водоснабжения и канализации (2015)" табл.5 п.10
(СБЦП17-5-10) </t>
  </si>
  <si>
    <t xml:space="preserve">Вентиляторные градирни площадью секции:свыше 16 до 192 м2, 40(1 м2) </t>
  </si>
  <si>
    <t xml:space="preserve">СБЦП "Объекты водоснабжения и канализации (2015)" табл.6 п.2
(СБЦП17-6-2) </t>
  </si>
  <si>
    <t>Перечень  мероприятий по охране окружающей среды 9%;</t>
  </si>
  <si>
    <t>Проект организации строительства 4%;</t>
  </si>
  <si>
    <t>Инженерное оборудование, сети, инженерно-технические мероприятия, технологические решения: Технологические решения 31%;</t>
  </si>
  <si>
    <t>Инженерное оборудование, сети, инженерно-технические мероприятия, технологические решения: Сети связи 2%;</t>
  </si>
  <si>
    <t>Инженерное оборудование, сети, инженерно-технические мероприятия, технологические решения: Отопление, вентиляция и кондиционирование воздуха 4%;</t>
  </si>
  <si>
    <t>Инженерное оборудование, сети, инженерно-технические мероприятия, технологические решения: Путевое развитие 5%;</t>
  </si>
  <si>
    <t>Инженерное оборудование, сети, инженерно-технические мероприятия, технологические решения: Системы водоснабжения и водоотведения 4%;</t>
  </si>
  <si>
    <t>Инженерное оборудование, сети, инженерно-технические мероприятия, технологические решения: Система электроснабжения 5%;</t>
  </si>
  <si>
    <t>Архитектурные решения 9%;</t>
  </si>
  <si>
    <t>Сметная документация 11%;</t>
  </si>
  <si>
    <t>Проект организации строительства 26%;</t>
  </si>
  <si>
    <t>Основные конструкции 63%;</t>
  </si>
  <si>
    <t xml:space="preserve"> Стадии проектирования К=0,34;</t>
  </si>
  <si>
    <t>2.2</t>
  </si>
  <si>
    <t>Начальная (максимальная) цена контракта с учетом индекса прогнозной инфляции на период выполнения работ и с учетом авансирования в размере 30%</t>
  </si>
  <si>
    <t>- авансирование в размере 30%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</si>
  <si>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</si>
  <si>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Е.А. Татаринова</t>
  </si>
  <si>
    <t>шт</t>
  </si>
  <si>
    <t>Всесезонный туристско-рекреационный комплекс "Ведучи", Чеченская Республика. Система искусственного снегообразования (Насосная станция, Водозаборный узел) Горнолыжных трасс этапа 1</t>
  </si>
  <si>
    <t>Градирня Мощность вентилятора 15х3 кВт</t>
  </si>
  <si>
    <t>Сети 0,4 кВ</t>
  </si>
  <si>
    <t>Сети 10 кВ</t>
  </si>
  <si>
    <t>Система охранная телевизионная (СОТ)</t>
  </si>
  <si>
    <t>камера</t>
  </si>
  <si>
    <t>канал</t>
  </si>
  <si>
    <t>Структурированная кабельная система (СКС)</t>
  </si>
  <si>
    <t>узел</t>
  </si>
  <si>
    <t>м3/ч</t>
  </si>
  <si>
    <t>Всесезонный туристско-рекреационный комплекс "Ведучи", Чеченская Республика. Горнолыжная трасса VP-3</t>
  </si>
  <si>
    <t>IV квартал 2020 г.</t>
  </si>
  <si>
    <t>Горнолыжная и сопутствующая инфраструктура на южноориентированном склоне ВТРК "Ведучи". Этап 0</t>
  </si>
  <si>
    <t>"Объекты Северного склона поселка Романтик, ВТРК "Архыз". 
Этап 4. Система искусственного снегообразования трасс Северного склона.</t>
  </si>
  <si>
    <t>НЦС 81-02-14-2021</t>
  </si>
  <si>
    <t>ТЧ сборника п.27
Таблица № 9</t>
  </si>
  <si>
    <t>ТЧ сборника п.28
Таблица № 10
I температурная зона</t>
  </si>
  <si>
    <t>Операторская 25м2</t>
  </si>
  <si>
    <t>2.3</t>
  </si>
  <si>
    <t>Прейскурант ФГБУ "Главрыбвод" от 30.12.2020 № 282, п. 1.3.2</t>
  </si>
  <si>
    <t>Наименование работ</t>
  </si>
  <si>
    <t>месяцев</t>
  </si>
  <si>
    <t>1.7</t>
  </si>
  <si>
    <t>Смета № 7-из</t>
  </si>
  <si>
    <t>Геофизические исследования</t>
  </si>
  <si>
    <t>Индекс пересчета в уровень цен 
декабрь 2022 г.</t>
  </si>
  <si>
    <t>Раздел 1. Сооружения СИС</t>
  </si>
  <si>
    <t>СБЦП МУ(2009) п.3.7 Сейсмичность 9 баллов (ТХ- 25%; КР-18%; Водоснабж.-2%) к=45%*1,3+55%=113,5% К=1,135;</t>
  </si>
  <si>
    <t>ОП п.1.13 Оценка воздействия объекта капитального строительства на окружающую среду (ОВОС) К=1,04;</t>
  </si>
  <si>
    <t>Трубопровод подачи воды от насосной НС1-0 в резервуар «речной воды»: Трубопровод  диаметром до 400 мм длиной до 200 м</t>
  </si>
  <si>
    <t xml:space="preserve">СБЦП "Коммунальные инженерные сети и сооружения (2012)" табл.4 п.5
(СБЦП07-4-5) </t>
  </si>
  <si>
    <t>СБЦП МУ(2009) п.3.7 Сейсмичность 9 баллов К=1,3 для разделов проектирования (ТХ- 24,5%; КР-27,5%; Водоснабж.-2,5%) к=54,5%*1,3+45,5%=116,4% К=1,164;</t>
  </si>
  <si>
    <t>ОП п.1.14 Выполнение работ по оценке воздействия объекта капитального строительства на окружающую среду (ОВОС)  К=1,04;</t>
  </si>
  <si>
    <t>СБЦП МУ(2009) п.3.7 Сейсмичность 9 баллов К=1,3 для разделов проектирования (ТХ- 25%; КР-18%; Водоснабж.-2%) к=45%*1,3+55%=113,5% К=1,135;</t>
  </si>
  <si>
    <t>ОП п.1.18 При проектировании зданий и сооружений   с ограждающими и несущими конструкциями из монолитного железобетона к разделу КР=18%: К=18%*1,4+82%=107,2% К=1,072;</t>
  </si>
  <si>
    <t>Градирня: Мощность вентилятора 15х3 кВт. Ориентировочная площадь 40 кв.м.</t>
  </si>
  <si>
    <t>ТЧ п.2.5.1 При проектировании насосной станции с высоконапорными агрегатами (рабочее давление &gt; 16 кг/см2) или пневматических насосных станций, К= от 1,4 до 1,45 К=1,4;</t>
  </si>
  <si>
    <t xml:space="preserve">Ограждение территории протяжённостью: от 0,5 до 5 км, 0,2(км) </t>
  </si>
  <si>
    <t>СБЦП МУ(2009) п.3.7 Сейсмичность 9 баллов К=1,3 для разделов проектирования (КР-12%, ТХ-31%) к=43%*1,3+57%=112,9% К=1,129;</t>
  </si>
  <si>
    <t>СБЦП МУ(2009) п.3.7 Сейсмичность 9 баллов К=1,3 для разделов проектирования (КР-63%;) к=63%*1,3+37%=118,9% К=1,189;</t>
  </si>
  <si>
    <t>ОП п.1.7 Выполнение работ по оценке воздействия объекта капитального строительства на окружающую среду  К=1,04;</t>
  </si>
  <si>
    <t>Трубопровод подачи воды от насосной НС1-1 в  насосную станцию второго подъема НС1-2 и попутно к гидрантам на горнолыжных трассах: Высоконапорный трубопровод диаметром до 200 мм длиной до 5 500 м</t>
  </si>
  <si>
    <t>Насосная станция НС1-2: Здание с каркасом из металлоконструкций и стенами из сэндвич-панелей, площадью до 36 м2 с насосами общей производительностью до 100 л/сек и напором не менее  550 м каждый</t>
  </si>
  <si>
    <t xml:space="preserve">Ограждение территории протяжённостью: от 0,5 до 5 км, 0,15(км) </t>
  </si>
  <si>
    <t xml:space="preserve">Водопропускные трубы на автомобильных дорогах: прямоугольные бетонные трубы отверстием до 2000 мм, 250(м) </t>
  </si>
  <si>
    <t>Трубопровод подачи воды от насосной НС1-2 к гидрантам на горнолыжных трассах: Высоконапорный трубопровод  диаметром до 200 мм длиной до 6 000 м</t>
  </si>
  <si>
    <t>Итого по разделу 1 Сооружения СИС</t>
  </si>
  <si>
    <t xml:space="preserve">   Итого по разделу 1 Сооружения СИС</t>
  </si>
  <si>
    <t>Раздел 2. Электроснабжение</t>
  </si>
  <si>
    <t xml:space="preserve">Кабельные линии напряжением до 35 кВ с интервалами протяженности:свыше 100 до 500 м, 200(м) </t>
  </si>
  <si>
    <t xml:space="preserve">СБЦП "Коммунальные инженерные сети и сооружения (2012)" табл.17 п.2
(СБЦП07-17-2) </t>
  </si>
  <si>
    <t>СБЦП МУ(2009) п.3.7 Сейсмичность 9 баллов К=1,3 для разделов проектирования (ТХ- 24,5%; КР-27,5%;ЭС-10%) к=62%*1,3+38%=118,6% К=1,186;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</si>
  <si>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</si>
  <si>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>СБЦП МУ(2009) п.3.7 Сейсмичность 9 баллов К=1,3 для разделов проектирования (ТХ- 30%; КР-11%; ЭС-7%) к=48%*1,3+52%=114,4% К=1,144;</t>
  </si>
  <si>
    <t>ТЧ п.2.8.7.1 Для подстанций с единичной мощностью трансформаторов более указанной К=1,1;</t>
  </si>
  <si>
    <t xml:space="preserve">Кабельные линии напряжением до 35 кВ с интервалами протяженности:свыше 100 до 500 м, 300(м) </t>
  </si>
  <si>
    <t>Врезка/отпайка от проектируемой отдельным проектом воздушной линии ВЛ 10 кВ</t>
  </si>
  <si>
    <t xml:space="preserve">СБЦП "Коммунальные инженерные сети и сооружения (2012)" табл.18 п.7
(СБЦП07-18-7) </t>
  </si>
  <si>
    <t xml:space="preserve"> Стадийность проектирования К=0,3;</t>
  </si>
  <si>
    <t>ТЧ п.2.8.2.9 При проектировании подключения к существующим воздушным линиям дополнительных потребителей, до К=1,15;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</si>
  <si>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</si>
  <si>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</si>
  <si>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Итого по разделу 2 Электроснабжение</t>
  </si>
  <si>
    <t xml:space="preserve">   Итого по разделу 2 Электроснабжение</t>
  </si>
  <si>
    <t>Раздел 3. Сети управления СИС, операторская СИС</t>
  </si>
  <si>
    <t>АРМ оператора СИС: В операторской СИС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</si>
  <si>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</si>
  <si>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 xml:space="preserve">Здание дежурного по переезду, 1(здание) </t>
  </si>
  <si>
    <t>Итого по разделу 3 Сети управления СИС, операторская СИС</t>
  </si>
  <si>
    <t xml:space="preserve">   Итого по разделу 3 Сети управления СИС, операторская СИС</t>
  </si>
  <si>
    <t xml:space="preserve">СБЦ "Системы противопожарной и охранной защиты (1999)" табл.5 п.1
(СБЦ1-5-1) </t>
  </si>
  <si>
    <t>ТЧ п.2.7 Стадийность проектирования К=0,25;</t>
  </si>
  <si>
    <t>Принципиальные технические решения, технико-экономический анализ 30%;</t>
  </si>
  <si>
    <t>Автоматика и сигнализация 67%;</t>
  </si>
  <si>
    <t>Сметная документация 3%;</t>
  </si>
  <si>
    <t>СБЦП МУ(2009) п.3.7 Сейсмичность 9 баллов К=1,3 для разделов проектирования (КР-12%, ЭС-16%, СС-2%, ТХ-18%) к=48%*1,3+52%=114,4% К=1,144;</t>
  </si>
  <si>
    <t>Система охранного освещения (СОО)</t>
  </si>
  <si>
    <t xml:space="preserve">СБЦП "Коммунальные инженерные сети и сооружения (2012)" табл.2 п.3
(СБЦП07-2-3) </t>
  </si>
  <si>
    <t>СБЦП МУ(2009) п.3.7 Сейсмичность 9 баллов К=1,3 для разделов проектирования (ТХ- 24,5%; КР-27,5%; ЭС-10%) к=62%*1,3+38%=118,6% К=1,186;</t>
  </si>
  <si>
    <t>Система контроля и управления доступом (СКУД))</t>
  </si>
  <si>
    <t>Система передачи данных систем безопасности (СПД-СБ)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</si>
  <si>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20(1 канал) </t>
  </si>
  <si>
    <t xml:space="preserve">Структурированная кабельная сеть с числом узлов:от 2 до 10, 3(1 узел) </t>
  </si>
  <si>
    <t xml:space="preserve">СБЦП "Объекты связи (2010)" табл.24 п.8
(СБЦП02-24-8) </t>
  </si>
  <si>
    <t>ТЧ п.2.1.2 При проектировании кабелей уплотненных, междугородних, оптических, телемеханики, кабельного телевидения, до К=1,2;</t>
  </si>
  <si>
    <t>Система передачи данных слаботочных систем (СПД-СС)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</si>
  <si>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6(1 канал) 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</si>
  <si>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0,3 до 1,1 тыс.м2, 3,5*0,2=0,7(тыс.м2) </t>
  </si>
  <si>
    <t xml:space="preserve">СБЦП "Заглубленные сооружения и конструкции, водопонижение, противооползневые сооружения и мероприятия (2015)" табл.1 п.29
(СБЦП15-1-29) </t>
  </si>
  <si>
    <t>СБЦП МУ(2009) п.3.7 Сейсмичность 9 баллов К=1,3 для разделов проектирования (ТХ- 49%; КР-7%) к=56%*1,3+44%=116,8% К=1,168;</t>
  </si>
  <si>
    <t>ОП п.1.6 Оценка воздействия объекта капитального строительства на окружающую среду (ОВОС) - 4% К=1,04;</t>
  </si>
  <si>
    <t>Раздел 6. Демонтаж сетей и сооружений существующей системы искусственного снегообразования</t>
  </si>
  <si>
    <t>Водовод из стальных труб общей длиной до 3 235 м</t>
  </si>
  <si>
    <t xml:space="preserve">Городской водопровод, сооружаемый открытым способом диаметром до 315 мм, протяженностью:свыше 2000 до 5000 м, 3235(м) </t>
  </si>
  <si>
    <t>ОП п.1.19 При разработке проектной и рабочей документации только на демонтаж объектов и сооружений (без дальнейшего проектирования новых объектов и сооружений) – для линейной части, до К=0,35;</t>
  </si>
  <si>
    <t>наземные гидранты 25 шт</t>
  </si>
  <si>
    <t xml:space="preserve">Узлы управления (камеры, колодцы, коверы) для обслуживания задвижек, гидрантов, воздушников, спускников диаметром: до 300 мм, 25(объект) </t>
  </si>
  <si>
    <t>ОП п.1.19 При разработке проектной и рабочей документации только на демонтаж объектов и сооружений (без дальнейшего проектирования новых объектов и сооружений) – для площадочных сооружений, до К=0,2;</t>
  </si>
  <si>
    <t>кабельные линии электроснабжения общей длиной до 6 460 м</t>
  </si>
  <si>
    <t xml:space="preserve">Кабельные линии напряжением до 35 кВ с интервалами протяженности:свыше 5000 м, 6460(м) </t>
  </si>
  <si>
    <t>трубы асбестоцементные 61 м</t>
  </si>
  <si>
    <t xml:space="preserve">Прокладка канализации связи и радио из асбоцементных труб диаметром 100 мм, емкостью до 2 отверстий включительно и протяженностью: до 100 м, 1(объект) </t>
  </si>
  <si>
    <t xml:space="preserve">СБЦП "Коммунальные инженерные сети и сооружения (2012)" табл.1 п.1
(СБЦП07-1-1) </t>
  </si>
  <si>
    <t>блочное здание насосной 1-го подъема площадью 70 м2</t>
  </si>
  <si>
    <t>блочное здание насосной 2-го подъема площадью 36 м2.</t>
  </si>
  <si>
    <t>Итого по разделу 6 Демонтаж сетей и сооружений существующей системы искусственного снегообразования</t>
  </si>
  <si>
    <t xml:space="preserve">   Итого по разделу 6 Демонтаж сетей и сооружений существующей системы искусственного снегообразования</t>
  </si>
  <si>
    <t>ВСЕГО по смете</t>
  </si>
  <si>
    <t xml:space="preserve">   ВСЕГО по смете</t>
  </si>
  <si>
    <t>Всесезонный туристско-рекреационный комплекс «Эльбрус», Кабардино-Балкарская Республика. Система искусственного снегообразования</t>
  </si>
  <si>
    <t>ВТРК "Эльбрус", Кабардино-Балкарская республика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</si>
  <si>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</si>
  <si>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</si>
  <si>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Подрусловый водозабор на реке Баксан (ВЗУ )</t>
  </si>
  <si>
    <t>Коэффициент перехода от базового района к уровню цен Кабардино-Балкарской Республики</t>
  </si>
  <si>
    <t>Постановление №145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</si>
  <si>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</si>
  <si>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</si>
  <si>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</si>
  <si>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</si>
  <si>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</si>
  <si>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</si>
  <si>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</si>
  <si>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</si>
  <si>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</si>
  <si>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</si>
  <si>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</si>
  <si>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</si>
  <si>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</si>
  <si>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</si>
  <si>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</si>
  <si>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</si>
  <si>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</si>
  <si>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</si>
  <si>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</si>
  <si>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</si>
  <si>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</si>
  <si>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</si>
  <si>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</si>
  <si>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</si>
  <si>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</si>
  <si>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</si>
  <si>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</si>
  <si>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</si>
  <si>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</si>
  <si>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</si>
  <si>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</si>
  <si>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</si>
  <si>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</si>
  <si>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</si>
  <si>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</si>
  <si>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2022 году</t>
  </si>
  <si>
    <t>^(1/12)</t>
  </si>
  <si>
    <t>ежемесячный прогнозный индекс на 2022 год</t>
  </si>
  <si>
    <t>К на 2022 =</t>
  </si>
  <si>
    <t>Индекс прогнозной инфляции</t>
  </si>
  <si>
    <t>Стоимость работ в ценах на дату формирования начальной (максимальной) цены контракта</t>
  </si>
  <si>
    <t>19-03-006-01</t>
  </si>
  <si>
    <t>19-03-006-02</t>
  </si>
  <si>
    <t>Резервуар «холодной воды»: в полузаглубленном  исполнении, в ж/б конструкциях</t>
  </si>
  <si>
    <t>Насосные станции второго подъёма, производительностью: 360 м3/час</t>
  </si>
  <si>
    <t>м3/час</t>
  </si>
  <si>
    <t>19-03-002-01
а=320 м3/час
Па=79,74 тыс. руб.
19-03-002-02
с=640 м3/час
Пс=41,27 тыс. руб.
ТЧ сборника п.28 (интерполяция):
Рассчитываемый показатель 
Пв=Пс-(с-в)*(Пс-Па)/(с-а)
в=360 м3/час
Пв=41,27-(640-360)*(41,27-79,74)/(640-320)</t>
  </si>
  <si>
    <t>14-06-006-20</t>
  </si>
  <si>
    <t>Наружные инженерные сети водоснабжения из полиэтиленовых труб, разработка мокрого грунта в отвал, без креплений (группа грунтов 4): диаметром 400 мм глубиной 2 м</t>
  </si>
  <si>
    <t>1 км</t>
  </si>
  <si>
    <t xml:space="preserve">Насосная станция СИС  НС1-1 Производительностью 360 м3/ч с напором  850м
</t>
  </si>
  <si>
    <t>Насосы подачи воды производительностью не менее 360 м3/ч напором не менее 850 м</t>
  </si>
  <si>
    <t>Комплектная трансформаторная подстанция ТП-СИС ВЗУ (2х1500 кВА)</t>
  </si>
  <si>
    <t>Комплектная трансформаторная подстанция ТП-СИС НС1-2 (2х1000 кВА)</t>
  </si>
  <si>
    <t>ТЧ сборника п.21
Таблица № 3</t>
  </si>
  <si>
    <t>ТЧ сборника п.22
Таблица № 4</t>
  </si>
  <si>
    <t>ТЧ сборника п.24
Таблица № 6</t>
  </si>
  <si>
    <t>АРМ оператора СИС</t>
  </si>
  <si>
    <t>мест</t>
  </si>
  <si>
    <t>объектов защиты</t>
  </si>
  <si>
    <t>точек прохода</t>
  </si>
  <si>
    <t>Слаботочная сеть:
От операторской СИС оптическим кабелем до ТШ в здании серверной нижней станции канатной дороги АЗАУ-Кругозор.</t>
  </si>
  <si>
    <t>Система телефонной связи</t>
  </si>
  <si>
    <t>точка</t>
  </si>
  <si>
    <t>Демонтаж сетей и сооружений существующей системы искусственного снегообразования:</t>
  </si>
  <si>
    <t>блочное здание насосной 2-го подъема площадью 36 м2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</si>
  <si>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</si>
  <si>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</si>
  <si>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</si>
  <si>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</si>
  <si>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</si>
  <si>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</si>
  <si>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</si>
  <si>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</si>
  <si>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</si>
  <si>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</si>
  <si>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</si>
  <si>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Камера переключений (водопроводные камеры):
В подземном исполнении</t>
  </si>
  <si>
    <t>2.4</t>
  </si>
  <si>
    <t>2.5</t>
  </si>
  <si>
    <t>2.6</t>
  </si>
  <si>
    <t>2.7</t>
  </si>
  <si>
    <t>2.8</t>
  </si>
  <si>
    <t>НЦС 81-02-21-2021</t>
  </si>
  <si>
    <t>КТП 10(6) кВ, блочного типа (здание из сэндвич-панелей), количество и мощность: 2х1000</t>
  </si>
  <si>
    <t>1ед. (объект)</t>
  </si>
  <si>
    <t>21-01-004-09</t>
  </si>
  <si>
    <t>ТЧ сборника п.21
Таблица № 2</t>
  </si>
  <si>
    <t>ТЧ сборника п.22 
Таблица № 3
I температурная зона</t>
  </si>
  <si>
    <t>Комплектная трансформаторная подстанция ТП-СИС НС1-2 (2х1500 кВА)</t>
  </si>
  <si>
    <t>КТП 10(6) кВ, блочного типа (здание из сэндвич-панелей), количество и мощность: 2х1600</t>
  </si>
  <si>
    <t>21-01-004-11</t>
  </si>
  <si>
    <t>учтена КТПБ 2х1600 кВА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</si>
  <si>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05-02 Внутриплощадочные связи</t>
  </si>
  <si>
    <t>II квартал 2019 г.</t>
  </si>
  <si>
    <t>Служебно-бытовое здание склада ГСМ (прим.)</t>
  </si>
  <si>
    <t>18-20-001-01</t>
  </si>
  <si>
    <t>100 м</t>
  </si>
  <si>
    <t xml:space="preserve">Система СИС (колодцы с гидрантами, снегогенераторы) </t>
  </si>
  <si>
    <t>учтено в операторской СИС.</t>
  </si>
  <si>
    <t>форма № 3п по МДС 81-35.2004</t>
  </si>
  <si>
    <t>Смета №8-ВОП
на проведение работ по разведке территории на наличие взрывоопасных предметов</t>
  </si>
  <si>
    <t>Наименование организации заказчика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</si>
  <si>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</si>
  <si>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</si>
  <si>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</si>
  <si>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</si>
  <si>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</si>
  <si>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</si>
  <si>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Полевые работы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</si>
  <si>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</si>
  <si>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</si>
  <si>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</si>
  <si>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</si>
  <si>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</si>
  <si>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Камеральные работы</t>
  </si>
  <si>
    <t>Итого оплата труда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</si>
  <si>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</si>
  <si>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</si>
  <si>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</si>
  <si>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</si>
  <si>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ИТОГО</t>
  </si>
  <si>
    <t>НДС 20%</t>
  </si>
  <si>
    <t>ВСЕГО с НДС</t>
  </si>
  <si>
    <t xml:space="preserve">на проведение работ по разведке территории на наличие взрывоопасных предметов
</t>
  </si>
  <si>
    <t xml:space="preserve">Объект. </t>
  </si>
  <si>
    <t>Всесезонный туристско-рекреационный комплекс «Эльбрус», 
Кабардино-Балкарская Республика. 
Система искуственного снегообразования</t>
  </si>
  <si>
    <t>Исполнитель: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</si>
  <si>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</si>
  <si>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>Обоснование сметной стоимости</t>
  </si>
  <si>
    <t>Ед. изм.</t>
  </si>
  <si>
    <t>Кол-во</t>
  </si>
  <si>
    <t>Цена</t>
  </si>
  <si>
    <t>Сумма</t>
  </si>
  <si>
    <t xml:space="preserve">1. Полевая разведка </t>
  </si>
  <si>
    <t xml:space="preserve">Камеральные работы </t>
  </si>
  <si>
    <t>1 га.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</si>
  <si>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</si>
  <si>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</si>
  <si>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</si>
  <si>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 xml:space="preserve">Итого </t>
  </si>
  <si>
    <t>%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</si>
  <si>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</si>
  <si>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</si>
  <si>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</si>
  <si>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</si>
  <si>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</si>
  <si>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</si>
  <si>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</si>
  <si>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</si>
  <si>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</si>
  <si>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коэф.</t>
  </si>
  <si>
    <t>НДС</t>
  </si>
  <si>
    <t>Разведка территории на наличие взрывоопасных предметов</t>
  </si>
  <si>
    <t>Смета №8-ВОП</t>
  </si>
  <si>
    <t>разведка территории на наличие взрывоопасных предметов</t>
  </si>
  <si>
    <t xml:space="preserve">, Всесезонный туристско-рекреационный комплекс «Эльбрус», Кабардино-Балкарская Республика. Система искусственного снегообразования, Проектные работы стадии "Проектная документация", 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</si>
  <si>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</si>
  <si>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</si>
  <si>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</si>
  <si>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 xml:space="preserve">Всесезонный туристско-рекреационный комплекс «Эльбрус», 
Кабардино-Балкарская Республика Система искуственного снегообразования
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</si>
  <si>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</si>
  <si>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</si>
  <si>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</si>
  <si>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</si>
  <si>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</si>
  <si>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</si>
  <si>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Обоснование стоимости</t>
  </si>
  <si>
    <t>Расчет стоимости</t>
  </si>
  <si>
    <t>п/п</t>
  </si>
  <si>
    <t>Виды работ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</si>
  <si>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</si>
  <si>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</si>
  <si>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</si>
  <si>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</si>
  <si>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</si>
  <si>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</si>
  <si>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Табл.1 § 3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</si>
  <si>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</si>
  <si>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</si>
  <si>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</si>
  <si>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</si>
  <si>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</si>
  <si>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</si>
  <si>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</si>
  <si>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ИТОГО:</t>
  </si>
  <si>
    <t>ИТОГО КАМЕРАЛЬНЫЕ РАБОТЫ:</t>
  </si>
  <si>
    <t>Прочие расходы</t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</si>
  <si>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</si>
  <si>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</si>
  <si>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</si>
  <si>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</si>
  <si>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+</t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</si>
  <si>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</si>
  <si>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t>Организация и ликвидация изысканий</t>
  </si>
  <si>
    <t>ОУ  п.13</t>
  </si>
  <si>
    <t>ИТОГО ПРОЧИЕ</t>
  </si>
  <si>
    <t>ВСЕГО ПО ИЗЫСКАНИЯМ</t>
  </si>
  <si>
    <t xml:space="preserve">Непредвиденные расходы </t>
  </si>
  <si>
    <t>Цены приведены к базисному уровню на 01.01.2001 г.)</t>
  </si>
  <si>
    <t>ИТОГО с учетом НДС</t>
  </si>
  <si>
    <t>на  инженерно-геологические изыскания</t>
  </si>
  <si>
    <t>«Всесезонный туристско-рекреационный комплекс «Эльбрус», Кабардино-Балкарская Республика. Система искусственного снегообразования»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</si>
  <si>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</si>
  <si>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</si>
  <si>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№№ п/п</t>
  </si>
  <si>
    <t>Единица измерен.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</si>
  <si>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</si>
  <si>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</si>
  <si>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</si>
  <si>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</si>
  <si>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</si>
  <si>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</si>
  <si>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</si>
  <si>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</si>
  <si>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</si>
  <si>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1 км маршрута</t>
  </si>
  <si>
    <t xml:space="preserve">СБЦ-99, т.9, п.3, прим.3 </t>
  </si>
  <si>
    <t>1 точка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</si>
  <si>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</si>
  <si>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1 м </t>
  </si>
  <si>
    <t>Колонковое бурение скважины диаметром  до 160  мм глубиной св 15  до 25 м [IX категория породы] на склонах от 10 до 30 градусов</t>
  </si>
  <si>
    <t>1 выработка (точка)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</si>
  <si>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</si>
  <si>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</si>
  <si>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</si>
  <si>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</si>
  <si>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</si>
  <si>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</si>
  <si>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</si>
  <si>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1 точка/месяц</t>
  </si>
  <si>
    <t>Отбор монолитов из скважин (скальные грунты)  с глубины до 10 м</t>
  </si>
  <si>
    <t>1 монолит</t>
  </si>
  <si>
    <t>СБЦ-99, т.57 п.1; К1- прим.</t>
  </si>
  <si>
    <t>Отбор монолитов из скважин (скальные грунты)  с глубины св 10 м до 20 м</t>
  </si>
  <si>
    <t>СБЦ-99, т.57 п.2; К1- прим.</t>
  </si>
  <si>
    <t>Проходка врезов на склонах крутизной до 30 град.Категория грунтов VII</t>
  </si>
  <si>
    <t>1 испытание</t>
  </si>
  <si>
    <t>СБЦ-99, т.26 п.4</t>
  </si>
  <si>
    <t>Итого :</t>
  </si>
  <si>
    <t>Выполнение изысканий в горных и высокогорных районах c абсолютными высотами св. 2000 до 3000 м</t>
  </si>
  <si>
    <t>О.У., п.8а, табл. 1, п. 3</t>
  </si>
  <si>
    <t>Выполнение изысканий в неблагоприятный период</t>
  </si>
  <si>
    <t>О.У., п.8а, табл. 2, п. 4</t>
  </si>
  <si>
    <t>Итого полевых работ: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</si>
  <si>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</si>
  <si>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</si>
  <si>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</si>
  <si>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</si>
  <si>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</si>
  <si>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</si>
  <si>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</si>
  <si>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</si>
  <si>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</si>
  <si>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</si>
  <si>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</si>
  <si>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</si>
  <si>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</si>
  <si>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</si>
  <si>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</si>
  <si>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</si>
  <si>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</si>
  <si>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</si>
  <si>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</si>
  <si>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</si>
  <si>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</si>
  <si>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</si>
  <si>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</si>
  <si>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СБЦ-99, т.71 п.1</t>
  </si>
  <si>
    <t>Коррозионная активность грунтов по отношению к стали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</si>
  <si>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</si>
  <si>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</si>
  <si>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</si>
  <si>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</si>
  <si>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</si>
  <si>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</si>
  <si>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</si>
  <si>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</si>
  <si>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</si>
  <si>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</si>
  <si>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</si>
  <si>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</si>
  <si>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</si>
  <si>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</si>
  <si>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</si>
  <si>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</si>
  <si>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Сбор, изучение и систематизация материалов изысканий прошлых лет по горным выработкам
III категория сложности ИГУ</t>
  </si>
  <si>
    <t>СБЦ-99, т.78, п.1</t>
  </si>
  <si>
    <t>Сбор, изучение и систематизация материалов изысканий прошлых лет по цифровым показателям
III категория сложности ИГУ</t>
  </si>
  <si>
    <t>10 цифр.знач</t>
  </si>
  <si>
    <t xml:space="preserve">1 программа </t>
  </si>
  <si>
    <t>СБЦ-99, т.81, п. 3,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</si>
  <si>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</si>
  <si>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</si>
  <si>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</si>
  <si>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</si>
  <si>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</si>
  <si>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СБЦ-99, т.4 п.2</t>
  </si>
  <si>
    <t>СБЦ-99, т.5 п.6</t>
  </si>
  <si>
    <t>Расходы на организацию и ликвидацию полевых работ</t>
  </si>
  <si>
    <t xml:space="preserve">СБЦ-99, О.У.п.13, прим. 1 к=2,5 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</si>
  <si>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</si>
  <si>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</si>
  <si>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</si>
  <si>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ИТОГО прочие расходы</t>
  </si>
  <si>
    <t>ИТОГО в ценах 1991 года:</t>
  </si>
  <si>
    <t>ВСЕГО по смете с учетом непредвиденных расходов 10 %</t>
  </si>
  <si>
    <t>на изыскательские работы</t>
  </si>
  <si>
    <t>Георадиолокационное обследование</t>
  </si>
  <si>
    <t>Наименование объекта изысканий:</t>
  </si>
  <si>
    <t>Всесезонный туристско-рекреационный комплекс «Эльбрус», Кабардино-Балкарская Республика. Система искусственного снегообразования"</t>
  </si>
  <si>
    <t>Сметный расчет составлен по следующим документам: Сборник цен на изыскательские работы для капитального строительства. 1981г. (Глава 16, Глава 20)</t>
  </si>
  <si>
    <t>Ед.
Изм</t>
  </si>
  <si>
    <t>Кол-
во.</t>
  </si>
  <si>
    <t>Стоимость, руб.</t>
  </si>
  <si>
    <t>цена за ед.</t>
  </si>
  <si>
    <t>к1</t>
  </si>
  <si>
    <t>к2</t>
  </si>
  <si>
    <t>1</t>
  </si>
  <si>
    <t>Раздел</t>
  </si>
  <si>
    <t>1 ф.н.</t>
  </si>
  <si>
    <t/>
  </si>
  <si>
    <t>Коэффициенты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</si>
  <si>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 к=1,2</t>
  </si>
  <si>
    <t>Поправочный коэффициент к ценам на изыскательские работы для строительства</t>
  </si>
  <si>
    <t>Итого Полевые работы: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</si>
  <si>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8-9.5 мес</t>
  </si>
  <si>
    <t>Всего Полевые работы:</t>
  </si>
  <si>
    <t xml:space="preserve">K1 = 1.21
Письмо Госстроя СССР от 25 декабря 1990 года № 21-Д </t>
  </si>
  <si>
    <t>Итого Камеральные работы:</t>
  </si>
  <si>
    <t>Всего Камеральные работы:</t>
  </si>
  <si>
    <t>3</t>
  </si>
  <si>
    <t>3.1</t>
  </si>
  <si>
    <t>3.2</t>
  </si>
  <si>
    <t>3.3</t>
  </si>
  <si>
    <t>3.4</t>
  </si>
  <si>
    <t>3.5</t>
  </si>
  <si>
    <t>3.6</t>
  </si>
  <si>
    <t>Всего Прочие расходы:</t>
  </si>
  <si>
    <t>4</t>
  </si>
  <si>
    <t>Итого по смете:</t>
  </si>
  <si>
    <t>6</t>
  </si>
  <si>
    <t>7</t>
  </si>
  <si>
    <t>НДС,20%</t>
  </si>
  <si>
    <t xml:space="preserve">ВСЕГО по смете с учетом непредвиденных расходов 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</si>
  <si>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</si>
  <si>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</si>
  <si>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</si>
  <si>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</si>
  <si>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</si>
  <si>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</si>
  <si>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реки, категория сложности III</t>
  </si>
  <si>
    <t>1 км реки</t>
  </si>
  <si>
    <t>Табл.43 п.1</t>
  </si>
  <si>
    <t>Рекогносцировочное обследование бассейна реки, категория сложности III</t>
  </si>
  <si>
    <t>Табл.43 п.2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</si>
  <si>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</si>
  <si>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</si>
  <si>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</si>
  <si>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</si>
  <si>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</si>
  <si>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</si>
  <si>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</si>
  <si>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</si>
  <si>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</si>
  <si>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</si>
  <si>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</si>
  <si>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</si>
  <si>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</si>
  <si>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</si>
  <si>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</si>
  <si>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Фотоработы</t>
  </si>
  <si>
    <t>1 снимок</t>
  </si>
  <si>
    <t>Табл.48 п.15</t>
  </si>
  <si>
    <t>ИТОГО по позиции 1 на высоте 2000-3000 в неблагоприятный период</t>
  </si>
  <si>
    <t>2. Камеральные работы</t>
  </si>
  <si>
    <t>Измерение расхода воды детальным методом (ширина реки до 20 м)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</si>
  <si>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</si>
  <si>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</si>
  <si>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</si>
  <si>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1 схема</t>
  </si>
  <si>
    <t>Табл.51 п.3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</si>
  <si>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</si>
  <si>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</si>
  <si>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</si>
  <si>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</si>
  <si>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1 расчет</t>
  </si>
  <si>
    <t>Табл.56 п.15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</si>
  <si>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</si>
  <si>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</si>
  <si>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</si>
  <si>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</si>
  <si>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</si>
  <si>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</si>
  <si>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 xml:space="preserve">Построение кривой расходов гидравлическим методом </t>
  </si>
  <si>
    <t>1 график</t>
  </si>
  <si>
    <t>Табл.55 п.1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</si>
  <si>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</si>
  <si>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</si>
  <si>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</si>
  <si>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</si>
  <si>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</si>
  <si>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</si>
  <si>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</si>
  <si>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1 записка</t>
  </si>
  <si>
    <t xml:space="preserve">Составление программы производства гидрометеорологических работ </t>
  </si>
  <si>
    <t>1 программа</t>
  </si>
  <si>
    <t>Табл. 53 п.2</t>
  </si>
  <si>
    <t xml:space="preserve"> Составление  технического отчета                             (недостаточно  изученная) </t>
  </si>
  <si>
    <t xml:space="preserve">Табл. 62 п.4, прим.6       </t>
  </si>
  <si>
    <t>ИТОГО по позиции 2:</t>
  </si>
  <si>
    <t>3. Прочие расходы</t>
  </si>
  <si>
    <t>% от обьема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</si>
  <si>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</si>
  <si>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</si>
  <si>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</si>
  <si>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</si>
  <si>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</si>
  <si>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ВСЕГО по смете с НДС:</t>
  </si>
  <si>
    <t>Составил:________________</t>
  </si>
  <si>
    <t xml:space="preserve">Наименование проектной организации:    </t>
  </si>
  <si>
    <t>Ссылка на нормативы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</si>
  <si>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</si>
  <si>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</si>
  <si>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</si>
  <si>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</si>
  <si>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</si>
  <si>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</si>
  <si>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</si>
  <si>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</si>
  <si>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</si>
  <si>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</si>
  <si>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</si>
  <si>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</si>
  <si>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>II. ПРОЧИЕ РАБОТЫ</t>
  </si>
  <si>
    <t xml:space="preserve">Организация и ликвидация работ </t>
  </si>
  <si>
    <t xml:space="preserve"> п.13 "Общих указаний" Примечание 1.(6%)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</si>
  <si>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</si>
  <si>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</si>
  <si>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</si>
  <si>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</si>
  <si>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</si>
  <si>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</si>
  <si>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</si>
  <si>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</si>
  <si>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</si>
  <si>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</si>
  <si>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</si>
  <si>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</si>
  <si>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</si>
  <si>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</si>
  <si>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</si>
  <si>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</si>
  <si>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</si>
  <si>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</si>
  <si>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</si>
  <si>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</si>
  <si>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</si>
  <si>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</si>
  <si>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>Составление программы производства работ</t>
  </si>
  <si>
    <t>табл.53 §2</t>
  </si>
  <si>
    <t>Составление технического отчета</t>
  </si>
  <si>
    <t>табл. 62 §4, прим.6</t>
  </si>
  <si>
    <t>отчет</t>
  </si>
  <si>
    <t>Итого камеральные работы</t>
  </si>
  <si>
    <t>Итого  по смете в базовых ценах</t>
  </si>
  <si>
    <t>С НДС</t>
  </si>
  <si>
    <t>на выполнение инженерно-экологических изысканий</t>
  </si>
  <si>
    <t>Наименование объекта:</t>
  </si>
  <si>
    <t xml:space="preserve">Всесезонный туристско-рекреационный комплекс «Эльбрус», 
Кабардино-Балкарская Республика. 
Система искуственного снегообразования
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</si>
  <si>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</si>
  <si>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</si>
  <si>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</si>
  <si>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</si>
  <si>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</si>
  <si>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</si>
  <si>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1.  Полевые работы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</si>
  <si>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</si>
  <si>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</si>
  <si>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</si>
  <si>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</si>
  <si>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</si>
  <si>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Табл.11, § 2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</si>
  <si>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</si>
  <si>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</si>
  <si>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Табл.60, § 10</t>
  </si>
  <si>
    <t>Табл.60, § 1</t>
  </si>
  <si>
    <t xml:space="preserve">Отбор проб донных отложений на химические показатели </t>
  </si>
  <si>
    <t>Табл.60, § 11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</si>
  <si>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</si>
  <si>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</si>
  <si>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</si>
  <si>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>Коэффициент</t>
  </si>
  <si>
    <t>Расходы по внутреннему транспорту при расстоянии до 15 км</t>
  </si>
  <si>
    <t xml:space="preserve"> Табл.4,   § 3.5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</si>
  <si>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</si>
  <si>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</si>
  <si>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</si>
  <si>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</si>
  <si>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</si>
  <si>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</si>
  <si>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</si>
  <si>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</si>
  <si>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</si>
  <si>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</si>
  <si>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</si>
  <si>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</si>
  <si>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</si>
  <si>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</si>
  <si>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</si>
  <si>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</si>
  <si>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</si>
  <si>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</si>
  <si>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</si>
  <si>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</si>
  <si>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</si>
  <si>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</si>
  <si>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</si>
  <si>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</si>
  <si>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</si>
  <si>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</si>
  <si>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</si>
  <si>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</si>
  <si>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</si>
  <si>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</si>
  <si>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</si>
  <si>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</si>
  <si>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</si>
  <si>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</si>
  <si>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</si>
  <si>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</si>
  <si>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</si>
  <si>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</si>
  <si>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</si>
  <si>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</si>
  <si>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</si>
  <si>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</si>
  <si>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</si>
  <si>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</si>
  <si>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</si>
  <si>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>ИТОГО КАМЕРАЛЬНЫХ РАБОТ</t>
  </si>
  <si>
    <t>ВСЕГО ПО СМЕТЕ с учетом непредвиденных расходов и затрат для доп. работ гл. 4</t>
  </si>
  <si>
    <t xml:space="preserve">4. Дополнительные работы с оплатой услуг сторонних организаций, необходимых для производства изысканий </t>
  </si>
  <si>
    <t xml:space="preserve">Получение (приобретение) исходных данных и сведений о климате </t>
  </si>
  <si>
    <t>справка</t>
  </si>
  <si>
    <t>Определение эффективной удельной активности природных радионуклидов (ЕРН). Почва.</t>
  </si>
  <si>
    <t>Типовые нормы выработки и расценок на работы, выполняемые проектно-изыскательскими центрами и станциями агрохимической службы. Москва 1994 г.</t>
  </si>
  <si>
    <t>Исследование на бактериологию. Почва.</t>
  </si>
  <si>
    <t>Исследование на паразитарную чистоту: исследование на цисты патогенных простейших. Вода.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</si>
  <si>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</si>
  <si>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</si>
  <si>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</si>
  <si>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</si>
  <si>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</si>
  <si>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</si>
  <si>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</si>
  <si>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</si>
  <si>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</si>
  <si>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</si>
  <si>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>СЦНПР-91, раздел 11 Гл. 1, т.11-4 п.1</t>
  </si>
  <si>
    <t>Задание на выполнение работ -28%, сотавление сметы - 20%, график проведения работ- 17%</t>
  </si>
  <si>
    <t>1 км2</t>
  </si>
  <si>
    <t xml:space="preserve">СЦНПР-91, раздел 6, т.6-2 </t>
  </si>
  <si>
    <t>Закладка шурфов (копка грунта, раскрытие шурфа, получение полевого материал) с глубиной до 1,4 м. (2х2)</t>
  </si>
  <si>
    <t>1 квадрат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</si>
  <si>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</si>
  <si>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</si>
  <si>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</si>
  <si>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</si>
  <si>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</si>
  <si>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</si>
  <si>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</si>
  <si>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</si>
  <si>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</si>
  <si>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</si>
  <si>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</si>
  <si>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</si>
  <si>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</si>
  <si>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</si>
  <si>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</si>
  <si>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</si>
  <si>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</si>
  <si>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</si>
  <si>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</si>
  <si>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</si>
  <si>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</si>
  <si>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</si>
  <si>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</si>
  <si>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</si>
  <si>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</si>
  <si>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</t>
  </si>
  <si>
    <t>Сумма с НДС</t>
  </si>
  <si>
    <t>Обследование территории на наличие взрывоопасных предметов</t>
  </si>
  <si>
    <t>Сумма без НДС</t>
  </si>
  <si>
    <t>ИТОГО, руб. с учетом НДС</t>
  </si>
  <si>
    <t>Непредвиденные затраты</t>
  </si>
  <si>
    <t>Всего с учетом непредвиденных, руб. без учета НДС</t>
  </si>
  <si>
    <t>Резерв средств на непредвиденные работы и затраты при разработке проектной документации</t>
  </si>
  <si>
    <t>Резерв средств на непредвиденные работы и затраты при выполнении инженерных изысканий</t>
  </si>
  <si>
    <t>Расчетная стоимость строительства</t>
  </si>
  <si>
    <t>Стоимость единицы изм. по состоянию на 01.01.2021 г., тыс. руб.*</t>
  </si>
  <si>
    <t>Оценка воздействия проектируемого объекта на водные биологические ресурсы и среду их обитания (три водных объекта)</t>
  </si>
  <si>
    <t>Затраты на оплату услуги по проведению экологической экспертизы</t>
  </si>
  <si>
    <t>Аналог "Всесезонный туристско-рекреационный комплекс "Эльбрус", Кабардино-Балкарская Республика". Горнолыжные трассы  ЕР4 ЕР5 ЕР7, ЕР8, ЕР11, ЕР11.2, ЕР12, ЕР14"</t>
  </si>
  <si>
    <t>ИТОГО по разделу 3:</t>
  </si>
  <si>
    <t>3. Экологическая экспертиза</t>
  </si>
  <si>
    <t>Экологическая экспертиза</t>
  </si>
  <si>
    <t>- затраты на экологическую экспертизу</t>
  </si>
  <si>
    <t>Сроки выполнения работ*</t>
  </si>
  <si>
    <t>Дата начала</t>
  </si>
  <si>
    <t>Дата окончания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</si>
  <si>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</si>
  <si>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</si>
  <si>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</si>
  <si>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</si>
  <si>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</si>
  <si>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</si>
  <si>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</si>
  <si>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</si>
  <si>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</si>
  <si>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</si>
  <si>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</si>
  <si>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</si>
  <si>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Х</t>
  </si>
  <si>
    <t>Государственная экспертиза</t>
  </si>
  <si>
    <t>* Х- дата подписания договора</t>
  </si>
  <si>
    <t>РАСЧЕТ ЗАТРАТ НА ПРОВЕДЕНИЕ ЭКОЛОГИЧЕСКОЙ ЭКСПЕРТИЗЫ ПРОЕКТА</t>
  </si>
  <si>
    <t xml:space="preserve">Расчет выполнен в соотвествии с Порядком определения сметы расходов на проведение государственной экологической экспертизы (утв. приказом Министерства природных ресурсов и экологии РФ от 12 мая 2014 г. N 205)
</t>
  </si>
  <si>
    <t>Расходы на проведение государственной экологической экспертизы определены по формуле:</t>
  </si>
  <si>
    <t>где N - расходы на проведение государственной экологической экспертизы;</t>
  </si>
  <si>
    <t>L - основные расходы на проведение государственной экологической экспертизы;</t>
  </si>
  <si>
    <t>в том числе:</t>
  </si>
  <si>
    <t xml:space="preserve">Расходы на оплату труда внештатных экспертов государственной экологической экспертизы (далее - внештатные эксперты) определены в соответствии с приказом Министерства природных ресурсов и экологии Российской Федерации от 23 сентября 2013 г. N 404 "Об утверждении Порядка оплаты труда внештатных экспертов государственной экологической экспертизы" (зарегистрирован Министерством юстиции Российской Федерации 1 апреля 2014 г., регистрационный N 31794)
</t>
  </si>
  <si>
    <t xml:space="preserve">Расходы на уплату страховых взносов в фонды Российской Федерации в порядке и размерах, установленных законодательством Российской Федерации.
</t>
  </si>
  <si>
    <t> - компенсация затрат, связанных с выездом внештатных экспертов на место реализации объекта экспертизы;</t>
  </si>
  <si>
    <t> - прочие накладные расходы на проведение государственной экологической экспертизы.</t>
  </si>
  <si>
    <t>Наименование показателей</t>
  </si>
  <si>
    <t>Ед. измерения</t>
  </si>
  <si>
    <t>Количество</t>
  </si>
  <si>
    <t>ФОТ(руб)</t>
  </si>
  <si>
    <t>Сумма (руб)</t>
  </si>
  <si>
    <t xml:space="preserve">Расходы на оплату труда внештатных экспертов - всего, в том числе:
</t>
  </si>
  <si>
    <t>чел</t>
  </si>
  <si>
    <t>Руководитель экспертной комиссии</t>
  </si>
  <si>
    <t>федерального уровня</t>
  </si>
  <si>
    <t>Эксперт по отдельным разделам экспортируемых материалов</t>
  </si>
  <si>
    <t>2</t>
  </si>
  <si>
    <t xml:space="preserve">Начисления на фонд оплаты труда внештатных экспертов - всего (Другие прямые затраты (от ФОТ) согласно НК РФ Статьи 425 Тарифы страховых взносов </t>
  </si>
  <si>
    <t xml:space="preserve">Итого основные расходы (п. 1 + п. 2)
</t>
  </si>
  <si>
    <t xml:space="preserve">Компенсация затрат, связанных с выездом внештатных экспертов на место реализации объекта экспертизы </t>
  </si>
  <si>
    <t>Проезд 125 руб. на 1 чел*2 рейса(такси))</t>
  </si>
  <si>
    <t>Проживание ( 3500 руб. на 1 чел*1 день)</t>
  </si>
  <si>
    <t>Суточные (700 руб. на 1 чел*2 дня)</t>
  </si>
  <si>
    <t>Прочие накладные расходы (50% от п. 3)</t>
  </si>
  <si>
    <t xml:space="preserve">Итого накладные расходы (п. 4 + п. 5)
</t>
  </si>
  <si>
    <t>Итого (п. 3 + п. 6)</t>
  </si>
  <si>
    <t xml:space="preserve">«Требования к обеспечению безопасной эксплуатации объекта капитального строительства».
</t>
  </si>
  <si>
    <t xml:space="preserve">Мероприятия по антитеррористической защищенности
</t>
  </si>
  <si>
    <t xml:space="preserve">Разработка и согласование в уполномоченных структурах МЧС России СТУ по пожарной безопасности
</t>
  </si>
  <si>
    <t>Локальный сметный расчет №01-01-01, раздел 1</t>
  </si>
  <si>
    <t>Локальный сметный расчет №01-01-01, раздел 3</t>
  </si>
  <si>
    <t>Локальный сметный расчет №01-01-01, раздел 4</t>
  </si>
  <si>
    <t>2 квартал 2021 г.</t>
  </si>
  <si>
    <t>Локальный сметный расчет №01-01-01, раздел 2</t>
  </si>
  <si>
    <t>Локальный сметный расчет №01-01-01, раздел 6</t>
  </si>
  <si>
    <t>Локальный сметный расчет №01-01-01, раздел 5</t>
  </si>
  <si>
    <t xml:space="preserve">Насосная станция II-го подъема, подкачки или систем оборотного водоснабжения производительностью:cвыше 0,1 до 1 тыс.м3/ч, 0,3(1 тыс.м3/ч) </t>
  </si>
  <si>
    <t xml:space="preserve"> При разработке проектной и рабочей документации только на демонтаж объектов и сооружений (без дальнейшего проектирования новых объектов и сооружений) – для площадочных сооружений, до К=0,2;</t>
  </si>
  <si>
    <t xml:space="preserve">Насосная станция II-го подъема, подкачки или систем оборотного водоснабжения производительностью:cвыше 0,1 до 1 тыс.м3/ч, 0,15(1 тыс.м3/ч) </t>
  </si>
  <si>
    <t>С учетом индекса роста потребительских цен на 2022 год</t>
  </si>
  <si>
    <t>С учетом НДС - 20%</t>
  </si>
  <si>
    <t>Разработка основных технических решений</t>
  </si>
  <si>
    <t>Разработка проектно-сметной документации</t>
  </si>
  <si>
    <t>1-й этап строительства</t>
  </si>
  <si>
    <t>Трубопровод подачи воды из подруслового водозабора в накопительный резервуар: Трубопровод  диаметром до 400 мм длиной до 50 м</t>
  </si>
  <si>
    <t>Накопительный резервуар: В железобетонном подземном исполнении, состоящий из нескольких последовательно расположенных камер (ориентировочно объемом 12 м3, 60 м3, 12 м3 и 6 м3).</t>
  </si>
  <si>
    <t>Трубопровод отвода промывочных вод из накопительного резервуара: Два трубопровода  диаметром до 300 мм длиной до 30 м каждый.</t>
  </si>
  <si>
    <t>Трубопровод подачи воды из накопительного резервуара в резервуар охлаждения речной воды: Трубопровод  диаметром до 400 мм</t>
  </si>
  <si>
    <t>Трубопровод отвода промывочных вод из накопительного резервуара: Два трубопровода  диаметром до 300 мм каждый.</t>
  </si>
  <si>
    <t>Трубопровод подачи воды из резервуара охлаждения речной воды в насосную НС1: Трубопровод  диаметром до 250 мм</t>
  </si>
  <si>
    <t>Насосная станция НС1: В надземном исполнении, с насосами общей производительностью до 105 л/сек напором до 830 м</t>
  </si>
  <si>
    <t>п.м.</t>
  </si>
  <si>
    <t>Колодцы для размещения гидрантов, электрооборудования и элементов сетей управления СИС</t>
  </si>
  <si>
    <t>шт.</t>
  </si>
  <si>
    <t xml:space="preserve">Колодец для размещения гидрантов, электрооборудования и элементов сетей управления СИС </t>
  </si>
  <si>
    <t>Ограждение площадки сооружений водозаборного узла</t>
  </si>
  <si>
    <t>Ограждение площадки насосной станции НС1 и трансформаторной подстанции ТП-НС1 (2х1000 кВА)</t>
  </si>
  <si>
    <t>Открытый нагорный канал для защиты сооружений ВЗУ, резервуаров воды и насосной станции НС1, трансформаторной ТП-НС1 (2х1000 кВА) от дождевого стока с нагорной стороны прилегающей территории</t>
  </si>
  <si>
    <t>Трансформаторная подстанция ТП-НС1 (2х1000 кВА)</t>
  </si>
  <si>
    <t>1.19</t>
  </si>
  <si>
    <t>1.20</t>
  </si>
  <si>
    <t>1.21</t>
  </si>
  <si>
    <t>Примечания</t>
  </si>
  <si>
    <t>Бетонные или пластиковые колодцы с бетонными крышками для монтажа снегогенераторов. Глубиной 2,5 м, диаметром 2.м.</t>
  </si>
  <si>
    <t>Бетонные или пластиковые колодцы с бетонными крышками для монтажа снегогенераторов с установкой запорной арматуры для перекрытия высоконапорного трубопровода и ограничения работы системы искусственного снегообразования только в границах горнолыжных трасс 1-го этапа строительства.  Глубиной 2,5 м, диаметром 2 м.</t>
  </si>
  <si>
    <t>Индивидуальное здание с металлическим каркасом и ограждающими конструкциями из сэндвич-панелей. Помещения оператора, бытовое, биотуалет.</t>
  </si>
  <si>
    <t>Укрепленный канал</t>
  </si>
  <si>
    <t>Здание ТП комплектной поставки заводского изготовления. Оборудование монтируется на месте.</t>
  </si>
  <si>
    <t>Кабель 0,4 кВ в грунте. 2 кабеля. Электроснабжение потребителей водозаборного узла, погружных насосов резервуара охлаждения речной воды, насосной станции НС1.</t>
  </si>
  <si>
    <t>Кабель 0,4 кВ в грунте. 4 кабеля. Электроснабжение снегогенераторов.</t>
  </si>
  <si>
    <t xml:space="preserve">Ограждение панельного типа из металлических прутьев с полимерным покрытием (с технологическими калитками и воротами в необходимых местах). </t>
  </si>
  <si>
    <t>Сети управления СИС</t>
  </si>
  <si>
    <t>Сети связи</t>
  </si>
  <si>
    <t>Система охранной и тревожной сигнализации (СОТС)</t>
  </si>
  <si>
    <t>Автоматическая установка пожарной сигнализации и противопожарной защиты (АУПСиПЗ)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</si>
  <si>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</si>
  <si>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</si>
  <si>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</si>
  <si>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</si>
  <si>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</si>
  <si>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</si>
  <si>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</si>
  <si>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</si>
  <si>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</si>
  <si>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</si>
  <si>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</si>
  <si>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</si>
  <si>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</si>
  <si>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</si>
  <si>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2-й этап строительства</t>
  </si>
  <si>
    <t>Ограждение площадки насосной станции НС2 и трансформаторной подстанции ТП-НС2 (1х1250 кВА)</t>
  </si>
  <si>
    <t>Открытый нагорный канал для защиты насосной станции НС2, трансформаторной ТП-НС2 (1х1250 кВА) от дождевого стока с нагорной стороны прилегающей территории</t>
  </si>
  <si>
    <t>Трансформаторная подстанция ТП-НС2 (1х1250 кВА)</t>
  </si>
  <si>
    <t>3 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</si>
  <si>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</si>
  <si>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</si>
  <si>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</si>
  <si>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</si>
  <si>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</si>
  <si>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</si>
  <si>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</si>
  <si>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</si>
  <si>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</si>
  <si>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</si>
  <si>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</si>
  <si>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Бетонные или пластиковые колодцы с бетонными крышками для монтажа снегогенераторов с установкой запорной арматуры для перекрытия высоконапорного трубопровода и ограничения работы системы искусственного снегообразования только в границах горнолыжных трасс 2-го этапа строительства.  Глубиной 2,5 м, диаметром 2 м.</t>
  </si>
  <si>
    <t>Ограждение панельного типа из металлических прутьев с полимерным покрытием (с технологическими калитками и воротами в необходимых местах).</t>
  </si>
  <si>
    <t>Кабель 0,4 кВ в грунте. Электроснабжение насосной станции НС2.</t>
  </si>
  <si>
    <t>Кабель 0,4 кВ в грунте. 2 кабеля. Электроснабжение снегогенераторов.</t>
  </si>
  <si>
    <t>Подключение ТП-НС2 (1х1250 кВА) кабельной линией 10 кВ в грунте врезкой/отпайкой от проектируемой отдельным проектом воздушной линии ВЛ 10 кВ.</t>
  </si>
  <si>
    <t>От последнего колодца 1-го этапа строительства до НС2 и далее до последнего колодца 2-го этапа строительства с герметизацией конца кабеля.   Кабелем в грунте в одной траншее с электрическими кабелями в ПЭ трубе технической диаметром до 90 мм .</t>
  </si>
  <si>
    <t>Насосная НС2 (площадь до 36 м2), трансформаторная ТП-НС2 (1х12500 кВА) (площадь до 12 м2).</t>
  </si>
  <si>
    <t>Для наружного наблюдения</t>
  </si>
  <si>
    <t>3-й этап строительства</t>
  </si>
  <si>
    <t>4-й этап строительства</t>
  </si>
  <si>
    <t>Колодцы для размещения гидрантов подключения мобильных снегогенераторов, электрооборудования и элементов сетей управления СИС</t>
  </si>
  <si>
    <t>Колодец с установкой запорной арматуры для слива воды из трубопровода (обеспечения циркуляции воды при работе снегогенераторов во избежание замерзания воды в трубопроводах, проложенных в многолетнемерзлом грунте).</t>
  </si>
  <si>
    <t>Ограждение площадки насосной станции НС3 и трансформаторной подстанции ТП-НС2 (1х1000 кВА)</t>
  </si>
  <si>
    <t>Трансформаторная подстанция ТП-НС3 (1х1000 кВА)</t>
  </si>
  <si>
    <t>Общие задачи</t>
  </si>
  <si>
    <t xml:space="preserve">Снегоудерживающие сооружения общей протяженностью до 200 п.м, высотой 3,5 м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</si>
  <si>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</si>
  <si>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</si>
  <si>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</si>
  <si>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</si>
  <si>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</si>
  <si>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</si>
  <si>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</si>
  <si>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</si>
  <si>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</si>
  <si>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</si>
  <si>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</si>
  <si>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</si>
  <si>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</si>
  <si>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</si>
  <si>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</si>
  <si>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</si>
  <si>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</si>
  <si>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</si>
  <si>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</si>
  <si>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5.2</t>
  </si>
  <si>
    <t>Подключение ТП-НС1 (2х1000 кВА) кабельной линией 10 кВ от РП-КД 10 кВ, проектируемого отдельным проектом.</t>
  </si>
  <si>
    <t>В операторской СИС</t>
  </si>
  <si>
    <t>От операторской СИС до насосной станции НС1 и далее до последнего колодца 1-го этапа строительства с герметизацией конца кабеля.   Кабелем в грунте в одной траншее с электрическими кабелями в ПЭ трубе технической диаметром до 90 мм .</t>
  </si>
  <si>
    <t>Насосная НС1 (площадь до 36 м2), трансформаторная ТП-НС1 (2х1000 кВА) (площадь до 12 м2), операторская СИС (площадь до 30 м2).</t>
  </si>
  <si>
    <t>Водовод из стальных труб общей длиной до 3 235 м, наземные гидранты 25 шт., кабельные линии электроснабжения общей длиной до 6 460 м, трубы асбестоцементные 61 м, блочное здание насосной 1-го подъема площадью 70 м2 производительностью 300 м3/час и блочное здание насосной 2-го подъема площадью 36 м2 производительностью 150 м3/час.</t>
  </si>
  <si>
    <t>В насоcной станции НС2.</t>
  </si>
  <si>
    <t>От НС2 и далее до последнего колодца 3-го этапа строительства с герметизацией конца кабеля.   Кабелем в грунте в одной траншее с электрическими кабелями в ПЭ трубе технической диаметром до 90 мм .</t>
  </si>
  <si>
    <t>Бетонные или пластиковые колодцы с бетонными крышками для монтажа снегогенераторов с установкой запорной арматуры.  Глубиной 2,5 м, диаметром 2 м.</t>
  </si>
  <si>
    <t>Кабель 0,4 кВ в грунте. Электроснабжение насосной станции НС3.</t>
  </si>
  <si>
    <t>Подключение ТП-НС3 (1х1000 кВА) кабельной линией 10 кВ в грунте врезкой/отпайкой от проектируемой отдельным проектом воздушной линии ВЛ 10 кВ.</t>
  </si>
  <si>
    <t>От последнего колодца 2-го этапа строительства до НС3.   Кабелем в грунте (2 кабеля) в одной траншее с электрическими кабелями в ПЭ трубе технической диаметром до 90 мм.</t>
  </si>
  <si>
    <t>Насосная НС3 (площадь до 36 м2), трансформаторная ТП-НС3 (1х1000 кВА) (площадь до 12 м2).</t>
  </si>
  <si>
    <t>Для наружного наблюдения.</t>
  </si>
  <si>
    <t>В насосной станции НС3.</t>
  </si>
  <si>
    <t>Железобетонные резервуары для воды в сухих грунтах, емкостью:</t>
  </si>
  <si>
    <t>90 м3</t>
  </si>
  <si>
    <t>1 м3</t>
  </si>
  <si>
    <t>19-03-006-01
а=50 м3
Па=38,56 тыс. руб.
19-03-006-02
с=100 м3
Пс=24,81 тыс. руб.
ТЧ сборника п.28 (интерполяция):
Рассчитываемый показатель 
Пв=Пс-(с-в)*(Пс-Па)/(с-а)
в=90 м3
Пв=24,81-(100-90)*(24,81-38,56)/(100-50)</t>
  </si>
  <si>
    <t xml:space="preserve">Коэффициент при прокладке трубопроводов
в 2 ряда (нити) в одной траншее
</t>
  </si>
  <si>
    <t>ТЧ сборника п.17
Таблица № 3</t>
  </si>
  <si>
    <t>Коэффициент для расчета стоимости прокладки водоводов</t>
  </si>
  <si>
    <t>ТЧ сборника п.18
Таблица № 4</t>
  </si>
  <si>
    <t>диаметром 315 мм глубиной 2 м</t>
  </si>
  <si>
    <t>Наружные инженерные сети водоснабжения из полиэтиленовых труб, разработка сухого грунта в отвал, без креплений (группа грунтов 4):</t>
  </si>
  <si>
    <t>14-06-005-16</t>
  </si>
  <si>
    <t>14-06-005-20</t>
  </si>
  <si>
    <t>диаметром 400 мм глубиной 2 м</t>
  </si>
  <si>
    <t>От НС3 до последнего колодца 4-го этапа строительства с герметизацией конца кабеля.(по 2 кабеля на каждую горнолыжную трассу)   Кабелем в грунте в одной траншее с электрическими кабелями в ПЭ трубе технической диаметром до 90 мм .</t>
  </si>
  <si>
    <t>Операторская СИС площадью 30 м2</t>
  </si>
  <si>
    <t>2.4.1</t>
  </si>
  <si>
    <t>2.4.2</t>
  </si>
  <si>
    <t>2.4.3</t>
  </si>
  <si>
    <t>Снеговые ружья</t>
  </si>
  <si>
    <t>Колодцы для размещения гидрантов, электрооборудования и элементов сетей управления СИС + оборудование СИС (снегогенераторы, снеговые ружья, электрооборудование, гидранты, система управления СИС)</t>
  </si>
  <si>
    <t>Колодцы для размещения гидрантов, электрооборудования и элементов сетей управления СИС + оборудование СИС (гидранты, снегогенераторы (пушки), электрооборудование, элементы сетей управления)</t>
  </si>
  <si>
    <t>Снегогенераторы (пушки)</t>
  </si>
  <si>
    <t>4.4.1</t>
  </si>
  <si>
    <t>4.4.2</t>
  </si>
  <si>
    <t>Мобильные снегогенераторы (пушки)</t>
  </si>
  <si>
    <t>Трубопровод подачи воды от насосной станции НС2 гидрантам на горнолыжных трассах для подключения снегогенераторов: Высоконапорный трубопровод диаметром до 250 мм длиной до 4350 м.</t>
  </si>
  <si>
    <t>Трубопровод подачи воды от последнего колодца системы искусственного снегообразования 1-го этапа строительства насосную станцию второго подъема НС2: Высоконапорный трубопровод диаметром до 300 мм длиной до 700 м.</t>
  </si>
  <si>
    <t>Насосные станции второго подъема, производительностью:</t>
  </si>
  <si>
    <t>Насосная станция НС2: Здание с каркасом из металлоконструкций и стенами из сэндвич-панелей, площадью до 36 м2 с тремя насосами общей производительностью до 105 л/сек и напором не менее  550 м каждый.</t>
  </si>
  <si>
    <t>378 м3/час</t>
  </si>
  <si>
    <t>19-03-002-01
а=320 м3/час
Па=79,74 тыс. руб.
19-03-002-02
с=640 м3/час
Пс=41,27 тыс. руб.
ТЧ сборника п.28 (интерполяция):
Рассчитываемый показатель 
Пв=Пс-(с-в)*(Пс-Па)/(с-а)
в=378 м3/час
Пв=41,27-(640-378)*(41,27-79,74)/(640-320)</t>
  </si>
  <si>
    <t>Насосная станция НС3: Здание с каркасом из металлоконструкций и стенами из сэндвич-панелей, площадью до 36 м2 с тремя насосами общей производительностью до 105 л/сек и напором не менее  360 м каждый.</t>
  </si>
  <si>
    <t>Трансформаторная подстанция ТП-НС2 (1х1250 кВА): Здание ТП комплектной поставки заводского изготовления. Оборудование монтируется на месте.</t>
  </si>
  <si>
    <t>21-01-004-04</t>
  </si>
  <si>
    <t>КТП 10(6) кВ, блочного типа (здание из сэндвич-панелей), количество и мощность</t>
  </si>
  <si>
    <t>1x1250</t>
  </si>
  <si>
    <t>Трансформаторная подстанция ТП-НС1 (2х1000 кВА): Здание ТП комплектной поставки заводского изготовления. Оборудование монтируется на месте.</t>
  </si>
  <si>
    <t>1x1000</t>
  </si>
  <si>
    <t>21-01-004-03</t>
  </si>
  <si>
    <t>Трубопровод подачи воды от насосной НС1 к гидрантам на горнолыжных трассах: Трубопровод  диаметром до 300 мм длиной до 2900 м</t>
  </si>
  <si>
    <t>1.</t>
  </si>
  <si>
    <t>3.</t>
  </si>
  <si>
    <t>4.</t>
  </si>
  <si>
    <t>5.</t>
  </si>
  <si>
    <t>ВЧШГ с наружной оцинковкой и битумным покрытием, а также цементно-песчаном покрытием изнутри, с раструбными соединениями класса, отвечающего расчетному давлению в системе (или аналог)</t>
  </si>
  <si>
    <t>Трубопровод подачи воды от насосной НС2 к гидрантам на горнолыжных трассах: Трубопровод  диаметром до 200 мм длиной до 1800 м.</t>
  </si>
  <si>
    <t>Трубопровод подачи воды от насосной НС3 к гидрантам на горнолыжных трассах: Трубопровод  диаметром до 200 мм, 2 ветви длиной по 1900 м.</t>
  </si>
  <si>
    <t>Наружные инженерные сети водоснабжения из высокопрочных чугунных труб с шаровидным графитом (ВЧШГ), разработка сухого грунта в отвал, без креплений (группа грунтов 4):</t>
  </si>
  <si>
    <t>14-01-005-16</t>
  </si>
  <si>
    <t>диаметром 300 мм глубиной 2 м</t>
  </si>
  <si>
    <t>ТЧ сборника п.30</t>
  </si>
  <si>
    <t>ВЧШГ с наружной оцинковкой и битумным покрытием, а также цементно-песчаным покрытием изнутри, с раструбными соединениями класса, отвечающего расчетному давлению в системе (или аналог)</t>
  </si>
  <si>
    <t>диаметром 200 мм глубиной 2 м</t>
  </si>
  <si>
    <t>14-01-005-11</t>
  </si>
  <si>
    <t>14-01-005-14</t>
  </si>
  <si>
    <t>диаметром 250 мм глубиной 2 м</t>
  </si>
  <si>
    <t>Трубопровод подачи воды от последнего колодца системы искусственного снегообразования 2-го этапа строительства насосную станцию второго подъема НС3: Высоконапорный трубопровод диаметром до 200 мм длиной до 100 м.</t>
  </si>
  <si>
    <r>
      <t xml:space="preserve">Сети связи (ВОЛС):
</t>
    </r>
    <r>
      <rPr>
        <i/>
        <sz val="10"/>
        <color theme="1"/>
        <rFont val="Times New Roman"/>
        <family val="1"/>
        <charset val="204"/>
      </rPr>
      <t>От операторской СИС до насосных станций далее до последнего колодца 1-го этапа строительства с герметизацией конца кабеля. Кабелем в грунте в одной траншее с электрическими кабелями в ПЭ трубе технической диаметром до 90 мм .</t>
    </r>
  </si>
  <si>
    <r>
      <t xml:space="preserve">Сети связи (ВОЛС):
</t>
    </r>
    <r>
      <rPr>
        <i/>
        <sz val="10"/>
        <color theme="1"/>
        <rFont val="Times New Roman"/>
        <family val="1"/>
        <charset val="204"/>
      </rPr>
      <t>От последнего колодца 1-го этапа строительства до НС2 и далее до последнего колодца 2-го этапа строительства с герметизацией конца кабеля.   Кабелем в грунте в одной траншее с электрическими кабелями в ПЭ трубе технической диаметром до 90 мм.</t>
    </r>
  </si>
  <si>
    <r>
      <t xml:space="preserve">Сети связи (ВОЛС):
</t>
    </r>
    <r>
      <rPr>
        <i/>
        <sz val="10"/>
        <color theme="1"/>
        <rFont val="Times New Roman"/>
        <family val="1"/>
        <charset val="204"/>
      </rPr>
      <t>От последнего колодца 2-го этапа строительства до НС3.   Кабелем в грунте в одной траншее с электрическими кабелями в ПЭ трубе технической диаметром до 90 мм .</t>
    </r>
  </si>
  <si>
    <t>1. Письмо Министерства экономического развития РФ от 25 ноября 2016 г. № 36144-АВ/Д03и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</si>
  <si>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2. Письмо Минэкономразвития России от 05.10.2017 N 28216-АТ/Д03и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</si>
  <si>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3. Письмо Минэкономразвития России (Министерства экономического развития РФ) от 03 октября 2018 г. №28438-АТ/Д03и.</t>
  </si>
  <si>
    <t>4.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</si>
  <si>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5. 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</si>
  <si>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6. Письмо Минэкономразвития России от 05.10.2021 № 33918-ПК/Д03и.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</si>
  <si>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2024 г.</t>
  </si>
  <si>
    <t>2023 г.</t>
  </si>
  <si>
    <t>2022 г.</t>
  </si>
  <si>
    <t>2021 г.</t>
  </si>
  <si>
    <t>2020 г.</t>
  </si>
  <si>
    <t>2019 г.</t>
  </si>
  <si>
    <t>2018 г.</t>
  </si>
  <si>
    <t>2017 г.</t>
  </si>
  <si>
    <t>2016 г.</t>
  </si>
  <si>
    <t>2015 г.</t>
  </si>
  <si>
    <t>2014 г.</t>
  </si>
  <si>
    <t>14-06-005-14</t>
  </si>
  <si>
    <t>ПЭ</t>
  </si>
  <si>
    <t>50 м3</t>
  </si>
  <si>
    <t xml:space="preserve">Железобетонные резервуары для воды в сухих грунтах, емкостью: </t>
  </si>
  <si>
    <t>100 м3</t>
  </si>
  <si>
    <t>Насосные станции первого подъёма, производительностью:</t>
  </si>
  <si>
    <t>19-03-001-01
а=280 м3/час
Па=56,97 тыс. руб.
19-03-001-02
с=580 м3/час
Пс=27,53 тыс. руб.
ТЧ сборника п.28 (интерполяция):
Рассчитываемый показатель 
Пв=Пс-(с-в)*(Пс-Па)/(с-а)
в=378 м3/час
Пв=27,53-(580-378)*(27,53-56,97)/(580-280)</t>
  </si>
  <si>
    <t xml:space="preserve">Трансформаторная подстанция ТП-НС3 (1х1000 кВА): Здание ТП комплектной поставки заводского изготовления. </t>
  </si>
  <si>
    <t>Ограждения по металлическим столбам из готовых металлических панелей решетчатых высотой 2,5 м, при массе 1 пог. м ограждения:</t>
  </si>
  <si>
    <t>45 кг</t>
  </si>
  <si>
    <t>100 погонных метров</t>
  </si>
  <si>
    <t>НЦС 81-02-16-2021</t>
  </si>
  <si>
    <t>16-05-005-01</t>
  </si>
  <si>
    <t>ТЧ сборника п.19
Таблица № 1</t>
  </si>
  <si>
    <t>Коэффициент, учитывающий изменение стоимости строительства
при устройстве калитки в ограждающих конструкциях</t>
  </si>
  <si>
    <t>Коэффициент, учитывающий изменение стоимости строительства
при устройстве распашных ворот в ограждающих конструкциях</t>
  </si>
  <si>
    <t>ТЧ сборника п.26
Таблица № 8</t>
  </si>
  <si>
    <t>ТЧ сборника п.27
Таблица № 9
I температурная зона</t>
  </si>
  <si>
    <t>ТЧ сборника п.20
Таблица № 2</t>
  </si>
  <si>
    <t>100 п.м.</t>
  </si>
  <si>
    <t>учтено в п.1.7</t>
  </si>
  <si>
    <t>пересчитать аналог (в аналоге не 165 шт пушек)</t>
  </si>
  <si>
    <t>АО "КАВКАЗ.РФ"</t>
  </si>
  <si>
    <t>Подрусловый водозабор на реке Баксан (ВЗУ ) 1500 м2 Производительностью 396 м3/ч</t>
  </si>
  <si>
    <t xml:space="preserve">Водозаборы из подземных источников (скважин) производительностью:свыше 140 до 420 м3/ч, 396(1 м3/ч) </t>
  </si>
  <si>
    <t>(180960+780*396)*1,25*1,05*1,135*0,6*1,04*4,75,
где количество 396=396</t>
  </si>
  <si>
    <t>2 162 856,07</t>
  </si>
  <si>
    <t>Индекс изменения сметной стоимости проектных работ на IV квартал 2021 года к уровню цен по состоянию на 01.01.2001 по Письму Минстроя России от 25.10.2021 N 46012-ИФ/09 Кинф=4,75;</t>
  </si>
  <si>
    <t xml:space="preserve">43 257,12 </t>
  </si>
  <si>
    <t xml:space="preserve">108 142,80 </t>
  </si>
  <si>
    <t xml:space="preserve">389 314,09 </t>
  </si>
  <si>
    <t xml:space="preserve">173 028,49 </t>
  </si>
  <si>
    <t xml:space="preserve">129 771,36 </t>
  </si>
  <si>
    <t xml:space="preserve">540 714,02 </t>
  </si>
  <si>
    <t xml:space="preserve">86 514,24 </t>
  </si>
  <si>
    <t xml:space="preserve">21 628,56 </t>
  </si>
  <si>
    <t xml:space="preserve">151 399,92 </t>
  </si>
  <si>
    <t>Накопительный резервуар 90 м3: В железобетонном подземном исполнении, состоящий из нескольких последовательно расположенных камер (ориентировочно объемом 12 м3, 60 м3, 12 м3 и 6 м3).</t>
  </si>
  <si>
    <t xml:space="preserve">Резервуары для воды емкостью: до 1 тыс.м3, 0,09(1 тыс.м3) </t>
  </si>
  <si>
    <t>((21960+79880*(0.4*1+0.6*0.5*1))*0,7)*1,135*0,6*1,04*1,072*4,75,
где количество 0,09=0,09</t>
  </si>
  <si>
    <t>196 594,12</t>
  </si>
  <si>
    <t xml:space="preserve">3 931,88 </t>
  </si>
  <si>
    <t xml:space="preserve">9 829,71 </t>
  </si>
  <si>
    <t xml:space="preserve">35 386,94 </t>
  </si>
  <si>
    <t xml:space="preserve">15 727,53 </t>
  </si>
  <si>
    <t xml:space="preserve">11 795,65 </t>
  </si>
  <si>
    <t xml:space="preserve">49 148,53 </t>
  </si>
  <si>
    <t xml:space="preserve">7 863,76 </t>
  </si>
  <si>
    <t xml:space="preserve">1 965,94 </t>
  </si>
  <si>
    <t xml:space="preserve">13 761,59 </t>
  </si>
  <si>
    <t xml:space="preserve">Городской водопровод, сооружаемый открытым способом диаметром до 315 мм, протяженностью: от 100 до 1000 м, 100(м) </t>
  </si>
  <si>
    <t xml:space="preserve">СБЦП "Коммунальные инженерные сети и сооружения (2012)" табл.4 п.1
(СБЦП07-4-1) </t>
  </si>
  <si>
    <t>(12000+136*100)*1,164*0,5*1,04*1,1*4,75,
где количество 100=100</t>
  </si>
  <si>
    <t>80 962,25</t>
  </si>
  <si>
    <t>ТЧ п.2.3.3 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</si>
  <si>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 xml:space="preserve">1 619,25 </t>
  </si>
  <si>
    <t xml:space="preserve">4 857,74 </t>
  </si>
  <si>
    <t xml:space="preserve">7 286,60 </t>
  </si>
  <si>
    <t xml:space="preserve">2 428,87 </t>
  </si>
  <si>
    <t xml:space="preserve">4 048,11 </t>
  </si>
  <si>
    <t xml:space="preserve">19 835,75 </t>
  </si>
  <si>
    <t xml:space="preserve">22 264,62 </t>
  </si>
  <si>
    <t xml:space="preserve">1 214,43 </t>
  </si>
  <si>
    <t xml:space="preserve">2 024,06 </t>
  </si>
  <si>
    <t xml:space="preserve">8 096,23 </t>
  </si>
  <si>
    <t>(12000+136*100)*1,164*0,5*1,04*0,15*1,1*4,75,
где количество 100=100</t>
  </si>
  <si>
    <t>12 144,34</t>
  </si>
  <si>
    <t>ТЧ п.2.3.3 При параллельной прокладке сетей водоснабжения с количеством линий 2 и более, за каждую последующую линию К=0,15;</t>
  </si>
  <si>
    <t xml:space="preserve">1 092,99 </t>
  </si>
  <si>
    <t xml:space="preserve">2 975,36 </t>
  </si>
  <si>
    <t xml:space="preserve">3 339,69 </t>
  </si>
  <si>
    <t>Трубопровод подачи воды из накопительного резервуара в резервуар охлаждения речной воды: Трубопровод  диаметром до 400 мм длиной до 50 м</t>
  </si>
  <si>
    <t xml:space="preserve">Городской водопровод, сооружаемый открытым способом диаметром свыше 315 мм до 630 мм, протяженностью: от 100 до 1000 м, 100(м) </t>
  </si>
  <si>
    <t>(25240+183*100)*1,164*0,5*1,04*1,1*4,75,
где количество 100=100</t>
  </si>
  <si>
    <t>137 699,08</t>
  </si>
  <si>
    <t xml:space="preserve">2 753,98 </t>
  </si>
  <si>
    <t xml:space="preserve">8 261,94 </t>
  </si>
  <si>
    <t xml:space="preserve">1 376,99 </t>
  </si>
  <si>
    <t xml:space="preserve">12 392,92 </t>
  </si>
  <si>
    <t xml:space="preserve">4 130,97 </t>
  </si>
  <si>
    <t xml:space="preserve">6 884,95 </t>
  </si>
  <si>
    <t xml:space="preserve">33 736,27 </t>
  </si>
  <si>
    <t xml:space="preserve">37 867,25 </t>
  </si>
  <si>
    <t xml:space="preserve">2 065,49 </t>
  </si>
  <si>
    <t xml:space="preserve">3 442,48 </t>
  </si>
  <si>
    <t xml:space="preserve">13 769,91 </t>
  </si>
  <si>
    <t>(657900+810*40)*1,135*0,6*1,04*1,072*0,8*4,75,
где количество 40=40</t>
  </si>
  <si>
    <t>1 991 575,19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</si>
  <si>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К=0,8;</t>
  </si>
  <si>
    <t xml:space="preserve">39 831,50 </t>
  </si>
  <si>
    <t xml:space="preserve">99 578,76 </t>
  </si>
  <si>
    <t xml:space="preserve">358 483,53 </t>
  </si>
  <si>
    <t xml:space="preserve">159 326,02 </t>
  </si>
  <si>
    <t xml:space="preserve">119 494,51 </t>
  </si>
  <si>
    <t xml:space="preserve">497 893,80 </t>
  </si>
  <si>
    <t xml:space="preserve">79 663,01 </t>
  </si>
  <si>
    <t xml:space="preserve">19 915,75 </t>
  </si>
  <si>
    <t xml:space="preserve">139 410,26 </t>
  </si>
  <si>
    <t>Резервуар охлаждения речной воды с погружными насосами</t>
  </si>
  <si>
    <t>Первый отсек 50 м3:  В железобетонном полузаглубленном исполнении. Погружной насос 90 л/сек, напором 15 м.</t>
  </si>
  <si>
    <t>Второй отсек 100 м3: В железобетонном полузаглубленном исполнении. Три погружных насоса по 35 л/сек каждый и напором по 20 м каждый.</t>
  </si>
  <si>
    <t xml:space="preserve">Резервуары для воды емкостью: до 1 тыс.м3, 0,15(1 тыс.м3) </t>
  </si>
  <si>
    <t>((21960+79880*(0.4*1+0.6*0.5*1))*0,7)*1,135*0,6*1,04*1,072*4,75,
где количество 0,15=0,15</t>
  </si>
  <si>
    <t xml:space="preserve">Городской водопровод, сооружаемый открытым способом диаметром до 315 мм, протяженностью: от 100 до 1000 м, 200(м) </t>
  </si>
  <si>
    <t>(12000+136*200)*1,164*0,5*1,04*1,1*4,75,
где количество 200=200</t>
  </si>
  <si>
    <t>123 973,45</t>
  </si>
  <si>
    <t xml:space="preserve">2 479,47 </t>
  </si>
  <si>
    <t xml:space="preserve">7 438,41 </t>
  </si>
  <si>
    <t xml:space="preserve">1 239,73 </t>
  </si>
  <si>
    <t xml:space="preserve">11 157,61 </t>
  </si>
  <si>
    <t xml:space="preserve">3 719,20 </t>
  </si>
  <si>
    <t xml:space="preserve">6 198,67 </t>
  </si>
  <si>
    <t xml:space="preserve">30 373,50 </t>
  </si>
  <si>
    <t xml:space="preserve">34 092,70 </t>
  </si>
  <si>
    <t xml:space="preserve">1 859,60 </t>
  </si>
  <si>
    <t xml:space="preserve">3 099,34 </t>
  </si>
  <si>
    <t xml:space="preserve">12 397,35 </t>
  </si>
  <si>
    <t xml:space="preserve">Городской водопровод, сооружаемый открытым способом диаметром до 315 мм, протяженностью:свыше 2000 до 5000 м, 2900(м) </t>
  </si>
  <si>
    <t>(144000+31*2900)*1,164*0,5*1,04*4,75,
где количество 2900=2900</t>
  </si>
  <si>
    <t>672 481,21</t>
  </si>
  <si>
    <t xml:space="preserve">13 449,62 </t>
  </si>
  <si>
    <t xml:space="preserve">40 348,87 </t>
  </si>
  <si>
    <t xml:space="preserve">6 724,81 </t>
  </si>
  <si>
    <t xml:space="preserve">60 523,31 </t>
  </si>
  <si>
    <t xml:space="preserve">20 174,44 </t>
  </si>
  <si>
    <t xml:space="preserve">33 624,06 </t>
  </si>
  <si>
    <t xml:space="preserve">164 757,90 </t>
  </si>
  <si>
    <t xml:space="preserve">184 932,33 </t>
  </si>
  <si>
    <t xml:space="preserve">10 087,22 </t>
  </si>
  <si>
    <t xml:space="preserve">16 812,03 </t>
  </si>
  <si>
    <t xml:space="preserve">67 248,12 </t>
  </si>
  <si>
    <t>Трубопровод подачи воды от насосной станции НС2 к гидрантам на горнолыжных трассах для подключения снегогенераторов: Высоконапорный трубопровод диаметром до 250 мм длиной до 4350 м.</t>
  </si>
  <si>
    <t xml:space="preserve">Городской водопровод, сооружаемый открытым способом диаметром до 315 мм, протяженностью:свыше 2000 до 5000 м, 4350(м) </t>
  </si>
  <si>
    <t>(144000+31*4350)*1,164*0,5*1,04*4,75,
где количество 4350=4350</t>
  </si>
  <si>
    <t>801 716,06</t>
  </si>
  <si>
    <t xml:space="preserve">16 034,32 </t>
  </si>
  <si>
    <t xml:space="preserve">48 102,96 </t>
  </si>
  <si>
    <t xml:space="preserve">8 017,16 </t>
  </si>
  <si>
    <t xml:space="preserve">72 154,45 </t>
  </si>
  <si>
    <t xml:space="preserve">24 051,48 </t>
  </si>
  <si>
    <t xml:space="preserve">40 085,80 </t>
  </si>
  <si>
    <t xml:space="preserve">196 420,43 </t>
  </si>
  <si>
    <t xml:space="preserve">220 471,92 </t>
  </si>
  <si>
    <t xml:space="preserve">12 025,74 </t>
  </si>
  <si>
    <t xml:space="preserve">20 042,90 </t>
  </si>
  <si>
    <t xml:space="preserve">80 171,61 </t>
  </si>
  <si>
    <t xml:space="preserve">Городской водопровод, сооружаемый открытым способом диаметром до 315 мм, протяженностью:от 100 до 1000 м, 700(м) </t>
  </si>
  <si>
    <t>(12000+136*700)*1,164*0,5*1,04*4,75,
где количество 700=700</t>
  </si>
  <si>
    <t>308 208,58</t>
  </si>
  <si>
    <t xml:space="preserve">6 164,17 </t>
  </si>
  <si>
    <t xml:space="preserve">18 492,51 </t>
  </si>
  <si>
    <t xml:space="preserve">3 082,09 </t>
  </si>
  <si>
    <t xml:space="preserve">27 738,77 </t>
  </si>
  <si>
    <t xml:space="preserve">9 246,26 </t>
  </si>
  <si>
    <t xml:space="preserve">15 410,43 </t>
  </si>
  <si>
    <t xml:space="preserve">75 511,10 </t>
  </si>
  <si>
    <t xml:space="preserve">84 757,36 </t>
  </si>
  <si>
    <t xml:space="preserve">4 623,13 </t>
  </si>
  <si>
    <t xml:space="preserve">7 705,21 </t>
  </si>
  <si>
    <t xml:space="preserve">30 820,86 </t>
  </si>
  <si>
    <t xml:space="preserve">Городской водопровод, сооружаемый открытым способом диаметром до 315 мм, протяженностью:свыше 2000 до 5000 м, 1900*2=3800(м) </t>
  </si>
  <si>
    <t>(144000+31*3800)*1,164*0,5*1,04*4,75,
где количество 3800=1900*2</t>
  </si>
  <si>
    <t>752 695,94</t>
  </si>
  <si>
    <t xml:space="preserve">15 053,92 </t>
  </si>
  <si>
    <t xml:space="preserve">45 161,76 </t>
  </si>
  <si>
    <t xml:space="preserve">7 526,96 </t>
  </si>
  <si>
    <t xml:space="preserve">67 742,63 </t>
  </si>
  <si>
    <t xml:space="preserve">22 580,88 </t>
  </si>
  <si>
    <t xml:space="preserve">37 634,80 </t>
  </si>
  <si>
    <t xml:space="preserve">184 410,51 </t>
  </si>
  <si>
    <t xml:space="preserve">206 991,38 </t>
  </si>
  <si>
    <t xml:space="preserve">11 290,44 </t>
  </si>
  <si>
    <t xml:space="preserve">18 817,40 </t>
  </si>
  <si>
    <t xml:space="preserve">75 269,59 </t>
  </si>
  <si>
    <t>Трубопровод подачи воды от последнего колодца системы искусственного снегообразования 2-го этапа строительства насосную станцию третьего подъема НС3: Высоконапорный трубопровод диаметром до 200 мм длиной до 100 м.</t>
  </si>
  <si>
    <t xml:space="preserve">Городской водопровод, сооружаемый открытым способом диаметром до 315 мм, протяженностью:от 100 до 1000 м, 100(м) </t>
  </si>
  <si>
    <t>(12000+136*100)*1,164*0,5*1,04*4,75,
где количество 100=100</t>
  </si>
  <si>
    <t>73 602,05</t>
  </si>
  <si>
    <t xml:space="preserve">1 472,04 </t>
  </si>
  <si>
    <t xml:space="preserve">4 416,12 </t>
  </si>
  <si>
    <t xml:space="preserve">6 624,18 </t>
  </si>
  <si>
    <t xml:space="preserve">2 208,06 </t>
  </si>
  <si>
    <t xml:space="preserve">3 680,10 </t>
  </si>
  <si>
    <t xml:space="preserve">18 032,50 </t>
  </si>
  <si>
    <t xml:space="preserve">20 240,56 </t>
  </si>
  <si>
    <t xml:space="preserve">1 104,03 </t>
  </si>
  <si>
    <t xml:space="preserve">1 840,05 </t>
  </si>
  <si>
    <t xml:space="preserve">7 360,21 </t>
  </si>
  <si>
    <t xml:space="preserve">Насосная станция II-го подъема, подкачки или систем оборотного водоснабжения производительностью:cвыше 0,1 до 1 тыс.м3/ч, 0,105*3600/1000=0,378(1 тыс.м3/ч) </t>
  </si>
  <si>
    <t>(179590+353530*0,378)*1,135*0,6*1,04*1,4*0,8*4,75,
где количество 0,378=0,105*3600/1000</t>
  </si>
  <si>
    <t>1 180 178,19</t>
  </si>
  <si>
    <t xml:space="preserve">23 603,56 </t>
  </si>
  <si>
    <t xml:space="preserve">59 008,91 </t>
  </si>
  <si>
    <t xml:space="preserve">212 432,07 </t>
  </si>
  <si>
    <t xml:space="preserve">94 414,26 </t>
  </si>
  <si>
    <t xml:space="preserve">70 810,69 </t>
  </si>
  <si>
    <t xml:space="preserve">295 044,55 </t>
  </si>
  <si>
    <t xml:space="preserve">47 207,13 </t>
  </si>
  <si>
    <t xml:space="preserve">11 801,78 </t>
  </si>
  <si>
    <t xml:space="preserve">82 612,47 </t>
  </si>
  <si>
    <t xml:space="preserve">Городской водопровод, сооружаемый открытым способом диаметром до 315 мм, протяженностью:свыше 1000 до 2000 м, 1800(м) </t>
  </si>
  <si>
    <t xml:space="preserve">СБЦП "Коммунальные инженерные сети и сооружения (2012)" табл.4 п.2
(СБЦП07-4-2) </t>
  </si>
  <si>
    <t>(90000+58*1800)*1,164*0,5*1,04*4,75,
где количество 1800=1800</t>
  </si>
  <si>
    <t>558 915,55</t>
  </si>
  <si>
    <t xml:space="preserve">11 178,31 </t>
  </si>
  <si>
    <t xml:space="preserve">33 534,93 </t>
  </si>
  <si>
    <t xml:space="preserve">5 589,16 </t>
  </si>
  <si>
    <t xml:space="preserve">50 302,40 </t>
  </si>
  <si>
    <t xml:space="preserve">16 767,47 </t>
  </si>
  <si>
    <t xml:space="preserve">27 945,78 </t>
  </si>
  <si>
    <t xml:space="preserve">136 934,31 </t>
  </si>
  <si>
    <t xml:space="preserve">153 701,78 </t>
  </si>
  <si>
    <t xml:space="preserve">8 383,73 </t>
  </si>
  <si>
    <t xml:space="preserve">13 972,89 </t>
  </si>
  <si>
    <t xml:space="preserve">55 891,56 </t>
  </si>
  <si>
    <t>Бетонные или пластиковые колодцы с бетонными крышками для монтажа снегогенераторов. Глубиной 2,5 м, диаметром 2 м.</t>
  </si>
  <si>
    <t xml:space="preserve">Узлы управления (камеры, колодцы, коверы) для обслуживания задвижек, гидрантов, воздушников, спускников диаметром: до 300 мм, 25+19+33+34+1+1=113(объект) </t>
  </si>
  <si>
    <t>(30000*113)*0,5*0,2*1,04*4,75,
где количество 113=25+19+33+34+1+1</t>
  </si>
  <si>
    <t>1 674 660,00</t>
  </si>
  <si>
    <t xml:space="preserve">33 493,20 </t>
  </si>
  <si>
    <t xml:space="preserve">16 746,60 </t>
  </si>
  <si>
    <t xml:space="preserve">150 719,40 </t>
  </si>
  <si>
    <t xml:space="preserve">50 239,80 </t>
  </si>
  <si>
    <t xml:space="preserve">83 733,00 </t>
  </si>
  <si>
    <t xml:space="preserve">100 479,60 </t>
  </si>
  <si>
    <t xml:space="preserve">410 291,70 </t>
  </si>
  <si>
    <t xml:space="preserve">460 531,50 </t>
  </si>
  <si>
    <t xml:space="preserve">25 119,90 </t>
  </si>
  <si>
    <t xml:space="preserve">41 866,50 </t>
  </si>
  <si>
    <t xml:space="preserve">167 466,00 </t>
  </si>
  <si>
    <t xml:space="preserve">Узлы управления (камеры, колодцы, коверы) для обслуживания задвижек, гидрантов, воздушников, спускников диаметром: до 300 мм, 2(объект) </t>
  </si>
  <si>
    <t>(30000*2)*0,5*0,2*1,04*4,75,
где количество 2=2</t>
  </si>
  <si>
    <t>29 640,00</t>
  </si>
  <si>
    <t xml:space="preserve">2 667,60 </t>
  </si>
  <si>
    <t xml:space="preserve">1 482,00 </t>
  </si>
  <si>
    <t xml:space="preserve">1 778,40 </t>
  </si>
  <si>
    <t xml:space="preserve">7 261,80 </t>
  </si>
  <si>
    <t xml:space="preserve">8 151,00 </t>
  </si>
  <si>
    <t xml:space="preserve">2 964,00 </t>
  </si>
  <si>
    <t>Ограждение площадки сооружений водозаборного узла: Ограждение панельного типа из металлических прутьев с полимерным покрытием (с технологическими калитками и воротами в необходимых местах).</t>
  </si>
  <si>
    <t xml:space="preserve">Ограждение территории протяжённостью: от 0,5 до 5 км, 0,1(км) </t>
  </si>
  <si>
    <t>((14950+18360*(0.4*0,5+0.6*0.5*0,5))*0,7)*1,129*0,4*4,75,
где количество 0,1=0,1</t>
  </si>
  <si>
    <t>32 097,56</t>
  </si>
  <si>
    <t xml:space="preserve">2 888,78 </t>
  </si>
  <si>
    <t xml:space="preserve">3 851,71 </t>
  </si>
  <si>
    <t xml:space="preserve">1 604,88 </t>
  </si>
  <si>
    <t xml:space="preserve">1 283,90 </t>
  </si>
  <si>
    <t xml:space="preserve">9 950,24 </t>
  </si>
  <si>
    <t>Ограждение площадки насосной станции НС1 и трансформаторной подстанции ТП-НС1 (2х1000 кВА): Ограждение панельного типа из металлических прутьев с полимерным покрытием (с технологическими калитками и воротами в необходимых местах).</t>
  </si>
  <si>
    <t>((14950+18360*(0.4*0,5+0.6*0.5*0,5))*0,7)*1,129*0,4*4,75,
где количество 0,2=0,2</t>
  </si>
  <si>
    <t>Ограждение площадки насосной станции НС2 и трансформаторной подстанции ТП-НС2 (1х1250 кВА): Ограждение панельного типа из металлических прутьев с полимерным покрытием (с технологическими калитками и воротами в необходимых местах).</t>
  </si>
  <si>
    <t>((14950+18360*(0.4*0,5+0.6*0.5*0,5))*0,7)*1,129*0,4*4,75,
где количество 0,15=0,15</t>
  </si>
  <si>
    <t xml:space="preserve">   Итого Поз. 1-23</t>
  </si>
  <si>
    <t>13 443 242,82</t>
  </si>
  <si>
    <t>(20800*1)*1,144*0,5*1,1*1,04*4,75,
где количество 1=1</t>
  </si>
  <si>
    <t>64 651,56</t>
  </si>
  <si>
    <t xml:space="preserve">1 293,03 </t>
  </si>
  <si>
    <t xml:space="preserve">3 232,58 </t>
  </si>
  <si>
    <t xml:space="preserve">7 111,67 </t>
  </si>
  <si>
    <t xml:space="preserve">4 525,61 </t>
  </si>
  <si>
    <t xml:space="preserve">3 879,09 </t>
  </si>
  <si>
    <t xml:space="preserve">19 395,47 </t>
  </si>
  <si>
    <t xml:space="preserve">1 939,55 </t>
  </si>
  <si>
    <t xml:space="preserve">5 172,12 </t>
  </si>
  <si>
    <t>(20800*1)*1,144*0,5*1,1*1,04*0,5*4,75,
где количество 1=1</t>
  </si>
  <si>
    <t>32 325,78</t>
  </si>
  <si>
    <t>ТЧ п.2.8.7.1 Для однотрансформаторных подстанций и односекционных распределительных устройств, до К=0,5;</t>
  </si>
  <si>
    <t xml:space="preserve">1 616,29 </t>
  </si>
  <si>
    <t xml:space="preserve">3 555,84 </t>
  </si>
  <si>
    <t xml:space="preserve">2 262,80 </t>
  </si>
  <si>
    <t xml:space="preserve">9 697,73 </t>
  </si>
  <si>
    <t xml:space="preserve">2 586,06 </t>
  </si>
  <si>
    <t>Сети 0,4 кВ: Кабель 0,4 кВ в грунте. 2 кабеля. Электроснабжение потребителей водозаборного узла, погружных насосов резервуара охлаждения речной воды, насосной станции НС1.</t>
  </si>
  <si>
    <t xml:space="preserve">Кабельные линии напряжением до 35 кВ с интервалами протяженности:свыше 500 до 1000 м, 2*300=600(м) </t>
  </si>
  <si>
    <t xml:space="preserve">СБЦП "Коммунальные инженерные сети и сооружения (2012)" табл.17 п.3
(СБЦП07-17-3) </t>
  </si>
  <si>
    <t>(8265+41*600)*1,186*1,04*0,4*4,75,
где количество 600=2*300</t>
  </si>
  <si>
    <t>77 020,31</t>
  </si>
  <si>
    <t xml:space="preserve">1 540,41 </t>
  </si>
  <si>
    <t xml:space="preserve">4 621,22 </t>
  </si>
  <si>
    <t xml:space="preserve">6 931,83 </t>
  </si>
  <si>
    <t xml:space="preserve">2 310,61 </t>
  </si>
  <si>
    <t xml:space="preserve">3 851,02 </t>
  </si>
  <si>
    <t xml:space="preserve">18 869,98 </t>
  </si>
  <si>
    <t xml:space="preserve">21 180,59 </t>
  </si>
  <si>
    <t xml:space="preserve">1 155,30 </t>
  </si>
  <si>
    <t xml:space="preserve">1 925,51 </t>
  </si>
  <si>
    <t xml:space="preserve">7 702,03 </t>
  </si>
  <si>
    <t>Сети 0,4 кВ (100 п.м.): Кабель 0,4 кВ в грунте. Электроснабжение насосной станции НС2.</t>
  </si>
  <si>
    <t>(11960*1)*1,186*1,04*0,4*4,75,
где количество 1=1</t>
  </si>
  <si>
    <t>28 028,69</t>
  </si>
  <si>
    <t xml:space="preserve">1 681,72 </t>
  </si>
  <si>
    <t xml:space="preserve">2 522,58 </t>
  </si>
  <si>
    <t xml:space="preserve">1 401,43 </t>
  </si>
  <si>
    <t xml:space="preserve">6 867,03 </t>
  </si>
  <si>
    <t xml:space="preserve">7 707,89 </t>
  </si>
  <si>
    <t xml:space="preserve">2 802,87 </t>
  </si>
  <si>
    <t>Сети 0,4 кВ (100 п.м.): Кабель 0,4 кВ в грунте. Электроснабжение насосной станции НС3.</t>
  </si>
  <si>
    <t>Сети 0,4 кВ: Кабель 0,4 кВ в грунте. Электроснабжение снегогенераторов.</t>
  </si>
  <si>
    <t xml:space="preserve">Кабельные линии напряжением до 35 кВ с интервалами протяженности:свыше 5000 м, 4*2900+2*1800+2*4350+2*1900=27700(м) </t>
  </si>
  <si>
    <t>(87265+22*(0.4*5000+0.6*27700))*1,186*1,04*0,4*4,75,
где количество 27700=4*2900+2*1800+2*4350+2*1900</t>
  </si>
  <si>
    <t>1 164 514,76</t>
  </si>
  <si>
    <t xml:space="preserve">23 290,30 </t>
  </si>
  <si>
    <t xml:space="preserve">69 870,89 </t>
  </si>
  <si>
    <t xml:space="preserve">11 645,15 </t>
  </si>
  <si>
    <t xml:space="preserve">104 806,33 </t>
  </si>
  <si>
    <t xml:space="preserve">34 935,44 </t>
  </si>
  <si>
    <t xml:space="preserve">58 225,74 </t>
  </si>
  <si>
    <t xml:space="preserve">285 306,12 </t>
  </si>
  <si>
    <t xml:space="preserve">320 241,56 </t>
  </si>
  <si>
    <t xml:space="preserve">17 467,72 </t>
  </si>
  <si>
    <t xml:space="preserve">29 112,87 </t>
  </si>
  <si>
    <t xml:space="preserve">116 451,48 </t>
  </si>
  <si>
    <t>Сети 10 кВ: Подключение ТП-НС1 (2х1000 кВА) кабельной линией 10 кВ от РП-КД 10 кВ, проектируемого отдельным проектом.</t>
  </si>
  <si>
    <t xml:space="preserve">Кабельные линии напряжением до 35 кВ с интервалами протяженности:свыше 100 до 500 м, 2*200=400(м) </t>
  </si>
  <si>
    <t>(7763+42*400)*1,186*1,04*0,4*4,75,
где количество 400=2*200</t>
  </si>
  <si>
    <t>57 564,27</t>
  </si>
  <si>
    <t xml:space="preserve">1 151,29 </t>
  </si>
  <si>
    <t xml:space="preserve">3 453,86 </t>
  </si>
  <si>
    <t xml:space="preserve">5 180,78 </t>
  </si>
  <si>
    <t xml:space="preserve">1 726,93 </t>
  </si>
  <si>
    <t xml:space="preserve">2 878,21 </t>
  </si>
  <si>
    <t xml:space="preserve">14 103,25 </t>
  </si>
  <si>
    <t xml:space="preserve">15 830,17 </t>
  </si>
  <si>
    <t xml:space="preserve">1 439,11 </t>
  </si>
  <si>
    <t xml:space="preserve">5 756,43 </t>
  </si>
  <si>
    <t>Сети 10 кВ: Подключение ТП-НС2 (1х1250 кВА) кабельной линией 10 кВ в грунте врезкой/отпайкой от проектируемой отдельным проектом воздушной линии ВЛ 10 кВ.</t>
  </si>
  <si>
    <t>(7763+42*300)*1,186*1,04*0,4*4,75,
где количество 300=300</t>
  </si>
  <si>
    <t>47 721,42</t>
  </si>
  <si>
    <t xml:space="preserve">2 863,29 </t>
  </si>
  <si>
    <t xml:space="preserve">4 294,93 </t>
  </si>
  <si>
    <t xml:space="preserve">1 431,64 </t>
  </si>
  <si>
    <t xml:space="preserve">2 386,07 </t>
  </si>
  <si>
    <t xml:space="preserve">11 691,75 </t>
  </si>
  <si>
    <t xml:space="preserve">13 123,39 </t>
  </si>
  <si>
    <t xml:space="preserve">1 193,04 </t>
  </si>
  <si>
    <t xml:space="preserve">4 772,14 </t>
  </si>
  <si>
    <t>Сети 10 кВ: Подключение ТП-НС3 (1х1000 кВА) кабельной линией 10 кВ в грунте врезкой/отпайкой от проектируемой отдельным проектом воздушной линии ВЛ 10 кВ.</t>
  </si>
  <si>
    <t>(7763+42*200)*1,186*1,04*0,4*4,75,
где количество 200=200</t>
  </si>
  <si>
    <t>37 878,57</t>
  </si>
  <si>
    <t xml:space="preserve">2 272,71 </t>
  </si>
  <si>
    <t xml:space="preserve">3 409,07 </t>
  </si>
  <si>
    <t xml:space="preserve">1 136,36 </t>
  </si>
  <si>
    <t xml:space="preserve">1 893,93 </t>
  </si>
  <si>
    <t xml:space="preserve">9 280,25 </t>
  </si>
  <si>
    <t xml:space="preserve">10 416,61 </t>
  </si>
  <si>
    <t xml:space="preserve">3 787,86 </t>
  </si>
  <si>
    <t xml:space="preserve">Воздушные линии напряжением 3-20 кВ, длиной: от 0,015 до 1 км, 1+1=2(1 объект) </t>
  </si>
  <si>
    <t>(9090*2)*1,186*0,3*1,04*1,15*4,75,
где количество 2=1+1</t>
  </si>
  <si>
    <t>36 747,23</t>
  </si>
  <si>
    <t xml:space="preserve">2 204,83 </t>
  </si>
  <si>
    <t xml:space="preserve">3 307,25 </t>
  </si>
  <si>
    <t xml:space="preserve">1 102,42 </t>
  </si>
  <si>
    <t xml:space="preserve">1 837,36 </t>
  </si>
  <si>
    <t xml:space="preserve">9 003,07 </t>
  </si>
  <si>
    <t xml:space="preserve">10 105,49 </t>
  </si>
  <si>
    <t xml:space="preserve">3 674,72 </t>
  </si>
  <si>
    <t xml:space="preserve">   Итого Поз. 24-34</t>
  </si>
  <si>
    <t>1 606 807,06</t>
  </si>
  <si>
    <t>Кабелем в грунте в одной траншее с электрическими кабелями в ПЭ трубе технической диаметром до 90 мм</t>
  </si>
  <si>
    <t>2х2900 п.м.: От операторской СИС до насосной станции НС1 и далее до последнего колодца 1-го этапа строительства с герметизацией конца кабеля</t>
  </si>
  <si>
    <t>2х1800 п.м.: От последнего колодца 1-го этапа строительства до НС2 и далее до последнего колодца 2-го этапа строительства с герметизацией конца кабеля</t>
  </si>
  <si>
    <t>2х100 п.м.: От последнего колодца 2-го этапа строительства до НС3</t>
  </si>
  <si>
    <t>2х4350 п.м.: От НС2 и далее до последнего колодца 3-го этапа строительства с герметизацией конца кабеля</t>
  </si>
  <si>
    <t>4х1900 п.м.: От НС3 до последнего колодца 4-го этапа строительства с герметизацией конца кабеля.(по 2 кабеля на каждую горнолыжную трассу)</t>
  </si>
  <si>
    <t xml:space="preserve">Прокладка бронированного кабеля связи в земле, протяженностью:свыше 10000 м, 2*2900+2*1800+2*100+2*4350+4*1900=25900(м) </t>
  </si>
  <si>
    <t xml:space="preserve">СБЦП "Коммунальные инженерные сети и сооружения (2012)" табл.1 п.47
(СБЦП07-1-47) </t>
  </si>
  <si>
    <t>(170000+20*(0.4*10000+0.6*25900))*1,04*1,186*0,4*4,75,
где количество 25900=2*2900+2*1800+2*100+2*4350+4*1900</t>
  </si>
  <si>
    <t>1 314 254,99</t>
  </si>
  <si>
    <t xml:space="preserve">26 285,10 </t>
  </si>
  <si>
    <t xml:space="preserve">78 855,30 </t>
  </si>
  <si>
    <t xml:space="preserve">13 142,55 </t>
  </si>
  <si>
    <t xml:space="preserve">118 282,95 </t>
  </si>
  <si>
    <t xml:space="preserve">39 427,65 </t>
  </si>
  <si>
    <t xml:space="preserve">65 712,75 </t>
  </si>
  <si>
    <t xml:space="preserve">321 992,47 </t>
  </si>
  <si>
    <t xml:space="preserve">361 420,12 </t>
  </si>
  <si>
    <t xml:space="preserve">19 713,82 </t>
  </si>
  <si>
    <t xml:space="preserve">32 856,37 </t>
  </si>
  <si>
    <t xml:space="preserve">131 425,50 </t>
  </si>
  <si>
    <t>(2400*1)*0,5*1,04*4,75,
где количество 1=1</t>
  </si>
  <si>
    <t>5 928,00</t>
  </si>
  <si>
    <t>Индекс изменения сметной стоимости проектных работ на IV квартал 2021 года к уровню цен по состоянию на 01.01.2001 по Письму Минстроя России от 25.10.2021 N 46012-ИФ/09 Кинф=4,75</t>
  </si>
  <si>
    <t>Операторская СИС (30 м2): Индивидуальное здание с металлическим каркасом и ограждающими конструкциями из сэндвич-панелей. Помещения оператора, бытовое, биотуалет.</t>
  </si>
  <si>
    <t>(110000*1)*1,144*0,8*0,4*4,75,
где количество 1=1</t>
  </si>
  <si>
    <t>191 276,80</t>
  </si>
  <si>
    <t xml:space="preserve">   Итого Поз. 35-37</t>
  </si>
  <si>
    <t>1 511 459,79</t>
  </si>
  <si>
    <t>Кабелем в грунте в одной траншее с электрическими кабелями в ПЭ трубе технической диаметром до 90 мм .</t>
  </si>
  <si>
    <t>2900 п.м.: От операторской СИС до насосных станций далее до последнего колодца 1-го этапа строительства с герметизацией конца кабеля.</t>
  </si>
  <si>
    <t>1800 п.м.: От последнего колодца 1-го этапа строительства до НС2 и далее до последнего колодца 2-го этапа строительства с герметизацией конца кабеля</t>
  </si>
  <si>
    <t>100 п.м.: От последнего колодца 2-го этапа строительства до НС3</t>
  </si>
  <si>
    <t xml:space="preserve">СБЦП "Коммунальные инженерные сети и сооружения (2012)" табл.1 п.45
(СБЦП07-1-45) </t>
  </si>
  <si>
    <t>Система охранной и тревожной сигнализации (СОТС))</t>
  </si>
  <si>
    <t>Насосные станции: НС1 (площадь до 36 м2), НС2 (площадь до 36 м2), НС3 (площадь до 36 м2);</t>
  </si>
  <si>
    <t>трансформаторные подстанции: ТП-НС1 (2х1000 кВА) (площадь до 12 м2), ТП-НС2 (1х12500 кВА) (площадь до 12 м2)., ТП-НС3 (1х1000 кВА) (площадь до 12 м2);</t>
  </si>
  <si>
    <t>операторская СИС (площадь до 30 м2).</t>
  </si>
  <si>
    <t xml:space="preserve">Установки охранной сигнализации, защищающие объект площадью: до 100м2, 3+2+2=7(объект) </t>
  </si>
  <si>
    <t>(540*7)*0,25*36,42,
где количество 7=3+2+2</t>
  </si>
  <si>
    <t>34 416,90</t>
  </si>
  <si>
    <t>Индекс изменения сметной стоимости проектных работ на IV квартал 2021 года к уровню цен по состоянию на 01.01.1995 по Письму Минстроя России от 25.10.2021 N 46012-ИФ/09 Кинф=36,42;</t>
  </si>
  <si>
    <t xml:space="preserve">10 325,07 </t>
  </si>
  <si>
    <t xml:space="preserve">23 059,32 </t>
  </si>
  <si>
    <t xml:space="preserve">1 032,51 </t>
  </si>
  <si>
    <t xml:space="preserve">Установка промышленного телевизионного оборудования в готовом здании с числом камер от 2 до 12, 6+4+4=14(1 камера) </t>
  </si>
  <si>
    <t>(36610+4570*(0.4*12+0.6*14))*1,1*1,144*0,5*1,04*4,75,
где количество 14=6+4+4</t>
  </si>
  <si>
    <t>301 294,91</t>
  </si>
  <si>
    <t xml:space="preserve">6 025,90 </t>
  </si>
  <si>
    <t xml:space="preserve">18 077,69 </t>
  </si>
  <si>
    <t xml:space="preserve">36 155,39 </t>
  </si>
  <si>
    <t xml:space="preserve">48 207,19 </t>
  </si>
  <si>
    <t xml:space="preserve">30 129,49 </t>
  </si>
  <si>
    <t xml:space="preserve">3 012,95 </t>
  </si>
  <si>
    <t xml:space="preserve">54 233,08 </t>
  </si>
  <si>
    <t xml:space="preserve">9 038,85 </t>
  </si>
  <si>
    <t xml:space="preserve">27 116,54 </t>
  </si>
  <si>
    <t xml:space="preserve">24 103,59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</si>
  <si>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150+100+100=350(п.м) </t>
  </si>
  <si>
    <t>(25970+63*350)*1,186*1,04*0,4*4,75,
где количество 350=150+100+100</t>
  </si>
  <si>
    <t>112 536,60</t>
  </si>
  <si>
    <t xml:space="preserve">2 250,73 </t>
  </si>
  <si>
    <t xml:space="preserve">6 752,20 </t>
  </si>
  <si>
    <t xml:space="preserve">1 125,37 </t>
  </si>
  <si>
    <t xml:space="preserve">10 128,29 </t>
  </si>
  <si>
    <t xml:space="preserve">3 376,10 </t>
  </si>
  <si>
    <t xml:space="preserve">5 626,83 </t>
  </si>
  <si>
    <t xml:space="preserve">27 571,47 </t>
  </si>
  <si>
    <t xml:space="preserve">30 947,57 </t>
  </si>
  <si>
    <t xml:space="preserve">1 688,05 </t>
  </si>
  <si>
    <t xml:space="preserve">2 813,42 </t>
  </si>
  <si>
    <t xml:space="preserve">11 253,66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</si>
  <si>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3+2+2=7(1 канал) </t>
  </si>
  <si>
    <t>(25980+4623*7)*1,144*0,42*1,04*4,75,
где количество 7=3+2+2</t>
  </si>
  <si>
    <t>138 476,52</t>
  </si>
  <si>
    <t xml:space="preserve">2 769,53 </t>
  </si>
  <si>
    <t xml:space="preserve">8 308,59 </t>
  </si>
  <si>
    <t xml:space="preserve">16 617,18 </t>
  </si>
  <si>
    <t xml:space="preserve">22 156,24 </t>
  </si>
  <si>
    <t xml:space="preserve">13 847,65 </t>
  </si>
  <si>
    <t xml:space="preserve">1 384,77 </t>
  </si>
  <si>
    <t xml:space="preserve">24 925,77 </t>
  </si>
  <si>
    <t xml:space="preserve">4 154,30 </t>
  </si>
  <si>
    <t xml:space="preserve">12 462,89 </t>
  </si>
  <si>
    <t xml:space="preserve">11 078,12 </t>
  </si>
  <si>
    <t>(25980+4623*20)*1,144*0,42*1,04*4,75,
где количество 20=20</t>
  </si>
  <si>
    <t>281 125,77</t>
  </si>
  <si>
    <t xml:space="preserve">5 622,52 </t>
  </si>
  <si>
    <t xml:space="preserve">16 867,55 </t>
  </si>
  <si>
    <t xml:space="preserve">33 735,09 </t>
  </si>
  <si>
    <t xml:space="preserve">44 980,12 </t>
  </si>
  <si>
    <t xml:space="preserve">28 112,58 </t>
  </si>
  <si>
    <t xml:space="preserve">2 811,26 </t>
  </si>
  <si>
    <t xml:space="preserve">50 602,64 </t>
  </si>
  <si>
    <t xml:space="preserve">8 433,77 </t>
  </si>
  <si>
    <t xml:space="preserve">25 301,32 </t>
  </si>
  <si>
    <t xml:space="preserve">22 490,06 </t>
  </si>
  <si>
    <t>(2450+3680*3)*1,144*0,5*1,04*4,75,
где количество 3=3</t>
  </si>
  <si>
    <t>38 118,42</t>
  </si>
  <si>
    <t xml:space="preserve">2 287,11 </t>
  </si>
  <si>
    <t xml:space="preserve">4 574,21 </t>
  </si>
  <si>
    <t xml:space="preserve">6 098,95 </t>
  </si>
  <si>
    <t xml:space="preserve">3 811,84 </t>
  </si>
  <si>
    <t xml:space="preserve">6 861,32 </t>
  </si>
  <si>
    <t xml:space="preserve">1 143,55 </t>
  </si>
  <si>
    <t xml:space="preserve">3 430,66 </t>
  </si>
  <si>
    <t xml:space="preserve">3 049,47 </t>
  </si>
  <si>
    <t>(25980+4623*6)*1,144*0,42*1,04*4,75,
где количество 6=6</t>
  </si>
  <si>
    <t>127 503,50</t>
  </si>
  <si>
    <t xml:space="preserve">2 550,07 </t>
  </si>
  <si>
    <t xml:space="preserve">7 650,21 </t>
  </si>
  <si>
    <t xml:space="preserve">15 300,42 </t>
  </si>
  <si>
    <t xml:space="preserve">20 400,56 </t>
  </si>
  <si>
    <t xml:space="preserve">12 750,35 </t>
  </si>
  <si>
    <t xml:space="preserve">1 275,04 </t>
  </si>
  <si>
    <t xml:space="preserve">22 950,63 </t>
  </si>
  <si>
    <t xml:space="preserve">3 825,11 </t>
  </si>
  <si>
    <t xml:space="preserve">11 475,32 </t>
  </si>
  <si>
    <t xml:space="preserve">10 200,28 </t>
  </si>
  <si>
    <t xml:space="preserve">   Итого Поз. 38-46</t>
  </si>
  <si>
    <t>Раздел 5. Инженерная защита</t>
  </si>
  <si>
    <t>Снегоудерживающие сооружения общей протяженностью до 200 п.м, высотой 3,5 м</t>
  </si>
  <si>
    <t>(160512+321480*0,7)*1,1*1,168*0,3*1,04*4,75,
где количество 0,7=3,5*0,2</t>
  </si>
  <si>
    <t>734 111,77</t>
  </si>
  <si>
    <t xml:space="preserve">14 682,24 </t>
  </si>
  <si>
    <t xml:space="preserve">29 364,47 </t>
  </si>
  <si>
    <t xml:space="preserve">51 387,82 </t>
  </si>
  <si>
    <t xml:space="preserve">359 714,77 </t>
  </si>
  <si>
    <t xml:space="preserve">88 093,41 </t>
  </si>
  <si>
    <t xml:space="preserve">58 728,94 </t>
  </si>
  <si>
    <t xml:space="preserve">36 705,59 </t>
  </si>
  <si>
    <t>Открытый нагорный канал для защиты насосной станции НС2, трансформаторной ТП-НС2 (1х1250 кВА) от дождевого стока с нагорной стороны прилегающей территории: Укрепленный канал</t>
  </si>
  <si>
    <t>(8800+370*250)*1,1*1,189*0,34*1,04*4,75,
где количество 250=250</t>
  </si>
  <si>
    <t>222 530,66</t>
  </si>
  <si>
    <t xml:space="preserve">140 194,32 </t>
  </si>
  <si>
    <t xml:space="preserve">57 857,97 </t>
  </si>
  <si>
    <t xml:space="preserve">24 478,37 </t>
  </si>
  <si>
    <t>(8800+370*300)*1,1*1,189*0,34*1,04*4,75,
где количество 300=300</t>
  </si>
  <si>
    <t>263 170,51</t>
  </si>
  <si>
    <t xml:space="preserve">165 797,42 </t>
  </si>
  <si>
    <t xml:space="preserve">68 424,33 </t>
  </si>
  <si>
    <t xml:space="preserve">28 948,76 </t>
  </si>
  <si>
    <t>Итого по разделу 5 Инженерная защита</t>
  </si>
  <si>
    <t xml:space="preserve">   Итого Поз. 47-49</t>
  </si>
  <si>
    <t>1 219 812,94</t>
  </si>
  <si>
    <t xml:space="preserve">   Итого по разделу 5 Инженерная защита</t>
  </si>
  <si>
    <t>(144000+31*3235)*0,35*4,75,
где количество 3235=3235</t>
  </si>
  <si>
    <t>406 123,81</t>
  </si>
  <si>
    <t xml:space="preserve">8 122,48 </t>
  </si>
  <si>
    <t xml:space="preserve">24 367,43 </t>
  </si>
  <si>
    <t xml:space="preserve">4 061,24 </t>
  </si>
  <si>
    <t xml:space="preserve">36 551,14 </t>
  </si>
  <si>
    <t xml:space="preserve">12 183,71 </t>
  </si>
  <si>
    <t xml:space="preserve">20 306,19 </t>
  </si>
  <si>
    <t xml:space="preserve">99 500,33 </t>
  </si>
  <si>
    <t xml:space="preserve">111 684,05 </t>
  </si>
  <si>
    <t xml:space="preserve">6 091,86 </t>
  </si>
  <si>
    <t xml:space="preserve">10 153,10 </t>
  </si>
  <si>
    <t xml:space="preserve">40 612,38 </t>
  </si>
  <si>
    <t>(30000*25)*0,2*0,2*4,75,
где количество 25=25</t>
  </si>
  <si>
    <t>142 500,00</t>
  </si>
  <si>
    <t xml:space="preserve">2 850,00 </t>
  </si>
  <si>
    <t xml:space="preserve">1 425,00 </t>
  </si>
  <si>
    <t xml:space="preserve">12 825,00 </t>
  </si>
  <si>
    <t xml:space="preserve">4 275,00 </t>
  </si>
  <si>
    <t xml:space="preserve">7 125,00 </t>
  </si>
  <si>
    <t xml:space="preserve">8 550,00 </t>
  </si>
  <si>
    <t xml:space="preserve">34 912,50 </t>
  </si>
  <si>
    <t xml:space="preserve">39 187,50 </t>
  </si>
  <si>
    <t xml:space="preserve">2 137,50 </t>
  </si>
  <si>
    <t xml:space="preserve">3 562,50 </t>
  </si>
  <si>
    <t xml:space="preserve">14 250,00 </t>
  </si>
  <si>
    <t>(87265+22*(0.4*5000+0.6*6460))*0,35*4,75,
где количество 6460=6460</t>
  </si>
  <si>
    <t>359 992,76</t>
  </si>
  <si>
    <t xml:space="preserve">7 199,86 </t>
  </si>
  <si>
    <t xml:space="preserve">21 599,57 </t>
  </si>
  <si>
    <t xml:space="preserve">3 599,93 </t>
  </si>
  <si>
    <t xml:space="preserve">32 399,35 </t>
  </si>
  <si>
    <t xml:space="preserve">10 799,78 </t>
  </si>
  <si>
    <t xml:space="preserve">17 999,64 </t>
  </si>
  <si>
    <t xml:space="preserve">88 198,23 </t>
  </si>
  <si>
    <t xml:space="preserve">98 998,01 </t>
  </si>
  <si>
    <t xml:space="preserve">5 399,89 </t>
  </si>
  <si>
    <t xml:space="preserve">8 999,82 </t>
  </si>
  <si>
    <t xml:space="preserve">35 999,28 </t>
  </si>
  <si>
    <t>(14450*1)*0,35*4,75,
где количество 1=1</t>
  </si>
  <si>
    <t>24 023,13</t>
  </si>
  <si>
    <t xml:space="preserve">1 441,39 </t>
  </si>
  <si>
    <t xml:space="preserve">2 162,08 </t>
  </si>
  <si>
    <t xml:space="preserve">1 201,16 </t>
  </si>
  <si>
    <t xml:space="preserve">5 885,67 </t>
  </si>
  <si>
    <t xml:space="preserve">6 606,36 </t>
  </si>
  <si>
    <t xml:space="preserve">2 402,31 </t>
  </si>
  <si>
    <t>(179590+353530*0,3)*0,2*4,75,
где количество 0,3=0,3</t>
  </si>
  <si>
    <t>271 366,55</t>
  </si>
  <si>
    <t xml:space="preserve">5 427,33 </t>
  </si>
  <si>
    <t xml:space="preserve">13 568,33 </t>
  </si>
  <si>
    <t xml:space="preserve">48 845,98 </t>
  </si>
  <si>
    <t xml:space="preserve">21 709,32 </t>
  </si>
  <si>
    <t xml:space="preserve">16 281,99 </t>
  </si>
  <si>
    <t xml:space="preserve">67 841,64 </t>
  </si>
  <si>
    <t xml:space="preserve">10 854,66 </t>
  </si>
  <si>
    <t xml:space="preserve">2 713,67 </t>
  </si>
  <si>
    <t xml:space="preserve">18 995,66 </t>
  </si>
  <si>
    <t>(179590+353530*0,15)*0,2*4,75,
где количество 0,15=0,15</t>
  </si>
  <si>
    <t>220 988,53</t>
  </si>
  <si>
    <t xml:space="preserve">4 419,77 </t>
  </si>
  <si>
    <t xml:space="preserve">11 049,43 </t>
  </si>
  <si>
    <t xml:space="preserve">39 777,94 </t>
  </si>
  <si>
    <t xml:space="preserve">17 679,08 </t>
  </si>
  <si>
    <t xml:space="preserve">13 259,31 </t>
  </si>
  <si>
    <t xml:space="preserve">55 247,13 </t>
  </si>
  <si>
    <t xml:space="preserve">8 839,54 </t>
  </si>
  <si>
    <t xml:space="preserve">2 209,89 </t>
  </si>
  <si>
    <t xml:space="preserve">15 469,20 </t>
  </si>
  <si>
    <t xml:space="preserve">   Итого Поз. 50-55</t>
  </si>
  <si>
    <t>1 424 994,78</t>
  </si>
  <si>
    <t xml:space="preserve">   Итого Поз. 1-55</t>
  </si>
  <si>
    <t>Применены индексы на IV квартал 2021 года по письму Минстроя РФ от 09.08.2021 N 33267-ИФ/09.</t>
  </si>
  <si>
    <t>Стоимость работ в ценах  сметной документации - 
4 квартал 2021 г.</t>
  </si>
  <si>
    <t>ежемесячный прогнозный индекс на 2023 год</t>
  </si>
  <si>
    <t>Индекс Минэкономразвития РФ на 2022 г. (Письмо Минэкономразвития России от 05.10.2021 № 33918-ПК/Д03и)</t>
  </si>
  <si>
    <t>Индекс Минэкономразвития РФ на 2023 г. (Письмо Минэкономразвития России от 05.10.2021 № 33918-ПК/Д03и)</t>
  </si>
  <si>
    <t>К на 2023 =</t>
  </si>
  <si>
    <t>Дата формирования НМЦК*</t>
  </si>
  <si>
    <t>*Применены индексы на IV квартал 2021 года по письму Минстроя РФ от 09.08.2021 N 33267-ИФ/09.</t>
  </si>
  <si>
    <t>Индекс пересчета в текущие цены  на 4 квартал 2021 г. принят согласно Письму Минстроя России 
от 25.10.2021 N 46012-ИФ/09.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</si>
  <si>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05.10.2021 № 33918-ПК/Д03и.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</si>
  <si>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05.10.2021 № 33918-ПК/Д03и.</t>
  </si>
  <si>
    <t>Заместитель директора Департамента развития инфраструктуры
АО "КАВКАЗ.РФ"</t>
  </si>
  <si>
    <t>Коэф. 4 кв.2021</t>
  </si>
  <si>
    <t>Стоимость инж.изыск.в ценах 4 кв.2021</t>
  </si>
  <si>
    <t>Стоимость проектных работ в ценах 
4 кв.2021</t>
  </si>
  <si>
    <t>Всего с учетом индекса изменения сметной стоимости на 4 кв. 2021г</t>
  </si>
  <si>
    <t>ИТОГО  в ценах 4 квартала 2021 года (письмо Минстроя России от 25.10.2021 N 46012-ИФ/09)</t>
  </si>
  <si>
    <t xml:space="preserve"> АО "КАВКАЗ.РФ"</t>
  </si>
  <si>
    <t>ИТОГО  в ценах 4 квартала 2021 года</t>
  </si>
  <si>
    <t>письмо Минстроя России от 25.10.2021 N 46012-ИФ/09</t>
  </si>
  <si>
    <t>"Всесезонный туристско-рекреационный комплекс «Эльбрус», Кабардино-Балкарская Республика. Система искусственного снегообразования"</t>
  </si>
  <si>
    <t>Наименование организации – заказчика: АО "КАВКАЗ.РФ"</t>
  </si>
  <si>
    <t>СМЕТА №5-из</t>
  </si>
  <si>
    <t xml:space="preserve"> Смета №4-из</t>
  </si>
  <si>
    <t>Смета №3-из</t>
  </si>
  <si>
    <t xml:space="preserve"> Смета №2-из</t>
  </si>
  <si>
    <t>СМЕТА № 1-из</t>
  </si>
  <si>
    <t>Всего по смете с учетом инфляционного коэффициента 4 кв. 2021</t>
  </si>
  <si>
    <r>
      <t xml:space="preserve">Цены приведены к базисному уровню на 01.01.1991 года. С учетом инфляционного коэффициента на 4 квартал 2021 г.  </t>
    </r>
    <r>
      <rPr>
        <b/>
        <sz val="10"/>
        <rFont val="Arial"/>
        <family val="2"/>
        <charset val="204"/>
      </rPr>
      <t>К = 54,75</t>
    </r>
  </si>
  <si>
    <t>Наименование организации заказчика:  АО "КАВКАЗ.РФ"</t>
  </si>
  <si>
    <t>Итого в ценах 4 кв 2021 г.</t>
  </si>
  <si>
    <t>Письмо Минстроя России от 25.10.2021 N 46012-ИФ/09</t>
  </si>
  <si>
    <t>Предварительная разбивка местоположения геологических выработок   расст. между точками  до 50 м, III кат.сложности</t>
  </si>
  <si>
    <t>Предварительная разбивка местоположения геологических выработок   расст. между точками  св. 50 до 100 м, III кат.сложности</t>
  </si>
  <si>
    <t>Плановая и высотная привязка местоположения геологических выработок и точек наблюдения при   расстоянии между геологическими выработками или точками  свыше 200 до 350м, III кат.сложности</t>
  </si>
  <si>
    <t>СБЦ-99, т.17 п.1; К1- п.7 ч.II</t>
  </si>
  <si>
    <t>Наблюдения в скважинах за температурой пород с частотой: 1 раз в 5 дней. Условия проходимости: плохие</t>
  </si>
  <si>
    <t>СБЦ-99, т.40 п.1</t>
  </si>
  <si>
    <t>Испытания грунтов на срез в горных выработках при удельном давлении от 0,1 до 0,5 МПа неконсолидированный срез</t>
  </si>
  <si>
    <t>СБЦ-99, т.9, п.3, прим.3</t>
  </si>
  <si>
    <t>СБЦ-99, т.10, п.4</t>
  </si>
  <si>
    <t>СБЦ-99, т.17 п.2; К1- п.7 ч.II</t>
  </si>
  <si>
    <t>СБЦ-99, т.93, п.1                   K1 - прим. 1</t>
  </si>
  <si>
    <t>СБЦ-99, т.93, п.4</t>
  </si>
  <si>
    <t>СБЦ-99, т.59 п.1</t>
  </si>
  <si>
    <t>СБЦ-99, т.55 п.1</t>
  </si>
  <si>
    <t>Составление схемы гидрометеорологической изученности бассейна реки при числе пунктов наблюдений до 50</t>
  </si>
  <si>
    <t>Составление климатической характеристики района изысканий при числе метеостанций: 3, число годостанций до 50.</t>
  </si>
  <si>
    <t>Табл. 69 п.2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</si>
  <si>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</si>
  <si>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Инженерно-экологическое рекогносцировочное обследование III категории сложности плохой проходимости</t>
  </si>
  <si>
    <t>Рекогносцировочное почвенное обследование при проходимости: плохой, III категории сложности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</si>
  <si>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>.6</t>
    </r>
  </si>
  <si>
    <t>Стоимость, руб</t>
  </si>
  <si>
    <t>Табл.9, § 6</t>
  </si>
  <si>
    <t>3.7</t>
  </si>
  <si>
    <t>3.8</t>
  </si>
  <si>
    <t>Обработка результатов почвенного обследования III категории сложности плохой проходимости</t>
  </si>
  <si>
    <t>Обработка результатов инженерно-экологического рекогносцировочного обследования III категории сложности плохой проходимости</t>
  </si>
  <si>
    <t>Радиационное обследование участка площадью, га: св. 1,0</t>
  </si>
  <si>
    <t>0,1 га</t>
  </si>
  <si>
    <t>Табл.92 § 3</t>
  </si>
  <si>
    <t>Обработка результатов радиационного обследования участка площадью, га: св. 1,0</t>
  </si>
  <si>
    <t>Отбор проб почво-грунтов на химическое загрязнение: 10 объединенных проб в 5 точках (метод конверта) на глубине 0,0-0,2 м</t>
  </si>
  <si>
    <t>Табл.60, § 7, прим. 1 (к-0.9)</t>
  </si>
  <si>
    <t>Отбор  простых проб почво-грунтов на химическое загрязнение на глубине 0,2-1,0 м</t>
  </si>
  <si>
    <t>Отбор проб почво-грунтов на агрохимический  анализ</t>
  </si>
  <si>
    <t>Отбор почв на санитарно-паразитологические показатели  7 объединённых  проб  в 5 точках (метод конверта) - на глубине 0,0-0,2 м;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</si>
  <si>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прим. 1 (к-0.9)                    </t>
    </r>
  </si>
  <si>
    <t xml:space="preserve">Отбор почв на санитарно-бактериологические показатели 7 объединённых  проб  в 5 точках (метод конверта) - на глубине 0,0-0,2 м; </t>
  </si>
  <si>
    <t>Табл.91, § 1</t>
  </si>
  <si>
    <t>Отбор природной воды на химические, микробиологические, паразитологические показатели с поверхностного слоя</t>
  </si>
  <si>
    <t>Табл.1, § 3 (к-1.20)</t>
  </si>
  <si>
    <t>Выполнение изысканий в горном и высокогорном районах с отметками св. 2000 до 3000 м К=1,2</t>
  </si>
  <si>
    <t>Смета № 8-ВОП</t>
  </si>
  <si>
    <t>Исследование на паразитарную чистоту: исследование на яйца гельминтов. Вода.</t>
  </si>
  <si>
    <t>Исследование на паразитарную чистоту: исследование на личинки гельминтов. Почва.</t>
  </si>
  <si>
    <t>Слаботочная сеть:
На участке «последний колодец 1-й очереди – серверная станции «Кругозор», в ПЭ трубе технической  диаметром до 90 мм .</t>
  </si>
  <si>
    <t>1.36</t>
  </si>
  <si>
    <t>1.36.1</t>
  </si>
  <si>
    <t>1.36.2</t>
  </si>
  <si>
    <t>1.36.3</t>
  </si>
  <si>
    <t>1.36.4</t>
  </si>
  <si>
    <t>1.36.5</t>
  </si>
  <si>
    <t>1.36.6</t>
  </si>
  <si>
    <t>Трубы полиэтиленовые низкого давления (ПНД) с полипропиленовой оболочкой.</t>
  </si>
  <si>
    <t>Система пожарной сигнализации (СПС)</t>
  </si>
  <si>
    <t>2.20</t>
  </si>
  <si>
    <t>2.21</t>
  </si>
  <si>
    <t>Слаботочная сеть:
От операторской СИС оптическим кабелем до ТШ в помещении серверной нижней станции канатной дороги АЗАУ-Кругозор. в ПЭ трубе технической диаметром до 90 мм..</t>
  </si>
  <si>
    <t>Слаботочная сеть:
На участке «последний колодец 2-й очереди – ТШ в помещении охраны НСКД «Мир-Гарабаши», в ПЭ трубе технической. диаметром до 90 мм.</t>
  </si>
  <si>
    <t>4.20</t>
  </si>
  <si>
    <r>
      <t xml:space="preserve">Сети связи (ВОЛС):
</t>
    </r>
    <r>
      <rPr>
        <i/>
        <sz val="10"/>
        <color theme="1"/>
        <rFont val="Times New Roman"/>
        <family val="1"/>
        <charset val="204"/>
      </rPr>
      <t>От ТШ в помещении охраны НСКД «Мир-Гарабаши» до НС3, в ПЭ трубе технической диаметром до 90 мм.</t>
    </r>
  </si>
  <si>
    <t>"Объекты Северного склона поселка Романтик, ВТРК "Архыз". Этап 4. Система искусственного снегообразования трасс Северного склона.</t>
  </si>
  <si>
    <t>Итого по расчету: 20 998 439,48 руб.</t>
  </si>
  <si>
    <t>100 п.м.: От ТШ в помещении охраны НСКД «Мир-Гарабаши» до НС3, в ПЭ трубе технической диаметром до 90 мм.</t>
  </si>
  <si>
    <t xml:space="preserve">Прокладка бронированного кабеля связи в земле, протяженностью:свыше 1000 до 6000 м, 2900+1800+100+100=4900(м) </t>
  </si>
  <si>
    <t>(48000+35*4900)*1,04*1,186*0,4*4,75,
где количество 4900=2900+1800+100+100</t>
  </si>
  <si>
    <t>514 406,15</t>
  </si>
  <si>
    <t xml:space="preserve">10 288,12 </t>
  </si>
  <si>
    <t xml:space="preserve">30 864,37 </t>
  </si>
  <si>
    <t xml:space="preserve">5 144,06 </t>
  </si>
  <si>
    <t xml:space="preserve">46 296,55 </t>
  </si>
  <si>
    <t xml:space="preserve">15 432,18 </t>
  </si>
  <si>
    <t xml:space="preserve">25 720,31 </t>
  </si>
  <si>
    <t xml:space="preserve">126 029,51 </t>
  </si>
  <si>
    <t xml:space="preserve">141 461,69 </t>
  </si>
  <si>
    <t xml:space="preserve">7 716,09 </t>
  </si>
  <si>
    <t xml:space="preserve">12 860,15 </t>
  </si>
  <si>
    <t xml:space="preserve">51 440,62 </t>
  </si>
  <si>
    <t>Слаботочная сеть</t>
  </si>
  <si>
    <t>500 м: От операторской СИС оптическим кабелем до ТШ в помещении серверной нижней станции канатной дороги АЗАУ-Кругозор, в ПЭ трубе технической диаметром до 90 мм .</t>
  </si>
  <si>
    <t>100 м: На участке «последний колодец 1-й очереди – серверная станции «Кругозор», в ПЭ трубе технической  диаметром до 90 мм .</t>
  </si>
  <si>
    <t>500 м: От операторской СИС оптическим кабелем до ТШ в помещении серверной нижней станции канатной дороги АЗАУ-Кругозор. в ПЭ трубе технической диаметром до 90 мм..</t>
  </si>
  <si>
    <t>10 м: На участке «последний колодец 2-й очереди – ТШ в помещении охраны НСКД «Мир-Гарабаши», в ПЭ трубе технической. диаметром до 90 мм.</t>
  </si>
  <si>
    <t xml:space="preserve">Прокладка бронированного кабеля связи в земле, протяженностью:свыше 1000 до 6000 м, 500+100+500+10=1110(м) </t>
  </si>
  <si>
    <t>(48000+35*1110)*1,04*1,2*1,186*0,4*4,75,
где количество 1110=500+100+500+10</t>
  </si>
  <si>
    <t>244 243,32</t>
  </si>
  <si>
    <t xml:space="preserve">4 884,87 </t>
  </si>
  <si>
    <t xml:space="preserve">14 654,60 </t>
  </si>
  <si>
    <t xml:space="preserve">2 442,43 </t>
  </si>
  <si>
    <t xml:space="preserve">21 981,90 </t>
  </si>
  <si>
    <t xml:space="preserve">7 327,30 </t>
  </si>
  <si>
    <t xml:space="preserve">12 212,17 </t>
  </si>
  <si>
    <t xml:space="preserve">59 839,61 </t>
  </si>
  <si>
    <t xml:space="preserve">67 166,91 </t>
  </si>
  <si>
    <t xml:space="preserve">3 663,65 </t>
  </si>
  <si>
    <t xml:space="preserve">6 106,08 </t>
  </si>
  <si>
    <t xml:space="preserve">24 424,33 </t>
  </si>
  <si>
    <t>1 792 122,09</t>
  </si>
  <si>
    <t>20 998 439,48</t>
  </si>
  <si>
    <t>2.4.4</t>
  </si>
  <si>
    <t>Колодцы для ружей (с учетом оборудования, располагаемого в колодцах)</t>
  </si>
  <si>
    <t>2.4.5</t>
  </si>
  <si>
    <t>Оборудование в бетонный колодец (для стационарных пушек)</t>
  </si>
  <si>
    <t>Комплектные бетонные колодцы для снегогенераторов</t>
  </si>
  <si>
    <t>1.12.1</t>
  </si>
  <si>
    <t>1.12.2</t>
  </si>
  <si>
    <t>1.12.3</t>
  </si>
  <si>
    <t>3.2.1</t>
  </si>
  <si>
    <t>3.2.2</t>
  </si>
  <si>
    <t>3.2.3</t>
  </si>
  <si>
    <t>4.4.3</t>
  </si>
  <si>
    <t>Комплектный  бетонный колодец</t>
  </si>
  <si>
    <t>Оборудование в бетонный колодец (точки подключения)</t>
  </si>
  <si>
    <t>в цене учтено оборудование "Комплектный снегогенератор TF10AM Technoalpin"</t>
  </si>
  <si>
    <t xml:space="preserve">Табл.9 § 15  </t>
  </si>
  <si>
    <t>Объем работ      1 Га</t>
  </si>
  <si>
    <t>Табл.9 § 6</t>
  </si>
  <si>
    <t>ИТОГО ПОЛЕВЫЕ РАБОТЫ:</t>
  </si>
  <si>
    <t>Cоздание инженерно-топографического плана в масштабе 1:1000, категория сложности III (высокогорный район), высота сечения рельефа 1 м, незастроенная территория</t>
  </si>
  <si>
    <t>Cоздание инженерно-топографического плана в масштабе 1:500, категория сложности III (высокогорный район), высота сечения рельефа 0,5 м, незастроенная территория</t>
  </si>
  <si>
    <r>
      <t xml:space="preserve"> работ  </t>
    </r>
    <r>
      <rPr>
        <i/>
        <u/>
        <sz val="10"/>
        <rFont val="Times New Roman"/>
        <family val="1"/>
        <charset val="204"/>
      </rPr>
      <t>св. 150 до 300 тыс. руб.</t>
    </r>
  </si>
  <si>
    <t>Табл.5 § 2           к=</t>
  </si>
  <si>
    <t>Расходы по внутреннему транспорту при расстоянии от базы изыскательской организации до участка изысканий св. 5 до 10 км и стоимости полевых работ св. 50 тыс.руб.</t>
  </si>
  <si>
    <t>Расходы по внешнему транспорту:
расстояние проезда и перевозки в одном направлении, км: св. 100 до 300 км;
при выполнении экспедиционных работ 3 месяца</t>
  </si>
  <si>
    <t>Расходы по внутреннему транспорту  при расстоянии от базы св. 5 до 10 км</t>
  </si>
  <si>
    <t xml:space="preserve"> Табл. 4, п.2</t>
  </si>
  <si>
    <t>Табл. 5, п. 2</t>
  </si>
  <si>
    <t>Расходы по внешнему транспорту при расстоянии проезда 
и перевозки в одном направлении: свыше 100 до 300 км</t>
  </si>
  <si>
    <t>Расходы по внутреннему транспорту при расстоянии от базы изыскательской организации, экспедиции, партии или отряда до участка изысканий: св. 5 до 10 км</t>
  </si>
  <si>
    <t>Таблица 4  п.2</t>
  </si>
  <si>
    <t>Таблица 5 п.2</t>
  </si>
  <si>
    <t>Расходы по внутреннему транспорту  св 5 км до 10 км</t>
  </si>
  <si>
    <t xml:space="preserve"> Табл. 4, § 2</t>
  </si>
  <si>
    <t>Расходы по внешнему транспорту при расстоянии от 100 до 300 км и продолжительности полевых работ до 1 месяца</t>
  </si>
  <si>
    <t xml:space="preserve"> Табл. 5, § 2</t>
  </si>
  <si>
    <r>
      <t xml:space="preserve">Расстояние проезда в одном направлении </t>
    </r>
    <r>
      <rPr>
        <i/>
        <u/>
        <sz val="9"/>
        <rFont val="Times New Roman"/>
        <family val="1"/>
        <charset val="204"/>
      </rPr>
      <t>св 100 до 300 км.</t>
    </r>
  </si>
  <si>
    <t>СМЕТА № 6-из</t>
  </si>
  <si>
    <t>сборник отсутствует в фед.реестре сметных нормативов.</t>
  </si>
  <si>
    <t xml:space="preserve"> Табл.87, § 2</t>
  </si>
  <si>
    <t>Инженерно-геологическая рекогносцировка при плохой проходимости (III кат. сложности) на территории развития многолетнемерзлых пород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</si>
  <si>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</si>
  <si>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>Описание точек наблюдений при составлении инженерно-геологических карт (III кат. сложности) на район (участок) развития многолетнемерзлых пород</t>
  </si>
  <si>
    <t xml:space="preserve">СБЦ-99, т.11, п.1
прим.2                  </t>
  </si>
  <si>
    <t>Описание точек наблюдений при составлении инженерно-геологических карт III категории сложности на район (участок) развития многолетнемерзлых пород</t>
  </si>
  <si>
    <t>СБЦ-99, т.78, п.2</t>
  </si>
  <si>
    <t>Составление программы работ, глубина изучения св. 10 до 15 м, площадь изучения - св 1 до 3 км2, III категория сложности ИГУ</t>
  </si>
  <si>
    <t>СБЦ-99, т.64 п.10</t>
  </si>
  <si>
    <t>Определения физико-механических свойств песчаных грунтов. Гранулометрический анализ ситовым методом с разделением на фракции 10; 5; 2; 1; 0,5 мм без кипячения и промывки (навеска свыше 1 кг)</t>
  </si>
  <si>
    <t xml:space="preserve"> Табл.70, § 51</t>
  </si>
  <si>
    <t>Карбонаты в почвах ацидиметрическим методом</t>
  </si>
  <si>
    <t xml:space="preserve">Обследование поверхностных вод на химическое загрязнение </t>
  </si>
  <si>
    <t>Концентрация водородных ионов - рН</t>
  </si>
  <si>
    <t>Табл.72 § 24</t>
  </si>
  <si>
    <t>Табл.72 § 83</t>
  </si>
  <si>
    <t>Прозрачность</t>
  </si>
  <si>
    <t>Запах в момент отбора</t>
  </si>
  <si>
    <t>Табл.72 § 80</t>
  </si>
  <si>
    <t>Табл.72 § 84</t>
  </si>
  <si>
    <t>Цветность</t>
  </si>
  <si>
    <t>Табл.72 § 90</t>
  </si>
  <si>
    <t xml:space="preserve">Взвешенные вещества (мутность) </t>
  </si>
  <si>
    <t>Табл.72 § 88</t>
  </si>
  <si>
    <t>% насыщения растворенного кислорода</t>
  </si>
  <si>
    <t>Табл.72 § 57</t>
  </si>
  <si>
    <t>Сухой остаток: выпариванием с содой</t>
  </si>
  <si>
    <t>Табл.72 § 85</t>
  </si>
  <si>
    <t>Поверхностно-активные вещества (ПАВ) анионо-активные</t>
  </si>
  <si>
    <t>Табл.72 § 79</t>
  </si>
  <si>
    <t>Химическое потребление кислорода: окисление бихроматное с катализатором</t>
  </si>
  <si>
    <t>Табл.72 § 21</t>
  </si>
  <si>
    <t>Кислород растворенный: метод Виккера</t>
  </si>
  <si>
    <t>Табл.72 § 8</t>
  </si>
  <si>
    <t>Железо общее: колориметрический метод</t>
  </si>
  <si>
    <t>Табл.72 § 72</t>
  </si>
  <si>
    <t>Хлориды: объемный метод</t>
  </si>
  <si>
    <t>Табл.72 § 55</t>
  </si>
  <si>
    <t>Сульфаты: весовой метод</t>
  </si>
  <si>
    <t>Табл.72 § 42</t>
  </si>
  <si>
    <t>Нитриты: колориметрический метод</t>
  </si>
  <si>
    <t>Табл.72 § 41</t>
  </si>
  <si>
    <t>Нитраты: колориметрический метод</t>
  </si>
  <si>
    <t>Аммоний-ион: колориметрический метод</t>
  </si>
  <si>
    <t>Табл.72 § 2</t>
  </si>
  <si>
    <t>Нефтепродукты: метод тонкослойной хроматографии с УФ спектральным окончанием</t>
  </si>
  <si>
    <t>Табл.72 § 38</t>
  </si>
  <si>
    <t>Табл.72, § 66</t>
  </si>
  <si>
    <t>Фенолы: фотометрический метод с пирамидоном</t>
  </si>
  <si>
    <t>Табл.72, § 15</t>
  </si>
  <si>
    <t>Кадмий: колориметрический метод</t>
  </si>
  <si>
    <t>Табл.72, § 39</t>
  </si>
  <si>
    <t>Никель: колориметрический метод</t>
  </si>
  <si>
    <t>Табл.72, § 75</t>
  </si>
  <si>
    <t>Цинк: колориметрический метод</t>
  </si>
  <si>
    <t>Табл.72, § 30</t>
  </si>
  <si>
    <t>Марганец: колориметрический метод с концентрированием</t>
  </si>
  <si>
    <t>Табл.72, § 74</t>
  </si>
  <si>
    <t>Хром III и IV валентный: колориметрический метод</t>
  </si>
  <si>
    <t>Табл.72, § 16</t>
  </si>
  <si>
    <t>Кальций: оксалатный метод с весовым или объемным окончанием</t>
  </si>
  <si>
    <t>Фосфаты минеральной формы: фотометрический метод</t>
  </si>
  <si>
    <t>Табл.72, § 68</t>
  </si>
  <si>
    <t>Карбонат-ион: объемный метод</t>
  </si>
  <si>
    <t>Табл.72, § 18</t>
  </si>
  <si>
    <t>Табл.72, § 1</t>
  </si>
  <si>
    <t>Алюминий: колориметрический метод</t>
  </si>
  <si>
    <t>Табл.72, § 23</t>
  </si>
  <si>
    <t>Кобальт: колориметрический метод с предварительным концентрированием</t>
  </si>
  <si>
    <t>Табл.72, § 34</t>
  </si>
  <si>
    <t>Молибден: колориметрический метод</t>
  </si>
  <si>
    <t>Табл.72, § 49</t>
  </si>
  <si>
    <t>Свинец: колориметрический метод</t>
  </si>
  <si>
    <t>Табл.72, § 33</t>
  </si>
  <si>
    <t>Медь: колориметрический метод</t>
  </si>
  <si>
    <t>Табл.72, § 48</t>
  </si>
  <si>
    <t>Ртуть: колориметрический метод</t>
  </si>
  <si>
    <t>Табл.72, § 35</t>
  </si>
  <si>
    <t>Мышьяк: колориметрический метод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</si>
  <si>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</si>
  <si>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</si>
  <si>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</si>
  <si>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</si>
  <si>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</si>
  <si>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</si>
  <si>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</si>
  <si>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</si>
  <si>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</si>
  <si>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</si>
  <si>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</si>
  <si>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</si>
  <si>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</si>
  <si>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</si>
  <si>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</si>
  <si>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</si>
  <si>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</si>
  <si>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</si>
  <si>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</si>
  <si>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</si>
  <si>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</si>
  <si>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</si>
  <si>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</si>
  <si>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</si>
  <si>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</si>
  <si>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3.9</t>
  </si>
  <si>
    <t>Задание, смета, график</t>
  </si>
  <si>
    <t>Обследование территории для выявления памятников археологии. Площадь обследования  3 га</t>
  </si>
  <si>
    <t>СЦНПР-91, раздел 11 Гл. 5, т.11-11 п.1</t>
  </si>
  <si>
    <t xml:space="preserve">СЦНПР-91, Общая часть п. 30, а </t>
  </si>
  <si>
    <t>Табл.2 § 1  Глубина разведки до 0.4 м.</t>
  </si>
  <si>
    <t>Табл.1 § 2 участок S -3 га.</t>
  </si>
  <si>
    <t>Табл.4 § 2</t>
  </si>
  <si>
    <t>Расходы по внутреннему транспорту, расстояние от базы отряда до места производства работ: свыше 5 до 10 км</t>
  </si>
  <si>
    <t>Табл.5 § 2</t>
  </si>
  <si>
    <t>Расходы по внешнему транспорту, расстояние проезда и перевозки в одном направлении: 100-300 км, продолжительность работ до 1 мес.</t>
  </si>
  <si>
    <t>альбом до 5 экз.</t>
  </si>
  <si>
    <t>КП ООО "Альфапроект" исх. №103 от 14.09.2021</t>
  </si>
  <si>
    <t>КП ООО "Департамент архитектурных решений" исх.№119 от 15.09.2021</t>
  </si>
  <si>
    <t>Резервуар охлаждения речной воды с градирней и погружным насосом (первый отсек): В железобетонном полузаглубленном исполнении. Погружной насос 90 л/сек, напором 15 м.</t>
  </si>
  <si>
    <t>Градирня: Мощность вентилятора 15х3 кВт. Ориентировочная площадь 40 кв.м. + Насосная станция первого подъема НС1</t>
  </si>
  <si>
    <t>Резервуар охлаждения речной воды с погружными насосами (второй отсек): В железобетонном полузаглубленном исполнении. Три погружных насоса по 35 л/сек каждый и напором по 20 м каждый.</t>
  </si>
  <si>
    <r>
  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 утвержденного Приказом</t>
    </r>
    <r>
      <rPr>
        <sz val="12"/>
        <rFont val="Times New Roman"/>
        <family val="1"/>
        <charset val="204"/>
      </rPr>
      <t xml:space="preserve"> акционерного общества "Курорты Северного Кавказа" от 21.07.2020  № Пр-20-133; Заданием на проектирование объекта капитального строительства.</t>
    </r>
  </si>
  <si>
    <t>СЦИР-82, г. Часть IV. Глава 16. Таблица 258. Сейсморазведка МПВ на дневной поверхности, §90</t>
  </si>
  <si>
    <t xml:space="preserve">Наблюдения с двумя компонентами вектора смещений (регистрация поочередная)
</t>
  </si>
  <si>
    <t xml:space="preserve">K2 = 1.2
Часть IV, Глава 16, Общие Положения, п.6 </t>
  </si>
  <si>
    <t>K3 = 1.21
Письмо Госстроя СССР от 25 декабря 1990 года № 21-Д</t>
  </si>
  <si>
    <t>к3</t>
  </si>
  <si>
    <t>К1=1,1 Часть IV, Глава 16 таблица 257 §14</t>
  </si>
  <si>
    <t>Камеральная обработка сейсморазведки МПВ при двух типах волн при выполнении спецрасчетов и расчетов на ЭВМ</t>
  </si>
  <si>
    <t>СЦИР-82, г. Часть IV. Глава 16. Таблица 291. Обработка материалов сейсморазведки и сейсмоакустики, §2</t>
  </si>
  <si>
    <t>При выполнении расчетов на ЭВМ</t>
  </si>
  <si>
    <t>К1=1,15
СЦИР-82, г. Часть IV. Глава 16. примечания к таблице 291, п.2</t>
  </si>
  <si>
    <t xml:space="preserve">K2 = 1.21
Письмо Госстроя СССР от 25 декабря 1990 года № 21-Д </t>
  </si>
  <si>
    <t>СЦИР-82, г. Часть IV. Глава 16. таблица 267 Вертикальное электрическое зондирование с поверхности земли, §10</t>
  </si>
  <si>
    <t>Расстояние между точками ВЭЗ в длинах АВ: св. 2 до 5</t>
  </si>
  <si>
    <t>К1=1,2 Часть IV, Глава 16 таблица 265 §10</t>
  </si>
  <si>
    <t>Электротомография. Трехэлектродная установка АО, длина установки св. 100 до 250 м, категория сложности V</t>
  </si>
  <si>
    <t>Сейсморазведка МПВ при возбуждении колебаний ударами кувалды, наблюдения с двумя сейсмограммами, категория сложности V, шаг до 2 м, число пикетов взрыва 7</t>
  </si>
  <si>
    <t>СЦИР-82, г. Часть IV. Глава 16. таблица 267 Вертикальное электрическое зондирование с поверхности земли, §2</t>
  </si>
  <si>
    <t>Вертикальное электрическое зондирование с поверхности земли. Симметричная установка АВ, длина установки св. 50 до 100 м, категория сложности V, при переноске с профиля на профиль на расстояние св. 200 м</t>
  </si>
  <si>
    <t>Запись микроколебаний. Промежуточная магнитная запись микросейсм при воспроизведении с разверсткой, см/с св. 2, число регистрируемых компонент 3</t>
  </si>
  <si>
    <t>СЦИР-82, г. Часть IV. Глава 16. Таблица 290. Запись микроколебаний (микросейсм) сейсмологическими станциями, §4</t>
  </si>
  <si>
    <t>Камеральная обработка электроразведки</t>
  </si>
  <si>
    <t>СЦИР-82, г. Часть IV. Глава 16. Камеральные геофизические работы 30% от стоимости полевых работ</t>
  </si>
  <si>
    <t>СЦИР-82, г. Часть IV. Глава 16. таблица 293 Обработка материалов по определению коррозионной активности грунтов и интенсивности блуждающих токов, сейсмическому микрорайонированию, §8</t>
  </si>
  <si>
    <t>Расчет спектральных характеристик грунтовых толщ. Обработка материалов сейсмологических наблюдений за колебаниями грунтов при землетрясениях, взрывах и микроколебаниях, машинная обработка при выполнении расчетов ЭВМ</t>
  </si>
  <si>
    <t>1 запись</t>
  </si>
  <si>
    <t>Составление технического отчета по сейсморазведке, электроразведке… и сейсмическому микрорайонированию по комплексу методов, примененных на одном объекте</t>
  </si>
  <si>
    <t xml:space="preserve">1 отчет </t>
  </si>
  <si>
    <t>СЦИР-82, г. Часть IV. Глава 16. таблица 294 §</t>
  </si>
  <si>
    <t>СЦИР-82, г. Часть IV. Глава 16. таблица 294 §10</t>
  </si>
  <si>
    <t>Составление программы при стоимости изысканий, тыс. руб.: св.  10 до  25</t>
  </si>
  <si>
    <t>стоимость изысканий</t>
  </si>
  <si>
    <t>СБЦ 1982  Таб. 1, §3</t>
  </si>
  <si>
    <t>Выполнение работ высокогорном районе, св. 2000 до 3000м</t>
  </si>
  <si>
    <t>СБЦ 1982  Таб. 2, §4</t>
  </si>
  <si>
    <t>СБЦИР-82. Таб 4 §2</t>
  </si>
  <si>
    <t>Расходы по внутреннему транспорту при расстоянии св.5 до 10 км.  При стоимости полевых работ св. 20 до 50 тыс.руб.</t>
  </si>
  <si>
    <t>Расходы по внешнему транспорту. Расстояние проезда и перевозки св. 100 до 300 км. Продолжительность экспедиции до 2 мес</t>
  </si>
  <si>
    <t xml:space="preserve">СБЦИР-82.Таб 5, §2
</t>
  </si>
  <si>
    <t>СБЦИР-82. Таб 6, §3</t>
  </si>
  <si>
    <t>Расходы по организации изысканий при стоимости геофизических изысканий: до 100 тыс. руб.</t>
  </si>
  <si>
    <t>Расходы по ликвидации изысканий при стоимости геофизических изысканий: до 100 тыс. руб.</t>
  </si>
  <si>
    <t>5</t>
  </si>
  <si>
    <t>8</t>
  </si>
  <si>
    <t>Непредвиденные для инженерно-геодезических, инженерно-геологических, геофизических и инженерно-гидрометеорологических изысканий, оценки селевой и лавинной опасности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</t>
  </si>
  <si>
    <t>более 8 до 12 млн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</si>
  <si>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
Кабардино-Балкарская Республика. 
Система искусственного снегообразования</t>
    </r>
  </si>
  <si>
    <t>Проектные работы, в том числе</t>
  </si>
  <si>
    <t>2.1.</t>
  </si>
  <si>
    <t>2.2.</t>
  </si>
  <si>
    <t>Государственная экологическая экспертиза, в том числе подготовка и проведение публичных слушаний</t>
  </si>
  <si>
    <t>3. Продолжительность проектирования 12 месяцев (в том числе с учетом получения положительного заключения государственной экспертизы).</t>
  </si>
  <si>
    <t>Доля сметной стоимости, подлежащая выполнению подрядчиком в 2023 году</t>
  </si>
  <si>
    <t>(шестьдесят четыре миллиона восемьсот пятнадцать тысяч шестьсот девяносто два рубля, 40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</si>
</sst>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  <numFmt numFmtId="168" formatCode="0.000"/>
    <numFmt numFmtId="169" formatCode="0.00000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_(* #,##0.00_);_(* \(#,##0.00\);_(* &quot;-&quot;??_);_(@_)"/>
    <numFmt numFmtId="176" formatCode="0.0"/>
    <numFmt numFmtId="177" formatCode="0.0000000"/>
    <numFmt numFmtId="178" formatCode="#,##0.0000000"/>
    <numFmt numFmtId="179" formatCode="#,##0\ _р_."/>
    <numFmt numFmtId="180" formatCode="#,##0.00_р_."/>
    <numFmt numFmtId="181" formatCode="#,##0.0"/>
    <numFmt numFmtId="182" formatCode="_-* #,##0.00_р_._-;\-* #,##0.00_р_._-;_-* &quot;-&quot;_р_._-;_-@_-"/>
    <numFmt numFmtId="183" formatCode="#,##0.00000"/>
    <numFmt numFmtId="184" formatCode="0.0000"/>
    <numFmt numFmtId="185" formatCode="_-* #,##0\ _₽_-;\-* #,##0\ _₽_-;_-* &quot;-&quot;??\ _₽_-;_-@_-"/>
  </numFmts>
  <fonts count="1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444444"/>
      <name val="Arial"/>
      <family val="2"/>
      <charset val="204"/>
    </font>
    <font>
      <u/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i/>
      <u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i/>
      <u/>
      <sz val="10"/>
      <name val="Times New Roman"/>
      <family val="1"/>
      <charset val="204"/>
    </font>
    <font>
      <sz val="10"/>
      <name val="Arial Cyr"/>
      <family val="2"/>
      <charset val="204"/>
    </font>
    <font>
      <i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3.5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22272F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32">
    <xf numFmtId="0" fontId="0" fillId="0" borderId="0"/>
    <xf numFmtId="0" fontId="26" fillId="0" borderId="0"/>
    <xf numFmtId="164" fontId="28" fillId="0" borderId="0" applyFont="0" applyFill="0" applyBorder="0" applyAlignment="0" applyProtection="0"/>
    <xf numFmtId="0" fontId="27" fillId="0" borderId="0"/>
    <xf numFmtId="0" fontId="31" fillId="0" borderId="0">
      <alignment horizontal="left" vertical="center"/>
    </xf>
    <xf numFmtId="0" fontId="24" fillId="0" borderId="0"/>
    <xf numFmtId="0" fontId="32" fillId="0" borderId="0">
      <alignment horizontal="right" vertical="center"/>
    </xf>
    <xf numFmtId="0" fontId="33" fillId="0" borderId="0">
      <alignment horizontal="center" vertical="center"/>
    </xf>
    <xf numFmtId="0" fontId="34" fillId="0" borderId="0">
      <alignment horizontal="center" vertical="top"/>
    </xf>
    <xf numFmtId="0" fontId="32" fillId="0" borderId="0">
      <alignment horizontal="left" vertical="top"/>
    </xf>
    <xf numFmtId="0" fontId="34" fillId="0" borderId="0">
      <alignment horizontal="left" vertical="top"/>
    </xf>
    <xf numFmtId="0" fontId="34" fillId="0" borderId="1">
      <alignment horizontal="center" vertical="center"/>
    </xf>
    <xf numFmtId="0" fontId="34" fillId="0" borderId="2">
      <alignment horizontal="left" vertical="top"/>
    </xf>
    <xf numFmtId="0" fontId="34" fillId="0" borderId="0">
      <alignment horizontal="left" vertical="top"/>
    </xf>
    <xf numFmtId="0" fontId="34" fillId="0" borderId="1">
      <alignment horizontal="left" vertical="center"/>
    </xf>
    <xf numFmtId="0" fontId="34" fillId="0" borderId="1">
      <alignment horizontal="right" vertical="center"/>
    </xf>
    <xf numFmtId="0" fontId="34" fillId="0" borderId="6">
      <alignment horizontal="left" vertical="top"/>
    </xf>
    <xf numFmtId="0" fontId="34" fillId="0" borderId="6">
      <alignment horizontal="left" vertical="top"/>
    </xf>
    <xf numFmtId="9" fontId="28" fillId="0" borderId="0" applyFont="0" applyFill="0" applyBorder="0" applyAlignment="0" applyProtection="0"/>
    <xf numFmtId="0" fontId="26" fillId="0" borderId="0"/>
    <xf numFmtId="0" fontId="23" fillId="0" borderId="0"/>
    <xf numFmtId="0" fontId="33" fillId="0" borderId="0">
      <alignment horizontal="center" vertical="center"/>
    </xf>
    <xf numFmtId="0" fontId="34" fillId="0" borderId="0">
      <alignment horizontal="center" vertical="top"/>
    </xf>
    <xf numFmtId="0" fontId="32" fillId="0" borderId="0">
      <alignment horizontal="left" vertical="top"/>
    </xf>
    <xf numFmtId="0" fontId="34" fillId="0" borderId="0">
      <alignment horizontal="left" vertical="center"/>
    </xf>
    <xf numFmtId="0" fontId="32" fillId="0" borderId="0">
      <alignment horizontal="left" vertical="center"/>
    </xf>
    <xf numFmtId="0" fontId="34" fillId="0" borderId="1">
      <alignment horizontal="center" vertical="center"/>
    </xf>
    <xf numFmtId="0" fontId="34" fillId="0" borderId="1">
      <alignment horizontal="left" vertical="center"/>
    </xf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4" borderId="0" applyNumberFormat="0" applyBorder="0" applyAlignment="0" applyProtection="0"/>
    <xf numFmtId="0" fontId="50" fillId="8" borderId="0" applyNumberFormat="0" applyBorder="0" applyAlignment="0" applyProtection="0"/>
    <xf numFmtId="0" fontId="51" fillId="25" borderId="22" applyNumberFormat="0" applyAlignment="0" applyProtection="0"/>
    <xf numFmtId="0" fontId="52" fillId="26" borderId="23" applyNumberFormat="0" applyAlignment="0" applyProtection="0"/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58" fillId="12" borderId="22" applyNumberFormat="0" applyAlignment="0" applyProtection="0"/>
    <xf numFmtId="0" fontId="59" fillId="0" borderId="27" applyNumberFormat="0" applyFill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28" borderId="28" applyNumberFormat="0" applyFont="0" applyAlignment="0" applyProtection="0"/>
    <xf numFmtId="0" fontId="62" fillId="25" borderId="29" applyNumberFormat="0" applyAlignment="0" applyProtection="0"/>
    <xf numFmtId="0" fontId="63" fillId="29" borderId="0">
      <alignment horizontal="left" vertical="center"/>
    </xf>
    <xf numFmtId="0" fontId="64" fillId="6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63" fillId="29" borderId="0">
      <alignment horizontal="left" vertical="center"/>
    </xf>
    <xf numFmtId="0" fontId="32" fillId="0" borderId="0">
      <alignment horizontal="right" vertical="center"/>
    </xf>
    <xf numFmtId="0" fontId="64" fillId="6" borderId="0">
      <alignment horizontal="left" vertical="center"/>
    </xf>
    <xf numFmtId="0" fontId="32" fillId="0" borderId="0">
      <alignment horizontal="right" vertical="center"/>
    </xf>
    <xf numFmtId="0" fontId="64" fillId="6" borderId="0">
      <alignment horizontal="left" vertical="center"/>
    </xf>
    <xf numFmtId="0" fontId="32" fillId="0" borderId="0">
      <alignment horizontal="right" vertical="center"/>
    </xf>
    <xf numFmtId="0" fontId="32" fillId="0" borderId="0">
      <alignment horizontal="right" vertical="center"/>
    </xf>
    <xf numFmtId="0" fontId="63" fillId="29" borderId="0">
      <alignment horizontal="left" vertical="center"/>
    </xf>
    <xf numFmtId="0" fontId="63" fillId="29" borderId="0">
      <alignment horizontal="right" vertical="center"/>
    </xf>
    <xf numFmtId="0" fontId="64" fillId="6" borderId="0">
      <alignment horizontal="right" vertical="center"/>
    </xf>
    <xf numFmtId="0" fontId="63" fillId="29" borderId="0">
      <alignment horizontal="right" vertical="center"/>
    </xf>
    <xf numFmtId="0" fontId="63" fillId="29" borderId="0">
      <alignment horizontal="right" vertical="center"/>
    </xf>
    <xf numFmtId="0" fontId="63" fillId="29" borderId="0">
      <alignment horizontal="right" vertical="center"/>
    </xf>
    <xf numFmtId="0" fontId="63" fillId="29" borderId="0">
      <alignment horizontal="right" vertical="center"/>
    </xf>
    <xf numFmtId="0" fontId="63" fillId="29" borderId="0">
      <alignment horizontal="right" vertical="center"/>
    </xf>
    <xf numFmtId="0" fontId="63" fillId="29" borderId="0">
      <alignment horizontal="right" vertical="center"/>
    </xf>
    <xf numFmtId="0" fontId="63" fillId="30" borderId="0">
      <alignment horizontal="center" vertical="center"/>
    </xf>
    <xf numFmtId="0" fontId="64" fillId="6" borderId="0">
      <alignment horizontal="left" vertical="center"/>
    </xf>
    <xf numFmtId="0" fontId="64" fillId="0" borderId="0">
      <alignment horizontal="left" vertical="top"/>
    </xf>
    <xf numFmtId="0" fontId="63" fillId="30" borderId="0">
      <alignment horizontal="center" vertical="center"/>
    </xf>
    <xf numFmtId="0" fontId="63" fillId="30" borderId="0">
      <alignment horizontal="center" vertical="center"/>
    </xf>
    <xf numFmtId="0" fontId="64" fillId="6" borderId="0">
      <alignment horizontal="center" vertical="center"/>
    </xf>
    <xf numFmtId="0" fontId="64" fillId="0" borderId="0">
      <alignment horizontal="center" vertical="center"/>
    </xf>
    <xf numFmtId="0" fontId="34" fillId="0" borderId="1">
      <alignment horizontal="right" vertical="center"/>
    </xf>
    <xf numFmtId="0" fontId="34" fillId="0" borderId="1">
      <alignment horizontal="right" vertical="top"/>
    </xf>
    <xf numFmtId="0" fontId="65" fillId="6" borderId="0">
      <alignment horizontal="left" vertical="center"/>
    </xf>
    <xf numFmtId="0" fontId="64" fillId="0" borderId="0">
      <alignment horizontal="center" vertical="center"/>
    </xf>
    <xf numFmtId="0" fontId="34" fillId="0" borderId="1">
      <alignment horizontal="left" vertical="top"/>
    </xf>
    <xf numFmtId="0" fontId="64" fillId="6" borderId="0">
      <alignment horizontal="center" vertical="center"/>
    </xf>
    <xf numFmtId="0" fontId="34" fillId="0" borderId="0">
      <alignment horizontal="left" vertical="center"/>
    </xf>
    <xf numFmtId="0" fontId="34" fillId="0" borderId="1">
      <alignment horizontal="right" vertical="top"/>
    </xf>
    <xf numFmtId="0" fontId="64" fillId="0" borderId="0">
      <alignment horizontal="center" vertical="center"/>
    </xf>
    <xf numFmtId="0" fontId="64" fillId="6" borderId="0">
      <alignment horizontal="left" vertical="center"/>
    </xf>
    <xf numFmtId="0" fontId="34" fillId="0" borderId="1">
      <alignment horizontal="right" vertical="top"/>
    </xf>
    <xf numFmtId="0" fontId="34" fillId="0" borderId="1">
      <alignment horizontal="left" vertical="top"/>
    </xf>
    <xf numFmtId="0" fontId="66" fillId="0" borderId="0">
      <alignment horizontal="center" vertical="center"/>
    </xf>
    <xf numFmtId="0" fontId="64" fillId="6" borderId="0">
      <alignment horizontal="right" vertical="center"/>
    </xf>
    <xf numFmtId="0" fontId="34" fillId="0" borderId="1">
      <alignment horizontal="left" vertical="top"/>
    </xf>
    <xf numFmtId="0" fontId="64" fillId="0" borderId="0">
      <alignment horizontal="left" vertical="center"/>
    </xf>
    <xf numFmtId="0" fontId="64" fillId="6" borderId="0">
      <alignment horizontal="center" vertical="center"/>
    </xf>
    <xf numFmtId="0" fontId="64" fillId="0" borderId="0">
      <alignment horizontal="right" vertical="center"/>
    </xf>
    <xf numFmtId="0" fontId="64" fillId="6" borderId="0">
      <alignment horizontal="left" vertical="top"/>
    </xf>
    <xf numFmtId="0" fontId="64" fillId="0" borderId="0">
      <alignment horizontal="center" vertical="center"/>
    </xf>
    <xf numFmtId="0" fontId="64" fillId="6" borderId="0">
      <alignment horizontal="right" vertical="center"/>
    </xf>
    <xf numFmtId="0" fontId="64" fillId="0" borderId="0">
      <alignment horizontal="left" vertical="top"/>
    </xf>
    <xf numFmtId="0" fontId="64" fillId="6" borderId="0">
      <alignment horizontal="right" vertical="top"/>
    </xf>
    <xf numFmtId="0" fontId="64" fillId="0" borderId="0">
      <alignment horizontal="right" vertical="center"/>
    </xf>
    <xf numFmtId="0" fontId="63" fillId="29" borderId="0">
      <alignment horizontal="center" vertical="center"/>
    </xf>
    <xf numFmtId="0" fontId="64" fillId="6" borderId="0">
      <alignment horizontal="center" vertical="center"/>
    </xf>
    <xf numFmtId="0" fontId="63" fillId="29" borderId="0">
      <alignment horizontal="center" vertical="center"/>
    </xf>
    <xf numFmtId="0" fontId="63" fillId="29" borderId="0">
      <alignment horizontal="center" vertical="center"/>
    </xf>
    <xf numFmtId="0" fontId="63" fillId="29" borderId="0">
      <alignment horizontal="center" vertical="center"/>
    </xf>
    <xf numFmtId="0" fontId="63" fillId="29" borderId="0">
      <alignment horizontal="center" vertical="center"/>
    </xf>
    <xf numFmtId="0" fontId="63" fillId="29" borderId="0">
      <alignment horizontal="center" vertical="center"/>
    </xf>
    <xf numFmtId="0" fontId="63" fillId="29" borderId="0">
      <alignment horizontal="center" vertical="center"/>
    </xf>
    <xf numFmtId="0" fontId="64" fillId="0" borderId="0">
      <alignment horizontal="left" vertical="center"/>
    </xf>
    <xf numFmtId="0" fontId="63" fillId="29" borderId="0">
      <alignment horizontal="center" vertical="center"/>
    </xf>
    <xf numFmtId="0" fontId="37" fillId="6" borderId="0">
      <alignment horizontal="left" vertical="top"/>
    </xf>
    <xf numFmtId="0" fontId="64" fillId="0" borderId="0">
      <alignment horizontal="right" vertical="top"/>
    </xf>
    <xf numFmtId="0" fontId="64" fillId="6" borderId="0">
      <alignment horizontal="left" vertical="center"/>
    </xf>
    <xf numFmtId="0" fontId="64" fillId="0" borderId="0">
      <alignment horizontal="left" vertical="top"/>
    </xf>
    <xf numFmtId="0" fontId="37" fillId="6" borderId="0">
      <alignment horizontal="left" vertical="top"/>
    </xf>
    <xf numFmtId="0" fontId="37" fillId="6" borderId="0">
      <alignment horizontal="center" vertical="center"/>
    </xf>
    <xf numFmtId="0" fontId="34" fillId="0" borderId="0">
      <alignment horizontal="left" vertical="top"/>
    </xf>
    <xf numFmtId="0" fontId="67" fillId="29" borderId="0">
      <alignment horizontal="center" vertical="center"/>
    </xf>
    <xf numFmtId="0" fontId="43" fillId="6" borderId="0">
      <alignment horizontal="center" vertical="center"/>
    </xf>
    <xf numFmtId="0" fontId="43" fillId="0" borderId="0">
      <alignment horizontal="center" vertical="center"/>
    </xf>
    <xf numFmtId="0" fontId="33" fillId="0" borderId="0">
      <alignment horizontal="center" vertical="center"/>
    </xf>
    <xf numFmtId="0" fontId="64" fillId="6" borderId="0">
      <alignment horizontal="center" vertical="center"/>
    </xf>
    <xf numFmtId="0" fontId="64" fillId="0" borderId="0">
      <alignment horizontal="center" vertical="top"/>
    </xf>
    <xf numFmtId="0" fontId="34" fillId="0" borderId="0">
      <alignment horizontal="center" vertical="top"/>
    </xf>
    <xf numFmtId="0" fontId="64" fillId="6" borderId="0">
      <alignment horizontal="center" vertical="center"/>
    </xf>
    <xf numFmtId="0" fontId="66" fillId="0" borderId="0">
      <alignment horizontal="left" vertical="top"/>
    </xf>
    <xf numFmtId="0" fontId="32" fillId="0" borderId="0">
      <alignment horizontal="left" vertical="top"/>
    </xf>
    <xf numFmtId="0" fontId="64" fillId="6" borderId="0">
      <alignment horizontal="center" vertical="center"/>
    </xf>
    <xf numFmtId="0" fontId="64" fillId="0" borderId="0">
      <alignment horizontal="left" vertical="top"/>
    </xf>
    <xf numFmtId="0" fontId="32" fillId="0" borderId="1">
      <alignment horizontal="center" vertical="center"/>
    </xf>
    <xf numFmtId="0" fontId="64" fillId="6" borderId="0">
      <alignment horizontal="left" vertical="center"/>
    </xf>
    <xf numFmtId="0" fontId="66" fillId="0" borderId="0">
      <alignment horizontal="left" vertical="center"/>
    </xf>
    <xf numFmtId="0" fontId="63" fillId="30" borderId="0">
      <alignment horizontal="left" vertical="center"/>
    </xf>
    <xf numFmtId="0" fontId="64" fillId="6" borderId="0">
      <alignment horizontal="left" vertical="center"/>
    </xf>
    <xf numFmtId="0" fontId="66" fillId="0" borderId="0">
      <alignment horizontal="left" vertical="top"/>
    </xf>
    <xf numFmtId="0" fontId="63" fillId="30" borderId="0">
      <alignment horizontal="left" vertical="center"/>
    </xf>
    <xf numFmtId="0" fontId="32" fillId="0" borderId="1">
      <alignment horizontal="center" vertical="center"/>
    </xf>
    <xf numFmtId="0" fontId="63" fillId="30" borderId="0">
      <alignment horizontal="left" vertical="center"/>
    </xf>
    <xf numFmtId="0" fontId="68" fillId="0" borderId="0" applyNumberFormat="0" applyFill="0" applyBorder="0" applyAlignment="0" applyProtection="0"/>
    <xf numFmtId="0" fontId="69" fillId="0" borderId="30" applyNumberFormat="0" applyFill="0" applyAlignment="0" applyProtection="0"/>
    <xf numFmtId="0" fontId="70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1" fillId="12" borderId="22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2" fillId="25" borderId="29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0" fontId="73" fillId="25" borderId="22" applyNumberFormat="0" applyAlignment="0" applyProtection="0"/>
    <xf numFmtId="170" fontId="2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78" fillId="26" borderId="23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0" fillId="0" borderId="0"/>
    <xf numFmtId="0" fontId="6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4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80" fillId="0" borderId="0"/>
    <xf numFmtId="0" fontId="27" fillId="0" borderId="0"/>
    <xf numFmtId="0" fontId="27" fillId="0" borderId="0"/>
    <xf numFmtId="0" fontId="8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7" fillId="0" borderId="0"/>
    <xf numFmtId="0" fontId="28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0" fontId="26" fillId="28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4" fillId="0" borderId="0"/>
    <xf numFmtId="0" fontId="85" fillId="0" borderId="0"/>
    <xf numFmtId="0" fontId="6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30" fillId="0" borderId="0">
      <alignment horizontal="center"/>
    </xf>
    <xf numFmtId="0" fontId="21" fillId="0" borderId="0"/>
    <xf numFmtId="0" fontId="27" fillId="0" borderId="1" applyBorder="0" applyAlignment="0">
      <alignment horizontal="center" wrapText="1"/>
    </xf>
    <xf numFmtId="0" fontId="30" fillId="0" borderId="0">
      <alignment horizontal="left" vertical="top"/>
    </xf>
    <xf numFmtId="0" fontId="30" fillId="0" borderId="0">
      <alignment horizontal="right" vertical="top" wrapText="1"/>
    </xf>
    <xf numFmtId="0" fontId="30" fillId="0" borderId="1">
      <alignment horizontal="center" wrapText="1"/>
    </xf>
    <xf numFmtId="0" fontId="20" fillId="0" borderId="0"/>
    <xf numFmtId="0" fontId="19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7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32" fillId="0" borderId="0">
      <alignment horizontal="left" vertical="top"/>
    </xf>
    <xf numFmtId="0" fontId="34" fillId="0" borderId="0">
      <alignment horizontal="left" vertical="top"/>
    </xf>
    <xf numFmtId="0" fontId="32" fillId="0" borderId="0">
      <alignment horizontal="left" vertical="center"/>
    </xf>
    <xf numFmtId="0" fontId="34" fillId="0" borderId="0">
      <alignment horizontal="left" vertical="center"/>
    </xf>
    <xf numFmtId="0" fontId="122" fillId="0" borderId="0"/>
    <xf numFmtId="0" fontId="125" fillId="0" borderId="0"/>
    <xf numFmtId="0" fontId="8" fillId="0" borderId="0"/>
    <xf numFmtId="0" fontId="27" fillId="0" borderId="0"/>
    <xf numFmtId="0" fontId="8" fillId="0" borderId="0"/>
    <xf numFmtId="167" fontId="46" fillId="0" borderId="0" applyFont="0" applyFill="0" applyBorder="0" applyAlignment="0" applyProtection="0"/>
    <xf numFmtId="0" fontId="46" fillId="0" borderId="0"/>
    <xf numFmtId="0" fontId="26" fillId="0" borderId="0"/>
    <xf numFmtId="0" fontId="147" fillId="0" borderId="0"/>
    <xf numFmtId="0" fontId="8" fillId="0" borderId="0"/>
    <xf numFmtId="0" fontId="8" fillId="0" borderId="0"/>
    <xf numFmtId="0" fontId="7" fillId="0" borderId="0"/>
    <xf numFmtId="0" fontId="16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</cellStyleXfs>
  <cellXfs count="1458">
    <xf numFmtId="0" fontId="0" fillId="0" borderId="0" xfId="0"/>
    <xf numFmtId="0" fontId="29" fillId="0" borderId="0" xfId="0" applyFont="1" applyAlignment="1">
      <alignment vertical="center"/>
    </xf>
    <xf numFmtId="4" fontId="0" fillId="0" borderId="0" xfId="0" applyNumberFormat="1"/>
    <xf numFmtId="1" fontId="0" fillId="0" borderId="0" xfId="0" applyNumberFormat="1"/>
    <xf numFmtId="4" fontId="25" fillId="0" borderId="0" xfId="0" applyNumberFormat="1" applyFont="1"/>
    <xf numFmtId="3" fontId="0" fillId="0" borderId="0" xfId="0" applyNumberFormat="1"/>
    <xf numFmtId="0" fontId="0" fillId="0" borderId="1" xfId="0" applyBorder="1" applyAlignment="1">
      <alignment vertical="center"/>
    </xf>
    <xf numFmtId="0" fontId="27" fillId="0" borderId="0" xfId="3"/>
    <xf numFmtId="49" fontId="38" fillId="4" borderId="1" xfId="3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8" fillId="4" borderId="0" xfId="3" applyFont="1" applyFill="1"/>
    <xf numFmtId="0" fontId="38" fillId="4" borderId="2" xfId="3" applyFont="1" applyFill="1" applyBorder="1"/>
    <xf numFmtId="0" fontId="38" fillId="4" borderId="0" xfId="3" applyFont="1" applyFill="1" applyAlignment="1">
      <alignment vertical="center"/>
    </xf>
    <xf numFmtId="0" fontId="39" fillId="4" borderId="2" xfId="3" applyFont="1" applyFill="1" applyBorder="1" applyAlignment="1">
      <alignment horizontal="right"/>
    </xf>
    <xf numFmtId="49" fontId="39" fillId="4" borderId="1" xfId="3" applyNumberFormat="1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wrapText="1"/>
    </xf>
    <xf numFmtId="3" fontId="38" fillId="4" borderId="1" xfId="3" applyNumberFormat="1" applyFont="1" applyFill="1" applyBorder="1" applyAlignment="1">
      <alignment horizontal="right" vertical="center" wrapText="1"/>
    </xf>
    <xf numFmtId="3" fontId="39" fillId="4" borderId="1" xfId="3" applyNumberFormat="1" applyFont="1" applyFill="1" applyBorder="1" applyAlignment="1">
      <alignment horizontal="right" vertical="center" wrapText="1"/>
    </xf>
    <xf numFmtId="49" fontId="38" fillId="4" borderId="1" xfId="3" applyNumberFormat="1" applyFont="1" applyFill="1" applyBorder="1" applyAlignment="1">
      <alignment horizontal="left" vertical="center" wrapText="1"/>
    </xf>
    <xf numFmtId="49" fontId="39" fillId="4" borderId="1" xfId="3" applyNumberFormat="1" applyFont="1" applyFill="1" applyBorder="1" applyAlignment="1">
      <alignment horizontal="right" vertical="center" wrapText="1"/>
    </xf>
    <xf numFmtId="49" fontId="39" fillId="4" borderId="0" xfId="3" applyNumberFormat="1" applyFont="1" applyFill="1" applyBorder="1" applyAlignment="1">
      <alignment horizontal="right" vertical="center" wrapText="1"/>
    </xf>
    <xf numFmtId="3" fontId="39" fillId="0" borderId="1" xfId="3" applyNumberFormat="1" applyFont="1" applyFill="1" applyBorder="1" applyAlignment="1">
      <alignment horizontal="right" vertical="center" wrapText="1"/>
    </xf>
    <xf numFmtId="3" fontId="39" fillId="0" borderId="0" xfId="3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40" fillId="0" borderId="0" xfId="0" applyFont="1"/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wrapText="1"/>
    </xf>
    <xf numFmtId="3" fontId="35" fillId="0" borderId="1" xfId="0" applyNumberFormat="1" applyFont="1" applyBorder="1" applyAlignment="1">
      <alignment horizontal="center" vertical="center"/>
    </xf>
    <xf numFmtId="165" fontId="35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/>
    <xf numFmtId="4" fontId="35" fillId="0" borderId="1" xfId="0" applyNumberFormat="1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/>
    </xf>
    <xf numFmtId="0" fontId="38" fillId="0" borderId="0" xfId="0" applyFont="1" applyBorder="1"/>
    <xf numFmtId="4" fontId="35" fillId="0" borderId="0" xfId="0" applyNumberFormat="1" applyFont="1" applyBorder="1" applyAlignment="1">
      <alignment horizontal="center" vertical="center"/>
    </xf>
    <xf numFmtId="168" fontId="35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5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3" fontId="35" fillId="4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justify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38" fillId="0" borderId="0" xfId="3" applyFont="1"/>
    <xf numFmtId="3" fontId="38" fillId="0" borderId="1" xfId="3" applyNumberFormat="1" applyFont="1" applyBorder="1" applyAlignment="1">
      <alignment horizontal="center"/>
    </xf>
    <xf numFmtId="4" fontId="38" fillId="0" borderId="1" xfId="3" applyNumberFormat="1" applyFont="1" applyBorder="1" applyAlignment="1">
      <alignment horizontal="center"/>
    </xf>
    <xf numFmtId="0" fontId="29" fillId="0" borderId="0" xfId="0" quotePrefix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9" fillId="0" borderId="0" xfId="3" applyFont="1"/>
    <xf numFmtId="4" fontId="39" fillId="0" borderId="0" xfId="3" applyNumberFormat="1" applyFont="1" applyAlignment="1">
      <alignment vertical="center" wrapText="1"/>
    </xf>
    <xf numFmtId="49" fontId="38" fillId="0" borderId="0" xfId="3" applyNumberFormat="1" applyFont="1"/>
    <xf numFmtId="49" fontId="40" fillId="0" borderId="0" xfId="3" applyNumberFormat="1" applyFont="1"/>
    <xf numFmtId="0" fontId="35" fillId="0" borderId="0" xfId="0" applyFont="1" applyFill="1" applyBorder="1"/>
    <xf numFmtId="49" fontId="38" fillId="0" borderId="0" xfId="3" applyNumberFormat="1" applyFont="1" applyAlignment="1">
      <alignment vertical="center"/>
    </xf>
    <xf numFmtId="0" fontId="42" fillId="0" borderId="0" xfId="3" applyFont="1" applyBorder="1" applyAlignment="1"/>
    <xf numFmtId="0" fontId="38" fillId="0" borderId="0" xfId="3" applyFont="1" applyAlignment="1">
      <alignment vertical="top"/>
    </xf>
    <xf numFmtId="0" fontId="40" fillId="0" borderId="0" xfId="0" applyFont="1" applyBorder="1" applyAlignment="1">
      <alignment horizontal="left" vertical="top" wrapText="1"/>
    </xf>
    <xf numFmtId="0" fontId="3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0" fontId="35" fillId="0" borderId="0" xfId="20" applyFont="1" applyFill="1" applyAlignment="1">
      <alignment horizontal="center"/>
    </xf>
    <xf numFmtId="0" fontId="35" fillId="0" borderId="0" xfId="20" applyFont="1" applyFill="1"/>
    <xf numFmtId="0" fontId="35" fillId="0" borderId="0" xfId="20" applyFont="1" applyFill="1" applyAlignment="1">
      <alignment wrapText="1"/>
    </xf>
    <xf numFmtId="4" fontId="35" fillId="0" borderId="0" xfId="20" applyNumberFormat="1" applyFont="1" applyFill="1"/>
    <xf numFmtId="0" fontId="35" fillId="2" borderId="1" xfId="26" quotePrefix="1" applyFont="1" applyFill="1" applyBorder="1" applyAlignment="1">
      <alignment horizontal="center" vertical="center" wrapText="1"/>
    </xf>
    <xf numFmtId="4" fontId="35" fillId="2" borderId="1" xfId="26" quotePrefix="1" applyNumberFormat="1" applyFont="1" applyFill="1" applyBorder="1" applyAlignment="1">
      <alignment horizontal="center" vertical="center" wrapText="1"/>
    </xf>
    <xf numFmtId="0" fontId="35" fillId="0" borderId="1" xfId="27" quotePrefix="1" applyFont="1" applyFill="1" applyBorder="1" applyAlignment="1">
      <alignment horizontal="left" vertical="top" wrapText="1"/>
    </xf>
    <xf numFmtId="3" fontId="35" fillId="0" borderId="1" xfId="13" quotePrefix="1" applyNumberFormat="1" applyFont="1" applyFill="1" applyBorder="1" applyAlignment="1">
      <alignment horizontal="center" vertical="center" wrapText="1"/>
    </xf>
    <xf numFmtId="167" fontId="35" fillId="0" borderId="1" xfId="13" quotePrefix="1" applyNumberFormat="1" applyFont="1" applyFill="1" applyBorder="1" applyAlignment="1">
      <alignment horizontal="center" vertical="center" wrapText="1"/>
    </xf>
    <xf numFmtId="0" fontId="35" fillId="0" borderId="1" xfId="20" applyFont="1" applyFill="1" applyBorder="1" applyAlignment="1">
      <alignment wrapText="1"/>
    </xf>
    <xf numFmtId="0" fontId="35" fillId="0" borderId="1" xfId="13" quotePrefix="1" applyNumberFormat="1" applyFont="1" applyFill="1" applyBorder="1" applyAlignment="1">
      <alignment horizontal="center" vertical="center" wrapText="1"/>
    </xf>
    <xf numFmtId="0" fontId="35" fillId="0" borderId="1" xfId="13" quotePrefix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27" quotePrefix="1" applyFont="1" applyFill="1" applyBorder="1" applyAlignment="1">
      <alignment horizontal="left" vertical="center" wrapText="1"/>
    </xf>
    <xf numFmtId="3" fontId="38" fillId="2" borderId="1" xfId="13" quotePrefix="1" applyNumberFormat="1" applyFont="1" applyFill="1" applyBorder="1" applyAlignment="1">
      <alignment horizontal="center" vertical="center" wrapText="1"/>
    </xf>
    <xf numFmtId="167" fontId="38" fillId="2" borderId="1" xfId="13" quotePrefix="1" applyNumberFormat="1" applyFont="1" applyFill="1" applyBorder="1" applyAlignment="1">
      <alignment horizontal="center" vertical="center" wrapText="1"/>
    </xf>
    <xf numFmtId="0" fontId="38" fillId="2" borderId="1" xfId="2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4" fontId="38" fillId="2" borderId="1" xfId="2" applyNumberFormat="1" applyFont="1" applyFill="1" applyBorder="1" applyAlignment="1">
      <alignment wrapText="1"/>
    </xf>
    <xf numFmtId="0" fontId="38" fillId="0" borderId="1" xfId="0" applyFont="1" applyBorder="1" applyAlignment="1">
      <alignment horizontal="center" wrapText="1"/>
    </xf>
    <xf numFmtId="0" fontId="38" fillId="0" borderId="1" xfId="0" quotePrefix="1" applyFont="1" applyFill="1" applyBorder="1" applyAlignment="1">
      <alignment vertical="center" wrapText="1"/>
    </xf>
    <xf numFmtId="0" fontId="38" fillId="0" borderId="1" xfId="27" quotePrefix="1" applyFont="1" applyFill="1" applyBorder="1" applyAlignment="1">
      <alignment horizontal="left" vertical="center" wrapText="1"/>
    </xf>
    <xf numFmtId="10" fontId="38" fillId="0" borderId="1" xfId="18" quotePrefix="1" applyNumberFormat="1" applyFont="1" applyFill="1" applyBorder="1" applyAlignment="1">
      <alignment horizontal="center" vertical="center" wrapText="1"/>
    </xf>
    <xf numFmtId="0" fontId="38" fillId="0" borderId="1" xfId="13" quotePrefix="1" applyFont="1" applyFill="1" applyBorder="1" applyAlignment="1">
      <alignment horizontal="left" vertical="center" wrapText="1"/>
    </xf>
    <xf numFmtId="0" fontId="38" fillId="0" borderId="1" xfId="20" applyFont="1" applyFill="1" applyBorder="1" applyAlignment="1">
      <alignment vertical="center" wrapText="1"/>
    </xf>
    <xf numFmtId="0" fontId="38" fillId="0" borderId="1" xfId="20" applyFont="1" applyFill="1" applyBorder="1" applyAlignment="1">
      <alignment horizontal="center" wrapText="1"/>
    </xf>
    <xf numFmtId="3" fontId="38" fillId="0" borderId="1" xfId="20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27" quotePrefix="1" applyFont="1" applyFill="1" applyBorder="1" applyAlignment="1">
      <alignment horizontal="left" vertical="top" wrapText="1"/>
    </xf>
    <xf numFmtId="0" fontId="38" fillId="0" borderId="1" xfId="13" quotePrefix="1" applyFont="1" applyFill="1" applyBorder="1" applyAlignment="1">
      <alignment horizontal="center" vertical="center" wrapText="1"/>
    </xf>
    <xf numFmtId="3" fontId="38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7" fillId="0" borderId="0" xfId="2189" applyFont="1" applyBorder="1" applyAlignment="1">
      <alignment wrapText="1"/>
    </xf>
    <xf numFmtId="0" fontId="27" fillId="0" borderId="2" xfId="2189" applyFont="1" applyBorder="1" applyAlignment="1">
      <alignment vertical="top" wrapText="1"/>
    </xf>
    <xf numFmtId="0" fontId="27" fillId="0" borderId="0" xfId="2189" applyFont="1" applyBorder="1">
      <alignment horizontal="center"/>
    </xf>
    <xf numFmtId="0" fontId="27" fillId="0" borderId="0" xfId="2189" applyFont="1" applyBorder="1" applyAlignment="1">
      <alignment horizontal="right"/>
    </xf>
    <xf numFmtId="0" fontId="92" fillId="0" borderId="1" xfId="2189" applyFont="1" applyBorder="1" applyAlignment="1">
      <alignment horizontal="center" vertical="center" wrapText="1"/>
    </xf>
    <xf numFmtId="0" fontId="27" fillId="0" borderId="8" xfId="2191" applyBorder="1">
      <alignment horizontal="center" wrapText="1"/>
    </xf>
    <xf numFmtId="0" fontId="27" fillId="0" borderId="13" xfId="2191" applyBorder="1" applyAlignment="1">
      <alignment horizontal="center" wrapText="1"/>
    </xf>
    <xf numFmtId="0" fontId="27" fillId="0" borderId="8" xfId="2192" applyFont="1" applyBorder="1" applyAlignment="1">
      <alignment horizontal="left" vertical="top" wrapText="1"/>
    </xf>
    <xf numFmtId="0" fontId="94" fillId="0" borderId="9" xfId="2192" applyFont="1" applyBorder="1" applyAlignment="1">
      <alignment horizontal="left" vertical="top" wrapText="1"/>
    </xf>
    <xf numFmtId="0" fontId="27" fillId="0" borderId="0" xfId="2192" applyFont="1">
      <alignment horizontal="left" vertical="top"/>
    </xf>
    <xf numFmtId="3" fontId="35" fillId="0" borderId="0" xfId="0" applyNumberFormat="1" applyFont="1"/>
    <xf numFmtId="0" fontId="92" fillId="0" borderId="0" xfId="2192" applyFont="1">
      <alignment horizontal="left" vertical="top"/>
    </xf>
    <xf numFmtId="0" fontId="100" fillId="0" borderId="0" xfId="0" applyFont="1" applyAlignment="1">
      <alignment horizontal="right" vertical="center"/>
    </xf>
    <xf numFmtId="0" fontId="37" fillId="2" borderId="16" xfId="0" applyFont="1" applyFill="1" applyBorder="1" applyAlignment="1">
      <alignment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49" fontId="38" fillId="0" borderId="1" xfId="3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38" fillId="0" borderId="1" xfId="3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vertical="center"/>
    </xf>
    <xf numFmtId="3" fontId="40" fillId="0" borderId="1" xfId="3" applyNumberFormat="1" applyFont="1" applyFill="1" applyBorder="1" applyAlignment="1">
      <alignment horizontal="right" vertical="center" wrapText="1"/>
    </xf>
    <xf numFmtId="3" fontId="38" fillId="0" borderId="1" xfId="3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wrapText="1"/>
    </xf>
    <xf numFmtId="3" fontId="35" fillId="0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right"/>
    </xf>
    <xf numFmtId="49" fontId="38" fillId="0" borderId="1" xfId="3" applyNumberFormat="1" applyFont="1" applyFill="1" applyBorder="1" applyAlignment="1">
      <alignment horizontal="left" vertical="center" wrapText="1"/>
    </xf>
    <xf numFmtId="49" fontId="39" fillId="0" borderId="1" xfId="3" applyNumberFormat="1" applyFont="1" applyFill="1" applyBorder="1" applyAlignment="1">
      <alignment horizontal="right" vertical="center" wrapText="1"/>
    </xf>
    <xf numFmtId="0" fontId="90" fillId="0" borderId="0" xfId="2189" applyFont="1" applyAlignment="1">
      <alignment horizontal="left"/>
    </xf>
    <xf numFmtId="0" fontId="27" fillId="0" borderId="0" xfId="2192" applyFont="1" applyAlignment="1">
      <alignment horizontal="left" vertical="top" wrapText="1"/>
    </xf>
    <xf numFmtId="0" fontId="0" fillId="0" borderId="0" xfId="0" applyFill="1"/>
    <xf numFmtId="0" fontId="88" fillId="0" borderId="0" xfId="0" applyFont="1" applyFill="1"/>
    <xf numFmtId="0" fontId="105" fillId="6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2" fontId="0" fillId="0" borderId="1" xfId="0" applyNumberFormat="1" applyBorder="1"/>
    <xf numFmtId="174" fontId="0" fillId="0" borderId="1" xfId="2037" applyNumberFormat="1" applyFont="1" applyBorder="1"/>
    <xf numFmtId="10" fontId="38" fillId="6" borderId="3" xfId="0" applyNumberFormat="1" applyFont="1" applyFill="1" applyBorder="1" applyAlignment="1">
      <alignment vertical="center"/>
    </xf>
    <xf numFmtId="0" fontId="38" fillId="6" borderId="5" xfId="0" applyFont="1" applyFill="1" applyBorder="1" applyAlignment="1">
      <alignment vertical="center"/>
    </xf>
    <xf numFmtId="177" fontId="0" fillId="0" borderId="1" xfId="0" applyNumberFormat="1" applyBorder="1"/>
    <xf numFmtId="10" fontId="0" fillId="0" borderId="1" xfId="0" applyNumberFormat="1" applyBorder="1"/>
    <xf numFmtId="0" fontId="38" fillId="6" borderId="1" xfId="0" applyFont="1" applyFill="1" applyBorder="1" applyAlignment="1">
      <alignment vertical="center"/>
    </xf>
    <xf numFmtId="177" fontId="0" fillId="31" borderId="1" xfId="0" applyNumberFormat="1" applyFill="1" applyBorder="1"/>
    <xf numFmtId="178" fontId="35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/>
    <xf numFmtId="14" fontId="0" fillId="0" borderId="1" xfId="0" applyNumberFormat="1" applyFill="1" applyBorder="1"/>
    <xf numFmtId="0" fontId="30" fillId="0" borderId="0" xfId="2209" applyFont="1"/>
    <xf numFmtId="0" fontId="30" fillId="0" borderId="0" xfId="2209" applyFont="1" applyAlignment="1">
      <alignment horizontal="right"/>
    </xf>
    <xf numFmtId="0" fontId="9" fillId="0" borderId="0" xfId="2209"/>
    <xf numFmtId="0" fontId="30" fillId="0" borderId="0" xfId="2209" applyFont="1" applyBorder="1"/>
    <xf numFmtId="0" fontId="108" fillId="0" borderId="0" xfId="2209" applyFont="1" applyBorder="1" applyAlignment="1">
      <alignment horizontal="center"/>
    </xf>
    <xf numFmtId="0" fontId="30" fillId="0" borderId="0" xfId="2209" applyFont="1" applyBorder="1" applyAlignment="1">
      <alignment horizontal="right"/>
    </xf>
    <xf numFmtId="0" fontId="9" fillId="0" borderId="0" xfId="2209" applyBorder="1"/>
    <xf numFmtId="0" fontId="9" fillId="0" borderId="0" xfId="2209" applyBorder="1" applyAlignment="1">
      <alignment horizontal="left" vertical="center" wrapText="1"/>
    </xf>
    <xf numFmtId="0" fontId="9" fillId="0" borderId="0" xfId="2209" applyBorder="1" applyAlignment="1">
      <alignment wrapText="1"/>
    </xf>
    <xf numFmtId="0" fontId="108" fillId="0" borderId="2" xfId="2209" applyFont="1" applyBorder="1" applyAlignment="1">
      <alignment horizontal="center"/>
    </xf>
    <xf numFmtId="0" fontId="109" fillId="0" borderId="1" xfId="2209" applyFont="1" applyFill="1" applyBorder="1" applyAlignment="1">
      <alignment horizontal="center" vertical="center" wrapText="1"/>
    </xf>
    <xf numFmtId="0" fontId="109" fillId="0" borderId="3" xfId="2209" applyFont="1" applyFill="1" applyBorder="1" applyAlignment="1">
      <alignment horizontal="center" vertical="center" wrapText="1"/>
    </xf>
    <xf numFmtId="0" fontId="109" fillId="0" borderId="1" xfId="2209" applyFont="1" applyFill="1" applyBorder="1" applyAlignment="1">
      <alignment horizontal="center" vertical="center"/>
    </xf>
    <xf numFmtId="0" fontId="109" fillId="0" borderId="8" xfId="2209" applyFont="1" applyFill="1" applyBorder="1" applyAlignment="1">
      <alignment horizontal="center" vertical="center" wrapText="1"/>
    </xf>
    <xf numFmtId="0" fontId="109" fillId="0" borderId="3" xfId="2209" applyFont="1" applyFill="1" applyBorder="1" applyAlignment="1">
      <alignment horizontal="center" vertical="center"/>
    </xf>
    <xf numFmtId="0" fontId="109" fillId="0" borderId="10" xfId="2209" applyFont="1" applyFill="1" applyBorder="1" applyAlignment="1">
      <alignment horizontal="center" vertical="center" wrapText="1"/>
    </xf>
    <xf numFmtId="0" fontId="109" fillId="0" borderId="1" xfId="2209" applyFont="1" applyFill="1" applyBorder="1" applyAlignment="1">
      <alignment horizontal="left" vertical="center" wrapText="1"/>
    </xf>
    <xf numFmtId="4" fontId="109" fillId="0" borderId="10" xfId="2209" applyNumberFormat="1" applyFont="1" applyFill="1" applyBorder="1" applyAlignment="1">
      <alignment horizontal="center" vertical="center" wrapText="1"/>
    </xf>
    <xf numFmtId="4" fontId="109" fillId="0" borderId="1" xfId="2209" applyNumberFormat="1" applyFont="1" applyFill="1" applyBorder="1" applyAlignment="1">
      <alignment horizontal="center" vertical="center"/>
    </xf>
    <xf numFmtId="0" fontId="111" fillId="0" borderId="0" xfId="2209" applyFont="1"/>
    <xf numFmtId="0" fontId="109" fillId="2" borderId="1" xfId="2209" applyFont="1" applyFill="1" applyBorder="1" applyAlignment="1">
      <alignment horizontal="center" vertical="center"/>
    </xf>
    <xf numFmtId="4" fontId="109" fillId="2" borderId="1" xfId="2209" applyNumberFormat="1" applyFont="1" applyFill="1" applyBorder="1" applyAlignment="1">
      <alignment horizontal="center" vertical="center"/>
    </xf>
    <xf numFmtId="4" fontId="112" fillId="2" borderId="1" xfId="2209" applyNumberFormat="1" applyFont="1" applyFill="1" applyBorder="1" applyAlignment="1">
      <alignment horizontal="center" vertical="center"/>
    </xf>
    <xf numFmtId="0" fontId="113" fillId="0" borderId="0" xfId="2209" applyFont="1"/>
    <xf numFmtId="0" fontId="30" fillId="0" borderId="0" xfId="2209" applyFont="1" applyFill="1" applyBorder="1" applyAlignment="1">
      <alignment vertical="center" wrapText="1"/>
    </xf>
    <xf numFmtId="0" fontId="108" fillId="0" borderId="0" xfId="2209" applyFont="1" applyFill="1" applyBorder="1" applyAlignment="1">
      <alignment vertical="center" wrapText="1"/>
    </xf>
    <xf numFmtId="0" fontId="102" fillId="0" borderId="0" xfId="1690" applyFont="1"/>
    <xf numFmtId="0" fontId="80" fillId="0" borderId="0" xfId="1690"/>
    <xf numFmtId="4" fontId="114" fillId="0" borderId="3" xfId="1690" applyNumberFormat="1" applyFont="1" applyBorder="1" applyAlignment="1">
      <alignment horizontal="center" wrapText="1"/>
    </xf>
    <xf numFmtId="4" fontId="114" fillId="0" borderId="4" xfId="1690" applyNumberFormat="1" applyFont="1" applyBorder="1" applyAlignment="1">
      <alignment horizontal="center" vertical="center" wrapText="1"/>
    </xf>
    <xf numFmtId="4" fontId="114" fillId="0" borderId="4" xfId="1690" applyNumberFormat="1" applyFont="1" applyBorder="1" applyAlignment="1">
      <alignment horizontal="center" vertical="center" wrapText="1"/>
    </xf>
    <xf numFmtId="3" fontId="114" fillId="0" borderId="5" xfId="1690" applyNumberFormat="1" applyFont="1" applyBorder="1" applyAlignment="1">
      <alignment horizontal="center" wrapText="1"/>
    </xf>
    <xf numFmtId="0" fontId="108" fillId="4" borderId="0" xfId="1" applyFont="1" applyFill="1" applyAlignment="1">
      <alignment vertical="center"/>
    </xf>
    <xf numFmtId="3" fontId="108" fillId="4" borderId="0" xfId="1" applyNumberFormat="1" applyFont="1" applyFill="1" applyAlignment="1">
      <alignment horizontal="center" vertical="center"/>
    </xf>
    <xf numFmtId="0" fontId="115" fillId="4" borderId="0" xfId="1" applyFont="1" applyFill="1" applyAlignment="1">
      <alignment vertical="center"/>
    </xf>
    <xf numFmtId="0" fontId="26" fillId="4" borderId="0" xfId="1" applyFont="1" applyFill="1"/>
    <xf numFmtId="0" fontId="108" fillId="4" borderId="0" xfId="1" applyFont="1" applyFill="1" applyBorder="1" applyAlignment="1">
      <alignment vertical="center"/>
    </xf>
    <xf numFmtId="3" fontId="108" fillId="4" borderId="0" xfId="1" applyNumberFormat="1" applyFont="1" applyFill="1" applyBorder="1" applyAlignment="1">
      <alignment horizontal="center" vertical="center"/>
    </xf>
    <xf numFmtId="0" fontId="95" fillId="4" borderId="0" xfId="1" applyFont="1" applyFill="1" applyBorder="1" applyAlignment="1">
      <alignment vertical="center"/>
    </xf>
    <xf numFmtId="0" fontId="116" fillId="4" borderId="0" xfId="1" applyFont="1" applyFill="1"/>
    <xf numFmtId="0" fontId="117" fillId="0" borderId="1" xfId="1690" applyFont="1" applyBorder="1" applyAlignment="1">
      <alignment horizontal="center" vertical="top" wrapText="1"/>
    </xf>
    <xf numFmtId="3" fontId="117" fillId="0" borderId="1" xfId="1690" applyNumberFormat="1" applyFont="1" applyBorder="1" applyAlignment="1">
      <alignment horizontal="center" vertical="top" wrapText="1"/>
    </xf>
    <xf numFmtId="0" fontId="117" fillId="0" borderId="1" xfId="1690" applyFont="1" applyBorder="1" applyAlignment="1">
      <alignment horizontal="center" vertical="top"/>
    </xf>
    <xf numFmtId="3" fontId="117" fillId="0" borderId="1" xfId="1690" applyNumberFormat="1" applyFont="1" applyBorder="1" applyAlignment="1">
      <alignment horizontal="center" vertical="top"/>
    </xf>
    <xf numFmtId="0" fontId="118" fillId="0" borderId="1" xfId="1690" applyFont="1" applyBorder="1" applyAlignment="1">
      <alignment horizontal="center" vertical="center"/>
    </xf>
    <xf numFmtId="0" fontId="118" fillId="0" borderId="1" xfId="1690" applyFont="1" applyFill="1" applyBorder="1" applyAlignment="1">
      <alignment horizontal="left" vertical="center" wrapText="1"/>
    </xf>
    <xf numFmtId="2" fontId="118" fillId="0" borderId="1" xfId="1690" applyNumberFormat="1" applyFont="1" applyFill="1" applyBorder="1" applyAlignment="1">
      <alignment horizontal="center" vertical="center"/>
    </xf>
    <xf numFmtId="0" fontId="118" fillId="0" borderId="1" xfId="1690" applyFont="1" applyFill="1" applyBorder="1" applyAlignment="1">
      <alignment horizontal="center" vertical="center"/>
    </xf>
    <xf numFmtId="0" fontId="118" fillId="0" borderId="1" xfId="1690" applyFont="1" applyFill="1" applyBorder="1" applyAlignment="1">
      <alignment vertical="top" wrapText="1"/>
    </xf>
    <xf numFmtId="0" fontId="118" fillId="0" borderId="0" xfId="1690" applyFont="1" applyFill="1" applyAlignment="1">
      <alignment vertical="center" wrapText="1"/>
    </xf>
    <xf numFmtId="0" fontId="118" fillId="0" borderId="1" xfId="1690" applyFont="1" applyFill="1" applyBorder="1" applyAlignment="1">
      <alignment horizontal="center" vertical="center" wrapText="1"/>
    </xf>
    <xf numFmtId="2" fontId="118" fillId="0" borderId="1" xfId="1690" applyNumberFormat="1" applyFont="1" applyFill="1" applyBorder="1" applyAlignment="1">
      <alignment horizontal="center" vertical="center" wrapText="1"/>
    </xf>
    <xf numFmtId="0" fontId="118" fillId="4" borderId="31" xfId="1690" applyFont="1" applyFill="1" applyBorder="1" applyAlignment="1">
      <alignment vertical="top" wrapText="1"/>
    </xf>
    <xf numFmtId="0" fontId="118" fillId="0" borderId="1" xfId="1690" applyFont="1" applyBorder="1" applyAlignment="1">
      <alignment vertical="top" wrapText="1"/>
    </xf>
    <xf numFmtId="0" fontId="118" fillId="0" borderId="1" xfId="1690" applyFont="1" applyBorder="1" applyAlignment="1">
      <alignment horizontal="center" vertical="center" wrapText="1"/>
    </xf>
    <xf numFmtId="4" fontId="118" fillId="0" borderId="1" xfId="1690" applyNumberFormat="1" applyFont="1" applyFill="1" applyBorder="1" applyAlignment="1">
      <alignment horizontal="center" vertical="center"/>
    </xf>
    <xf numFmtId="0" fontId="118" fillId="4" borderId="5" xfId="1690" applyFont="1" applyFill="1" applyBorder="1" applyAlignment="1">
      <alignment vertical="top" wrapText="1"/>
    </xf>
    <xf numFmtId="0" fontId="118" fillId="0" borderId="0" xfId="1690" applyFont="1" applyFill="1" applyAlignment="1">
      <alignment horizontal="center" vertical="center"/>
    </xf>
    <xf numFmtId="0" fontId="118" fillId="0" borderId="10" xfId="1690" applyFont="1" applyFill="1" applyBorder="1" applyAlignment="1">
      <alignment horizontal="left" vertical="center" wrapText="1"/>
    </xf>
    <xf numFmtId="0" fontId="118" fillId="0" borderId="10" xfId="1690" applyFont="1" applyFill="1" applyBorder="1" applyAlignment="1">
      <alignment horizontal="center" vertical="center" wrapText="1"/>
    </xf>
    <xf numFmtId="174" fontId="118" fillId="0" borderId="0" xfId="1690" applyNumberFormat="1" applyFont="1" applyFill="1" applyAlignment="1">
      <alignment horizontal="center" vertical="center" wrapText="1"/>
    </xf>
    <xf numFmtId="0" fontId="118" fillId="4" borderId="0" xfId="1690" applyFont="1" applyFill="1" applyBorder="1" applyAlignment="1">
      <alignment vertical="top" wrapText="1"/>
    </xf>
    <xf numFmtId="1" fontId="118" fillId="0" borderId="1" xfId="1690" applyNumberFormat="1" applyFont="1" applyFill="1" applyBorder="1" applyAlignment="1">
      <alignment horizontal="center" vertical="center" wrapText="1"/>
    </xf>
    <xf numFmtId="0" fontId="119" fillId="0" borderId="0" xfId="1690" applyFont="1"/>
    <xf numFmtId="9" fontId="118" fillId="0" borderId="1" xfId="1690" applyNumberFormat="1" applyFont="1" applyFill="1" applyBorder="1" applyAlignment="1">
      <alignment horizontal="center" vertical="center" wrapText="1"/>
    </xf>
    <xf numFmtId="0" fontId="117" fillId="0" borderId="1" xfId="1690" applyFont="1" applyBorder="1" applyAlignment="1">
      <alignment vertical="top"/>
    </xf>
    <xf numFmtId="0" fontId="102" fillId="0" borderId="1" xfId="1690" applyFont="1" applyBorder="1"/>
    <xf numFmtId="0" fontId="118" fillId="0" borderId="1" xfId="1690" applyFont="1" applyBorder="1" applyAlignment="1">
      <alignment horizontal="right" vertical="top" wrapText="1"/>
    </xf>
    <xf numFmtId="4" fontId="118" fillId="29" borderId="1" xfId="1690" applyNumberFormat="1" applyFont="1" applyFill="1" applyBorder="1" applyAlignment="1">
      <alignment horizontal="center" vertical="center"/>
    </xf>
    <xf numFmtId="0" fontId="118" fillId="0" borderId="1" xfId="1690" applyFont="1" applyBorder="1" applyAlignment="1">
      <alignment vertical="top"/>
    </xf>
    <xf numFmtId="4" fontId="117" fillId="0" borderId="1" xfId="1690" applyNumberFormat="1" applyFont="1" applyBorder="1" applyAlignment="1">
      <alignment horizontal="center" vertical="center"/>
    </xf>
    <xf numFmtId="0" fontId="102" fillId="0" borderId="0" xfId="1690" applyFont="1" applyBorder="1"/>
    <xf numFmtId="0" fontId="80" fillId="0" borderId="0" xfId="1690" applyBorder="1"/>
    <xf numFmtId="0" fontId="118" fillId="0" borderId="1" xfId="1690" applyFont="1" applyBorder="1" applyAlignment="1">
      <alignment vertical="center" wrapText="1"/>
    </xf>
    <xf numFmtId="0" fontId="117" fillId="0" borderId="1" xfId="1690" applyFont="1" applyBorder="1" applyAlignment="1">
      <alignment horizontal="center"/>
    </xf>
    <xf numFmtId="0" fontId="118" fillId="0" borderId="1" xfId="1690" applyFont="1" applyBorder="1"/>
    <xf numFmtId="0" fontId="117" fillId="0" borderId="1" xfId="1690" applyFont="1" applyBorder="1"/>
    <xf numFmtId="9" fontId="30" fillId="4" borderId="0" xfId="1" applyNumberFormat="1" applyFont="1" applyFill="1" applyBorder="1" applyAlignment="1">
      <alignment vertical="center"/>
    </xf>
    <xf numFmtId="9" fontId="30" fillId="0" borderId="0" xfId="1" applyNumberFormat="1" applyFont="1" applyBorder="1" applyAlignment="1">
      <alignment horizontal="left"/>
    </xf>
    <xf numFmtId="0" fontId="118" fillId="0" borderId="0" xfId="1690" applyFont="1"/>
    <xf numFmtId="3" fontId="118" fillId="0" borderId="0" xfId="1690" applyNumberFormat="1" applyFont="1" applyAlignment="1">
      <alignment horizontal="center"/>
    </xf>
    <xf numFmtId="0" fontId="117" fillId="0" borderId="0" xfId="1690" applyFont="1" applyAlignment="1">
      <alignment horizontal="center"/>
    </xf>
    <xf numFmtId="0" fontId="30" fillId="0" borderId="0" xfId="1" applyFont="1"/>
    <xf numFmtId="0" fontId="120" fillId="0" borderId="0" xfId="1" applyFont="1"/>
    <xf numFmtId="3" fontId="80" fillId="0" borderId="0" xfId="1690" applyNumberFormat="1" applyAlignment="1">
      <alignment horizontal="center"/>
    </xf>
    <xf numFmtId="4" fontId="9" fillId="0" borderId="0" xfId="2209" applyNumberFormat="1"/>
    <xf numFmtId="2" fontId="9" fillId="0" borderId="0" xfId="2209" applyNumberFormat="1"/>
    <xf numFmtId="1" fontId="9" fillId="0" borderId="0" xfId="2209" applyNumberFormat="1"/>
    <xf numFmtId="0" fontId="38" fillId="0" borderId="0" xfId="0" applyFont="1" applyFill="1" applyBorder="1"/>
    <xf numFmtId="49" fontId="38" fillId="0" borderId="0" xfId="3" applyNumberFormat="1" applyFont="1" applyFill="1"/>
    <xf numFmtId="0" fontId="38" fillId="0" borderId="0" xfId="3" applyFont="1" applyFill="1"/>
    <xf numFmtId="0" fontId="38" fillId="0" borderId="1" xfId="0" applyFont="1" applyFill="1" applyBorder="1" applyAlignment="1">
      <alignment vertical="center" wrapText="1"/>
    </xf>
    <xf numFmtId="0" fontId="116" fillId="0" borderId="0" xfId="2214" applyFont="1" applyFill="1"/>
    <xf numFmtId="0" fontId="116" fillId="0" borderId="0" xfId="2214" applyFont="1" applyFill="1" applyAlignment="1">
      <alignment horizontal="left"/>
    </xf>
    <xf numFmtId="0" fontId="116" fillId="0" borderId="0" xfId="2214" applyFont="1" applyFill="1" applyAlignment="1"/>
    <xf numFmtId="2" fontId="116" fillId="0" borderId="0" xfId="2214" applyNumberFormat="1" applyFont="1" applyFill="1" applyAlignment="1"/>
    <xf numFmtId="1" fontId="123" fillId="0" borderId="0" xfId="2214" applyNumberFormat="1" applyFont="1" applyFill="1" applyAlignment="1">
      <alignment vertical="center"/>
    </xf>
    <xf numFmtId="0" fontId="116" fillId="0" borderId="1" xfId="2214" applyFont="1" applyFill="1" applyBorder="1"/>
    <xf numFmtId="0" fontId="116" fillId="0" borderId="4" xfId="2214" applyFont="1" applyFill="1" applyBorder="1" applyAlignment="1" applyProtection="1">
      <alignment horizontal="left" vertical="center"/>
    </xf>
    <xf numFmtId="0" fontId="116" fillId="0" borderId="5" xfId="2214" applyFont="1" applyFill="1" applyBorder="1"/>
    <xf numFmtId="0" fontId="116" fillId="0" borderId="3" xfId="2214" applyFont="1" applyFill="1" applyBorder="1"/>
    <xf numFmtId="0" fontId="116" fillId="0" borderId="4" xfId="2214" applyFont="1" applyFill="1" applyBorder="1" applyAlignment="1" applyProtection="1">
      <alignment horizontal="left" vertical="top"/>
    </xf>
    <xf numFmtId="0" fontId="116" fillId="0" borderId="5" xfId="2214" applyFont="1" applyFill="1" applyBorder="1" applyAlignment="1">
      <alignment horizontal="left"/>
    </xf>
    <xf numFmtId="0" fontId="115" fillId="0" borderId="0" xfId="2214" applyFont="1" applyFill="1" applyAlignment="1" applyProtection="1">
      <alignment vertical="top" wrapText="1"/>
      <protection locked="0"/>
    </xf>
    <xf numFmtId="0" fontId="124" fillId="0" borderId="0" xfId="2214" applyFont="1" applyFill="1" applyAlignment="1" applyProtection="1">
      <protection locked="0"/>
    </xf>
    <xf numFmtId="2" fontId="115" fillId="0" borderId="0" xfId="2214" applyNumberFormat="1" applyFont="1" applyFill="1" applyAlignment="1"/>
    <xf numFmtId="1" fontId="116" fillId="0" borderId="0" xfId="2214" applyNumberFormat="1" applyFont="1" applyFill="1" applyAlignment="1"/>
    <xf numFmtId="0" fontId="116" fillId="0" borderId="0" xfId="2215" applyFont="1" applyFill="1" applyAlignment="1">
      <alignment horizontal="left" vertical="center"/>
    </xf>
    <xf numFmtId="0" fontId="116" fillId="0" borderId="0" xfId="2215" applyFont="1" applyFill="1" applyAlignment="1"/>
    <xf numFmtId="2" fontId="124" fillId="0" borderId="0" xfId="2214" applyNumberFormat="1" applyFont="1" applyFill="1" applyAlignment="1"/>
    <xf numFmtId="0" fontId="124" fillId="0" borderId="0" xfId="2214" applyFont="1" applyFill="1" applyAlignment="1"/>
    <xf numFmtId="2" fontId="116" fillId="0" borderId="0" xfId="2215" applyNumberFormat="1" applyFont="1" applyFill="1" applyAlignment="1">
      <alignment horizontal="left" vertical="center"/>
    </xf>
    <xf numFmtId="0" fontId="115" fillId="0" borderId="37" xfId="1370" applyFont="1" applyBorder="1" applyAlignment="1">
      <alignment horizontal="center"/>
    </xf>
    <xf numFmtId="0" fontId="115" fillId="0" borderId="38" xfId="1370" applyFont="1" applyBorder="1" applyAlignment="1">
      <alignment horizontal="left"/>
    </xf>
    <xf numFmtId="0" fontId="115" fillId="0" borderId="41" xfId="1370" applyFont="1" applyBorder="1" applyAlignment="1">
      <alignment horizontal="center"/>
    </xf>
    <xf numFmtId="0" fontId="115" fillId="0" borderId="0" xfId="1370" applyFont="1" applyBorder="1" applyAlignment="1">
      <alignment horizontal="left"/>
    </xf>
    <xf numFmtId="0" fontId="116" fillId="0" borderId="41" xfId="1370" applyFont="1" applyBorder="1"/>
    <xf numFmtId="0" fontId="116" fillId="0" borderId="44" xfId="1370" applyFont="1" applyBorder="1"/>
    <xf numFmtId="0" fontId="115" fillId="0" borderId="45" xfId="1370" applyFont="1" applyBorder="1" applyAlignment="1">
      <alignment horizontal="left"/>
    </xf>
    <xf numFmtId="0" fontId="115" fillId="0" borderId="34" xfId="1370" applyFont="1" applyBorder="1" applyAlignment="1">
      <alignment horizontal="center"/>
    </xf>
    <xf numFmtId="1" fontId="115" fillId="0" borderId="48" xfId="1370" applyNumberFormat="1" applyFont="1" applyBorder="1" applyAlignment="1">
      <alignment horizontal="center"/>
    </xf>
    <xf numFmtId="0" fontId="116" fillId="0" borderId="50" xfId="1370" applyFont="1" applyBorder="1" applyAlignment="1">
      <alignment horizontal="left" vertical="center"/>
    </xf>
    <xf numFmtId="0" fontId="116" fillId="0" borderId="3" xfId="1370" applyFont="1" applyBorder="1" applyAlignment="1">
      <alignment horizontal="left" vertical="center"/>
    </xf>
    <xf numFmtId="0" fontId="116" fillId="0" borderId="55" xfId="1370" applyFont="1" applyBorder="1" applyAlignment="1">
      <alignment horizontal="left" vertical="center"/>
    </xf>
    <xf numFmtId="0" fontId="116" fillId="0" borderId="57" xfId="1370" applyFont="1" applyBorder="1" applyAlignment="1">
      <alignment horizontal="left"/>
    </xf>
    <xf numFmtId="179" fontId="128" fillId="0" borderId="48" xfId="1370" applyNumberFormat="1" applyFont="1" applyBorder="1" applyAlignment="1">
      <alignment horizontal="right" vertical="center"/>
    </xf>
    <xf numFmtId="0" fontId="30" fillId="0" borderId="51" xfId="1370" applyFont="1" applyBorder="1" applyAlignment="1">
      <alignment horizontal="left"/>
    </xf>
    <xf numFmtId="0" fontId="30" fillId="0" borderId="58" xfId="1370" applyFont="1" applyBorder="1"/>
    <xf numFmtId="0" fontId="30" fillId="0" borderId="38" xfId="1370" applyFont="1" applyBorder="1" applyAlignment="1">
      <alignment horizontal="center" vertical="center"/>
    </xf>
    <xf numFmtId="0" fontId="30" fillId="0" borderId="53" xfId="1370" applyFont="1" applyBorder="1" applyAlignment="1">
      <alignment horizontal="left"/>
    </xf>
    <xf numFmtId="0" fontId="30" fillId="0" borderId="59" xfId="1370" applyFont="1" applyBorder="1"/>
    <xf numFmtId="0" fontId="30" fillId="0" borderId="0" xfId="1370" applyFont="1" applyBorder="1" applyAlignment="1">
      <alignment horizontal="center" vertical="center"/>
    </xf>
    <xf numFmtId="0" fontId="116" fillId="0" borderId="3" xfId="1370" applyFont="1" applyBorder="1" applyAlignment="1">
      <alignment horizontal="left" vertical="center" wrapText="1"/>
    </xf>
    <xf numFmtId="0" fontId="116" fillId="0" borderId="53" xfId="1370" applyFont="1" applyFill="1" applyBorder="1" applyAlignment="1">
      <alignment horizontal="left"/>
    </xf>
    <xf numFmtId="0" fontId="116" fillId="0" borderId="59" xfId="1370" applyFont="1" applyFill="1" applyBorder="1"/>
    <xf numFmtId="0" fontId="116" fillId="0" borderId="60" xfId="1370" applyFont="1" applyFill="1" applyBorder="1"/>
    <xf numFmtId="0" fontId="30" fillId="0" borderId="45" xfId="1370" applyFont="1" applyBorder="1" applyAlignment="1">
      <alignment horizontal="center" vertical="center"/>
    </xf>
    <xf numFmtId="0" fontId="116" fillId="0" borderId="51" xfId="1370" applyFont="1" applyFill="1" applyBorder="1" applyAlignment="1">
      <alignment horizontal="left"/>
    </xf>
    <xf numFmtId="0" fontId="116" fillId="0" borderId="50" xfId="1370" applyFont="1" applyFill="1" applyBorder="1"/>
    <xf numFmtId="0" fontId="116" fillId="0" borderId="38" xfId="1370" applyFont="1" applyFill="1" applyBorder="1" applyAlignment="1">
      <alignment horizontal="center" vertical="center"/>
    </xf>
    <xf numFmtId="0" fontId="116" fillId="0" borderId="3" xfId="1370" applyFont="1" applyFill="1" applyBorder="1"/>
    <xf numFmtId="0" fontId="116" fillId="0" borderId="0" xfId="1370" applyFont="1" applyFill="1" applyBorder="1" applyAlignment="1">
      <alignment horizontal="center" vertical="center"/>
    </xf>
    <xf numFmtId="0" fontId="116" fillId="0" borderId="57" xfId="1370" applyFont="1" applyFill="1" applyBorder="1" applyAlignment="1">
      <alignment horizontal="left"/>
    </xf>
    <xf numFmtId="0" fontId="116" fillId="0" borderId="13" xfId="1370" applyFont="1" applyFill="1" applyBorder="1"/>
    <xf numFmtId="0" fontId="116" fillId="0" borderId="45" xfId="1370" applyFont="1" applyFill="1" applyBorder="1" applyAlignment="1">
      <alignment horizontal="center" vertical="center"/>
    </xf>
    <xf numFmtId="0" fontId="116" fillId="0" borderId="53" xfId="1370" applyFont="1" applyFill="1" applyBorder="1" applyAlignment="1">
      <alignment horizontal="left" vertical="center"/>
    </xf>
    <xf numFmtId="179" fontId="131" fillId="0" borderId="48" xfId="1370" applyNumberFormat="1" applyFont="1" applyBorder="1" applyAlignment="1">
      <alignment horizontal="right" vertical="center"/>
    </xf>
    <xf numFmtId="0" fontId="116" fillId="0" borderId="58" xfId="1370" applyFont="1" applyFill="1" applyBorder="1" applyAlignment="1">
      <alignment horizontal="left" wrapText="1"/>
    </xf>
    <xf numFmtId="0" fontId="116" fillId="0" borderId="51" xfId="1370" applyFont="1" applyBorder="1" applyAlignment="1">
      <alignment horizontal="left" wrapText="1"/>
    </xf>
    <xf numFmtId="10" fontId="116" fillId="0" borderId="58" xfId="1370" applyNumberFormat="1" applyFont="1" applyFill="1" applyBorder="1" applyAlignment="1">
      <alignment wrapText="1"/>
    </xf>
    <xf numFmtId="0" fontId="130" fillId="0" borderId="38" xfId="1370" applyFont="1" applyFill="1" applyBorder="1" applyAlignment="1">
      <alignment vertical="center" wrapText="1"/>
    </xf>
    <xf numFmtId="0" fontId="130" fillId="0" borderId="38" xfId="1370" applyFont="1" applyFill="1" applyBorder="1" applyAlignment="1">
      <alignment horizontal="center" vertical="center" wrapText="1"/>
    </xf>
    <xf numFmtId="0" fontId="116" fillId="0" borderId="59" xfId="1370" applyFont="1" applyFill="1" applyBorder="1" applyAlignment="1">
      <alignment horizontal="left"/>
    </xf>
    <xf numFmtId="0" fontId="130" fillId="0" borderId="42" xfId="1370" applyFont="1" applyFill="1" applyBorder="1" applyAlignment="1">
      <alignment vertical="center"/>
    </xf>
    <xf numFmtId="0" fontId="130" fillId="0" borderId="0" xfId="1370" applyFont="1" applyFill="1" applyBorder="1" applyAlignment="1">
      <alignment vertical="center"/>
    </xf>
    <xf numFmtId="0" fontId="130" fillId="0" borderId="0" xfId="1370" applyFont="1" applyFill="1" applyBorder="1" applyAlignment="1">
      <alignment horizontal="center" vertical="center"/>
    </xf>
    <xf numFmtId="0" fontId="30" fillId="0" borderId="61" xfId="1370" applyFont="1" applyFill="1" applyBorder="1" applyAlignment="1">
      <alignment horizontal="left"/>
    </xf>
    <xf numFmtId="0" fontId="133" fillId="0" borderId="57" xfId="1370" applyFont="1" applyFill="1" applyBorder="1" applyAlignment="1">
      <alignment horizontal="left"/>
    </xf>
    <xf numFmtId="0" fontId="133" fillId="0" borderId="60" xfId="1370" applyFont="1" applyFill="1" applyBorder="1"/>
    <xf numFmtId="0" fontId="130" fillId="0" borderId="45" xfId="1370" applyFont="1" applyFill="1" applyBorder="1" applyAlignment="1">
      <alignment vertical="center"/>
    </xf>
    <xf numFmtId="0" fontId="130" fillId="0" borderId="45" xfId="1370" applyFont="1" applyFill="1" applyBorder="1" applyAlignment="1">
      <alignment horizontal="center" vertical="center"/>
    </xf>
    <xf numFmtId="0" fontId="30" fillId="0" borderId="0" xfId="1370" applyFont="1" applyBorder="1" applyAlignment="1">
      <alignment horizontal="left" vertical="center"/>
    </xf>
    <xf numFmtId="0" fontId="30" fillId="0" borderId="51" xfId="1370" applyFont="1" applyFill="1" applyBorder="1" applyAlignment="1">
      <alignment horizontal="left"/>
    </xf>
    <xf numFmtId="10" fontId="30" fillId="0" borderId="58" xfId="1370" applyNumberFormat="1" applyFont="1" applyFill="1" applyBorder="1"/>
    <xf numFmtId="179" fontId="130" fillId="0" borderId="39" xfId="1370" applyNumberFormat="1" applyFont="1" applyFill="1" applyBorder="1" applyAlignment="1">
      <alignment vertical="center"/>
    </xf>
    <xf numFmtId="0" fontId="130" fillId="0" borderId="38" xfId="1370" applyFont="1" applyFill="1" applyBorder="1" applyAlignment="1">
      <alignment vertical="center"/>
    </xf>
    <xf numFmtId="10" fontId="130" fillId="0" borderId="38" xfId="1370" applyNumberFormat="1" applyFont="1" applyFill="1" applyBorder="1" applyAlignment="1">
      <alignment vertical="center"/>
    </xf>
    <xf numFmtId="0" fontId="130" fillId="0" borderId="38" xfId="1370" applyFont="1" applyFill="1" applyBorder="1" applyAlignment="1">
      <alignment horizontal="center" vertical="center"/>
    </xf>
    <xf numFmtId="0" fontId="109" fillId="0" borderId="3" xfId="1370" applyFont="1" applyFill="1" applyBorder="1" applyAlignment="1">
      <alignment horizontal="left" vertical="center"/>
    </xf>
    <xf numFmtId="0" fontId="30" fillId="0" borderId="53" xfId="1370" applyFont="1" applyFill="1" applyBorder="1" applyAlignment="1">
      <alignment horizontal="left"/>
    </xf>
    <xf numFmtId="0" fontId="30" fillId="0" borderId="59" xfId="1370" applyFont="1" applyFill="1" applyBorder="1"/>
    <xf numFmtId="10" fontId="130" fillId="0" borderId="0" xfId="1370" applyNumberFormat="1" applyFont="1" applyFill="1" applyBorder="1" applyAlignment="1">
      <alignment vertical="center"/>
    </xf>
    <xf numFmtId="0" fontId="109" fillId="0" borderId="13" xfId="1370" applyFont="1" applyFill="1" applyBorder="1" applyAlignment="1">
      <alignment horizontal="left" vertical="center"/>
    </xf>
    <xf numFmtId="0" fontId="30" fillId="0" borderId="56" xfId="1370" applyFont="1" applyFill="1" applyBorder="1" applyAlignment="1">
      <alignment horizontal="left"/>
    </xf>
    <xf numFmtId="0" fontId="30" fillId="0" borderId="61" xfId="1370" applyFont="1" applyFill="1" applyBorder="1"/>
    <xf numFmtId="179" fontId="130" fillId="0" borderId="46" xfId="1370" applyNumberFormat="1" applyFont="1" applyFill="1" applyBorder="1" applyAlignment="1">
      <alignment vertical="center"/>
    </xf>
    <xf numFmtId="0" fontId="30" fillId="0" borderId="50" xfId="1370" applyFont="1" applyFill="1" applyBorder="1" applyAlignment="1">
      <alignment horizontal="left"/>
    </xf>
    <xf numFmtId="0" fontId="116" fillId="0" borderId="49" xfId="1370" applyFont="1" applyFill="1" applyBorder="1" applyAlignment="1">
      <alignment horizontal="left" vertical="center"/>
    </xf>
    <xf numFmtId="10" fontId="116" fillId="0" borderId="58" xfId="1370" applyNumberFormat="1" applyFont="1" applyFill="1" applyBorder="1"/>
    <xf numFmtId="2" fontId="130" fillId="0" borderId="38" xfId="1370" applyNumberFormat="1" applyFont="1" applyFill="1" applyBorder="1" applyAlignment="1">
      <alignment vertical="center"/>
    </xf>
    <xf numFmtId="0" fontId="116" fillId="0" borderId="0" xfId="2214" applyFont="1" applyFill="1" applyAlignment="1">
      <alignment wrapText="1"/>
    </xf>
    <xf numFmtId="0" fontId="30" fillId="0" borderId="12" xfId="1370" applyFont="1" applyFill="1" applyBorder="1" applyAlignment="1">
      <alignment horizontal="left"/>
    </xf>
    <xf numFmtId="176" fontId="116" fillId="0" borderId="62" xfId="1370" applyNumberFormat="1" applyFont="1" applyFill="1" applyBorder="1"/>
    <xf numFmtId="179" fontId="130" fillId="0" borderId="0" xfId="1370" applyNumberFormat="1" applyFont="1" applyFill="1" applyBorder="1" applyAlignment="1">
      <alignment vertical="center"/>
    </xf>
    <xf numFmtId="0" fontId="30" fillId="0" borderId="13" xfId="1370" applyFont="1" applyFill="1" applyBorder="1" applyAlignment="1">
      <alignment horizontal="left"/>
    </xf>
    <xf numFmtId="179" fontId="135" fillId="32" borderId="47" xfId="1370" applyNumberFormat="1" applyFont="1" applyFill="1" applyBorder="1" applyAlignment="1">
      <alignment horizontal="right"/>
    </xf>
    <xf numFmtId="179" fontId="39" fillId="29" borderId="37" xfId="1370" applyNumberFormat="1" applyFont="1" applyFill="1" applyBorder="1" applyAlignment="1">
      <alignment horizontal="right"/>
    </xf>
    <xf numFmtId="0" fontId="30" fillId="0" borderId="3" xfId="1370" applyFont="1" applyFill="1" applyBorder="1" applyAlignment="1">
      <alignment horizontal="center" vertical="center"/>
    </xf>
    <xf numFmtId="0" fontId="30" fillId="0" borderId="1" xfId="1370" applyFont="1" applyFill="1" applyBorder="1" applyAlignment="1">
      <alignment horizontal="left"/>
    </xf>
    <xf numFmtId="0" fontId="30" fillId="0" borderId="4" xfId="1370" applyFont="1" applyFill="1" applyBorder="1" applyAlignment="1">
      <alignment horizontal="left"/>
    </xf>
    <xf numFmtId="9" fontId="30" fillId="0" borderId="1" xfId="1370" applyNumberFormat="1" applyFont="1" applyFill="1" applyBorder="1"/>
    <xf numFmtId="179" fontId="30" fillId="0" borderId="4" xfId="1370" applyNumberFormat="1" applyFont="1" applyFill="1" applyBorder="1" applyAlignment="1">
      <alignment vertical="center"/>
    </xf>
    <xf numFmtId="0" fontId="30" fillId="0" borderId="4" xfId="1370" applyFont="1" applyFill="1" applyBorder="1" applyAlignment="1">
      <alignment vertical="center"/>
    </xf>
    <xf numFmtId="0" fontId="30" fillId="0" borderId="4" xfId="1370" applyFont="1" applyFill="1" applyBorder="1" applyAlignment="1"/>
    <xf numFmtId="0" fontId="30" fillId="0" borderId="4" xfId="1370" applyFont="1" applyFill="1" applyBorder="1"/>
    <xf numFmtId="179" fontId="30" fillId="0" borderId="53" xfId="1370" applyNumberFormat="1" applyFont="1" applyFill="1" applyBorder="1" applyAlignment="1">
      <alignment horizontal="right" vertical="center"/>
    </xf>
    <xf numFmtId="0" fontId="108" fillId="0" borderId="42" xfId="1370" applyFont="1" applyFill="1" applyBorder="1" applyAlignment="1">
      <alignment horizontal="center"/>
    </xf>
    <xf numFmtId="0" fontId="108" fillId="0" borderId="0" xfId="1370" applyFont="1" applyFill="1" applyBorder="1" applyAlignment="1">
      <alignment horizontal="left"/>
    </xf>
    <xf numFmtId="0" fontId="108" fillId="0" borderId="0" xfId="1370" applyFont="1" applyFill="1" applyBorder="1" applyAlignment="1">
      <alignment horizontal="center"/>
    </xf>
    <xf numFmtId="0" fontId="108" fillId="0" borderId="0" xfId="1370" applyFont="1" applyFill="1" applyBorder="1" applyAlignment="1"/>
    <xf numFmtId="179" fontId="39" fillId="29" borderId="41" xfId="1370" applyNumberFormat="1" applyFont="1" applyFill="1" applyBorder="1" applyAlignment="1">
      <alignment horizontal="right"/>
    </xf>
    <xf numFmtId="0" fontId="30" fillId="0" borderId="63" xfId="1370" applyFont="1" applyBorder="1" applyAlignment="1">
      <alignment horizontal="center"/>
    </xf>
    <xf numFmtId="0" fontId="108" fillId="32" borderId="66" xfId="1370" applyFont="1" applyFill="1" applyBorder="1" applyAlignment="1">
      <alignment horizontal="center" vertical="center"/>
    </xf>
    <xf numFmtId="0" fontId="30" fillId="0" borderId="36" xfId="1370" applyFont="1" applyBorder="1" applyAlignment="1"/>
    <xf numFmtId="179" fontId="39" fillId="3" borderId="48" xfId="1370" applyNumberFormat="1" applyFont="1" applyFill="1" applyBorder="1" applyAlignment="1">
      <alignment horizontal="right" vertical="center"/>
    </xf>
    <xf numFmtId="179" fontId="39" fillId="3" borderId="48" xfId="1370" applyNumberFormat="1" applyFont="1" applyFill="1" applyBorder="1" applyAlignment="1">
      <alignment horizontal="right"/>
    </xf>
    <xf numFmtId="0" fontId="116" fillId="0" borderId="0" xfId="2214" applyFont="1" applyFill="1" applyAlignment="1" applyProtection="1">
      <alignment horizontal="left"/>
    </xf>
    <xf numFmtId="0" fontId="116" fillId="0" borderId="0" xfId="2214" applyFont="1" applyFill="1" applyProtection="1"/>
    <xf numFmtId="0" fontId="116" fillId="0" borderId="0" xfId="2214" applyFont="1" applyFill="1" applyAlignment="1" applyProtection="1">
      <alignment horizontal="left"/>
      <protection locked="0"/>
    </xf>
    <xf numFmtId="0" fontId="116" fillId="0" borderId="0" xfId="2214" applyFont="1" applyFill="1" applyProtection="1">
      <protection locked="0"/>
    </xf>
    <xf numFmtId="0" fontId="116" fillId="0" borderId="0" xfId="1" applyFont="1" applyFill="1" applyAlignment="1">
      <alignment wrapText="1"/>
    </xf>
    <xf numFmtId="0" fontId="8" fillId="0" borderId="0" xfId="2216" applyFill="1"/>
    <xf numFmtId="0" fontId="26" fillId="0" borderId="0" xfId="1" applyFont="1" applyFill="1"/>
    <xf numFmtId="0" fontId="116" fillId="0" borderId="0" xfId="1" applyFont="1" applyFill="1"/>
    <xf numFmtId="0" fontId="130" fillId="4" borderId="3" xfId="1" applyFont="1" applyFill="1" applyBorder="1" applyAlignment="1">
      <alignment horizontal="left" vertical="top"/>
    </xf>
    <xf numFmtId="0" fontId="116" fillId="4" borderId="4" xfId="1" applyFont="1" applyFill="1" applyBorder="1" applyAlignment="1"/>
    <xf numFmtId="0" fontId="116" fillId="4" borderId="4" xfId="1" applyFont="1" applyFill="1" applyBorder="1" applyAlignment="1">
      <alignment horizontal="center" vertical="center"/>
    </xf>
    <xf numFmtId="0" fontId="26" fillId="4" borderId="5" xfId="1" applyFont="1" applyFill="1" applyBorder="1" applyAlignment="1"/>
    <xf numFmtId="0" fontId="115" fillId="4" borderId="1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wrapText="1"/>
    </xf>
    <xf numFmtId="0" fontId="8" fillId="0" borderId="1" xfId="2216" applyFill="1" applyBorder="1" applyAlignment="1">
      <alignment horizontal="center" vertical="center"/>
    </xf>
    <xf numFmtId="0" fontId="8" fillId="0" borderId="1" xfId="2216" applyFill="1" applyBorder="1"/>
    <xf numFmtId="2" fontId="30" fillId="0" borderId="1" xfId="1" applyNumberFormat="1" applyFont="1" applyFill="1" applyBorder="1" applyAlignment="1">
      <alignment horizontal="center" vertical="center" wrapText="1"/>
    </xf>
    <xf numFmtId="4" fontId="30" fillId="4" borderId="1" xfId="1" applyNumberFormat="1" applyFont="1" applyFill="1" applyBorder="1" applyAlignment="1">
      <alignment horizontal="center" vertical="center"/>
    </xf>
    <xf numFmtId="0" fontId="8" fillId="0" borderId="1" xfId="2216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36" fillId="0" borderId="1" xfId="1" applyFont="1" applyFill="1" applyBorder="1"/>
    <xf numFmtId="0" fontId="121" fillId="0" borderId="0" xfId="2216" applyFont="1" applyFill="1"/>
    <xf numFmtId="0" fontId="30" fillId="0" borderId="1" xfId="1" applyFont="1" applyFill="1" applyBorder="1" applyAlignment="1">
      <alignment horizontal="left" vertical="center" wrapText="1" shrinkToFit="1"/>
    </xf>
    <xf numFmtId="0" fontId="116" fillId="0" borderId="1" xfId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left" vertical="top"/>
    </xf>
    <xf numFmtId="0" fontId="107" fillId="0" borderId="1" xfId="2216" applyFont="1" applyFill="1" applyBorder="1" applyAlignment="1">
      <alignment vertical="center"/>
    </xf>
    <xf numFmtId="0" fontId="107" fillId="0" borderId="0" xfId="2216" applyFont="1" applyFill="1"/>
    <xf numFmtId="0" fontId="26" fillId="4" borderId="1" xfId="1" applyFont="1" applyFill="1" applyBorder="1"/>
    <xf numFmtId="0" fontId="128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/>
    <xf numFmtId="4" fontId="128" fillId="0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wrapText="1"/>
    </xf>
    <xf numFmtId="0" fontId="108" fillId="4" borderId="1" xfId="1" applyFont="1" applyFill="1" applyBorder="1" applyAlignment="1">
      <alignment horizontal="center" vertical="center" wrapText="1"/>
    </xf>
    <xf numFmtId="0" fontId="8" fillId="0" borderId="1" xfId="2216" applyFill="1" applyBorder="1" applyAlignment="1">
      <alignment vertical="center"/>
    </xf>
    <xf numFmtId="4" fontId="26" fillId="0" borderId="1" xfId="1" applyNumberFormat="1" applyFont="1" applyFill="1" applyBorder="1" applyAlignment="1">
      <alignment wrapText="1"/>
    </xf>
    <xf numFmtId="1" fontId="26" fillId="0" borderId="0" xfId="1" applyNumberFormat="1" applyFont="1" applyFill="1"/>
    <xf numFmtId="0" fontId="108" fillId="0" borderId="1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 wrapText="1"/>
    </xf>
    <xf numFmtId="9" fontId="30" fillId="4" borderId="1" xfId="1" applyNumberFormat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/>
    </xf>
    <xf numFmtId="9" fontId="30" fillId="4" borderId="1" xfId="1" applyNumberFormat="1" applyFont="1" applyFill="1" applyBorder="1" applyAlignment="1">
      <alignment horizontal="center" vertical="center" wrapText="1"/>
    </xf>
    <xf numFmtId="2" fontId="30" fillId="4" borderId="1" xfId="1" applyNumberFormat="1" applyFont="1" applyFill="1" applyBorder="1" applyAlignment="1">
      <alignment horizontal="center" vertical="center"/>
    </xf>
    <xf numFmtId="4" fontId="108" fillId="4" borderId="1" xfId="1" applyNumberFormat="1" applyFont="1" applyFill="1" applyBorder="1" applyAlignment="1">
      <alignment horizontal="center" vertical="center" wrapText="1"/>
    </xf>
    <xf numFmtId="0" fontId="95" fillId="0" borderId="1" xfId="1" applyFont="1" applyFill="1" applyBorder="1" applyAlignment="1">
      <alignment wrapText="1"/>
    </xf>
    <xf numFmtId="0" fontId="8" fillId="0" borderId="1" xfId="2216" applyFont="1" applyFill="1" applyBorder="1"/>
    <xf numFmtId="167" fontId="8" fillId="0" borderId="0" xfId="2216" applyNumberFormat="1" applyFill="1"/>
    <xf numFmtId="0" fontId="108" fillId="4" borderId="1" xfId="1" applyFont="1" applyFill="1" applyBorder="1" applyAlignment="1">
      <alignment horizontal="left" vertical="center" wrapText="1"/>
    </xf>
    <xf numFmtId="0" fontId="27" fillId="4" borderId="1" xfId="1" applyFont="1" applyFill="1" applyBorder="1" applyAlignment="1">
      <alignment horizontal="center" vertical="center"/>
    </xf>
    <xf numFmtId="0" fontId="30" fillId="4" borderId="1" xfId="1" applyFont="1" applyFill="1" applyBorder="1"/>
    <xf numFmtId="166" fontId="108" fillId="4" borderId="1" xfId="2125" applyFont="1" applyFill="1" applyBorder="1" applyAlignment="1"/>
    <xf numFmtId="4" fontId="108" fillId="4" borderId="1" xfId="1" applyNumberFormat="1" applyFont="1" applyFill="1" applyBorder="1" applyAlignment="1">
      <alignment horizontal="right"/>
    </xf>
    <xf numFmtId="0" fontId="8" fillId="0" borderId="0" xfId="2216" applyFill="1" applyAlignment="1">
      <alignment vertical="center"/>
    </xf>
    <xf numFmtId="0" fontId="26" fillId="4" borderId="1" xfId="1" applyFont="1" applyFill="1" applyBorder="1" applyAlignment="1">
      <alignment vertical="center"/>
    </xf>
    <xf numFmtId="182" fontId="108" fillId="4" borderId="1" xfId="1" applyNumberFormat="1" applyFont="1" applyFill="1" applyBorder="1" applyAlignment="1">
      <alignment vertical="center"/>
    </xf>
    <xf numFmtId="4" fontId="108" fillId="4" borderId="1" xfId="1" applyNumberFormat="1" applyFont="1" applyFill="1" applyBorder="1" applyAlignment="1">
      <alignment horizontal="right" vertical="center"/>
    </xf>
    <xf numFmtId="0" fontId="108" fillId="4" borderId="3" xfId="1" applyFont="1" applyFill="1" applyBorder="1"/>
    <xf numFmtId="0" fontId="30" fillId="4" borderId="4" xfId="1" applyFont="1" applyFill="1" applyBorder="1"/>
    <xf numFmtId="0" fontId="30" fillId="4" borderId="4" xfId="1" applyFont="1" applyFill="1" applyBorder="1" applyAlignment="1">
      <alignment horizontal="center" vertical="center"/>
    </xf>
    <xf numFmtId="0" fontId="108" fillId="4" borderId="4" xfId="1" applyFont="1" applyFill="1" applyBorder="1"/>
    <xf numFmtId="0" fontId="30" fillId="4" borderId="4" xfId="1" applyFont="1" applyFill="1" applyBorder="1" applyAlignment="1">
      <alignment horizontal="right"/>
    </xf>
    <xf numFmtId="4" fontId="128" fillId="4" borderId="1" xfId="1" applyNumberFormat="1" applyFont="1" applyFill="1" applyBorder="1" applyAlignment="1">
      <alignment horizontal="right"/>
    </xf>
    <xf numFmtId="0" fontId="26" fillId="4" borderId="0" xfId="1" applyFont="1" applyFill="1" applyBorder="1" applyAlignment="1">
      <alignment horizontal="center" vertical="center"/>
    </xf>
    <xf numFmtId="0" fontId="90" fillId="4" borderId="0" xfId="1" applyFont="1" applyFill="1" applyBorder="1"/>
    <xf numFmtId="0" fontId="27" fillId="4" borderId="0" xfId="1" applyFont="1" applyFill="1" applyBorder="1"/>
    <xf numFmtId="0" fontId="27" fillId="4" borderId="0" xfId="1" applyFont="1" applyFill="1" applyBorder="1" applyAlignment="1">
      <alignment horizontal="center" vertical="center"/>
    </xf>
    <xf numFmtId="0" fontId="27" fillId="4" borderId="0" xfId="1" applyFont="1" applyFill="1" applyBorder="1" applyAlignment="1">
      <alignment horizontal="right"/>
    </xf>
    <xf numFmtId="4" fontId="128" fillId="4" borderId="0" xfId="1" applyNumberFormat="1" applyFont="1" applyFill="1" applyBorder="1" applyAlignment="1">
      <alignment horizontal="right"/>
    </xf>
    <xf numFmtId="167" fontId="30" fillId="0" borderId="0" xfId="2135" applyFont="1" applyFill="1" applyAlignment="1">
      <alignment vertical="center"/>
    </xf>
    <xf numFmtId="0" fontId="30" fillId="0" borderId="0" xfId="1" applyFont="1" applyFill="1" applyAlignment="1">
      <alignment vertical="center"/>
    </xf>
    <xf numFmtId="0" fontId="30" fillId="0" borderId="0" xfId="1" applyFont="1" applyFill="1" applyBorder="1" applyAlignment="1">
      <alignment vertical="center"/>
    </xf>
    <xf numFmtId="9" fontId="108" fillId="0" borderId="0" xfId="1" applyNumberFormat="1" applyFont="1" applyFill="1" applyBorder="1" applyAlignment="1">
      <alignment vertical="center"/>
    </xf>
    <xf numFmtId="9" fontId="108" fillId="0" borderId="0" xfId="1" applyNumberFormat="1" applyFont="1" applyFill="1" applyBorder="1" applyAlignment="1">
      <alignment horizontal="center" vertical="center"/>
    </xf>
    <xf numFmtId="10" fontId="108" fillId="0" borderId="0" xfId="2042" applyNumberFormat="1" applyFont="1" applyFill="1" applyBorder="1" applyAlignment="1">
      <alignment horizontal="center" vertical="center"/>
    </xf>
    <xf numFmtId="183" fontId="30" fillId="0" borderId="0" xfId="1" applyNumberFormat="1" applyFont="1" applyFill="1" applyBorder="1" applyAlignment="1">
      <alignment horizontal="right" vertical="center"/>
    </xf>
    <xf numFmtId="0" fontId="138" fillId="0" borderId="0" xfId="1" applyFont="1" applyFill="1" applyAlignment="1">
      <alignment vertical="center"/>
    </xf>
    <xf numFmtId="4" fontId="8" fillId="0" borderId="0" xfId="2216" applyNumberFormat="1" applyFill="1"/>
    <xf numFmtId="0" fontId="8" fillId="4" borderId="0" xfId="2216" applyFill="1"/>
    <xf numFmtId="0" fontId="27" fillId="0" borderId="0" xfId="2217" applyAlignment="1">
      <alignment wrapText="1"/>
    </xf>
    <xf numFmtId="0" fontId="8" fillId="0" borderId="0" xfId="2216"/>
    <xf numFmtId="0" fontId="27" fillId="0" borderId="0" xfId="2217" applyAlignment="1">
      <alignment vertical="top"/>
    </xf>
    <xf numFmtId="0" fontId="27" fillId="0" borderId="0" xfId="2217" applyAlignment="1">
      <alignment vertical="top" wrapText="1"/>
    </xf>
    <xf numFmtId="0" fontId="140" fillId="0" borderId="0" xfId="2217" applyFont="1" applyAlignment="1">
      <alignment vertical="top"/>
    </xf>
    <xf numFmtId="0" fontId="27" fillId="0" borderId="0" xfId="2217"/>
    <xf numFmtId="0" fontId="80" fillId="0" borderId="1" xfId="2216" applyFont="1" applyBorder="1" applyAlignment="1">
      <alignment wrapText="1"/>
    </xf>
    <xf numFmtId="0" fontId="27" fillId="0" borderId="70" xfId="2217" applyBorder="1" applyAlignment="1">
      <alignment horizontal="center" wrapText="1"/>
    </xf>
    <xf numFmtId="0" fontId="27" fillId="0" borderId="71" xfId="2217" applyBorder="1" applyAlignment="1">
      <alignment horizontal="center" wrapText="1"/>
    </xf>
    <xf numFmtId="0" fontId="8" fillId="0" borderId="1" xfId="2216" applyBorder="1"/>
    <xf numFmtId="49" fontId="90" fillId="0" borderId="1" xfId="2217" applyNumberFormat="1" applyFont="1" applyBorder="1" applyAlignment="1">
      <alignment horizontal="right" vertical="top" wrapText="1"/>
    </xf>
    <xf numFmtId="0" fontId="90" fillId="0" borderId="1" xfId="2217" applyFont="1" applyBorder="1" applyAlignment="1">
      <alignment horizontal="left" vertical="top" wrapText="1"/>
    </xf>
    <xf numFmtId="0" fontId="90" fillId="0" borderId="3" xfId="2217" applyFont="1" applyBorder="1" applyAlignment="1">
      <alignment horizontal="right" vertical="top" wrapText="1"/>
    </xf>
    <xf numFmtId="49" fontId="90" fillId="0" borderId="8" xfId="2217" applyNumberFormat="1" applyFont="1" applyBorder="1" applyAlignment="1">
      <alignment horizontal="right" vertical="top" wrapText="1"/>
    </xf>
    <xf numFmtId="0" fontId="90" fillId="0" borderId="8" xfId="2217" applyFont="1" applyBorder="1" applyAlignment="1">
      <alignment horizontal="left" vertical="top" wrapText="1"/>
    </xf>
    <xf numFmtId="0" fontId="27" fillId="0" borderId="8" xfId="2217" applyBorder="1" applyAlignment="1">
      <alignment horizontal="left" vertical="top" wrapText="1"/>
    </xf>
    <xf numFmtId="4" fontId="27" fillId="0" borderId="13" xfId="2217" applyNumberFormat="1" applyBorder="1" applyAlignment="1">
      <alignment horizontal="right" vertical="top" wrapText="1"/>
    </xf>
    <xf numFmtId="4" fontId="8" fillId="0" borderId="1" xfId="2216" applyNumberFormat="1" applyBorder="1" applyAlignment="1">
      <alignment horizontal="right" vertical="top" wrapText="1"/>
    </xf>
    <xf numFmtId="0" fontId="90" fillId="0" borderId="72" xfId="2217" applyFont="1" applyBorder="1" applyAlignment="1">
      <alignment horizontal="left" vertical="top" wrapText="1"/>
    </xf>
    <xf numFmtId="0" fontId="27" fillId="0" borderId="73" xfId="2217" applyBorder="1" applyAlignment="1">
      <alignment horizontal="left" vertical="top" wrapText="1"/>
    </xf>
    <xf numFmtId="49" fontId="90" fillId="0" borderId="10" xfId="2217" applyNumberFormat="1" applyFont="1" applyBorder="1" applyAlignment="1">
      <alignment horizontal="right" vertical="top" wrapText="1"/>
    </xf>
    <xf numFmtId="0" fontId="90" fillId="0" borderId="10" xfId="2217" applyFont="1" applyBorder="1" applyAlignment="1">
      <alignment horizontal="left" vertical="top" wrapText="1"/>
    </xf>
    <xf numFmtId="183" fontId="90" fillId="0" borderId="10" xfId="2217" applyNumberFormat="1" applyFont="1" applyBorder="1" applyAlignment="1">
      <alignment horizontal="right" vertical="top" wrapText="1"/>
    </xf>
    <xf numFmtId="4" fontId="8" fillId="0" borderId="1" xfId="2216" applyNumberFormat="1" applyBorder="1"/>
    <xf numFmtId="0" fontId="27" fillId="0" borderId="1" xfId="2217" applyBorder="1" applyAlignment="1">
      <alignment horizontal="left" vertical="top" wrapText="1"/>
    </xf>
    <xf numFmtId="183" fontId="90" fillId="0" borderId="1" xfId="2217" applyNumberFormat="1" applyFont="1" applyBorder="1" applyAlignment="1">
      <alignment horizontal="right" vertical="top" wrapText="1"/>
    </xf>
    <xf numFmtId="0" fontId="90" fillId="0" borderId="1" xfId="2217" applyFont="1" applyBorder="1" applyAlignment="1">
      <alignment horizontal="right" vertical="top" wrapText="1"/>
    </xf>
    <xf numFmtId="0" fontId="141" fillId="0" borderId="1" xfId="2217" applyFont="1" applyBorder="1" applyAlignment="1">
      <alignment horizontal="left" vertical="top" wrapText="1"/>
    </xf>
    <xf numFmtId="4" fontId="27" fillId="0" borderId="1" xfId="2217" applyNumberFormat="1" applyFont="1" applyBorder="1" applyAlignment="1">
      <alignment horizontal="left" vertical="top" wrapText="1"/>
    </xf>
    <xf numFmtId="4" fontId="141" fillId="0" borderId="1" xfId="2217" applyNumberFormat="1" applyFont="1" applyBorder="1" applyAlignment="1">
      <alignment horizontal="right" vertical="top" wrapText="1"/>
    </xf>
    <xf numFmtId="9" fontId="141" fillId="0" borderId="1" xfId="2217" applyNumberFormat="1" applyFont="1" applyBorder="1" applyAlignment="1">
      <alignment horizontal="left" vertical="top" wrapText="1"/>
    </xf>
    <xf numFmtId="183" fontId="141" fillId="0" borderId="1" xfId="2217" applyNumberFormat="1" applyFont="1" applyBorder="1" applyAlignment="1">
      <alignment horizontal="right" vertical="top" wrapText="1"/>
    </xf>
    <xf numFmtId="49" fontId="141" fillId="0" borderId="1" xfId="2217" applyNumberFormat="1" applyFont="1" applyBorder="1" applyAlignment="1">
      <alignment horizontal="right" vertical="top" wrapText="1"/>
    </xf>
    <xf numFmtId="0" fontId="141" fillId="0" borderId="0" xfId="2217" applyFont="1" applyAlignment="1">
      <alignment wrapText="1"/>
    </xf>
    <xf numFmtId="0" fontId="30" fillId="0" borderId="0" xfId="1" applyFont="1" applyFill="1" applyAlignment="1">
      <alignment horizontal="center" vertical="center" wrapText="1"/>
    </xf>
    <xf numFmtId="0" fontId="108" fillId="0" borderId="0" xfId="1" applyFont="1" applyFill="1" applyAlignment="1">
      <alignment horizontal="center" vertical="center" wrapText="1"/>
    </xf>
    <xf numFmtId="0" fontId="108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180" fontId="108" fillId="0" borderId="1" xfId="1" applyNumberFormat="1" applyFont="1" applyFill="1" applyBorder="1" applyAlignment="1">
      <alignment horizontal="center" vertical="center" wrapText="1"/>
    </xf>
    <xf numFmtId="180" fontId="108" fillId="0" borderId="5" xfId="1" applyNumberFormat="1" applyFont="1" applyFill="1" applyBorder="1" applyAlignment="1">
      <alignment horizontal="center" vertical="center" wrapText="1"/>
    </xf>
    <xf numFmtId="9" fontId="30" fillId="0" borderId="1" xfId="1" applyNumberFormat="1" applyFont="1" applyFill="1" applyBorder="1" applyAlignment="1">
      <alignment horizontal="center" vertical="center" wrapText="1"/>
    </xf>
    <xf numFmtId="9" fontId="30" fillId="0" borderId="13" xfId="1" applyNumberFormat="1" applyFont="1" applyFill="1" applyBorder="1" applyAlignment="1">
      <alignment horizontal="center" vertical="center" wrapText="1"/>
    </xf>
    <xf numFmtId="2" fontId="30" fillId="0" borderId="14" xfId="1" applyNumberFormat="1" applyFont="1" applyFill="1" applyBorder="1" applyAlignment="1">
      <alignment horizontal="center" vertical="center" wrapText="1"/>
    </xf>
    <xf numFmtId="0" fontId="108" fillId="0" borderId="1" xfId="1" applyFont="1" applyFill="1" applyBorder="1" applyAlignment="1">
      <alignment horizontal="left" vertical="center" wrapText="1"/>
    </xf>
    <xf numFmtId="166" fontId="108" fillId="0" borderId="1" xfId="2124" applyFont="1" applyFill="1" applyBorder="1" applyAlignment="1">
      <alignment horizontal="center" vertical="center" wrapText="1"/>
    </xf>
    <xf numFmtId="0" fontId="108" fillId="0" borderId="3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center" vertical="center" wrapText="1"/>
    </xf>
    <xf numFmtId="9" fontId="108" fillId="0" borderId="1" xfId="2124" applyNumberFormat="1" applyFont="1" applyFill="1" applyBorder="1" applyAlignment="1">
      <alignment horizontal="center" vertical="center" wrapText="1"/>
    </xf>
    <xf numFmtId="182" fontId="108" fillId="0" borderId="1" xfId="1" applyNumberFormat="1" applyFont="1" applyFill="1" applyBorder="1" applyAlignment="1">
      <alignment horizontal="center" vertical="center" wrapText="1"/>
    </xf>
    <xf numFmtId="0" fontId="108" fillId="0" borderId="1" xfId="1" applyFont="1" applyFill="1" applyBorder="1" applyAlignment="1">
      <alignment horizontal="left" vertical="center" wrapText="1" shrinkToFit="1"/>
    </xf>
    <xf numFmtId="180" fontId="108" fillId="0" borderId="0" xfId="1" applyNumberFormat="1" applyFont="1" applyFill="1" applyBorder="1" applyAlignment="1">
      <alignment horizontal="center" vertical="center" wrapText="1"/>
    </xf>
    <xf numFmtId="9" fontId="30" fillId="0" borderId="0" xfId="1" applyNumberFormat="1" applyFont="1" applyFill="1" applyBorder="1" applyAlignment="1">
      <alignment horizontal="left"/>
    </xf>
    <xf numFmtId="0" fontId="30" fillId="0" borderId="0" xfId="1" applyFont="1" applyFill="1" applyAlignment="1">
      <alignment horizontal="center" vertical="center"/>
    </xf>
    <xf numFmtId="4" fontId="30" fillId="0" borderId="0" xfId="1" applyNumberFormat="1" applyFont="1" applyFill="1" applyAlignment="1">
      <alignment horizontal="center" vertical="center"/>
    </xf>
    <xf numFmtId="0" fontId="8" fillId="0" borderId="0" xfId="2218" applyFill="1"/>
    <xf numFmtId="0" fontId="38" fillId="0" borderId="0" xfId="1" applyFont="1" applyFill="1" applyBorder="1" applyAlignment="1">
      <alignment horizontal="left"/>
    </xf>
    <xf numFmtId="2" fontId="69" fillId="0" borderId="0" xfId="2218" applyNumberFormat="1" applyFont="1" applyFill="1" applyBorder="1"/>
    <xf numFmtId="0" fontId="69" fillId="0" borderId="0" xfId="2218" applyFont="1" applyFill="1" applyBorder="1" applyAlignment="1">
      <alignment horizontal="center"/>
    </xf>
    <xf numFmtId="0" fontId="30" fillId="0" borderId="1" xfId="2218" applyFont="1" applyFill="1" applyBorder="1" applyAlignment="1">
      <alignment horizontal="center" vertical="center" wrapText="1"/>
    </xf>
    <xf numFmtId="0" fontId="108" fillId="0" borderId="1" xfId="2218" applyFont="1" applyFill="1" applyBorder="1" applyAlignment="1">
      <alignment horizontal="center" vertical="center" wrapText="1"/>
    </xf>
    <xf numFmtId="0" fontId="30" fillId="0" borderId="12" xfId="2218" applyFont="1" applyFill="1" applyBorder="1" applyAlignment="1">
      <alignment horizontal="center" vertical="center"/>
    </xf>
    <xf numFmtId="0" fontId="8" fillId="0" borderId="0" xfId="2218" applyFill="1" applyBorder="1"/>
    <xf numFmtId="0" fontId="30" fillId="0" borderId="5" xfId="2218" applyFont="1" applyFill="1" applyBorder="1" applyAlignment="1">
      <alignment vertical="center" wrapText="1"/>
    </xf>
    <xf numFmtId="2" fontId="108" fillId="0" borderId="1" xfId="2218" applyNumberFormat="1" applyFont="1" applyFill="1" applyBorder="1" applyAlignment="1">
      <alignment horizontal="center" vertical="center" wrapText="1"/>
    </xf>
    <xf numFmtId="0" fontId="108" fillId="0" borderId="1" xfId="2218" applyFont="1" applyFill="1" applyBorder="1" applyAlignment="1">
      <alignment horizontal="center" vertical="center"/>
    </xf>
    <xf numFmtId="1" fontId="108" fillId="0" borderId="1" xfId="2218" applyNumberFormat="1" applyFont="1" applyFill="1" applyBorder="1" applyAlignment="1">
      <alignment horizontal="center" vertical="center"/>
    </xf>
    <xf numFmtId="0" fontId="145" fillId="0" borderId="0" xfId="2218" applyFont="1" applyFill="1" applyAlignment="1">
      <alignment horizontal="center" vertical="center"/>
    </xf>
    <xf numFmtId="0" fontId="145" fillId="0" borderId="0" xfId="2218" applyFont="1" applyFill="1"/>
    <xf numFmtId="0" fontId="30" fillId="0" borderId="10" xfId="2218" applyFont="1" applyFill="1" applyBorder="1" applyAlignment="1">
      <alignment horizontal="right" vertical="center"/>
    </xf>
    <xf numFmtId="0" fontId="30" fillId="0" borderId="10" xfId="2218" applyFont="1" applyFill="1" applyBorder="1" applyAlignment="1">
      <alignment horizontal="center" vertical="center" wrapText="1"/>
    </xf>
    <xf numFmtId="167" fontId="46" fillId="0" borderId="0" xfId="2219" applyFont="1" applyFill="1"/>
    <xf numFmtId="0" fontId="61" fillId="0" borderId="0" xfId="1" applyFont="1" applyFill="1" applyBorder="1" applyAlignment="1">
      <alignment vertical="center"/>
    </xf>
    <xf numFmtId="0" fontId="146" fillId="0" borderId="0" xfId="1" applyFont="1" applyFill="1" applyBorder="1" applyAlignment="1">
      <alignment vertical="center"/>
    </xf>
    <xf numFmtId="4" fontId="61" fillId="0" borderId="0" xfId="1" applyNumberFormat="1" applyFont="1" applyFill="1" applyAlignment="1">
      <alignment vertical="center"/>
    </xf>
    <xf numFmtId="0" fontId="61" fillId="0" borderId="0" xfId="1" applyFont="1" applyFill="1" applyAlignment="1">
      <alignment vertical="center"/>
    </xf>
    <xf numFmtId="0" fontId="61" fillId="0" borderId="0" xfId="1" applyFont="1" applyFill="1" applyBorder="1" applyAlignment="1">
      <alignment vertical="justify"/>
    </xf>
    <xf numFmtId="0" fontId="61" fillId="0" borderId="0" xfId="2220" applyFont="1" applyFill="1" applyBorder="1" applyAlignment="1">
      <alignment horizontal="left" vertical="center"/>
    </xf>
    <xf numFmtId="4" fontId="61" fillId="0" borderId="0" xfId="1" applyNumberFormat="1" applyFont="1" applyFill="1" applyBorder="1" applyAlignment="1">
      <alignment horizontal="center" vertical="center"/>
    </xf>
    <xf numFmtId="0" fontId="61" fillId="0" borderId="0" xfId="1" applyFont="1" applyFill="1"/>
    <xf numFmtId="4" fontId="61" fillId="0" borderId="0" xfId="1" applyNumberFormat="1" applyFont="1" applyFill="1"/>
    <xf numFmtId="0" fontId="27" fillId="0" borderId="0" xfId="1689"/>
    <xf numFmtId="49" fontId="90" fillId="0" borderId="0" xfId="1689" applyNumberFormat="1" applyFont="1" applyAlignment="1">
      <alignment horizontal="center"/>
    </xf>
    <xf numFmtId="0" fontId="27" fillId="0" borderId="0" xfId="1689" applyFont="1"/>
    <xf numFmtId="0" fontId="27" fillId="0" borderId="0" xfId="1689" quotePrefix="1" applyFont="1" applyAlignment="1">
      <alignment horizontal="left"/>
    </xf>
    <xf numFmtId="0" fontId="27" fillId="0" borderId="0" xfId="2221" applyFont="1" applyAlignment="1">
      <alignment horizontal="right" vertical="top"/>
    </xf>
    <xf numFmtId="2" fontId="27" fillId="0" borderId="0" xfId="1689" applyNumberFormat="1" applyFont="1" applyAlignment="1"/>
    <xf numFmtId="176" fontId="27" fillId="0" borderId="0" xfId="1689" applyNumberFormat="1" applyFont="1" applyAlignment="1">
      <alignment horizontal="center"/>
    </xf>
    <xf numFmtId="0" fontId="27" fillId="0" borderId="4" xfId="1689" applyFont="1" applyBorder="1" applyAlignment="1">
      <alignment horizontal="left" vertical="center"/>
    </xf>
    <xf numFmtId="0" fontId="27" fillId="0" borderId="0" xfId="1689" applyFont="1" applyAlignment="1">
      <alignment horizontal="left" vertical="center"/>
    </xf>
    <xf numFmtId="0" fontId="27" fillId="0" borderId="3" xfId="1689" applyFont="1" applyBorder="1" applyAlignment="1">
      <alignment horizontal="left" vertical="center"/>
    </xf>
    <xf numFmtId="0" fontId="27" fillId="0" borderId="5" xfId="1689" applyFont="1" applyBorder="1" applyAlignment="1">
      <alignment horizontal="left" vertical="center"/>
    </xf>
    <xf numFmtId="0" fontId="148" fillId="0" borderId="0" xfId="2222" applyFont="1" applyFill="1" applyAlignment="1" applyProtection="1">
      <alignment horizontal="left" wrapText="1"/>
      <protection locked="0"/>
    </xf>
    <xf numFmtId="0" fontId="27" fillId="0" borderId="5" xfId="1689" applyBorder="1" applyAlignment="1">
      <alignment horizontal="left" vertical="center"/>
    </xf>
    <xf numFmtId="49" fontId="27" fillId="0" borderId="3" xfId="1689" applyNumberFormat="1" applyBorder="1"/>
    <xf numFmtId="0" fontId="27" fillId="0" borderId="1" xfId="1689" applyFont="1" applyFill="1" applyBorder="1" applyAlignment="1">
      <alignment horizontal="center" vertical="center" wrapText="1"/>
    </xf>
    <xf numFmtId="4" fontId="27" fillId="0" borderId="1" xfId="1689" applyNumberFormat="1" applyFont="1" applyFill="1" applyBorder="1" applyAlignment="1">
      <alignment horizontal="center" vertical="center" wrapText="1"/>
    </xf>
    <xf numFmtId="2" fontId="27" fillId="0" borderId="1" xfId="1689" applyNumberFormat="1" applyFont="1" applyFill="1" applyBorder="1" applyAlignment="1">
      <alignment horizontal="center" vertical="center" wrapText="1"/>
    </xf>
    <xf numFmtId="0" fontId="67" fillId="0" borderId="1" xfId="1689" applyFont="1" applyFill="1" applyBorder="1" applyAlignment="1">
      <alignment horizontal="center" vertical="center" wrapText="1"/>
    </xf>
    <xf numFmtId="2" fontId="148" fillId="0" borderId="1" xfId="1689" applyNumberFormat="1" applyFont="1" applyFill="1" applyBorder="1" applyAlignment="1">
      <alignment horizontal="center" vertical="center" wrapText="1"/>
    </xf>
    <xf numFmtId="49" fontId="27" fillId="0" borderId="0" xfId="1689" applyNumberFormat="1"/>
    <xf numFmtId="0" fontId="156" fillId="0" borderId="2" xfId="1689" applyFont="1" applyBorder="1" applyAlignment="1">
      <alignment vertical="top" wrapText="1"/>
    </xf>
    <xf numFmtId="176" fontId="118" fillId="0" borderId="1" xfId="1690" applyNumberFormat="1" applyFont="1" applyFill="1" applyBorder="1" applyAlignment="1">
      <alignment horizontal="center" vertical="center" wrapText="1"/>
    </xf>
    <xf numFmtId="3" fontId="118" fillId="0" borderId="1" xfId="1690" applyNumberFormat="1" applyFont="1" applyFill="1" applyBorder="1" applyAlignment="1">
      <alignment horizontal="center" vertical="center"/>
    </xf>
    <xf numFmtId="0" fontId="118" fillId="0" borderId="0" xfId="1690" applyFont="1" applyFill="1" applyAlignment="1">
      <alignment horizontal="center" vertical="center" wrapText="1"/>
    </xf>
    <xf numFmtId="0" fontId="118" fillId="29" borderId="1" xfId="1690" applyFont="1" applyFill="1" applyBorder="1" applyAlignment="1">
      <alignment vertical="top"/>
    </xf>
    <xf numFmtId="3" fontId="118" fillId="0" borderId="1" xfId="1690" applyNumberFormat="1" applyFont="1" applyBorder="1" applyAlignment="1">
      <alignment horizontal="center" vertical="center" wrapText="1"/>
    </xf>
    <xf numFmtId="3" fontId="117" fillId="0" borderId="1" xfId="169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0" fontId="36" fillId="0" borderId="0" xfId="0" applyFont="1"/>
    <xf numFmtId="0" fontId="36" fillId="0" borderId="1" xfId="0" applyFont="1" applyBorder="1" applyAlignment="1">
      <alignment horizontal="center" vertical="center" wrapText="1"/>
    </xf>
    <xf numFmtId="185" fontId="0" fillId="0" borderId="1" xfId="2" applyNumberFormat="1" applyFont="1" applyBorder="1"/>
    <xf numFmtId="0" fontId="36" fillId="0" borderId="3" xfId="0" applyFont="1" applyBorder="1" applyAlignment="1">
      <alignment horizontal="center" vertical="center" wrapText="1"/>
    </xf>
    <xf numFmtId="164" fontId="36" fillId="0" borderId="1" xfId="0" applyNumberFormat="1" applyFont="1" applyBorder="1"/>
    <xf numFmtId="0" fontId="36" fillId="0" borderId="1" xfId="0" applyFont="1" applyBorder="1" applyAlignment="1">
      <alignment horizontal="center" vertical="center"/>
    </xf>
    <xf numFmtId="185" fontId="0" fillId="0" borderId="1" xfId="2" applyNumberFormat="1" applyFont="1" applyFill="1" applyBorder="1"/>
    <xf numFmtId="185" fontId="36" fillId="0" borderId="1" xfId="0" applyNumberFormat="1" applyFont="1" applyBorder="1"/>
    <xf numFmtId="185" fontId="0" fillId="0" borderId="1" xfId="0" applyNumberFormat="1" applyBorder="1"/>
    <xf numFmtId="185" fontId="0" fillId="0" borderId="3" xfId="2" applyNumberFormat="1" applyFont="1" applyBorder="1"/>
    <xf numFmtId="185" fontId="0" fillId="0" borderId="3" xfId="2" applyNumberFormat="1" applyFont="1" applyFill="1" applyBorder="1"/>
    <xf numFmtId="185" fontId="0" fillId="0" borderId="3" xfId="0" applyNumberFormat="1" applyBorder="1"/>
    <xf numFmtId="4" fontId="38" fillId="4" borderId="1" xfId="3" applyNumberFormat="1" applyFont="1" applyFill="1" applyBorder="1" applyAlignment="1">
      <alignment horizontal="right" vertical="center" wrapText="1"/>
    </xf>
    <xf numFmtId="4" fontId="38" fillId="0" borderId="1" xfId="3" applyNumberFormat="1" applyFont="1" applyFill="1" applyBorder="1" applyAlignment="1">
      <alignment horizontal="right" vertical="center" wrapText="1"/>
    </xf>
    <xf numFmtId="0" fontId="38" fillId="0" borderId="0" xfId="0" applyFont="1" applyFill="1"/>
    <xf numFmtId="14" fontId="39" fillId="0" borderId="0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36" fillId="0" borderId="16" xfId="2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37" fillId="0" borderId="16" xfId="2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4" fillId="0" borderId="18" xfId="1" applyFont="1" applyFill="1" applyBorder="1" applyAlignment="1">
      <alignment vertical="center" wrapText="1"/>
    </xf>
    <xf numFmtId="0" fontId="44" fillId="0" borderId="19" xfId="1" applyFont="1" applyFill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44" fillId="0" borderId="16" xfId="1" applyFont="1" applyFill="1" applyBorder="1" applyAlignment="1">
      <alignment vertical="center" wrapText="1"/>
    </xf>
    <xf numFmtId="0" fontId="44" fillId="0" borderId="16" xfId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64" fontId="36" fillId="0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0" fontId="43" fillId="0" borderId="16" xfId="0" quotePrefix="1" applyFont="1" applyFill="1" applyBorder="1" applyAlignment="1">
      <alignment vertical="center" wrapText="1"/>
    </xf>
    <xf numFmtId="164" fontId="16" fillId="0" borderId="16" xfId="2" applyFont="1" applyFill="1" applyBorder="1" applyAlignment="1">
      <alignment horizontal="center" vertical="center" wrapText="1"/>
    </xf>
    <xf numFmtId="0" fontId="35" fillId="0" borderId="19" xfId="1" applyFont="1" applyFill="1" applyBorder="1" applyAlignment="1">
      <alignment horizontal="center" vertical="center" wrapText="1"/>
    </xf>
    <xf numFmtId="0" fontId="44" fillId="0" borderId="21" xfId="1" applyFont="1" applyFill="1" applyBorder="1" applyAlignment="1">
      <alignment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44" fillId="0" borderId="18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4" fontId="29" fillId="0" borderId="16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18" xfId="1" applyFont="1" applyFill="1" applyBorder="1" applyAlignment="1">
      <alignment vertical="center" wrapText="1"/>
    </xf>
    <xf numFmtId="4" fontId="35" fillId="0" borderId="16" xfId="1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167" fontId="35" fillId="0" borderId="1" xfId="2139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3" fillId="0" borderId="0" xfId="0" applyFont="1"/>
    <xf numFmtId="0" fontId="6" fillId="0" borderId="0" xfId="0" applyFont="1"/>
    <xf numFmtId="0" fontId="163" fillId="0" borderId="0" xfId="0" applyFont="1" applyAlignment="1">
      <alignment horizontal="right" vertical="center"/>
    </xf>
    <xf numFmtId="0" fontId="163" fillId="0" borderId="0" xfId="0" applyFont="1" applyAlignment="1">
      <alignment horizontal="left" vertical="center" wrapText="1"/>
    </xf>
    <xf numFmtId="0" fontId="163" fillId="0" borderId="0" xfId="0" applyFont="1" applyAlignment="1">
      <alignment horizontal="left" vertical="center"/>
    </xf>
    <xf numFmtId="0" fontId="163" fillId="0" borderId="0" xfId="0" applyFont="1" applyAlignment="1">
      <alignment vertical="center" wrapText="1"/>
    </xf>
    <xf numFmtId="0" fontId="164" fillId="0" borderId="0" xfId="0" applyFont="1"/>
    <xf numFmtId="0" fontId="16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11" fillId="0" borderId="1" xfId="2226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168" fillId="0" borderId="1" xfId="0" applyFont="1" applyBorder="1" applyAlignment="1">
      <alignment horizontal="center"/>
    </xf>
    <xf numFmtId="3" fontId="168" fillId="0" borderId="1" xfId="0" applyNumberFormat="1" applyFont="1" applyBorder="1" applyAlignment="1">
      <alignment horizontal="right"/>
    </xf>
    <xf numFmtId="0" fontId="165" fillId="0" borderId="0" xfId="2226"/>
    <xf numFmtId="3" fontId="36" fillId="0" borderId="1" xfId="0" applyNumberFormat="1" applyFont="1" applyBorder="1" applyAlignment="1">
      <alignment horizontal="right"/>
    </xf>
    <xf numFmtId="0" fontId="40" fillId="0" borderId="0" xfId="0" applyFont="1" applyAlignment="1">
      <alignment vertical="center"/>
    </xf>
    <xf numFmtId="164" fontId="35" fillId="0" borderId="1" xfId="2" applyFont="1" applyFill="1" applyBorder="1" applyAlignment="1">
      <alignment horizontal="center" vertical="center"/>
    </xf>
    <xf numFmtId="10" fontId="0" fillId="0" borderId="0" xfId="18" applyNumberFormat="1" applyFont="1"/>
    <xf numFmtId="176" fontId="0" fillId="0" borderId="0" xfId="0" applyNumberFormat="1"/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49" fillId="0" borderId="1" xfId="1689" applyFont="1" applyFill="1" applyBorder="1" applyAlignment="1">
      <alignment horizontal="center" vertical="center" wrapText="1"/>
    </xf>
    <xf numFmtId="0" fontId="27" fillId="0" borderId="0" xfId="2189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164" fontId="170" fillId="0" borderId="16" xfId="0" applyNumberFormat="1" applyFont="1" applyFill="1" applyBorder="1" applyAlignment="1">
      <alignment horizontal="center" vertical="center" wrapText="1"/>
    </xf>
    <xf numFmtId="0" fontId="121" fillId="0" borderId="16" xfId="0" applyFont="1" applyFill="1" applyBorder="1" applyAlignment="1">
      <alignment horizontal="center" vertical="center" wrapText="1"/>
    </xf>
    <xf numFmtId="164" fontId="171" fillId="0" borderId="16" xfId="2" applyFont="1" applyFill="1" applyBorder="1" applyAlignment="1">
      <alignment horizontal="center" vertical="center" wrapText="1"/>
    </xf>
    <xf numFmtId="4" fontId="171" fillId="0" borderId="16" xfId="0" applyNumberFormat="1" applyFont="1" applyFill="1" applyBorder="1" applyAlignment="1">
      <alignment horizontal="center" vertical="center" wrapText="1"/>
    </xf>
    <xf numFmtId="4" fontId="121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38" fillId="0" borderId="19" xfId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11" fillId="0" borderId="16" xfId="0" applyFont="1" applyFill="1" applyBorder="1" applyAlignment="1">
      <alignment vertical="center" wrapText="1"/>
    </xf>
    <xf numFmtId="0" fontId="111" fillId="0" borderId="16" xfId="0" applyFont="1" applyFill="1" applyBorder="1" applyAlignment="1">
      <alignment horizontal="center" vertical="center" wrapText="1"/>
    </xf>
    <xf numFmtId="164" fontId="27" fillId="0" borderId="16" xfId="2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164" fontId="36" fillId="0" borderId="20" xfId="2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vertical="center" wrapText="1"/>
    </xf>
    <xf numFmtId="0" fontId="44" fillId="0" borderId="75" xfId="1" applyFont="1" applyFill="1" applyBorder="1" applyAlignment="1">
      <alignment vertical="center" wrapText="1"/>
    </xf>
    <xf numFmtId="0" fontId="44" fillId="0" borderId="75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90" fillId="0" borderId="20" xfId="0" quotePrefix="1" applyFont="1" applyFill="1" applyBorder="1" applyAlignment="1">
      <alignment vertical="center" wrapText="1"/>
    </xf>
    <xf numFmtId="0" fontId="90" fillId="0" borderId="20" xfId="0" applyFont="1" applyFill="1" applyBorder="1" applyAlignment="1">
      <alignment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172" fillId="0" borderId="20" xfId="0" applyFont="1" applyFill="1" applyBorder="1" applyAlignment="1">
      <alignment horizontal="center" vertical="center" wrapText="1"/>
    </xf>
    <xf numFmtId="164" fontId="172" fillId="0" borderId="20" xfId="2" applyFont="1" applyFill="1" applyBorder="1" applyAlignment="1">
      <alignment horizontal="center" vertical="center" wrapText="1"/>
    </xf>
    <xf numFmtId="0" fontId="29" fillId="0" borderId="0" xfId="0" applyFont="1" applyAlignment="1"/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/>
    </xf>
    <xf numFmtId="0" fontId="35" fillId="0" borderId="1" xfId="0" quotePrefix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168" fontId="35" fillId="0" borderId="8" xfId="0" applyNumberFormat="1" applyFont="1" applyFill="1" applyBorder="1" applyAlignment="1">
      <alignment horizontal="center" vertical="center"/>
    </xf>
    <xf numFmtId="4" fontId="35" fillId="0" borderId="8" xfId="0" applyNumberFormat="1" applyFont="1" applyFill="1" applyBorder="1" applyAlignment="1">
      <alignment horizontal="center" vertical="center"/>
    </xf>
    <xf numFmtId="164" fontId="35" fillId="0" borderId="8" xfId="2" applyFont="1" applyFill="1" applyBorder="1" applyAlignment="1">
      <alignment horizontal="center" vertical="center"/>
    </xf>
    <xf numFmtId="0" fontId="35" fillId="0" borderId="1" xfId="0" applyFont="1" applyFill="1" applyBorder="1"/>
    <xf numFmtId="0" fontId="35" fillId="0" borderId="0" xfId="0" applyFont="1" applyFill="1"/>
    <xf numFmtId="0" fontId="35" fillId="0" borderId="10" xfId="0" quotePrefix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4" fontId="38" fillId="0" borderId="1" xfId="2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164" fontId="35" fillId="0" borderId="10" xfId="2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6" fontId="35" fillId="0" borderId="10" xfId="0" quotePrefix="1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Border="1"/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8" fillId="0" borderId="1" xfId="0" quotePrefix="1" applyFont="1" applyFill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4" fontId="35" fillId="4" borderId="0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169" fontId="35" fillId="0" borderId="0" xfId="0" applyNumberFormat="1" applyFont="1"/>
    <xf numFmtId="0" fontId="174" fillId="34" borderId="1" xfId="0" applyFont="1" applyFill="1" applyBorder="1" applyAlignment="1">
      <alignment horizontal="center" vertical="center"/>
    </xf>
    <xf numFmtId="0" fontId="35" fillId="34" borderId="1" xfId="0" applyFont="1" applyFill="1" applyBorder="1"/>
    <xf numFmtId="0" fontId="29" fillId="34" borderId="10" xfId="0" quotePrefix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14" fontId="29" fillId="34" borderId="10" xfId="0" applyNumberFormat="1" applyFont="1" applyFill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 horizontal="center" vertical="center"/>
    </xf>
    <xf numFmtId="168" fontId="29" fillId="34" borderId="1" xfId="0" applyNumberFormat="1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/>
    </xf>
    <xf numFmtId="0" fontId="29" fillId="34" borderId="1" xfId="0" applyFont="1" applyFill="1" applyBorder="1"/>
    <xf numFmtId="0" fontId="174" fillId="34" borderId="10" xfId="0" quotePrefix="1" applyFont="1" applyFill="1" applyBorder="1" applyAlignment="1">
      <alignment horizontal="center" vertical="center"/>
    </xf>
    <xf numFmtId="0" fontId="174" fillId="34" borderId="1" xfId="0" quotePrefix="1" applyFont="1" applyFill="1" applyBorder="1" applyAlignment="1">
      <alignment vertical="center" wrapText="1"/>
    </xf>
    <xf numFmtId="0" fontId="174" fillId="34" borderId="10" xfId="0" applyFont="1" applyFill="1" applyBorder="1" applyAlignment="1">
      <alignment horizontal="center" vertical="center" wrapText="1"/>
    </xf>
    <xf numFmtId="0" fontId="174" fillId="34" borderId="10" xfId="0" applyFont="1" applyFill="1" applyBorder="1" applyAlignment="1">
      <alignment horizontal="center" vertical="center"/>
    </xf>
    <xf numFmtId="0" fontId="174" fillId="34" borderId="1" xfId="0" applyFont="1" applyFill="1" applyBorder="1" applyAlignment="1">
      <alignment horizontal="center" vertical="center" wrapText="1"/>
    </xf>
    <xf numFmtId="14" fontId="174" fillId="34" borderId="10" xfId="0" applyNumberFormat="1" applyFont="1" applyFill="1" applyBorder="1" applyAlignment="1">
      <alignment horizontal="center" vertical="center" wrapText="1"/>
    </xf>
    <xf numFmtId="4" fontId="174" fillId="34" borderId="10" xfId="0" applyNumberFormat="1" applyFont="1" applyFill="1" applyBorder="1" applyAlignment="1">
      <alignment horizontal="center" vertical="center"/>
    </xf>
    <xf numFmtId="168" fontId="174" fillId="34" borderId="1" xfId="0" applyNumberFormat="1" applyFont="1" applyFill="1" applyBorder="1" applyAlignment="1">
      <alignment horizontal="center" vertical="center"/>
    </xf>
    <xf numFmtId="4" fontId="174" fillId="34" borderId="1" xfId="0" applyNumberFormat="1" applyFont="1" applyFill="1" applyBorder="1" applyAlignment="1">
      <alignment horizontal="center" vertical="center"/>
    </xf>
    <xf numFmtId="0" fontId="174" fillId="34" borderId="1" xfId="0" applyFont="1" applyFill="1" applyBorder="1"/>
    <xf numFmtId="0" fontId="173" fillId="34" borderId="1" xfId="0" applyFont="1" applyFill="1" applyBorder="1"/>
    <xf numFmtId="0" fontId="174" fillId="34" borderId="1" xfId="0" quotePrefix="1" applyFont="1" applyFill="1" applyBorder="1" applyAlignment="1">
      <alignment vertical="center"/>
    </xf>
    <xf numFmtId="4" fontId="174" fillId="34" borderId="9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wrapText="1"/>
    </xf>
    <xf numFmtId="164" fontId="174" fillId="34" borderId="1" xfId="2" applyFont="1" applyFill="1" applyBorder="1" applyAlignment="1">
      <alignment horizontal="center"/>
    </xf>
    <xf numFmtId="0" fontId="43" fillId="0" borderId="20" xfId="0" quotePrefix="1" applyFont="1" applyFill="1" applyBorder="1" applyAlignment="1">
      <alignment vertical="center" wrapText="1"/>
    </xf>
    <xf numFmtId="0" fontId="16" fillId="0" borderId="75" xfId="0" applyFont="1" applyFill="1" applyBorder="1" applyAlignment="1">
      <alignment vertical="center" wrapText="1"/>
    </xf>
    <xf numFmtId="0" fontId="35" fillId="0" borderId="18" xfId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vertical="center" wrapText="1"/>
    </xf>
    <xf numFmtId="0" fontId="44" fillId="0" borderId="76" xfId="1" applyFont="1" applyFill="1" applyBorder="1" applyAlignment="1">
      <alignment vertical="center" wrapText="1"/>
    </xf>
    <xf numFmtId="0" fontId="44" fillId="0" borderId="74" xfId="1" applyFont="1" applyFill="1" applyBorder="1" applyAlignment="1">
      <alignment vertical="center" wrapText="1"/>
    </xf>
    <xf numFmtId="0" fontId="44" fillId="0" borderId="74" xfId="1" applyFont="1" applyFill="1" applyBorder="1" applyAlignment="1">
      <alignment horizontal="center" vertical="center" wrapText="1"/>
    </xf>
    <xf numFmtId="0" fontId="35" fillId="0" borderId="74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44" fillId="0" borderId="1" xfId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21" fillId="0" borderId="10" xfId="0" applyFont="1" applyFill="1" applyBorder="1" applyAlignment="1">
      <alignment vertical="center" wrapText="1"/>
    </xf>
    <xf numFmtId="0" fontId="169" fillId="0" borderId="1" xfId="0" applyFont="1" applyFill="1" applyBorder="1" applyAlignment="1">
      <alignment vertical="center" wrapText="1"/>
    </xf>
    <xf numFmtId="0" fontId="40" fillId="0" borderId="16" xfId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vertical="center" wrapText="1"/>
    </xf>
    <xf numFmtId="0" fontId="38" fillId="0" borderId="18" xfId="1" applyFont="1" applyFill="1" applyBorder="1" applyAlignment="1">
      <alignment vertical="center" wrapText="1"/>
    </xf>
    <xf numFmtId="0" fontId="38" fillId="0" borderId="16" xfId="1" applyFont="1" applyFill="1" applyBorder="1" applyAlignment="1">
      <alignment horizontal="center" vertical="center" wrapText="1"/>
    </xf>
    <xf numFmtId="0" fontId="121" fillId="0" borderId="74" xfId="0" applyFont="1" applyFill="1" applyBorder="1" applyAlignment="1">
      <alignment vertical="center" wrapText="1"/>
    </xf>
    <xf numFmtId="0" fontId="38" fillId="0" borderId="75" xfId="1" applyFont="1" applyFill="1" applyBorder="1" applyAlignment="1">
      <alignment vertical="center" wrapText="1"/>
    </xf>
    <xf numFmtId="0" fontId="38" fillId="0" borderId="75" xfId="1" applyFont="1" applyFill="1" applyBorder="1" applyAlignment="1">
      <alignment horizontal="center" vertical="center" wrapText="1"/>
    </xf>
    <xf numFmtId="0" fontId="40" fillId="0" borderId="75" xfId="1" applyFont="1" applyFill="1" applyBorder="1" applyAlignment="1">
      <alignment horizontal="center" vertical="center" wrapText="1"/>
    </xf>
    <xf numFmtId="0" fontId="174" fillId="34" borderId="9" xfId="0" applyFont="1" applyFill="1" applyBorder="1" applyAlignment="1">
      <alignment horizontal="center" vertical="center" wrapText="1"/>
    </xf>
    <xf numFmtId="0" fontId="174" fillId="34" borderId="8" xfId="0" applyFont="1" applyFill="1" applyBorder="1" applyAlignment="1">
      <alignment horizontal="center" vertical="center" wrapText="1"/>
    </xf>
    <xf numFmtId="0" fontId="174" fillId="34" borderId="8" xfId="0" applyFont="1" applyFill="1" applyBorder="1" applyAlignment="1">
      <alignment horizontal="center" vertical="center"/>
    </xf>
    <xf numFmtId="0" fontId="174" fillId="34" borderId="8" xfId="0" applyFont="1" applyFill="1" applyBorder="1" applyAlignment="1">
      <alignment vertical="center" wrapText="1"/>
    </xf>
    <xf numFmtId="0" fontId="174" fillId="34" borderId="1" xfId="0" applyFont="1" applyFill="1" applyBorder="1" applyAlignment="1">
      <alignment vertical="center"/>
    </xf>
    <xf numFmtId="0" fontId="174" fillId="0" borderId="0" xfId="0" applyFont="1"/>
    <xf numFmtId="0" fontId="29" fillId="0" borderId="0" xfId="0" applyFont="1" applyFill="1"/>
    <xf numFmtId="0" fontId="5" fillId="0" borderId="20" xfId="0" applyFont="1" applyFill="1" applyBorder="1" applyAlignment="1">
      <alignment horizontal="center" vertical="center" wrapText="1"/>
    </xf>
    <xf numFmtId="0" fontId="107" fillId="0" borderId="0" xfId="0" applyFont="1"/>
    <xf numFmtId="0" fontId="111" fillId="0" borderId="74" xfId="0" applyFont="1" applyFill="1" applyBorder="1" applyAlignment="1">
      <alignment vertical="center" wrapText="1"/>
    </xf>
    <xf numFmtId="0" fontId="35" fillId="0" borderId="0" xfId="0" applyFont="1" applyFill="1" applyAlignment="1">
      <alignment vertical="top" wrapText="1"/>
    </xf>
    <xf numFmtId="0" fontId="35" fillId="35" borderId="0" xfId="0" applyFont="1" applyFill="1"/>
    <xf numFmtId="0" fontId="30" fillId="36" borderId="1" xfId="1" applyFont="1" applyFill="1" applyBorder="1" applyAlignment="1">
      <alignment horizontal="left" vertical="center" wrapText="1"/>
    </xf>
    <xf numFmtId="4" fontId="30" fillId="36" borderId="1" xfId="1" applyNumberFormat="1" applyFont="1" applyFill="1" applyBorder="1" applyAlignment="1">
      <alignment horizontal="center" vertical="center"/>
    </xf>
    <xf numFmtId="0" fontId="108" fillId="36" borderId="1" xfId="1" applyFont="1" applyFill="1" applyBorder="1" applyAlignment="1">
      <alignment horizontal="center" vertical="center" wrapText="1"/>
    </xf>
    <xf numFmtId="0" fontId="30" fillId="36" borderId="1" xfId="1" applyFont="1" applyFill="1" applyBorder="1" applyAlignment="1">
      <alignment horizontal="center" vertical="center" wrapText="1"/>
    </xf>
    <xf numFmtId="181" fontId="30" fillId="36" borderId="1" xfId="1" applyNumberFormat="1" applyFont="1" applyFill="1" applyBorder="1" applyAlignment="1">
      <alignment horizontal="center" vertical="center"/>
    </xf>
    <xf numFmtId="9" fontId="30" fillId="36" borderId="1" xfId="1" applyNumberFormat="1" applyFont="1" applyFill="1" applyBorder="1" applyAlignment="1">
      <alignment horizontal="left" vertical="center" wrapText="1"/>
    </xf>
    <xf numFmtId="2" fontId="30" fillId="36" borderId="1" xfId="1" applyNumberFormat="1" applyFont="1" applyFill="1" applyBorder="1" applyAlignment="1">
      <alignment horizontal="left" vertical="center" wrapText="1"/>
    </xf>
    <xf numFmtId="2" fontId="30" fillId="36" borderId="1" xfId="1" applyNumberFormat="1" applyFont="1" applyFill="1" applyBorder="1" applyAlignment="1">
      <alignment horizontal="center"/>
    </xf>
    <xf numFmtId="0" fontId="30" fillId="0" borderId="5" xfId="2218" applyFont="1" applyFill="1" applyBorder="1" applyAlignment="1">
      <alignment horizontal="center" vertical="center" wrapText="1"/>
    </xf>
    <xf numFmtId="0" fontId="101" fillId="0" borderId="0" xfId="2218" applyFont="1" applyFill="1"/>
    <xf numFmtId="164" fontId="101" fillId="0" borderId="0" xfId="2218" applyNumberFormat="1" applyFont="1" applyFill="1"/>
    <xf numFmtId="49" fontId="27" fillId="0" borderId="1" xfId="1689" applyNumberFormat="1" applyFont="1" applyFill="1" applyBorder="1" applyAlignment="1">
      <alignment horizontal="center" vertical="center" wrapText="1"/>
    </xf>
    <xf numFmtId="0" fontId="27" fillId="0" borderId="1" xfId="1689" quotePrefix="1" applyNumberFormat="1" applyFont="1" applyFill="1" applyBorder="1" applyAlignment="1">
      <alignment horizontal="center" vertical="center" wrapText="1"/>
    </xf>
    <xf numFmtId="4" fontId="151" fillId="0" borderId="1" xfId="1689" applyNumberFormat="1" applyFont="1" applyFill="1" applyBorder="1" applyAlignment="1">
      <alignment horizontal="center" vertical="center" wrapText="1"/>
    </xf>
    <xf numFmtId="0" fontId="27" fillId="0" borderId="1" xfId="1689" quotePrefix="1" applyNumberFormat="1" applyFill="1" applyBorder="1" applyAlignment="1">
      <alignment horizontal="center" vertical="center" wrapText="1"/>
    </xf>
    <xf numFmtId="184" fontId="27" fillId="0" borderId="1" xfId="1689" applyNumberFormat="1" applyFont="1" applyFill="1" applyBorder="1" applyAlignment="1">
      <alignment horizontal="center" vertical="center" wrapText="1"/>
    </xf>
    <xf numFmtId="0" fontId="27" fillId="0" borderId="1" xfId="1689" quotePrefix="1" applyFont="1" applyFill="1" applyBorder="1" applyAlignment="1">
      <alignment horizontal="center" vertical="center" wrapText="1"/>
    </xf>
    <xf numFmtId="0" fontId="27" fillId="33" borderId="1" xfId="1689" applyFont="1" applyFill="1" applyBorder="1" applyAlignment="1">
      <alignment horizontal="center" vertical="center" wrapText="1"/>
    </xf>
    <xf numFmtId="4" fontId="153" fillId="0" borderId="1" xfId="1689" applyNumberFormat="1" applyFont="1" applyFill="1" applyBorder="1" applyAlignment="1">
      <alignment horizontal="center" vertical="center" wrapText="1"/>
    </xf>
    <xf numFmtId="0" fontId="144" fillId="0" borderId="1" xfId="1689" applyFont="1" applyFill="1" applyBorder="1" applyAlignment="1">
      <alignment horizontal="center" vertical="center" wrapText="1"/>
    </xf>
    <xf numFmtId="2" fontId="27" fillId="33" borderId="1" xfId="1689" applyNumberFormat="1" applyFont="1" applyFill="1" applyBorder="1" applyAlignment="1">
      <alignment horizontal="center" vertical="center" wrapText="1"/>
    </xf>
    <xf numFmtId="2" fontId="90" fillId="0" borderId="1" xfId="1689" applyNumberFormat="1" applyFont="1" applyFill="1" applyBorder="1" applyAlignment="1">
      <alignment horizontal="center" vertical="center" wrapText="1"/>
    </xf>
    <xf numFmtId="2" fontId="151" fillId="0" borderId="1" xfId="1689" applyNumberFormat="1" applyFont="1" applyFill="1" applyBorder="1" applyAlignment="1">
      <alignment horizontal="center" vertical="center" wrapText="1"/>
    </xf>
    <xf numFmtId="2" fontId="26" fillId="0" borderId="1" xfId="1689" applyNumberFormat="1" applyFont="1" applyFill="1" applyBorder="1" applyAlignment="1">
      <alignment horizontal="center" vertical="center" wrapText="1"/>
    </xf>
    <xf numFmtId="2" fontId="95" fillId="0" borderId="1" xfId="1689" applyNumberFormat="1" applyFont="1" applyFill="1" applyBorder="1" applyAlignment="1">
      <alignment horizontal="center" vertical="center" wrapText="1"/>
    </xf>
    <xf numFmtId="9" fontId="148" fillId="0" borderId="1" xfId="1689" applyNumberFormat="1" applyFont="1" applyFill="1" applyBorder="1" applyAlignment="1">
      <alignment horizontal="left" vertical="center" wrapText="1"/>
    </xf>
    <xf numFmtId="0" fontId="148" fillId="0" borderId="1" xfId="1689" applyFont="1" applyFill="1" applyBorder="1" applyAlignment="1">
      <alignment horizontal="left" vertical="center" wrapText="1"/>
    </xf>
    <xf numFmtId="0" fontId="27" fillId="33" borderId="1" xfId="1689" quotePrefix="1" applyFont="1" applyFill="1" applyBorder="1" applyAlignment="1">
      <alignment horizontal="center" vertical="center" wrapText="1"/>
    </xf>
    <xf numFmtId="2" fontId="26" fillId="33" borderId="1" xfId="1689" applyNumberFormat="1" applyFont="1" applyFill="1" applyBorder="1" applyAlignment="1">
      <alignment horizontal="center" vertical="center" wrapText="1"/>
    </xf>
    <xf numFmtId="0" fontId="27" fillId="0" borderId="0" xfId="1689" applyFill="1"/>
    <xf numFmtId="0" fontId="154" fillId="33" borderId="1" xfId="2223" applyFont="1" applyFill="1" applyBorder="1" applyAlignment="1">
      <alignment horizontal="center" vertical="center" wrapText="1"/>
    </xf>
    <xf numFmtId="0" fontId="90" fillId="33" borderId="1" xfId="1689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116" fillId="0" borderId="10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108" fillId="0" borderId="4" xfId="1" applyFont="1" applyFill="1" applyBorder="1" applyAlignment="1">
      <alignment horizontal="center" vertical="center" wrapText="1"/>
    </xf>
    <xf numFmtId="0" fontId="30" fillId="0" borderId="1" xfId="2218" applyFont="1" applyFill="1" applyBorder="1" applyAlignment="1">
      <alignment horizontal="center" vertical="center" wrapText="1"/>
    </xf>
    <xf numFmtId="0" fontId="27" fillId="0" borderId="1" xfId="1689" applyFont="1" applyFill="1" applyBorder="1" applyAlignment="1">
      <alignment horizontal="center" vertical="center" wrapText="1"/>
    </xf>
    <xf numFmtId="0" fontId="67" fillId="0" borderId="1" xfId="1689" applyFont="1" applyFill="1" applyBorder="1" applyAlignment="1">
      <alignment horizontal="center" vertical="center" wrapText="1"/>
    </xf>
    <xf numFmtId="0" fontId="26" fillId="0" borderId="0" xfId="2229" applyFont="1" applyAlignment="1">
      <alignment horizontal="right"/>
    </xf>
    <xf numFmtId="0" fontId="88" fillId="0" borderId="0" xfId="2229" applyFont="1"/>
    <xf numFmtId="0" fontId="88" fillId="0" borderId="2" xfId="2229" applyFont="1" applyBorder="1"/>
    <xf numFmtId="0" fontId="27" fillId="0" borderId="0" xfId="2229" applyFont="1" applyAlignment="1"/>
    <xf numFmtId="0" fontId="27" fillId="0" borderId="0" xfId="2229" applyFont="1"/>
    <xf numFmtId="0" fontId="91" fillId="0" borderId="0" xfId="2229" applyFont="1" applyAlignment="1">
      <alignment vertical="top"/>
    </xf>
    <xf numFmtId="0" fontId="27" fillId="0" borderId="0" xfId="2229" applyFont="1" applyAlignment="1">
      <alignment vertical="top"/>
    </xf>
    <xf numFmtId="0" fontId="26" fillId="0" borderId="0" xfId="2229" applyFont="1"/>
    <xf numFmtId="0" fontId="88" fillId="0" borderId="0" xfId="2229" applyFont="1" applyBorder="1"/>
    <xf numFmtId="0" fontId="27" fillId="0" borderId="0" xfId="2229" applyFont="1" applyAlignment="1">
      <alignment horizontal="left" indent="1"/>
    </xf>
    <xf numFmtId="0" fontId="92" fillId="0" borderId="1" xfId="2229" applyFont="1" applyBorder="1" applyAlignment="1">
      <alignment horizontal="center" vertical="center" wrapText="1"/>
    </xf>
    <xf numFmtId="0" fontId="92" fillId="0" borderId="3" xfId="2229" applyFont="1" applyBorder="1" applyAlignment="1">
      <alignment horizontal="center" vertical="center" wrapText="1"/>
    </xf>
    <xf numFmtId="0" fontId="27" fillId="0" borderId="8" xfId="2229" applyFont="1" applyBorder="1" applyAlignment="1">
      <alignment horizontal="left" vertical="top" wrapText="1"/>
    </xf>
    <xf numFmtId="0" fontId="27" fillId="0" borderId="8" xfId="2229" applyFont="1" applyBorder="1" applyAlignment="1">
      <alignment horizontal="center" vertical="top" wrapText="1"/>
    </xf>
    <xf numFmtId="0" fontId="27" fillId="0" borderId="8" xfId="2229" applyNumberFormat="1" applyFont="1" applyBorder="1" applyAlignment="1">
      <alignment horizontal="right" vertical="top" wrapText="1"/>
    </xf>
    <xf numFmtId="0" fontId="94" fillId="0" borderId="9" xfId="2229" applyFont="1" applyBorder="1" applyAlignment="1">
      <alignment horizontal="left" vertical="top" wrapText="1"/>
    </xf>
    <xf numFmtId="0" fontId="94" fillId="0" borderId="9" xfId="2229" applyFont="1" applyBorder="1" applyAlignment="1">
      <alignment horizontal="center" vertical="top" wrapText="1"/>
    </xf>
    <xf numFmtId="0" fontId="94" fillId="0" borderId="9" xfId="2229" applyNumberFormat="1" applyFont="1" applyBorder="1" applyAlignment="1">
      <alignment horizontal="right" vertical="top" wrapText="1"/>
    </xf>
    <xf numFmtId="0" fontId="26" fillId="0" borderId="8" xfId="2229" applyFont="1" applyBorder="1" applyAlignment="1">
      <alignment vertical="top" wrapText="1"/>
    </xf>
    <xf numFmtId="0" fontId="90" fillId="0" borderId="8" xfId="2229" applyNumberFormat="1" applyFont="1" applyBorder="1" applyAlignment="1">
      <alignment horizontal="right" vertical="top" wrapText="1"/>
    </xf>
    <xf numFmtId="0" fontId="26" fillId="0" borderId="1" xfId="2229" applyFont="1" applyBorder="1" applyAlignment="1">
      <alignment vertical="top" wrapText="1"/>
    </xf>
    <xf numFmtId="43" fontId="90" fillId="0" borderId="1" xfId="2230" applyFont="1" applyBorder="1" applyAlignment="1">
      <alignment horizontal="right" vertical="top" wrapText="1"/>
    </xf>
    <xf numFmtId="0" fontId="26" fillId="0" borderId="0" xfId="2229" applyFont="1" applyAlignment="1">
      <alignment vertical="top" wrapText="1"/>
    </xf>
    <xf numFmtId="0" fontId="27" fillId="0" borderId="0" xfId="2229" applyFont="1" applyAlignment="1">
      <alignment horizontal="left" vertical="top" wrapText="1"/>
    </xf>
    <xf numFmtId="0" fontId="27" fillId="0" borderId="0" xfId="2229" applyFont="1" applyAlignment="1">
      <alignment horizontal="center" vertical="top" wrapText="1"/>
    </xf>
    <xf numFmtId="0" fontId="27" fillId="0" borderId="0" xfId="2229" applyNumberFormat="1" applyFont="1" applyAlignment="1">
      <alignment horizontal="right" vertical="top" wrapText="1"/>
    </xf>
    <xf numFmtId="0" fontId="116" fillId="0" borderId="50" xfId="1370" applyFont="1" applyFill="1" applyBorder="1" applyAlignment="1"/>
    <xf numFmtId="0" fontId="116" fillId="0" borderId="3" xfId="1370" applyFont="1" applyFill="1" applyBorder="1" applyAlignment="1"/>
    <xf numFmtId="0" fontId="116" fillId="0" borderId="56" xfId="1370" applyFont="1" applyFill="1" applyBorder="1" applyAlignment="1">
      <alignment horizontal="left"/>
    </xf>
    <xf numFmtId="0" fontId="116" fillId="0" borderId="55" xfId="1370" applyFont="1" applyFill="1" applyBorder="1" applyAlignment="1">
      <alignment horizontal="right"/>
    </xf>
    <xf numFmtId="0" fontId="115" fillId="0" borderId="48" xfId="1370" applyFont="1" applyBorder="1" applyAlignment="1">
      <alignment horizontal="center" vertical="center"/>
    </xf>
    <xf numFmtId="0" fontId="3" fillId="0" borderId="0" xfId="2216" applyFont="1" applyFill="1"/>
    <xf numFmtId="0" fontId="67" fillId="33" borderId="1" xfId="1689" quotePrefix="1" applyFont="1" applyFill="1" applyBorder="1" applyAlignment="1">
      <alignment horizontal="center" vertical="center" wrapText="1"/>
    </xf>
    <xf numFmtId="17" fontId="27" fillId="0" borderId="1" xfId="1689" quotePrefix="1" applyNumberFormat="1" applyFont="1" applyFill="1" applyBorder="1" applyAlignment="1">
      <alignment horizontal="center" vertical="center" wrapText="1"/>
    </xf>
    <xf numFmtId="0" fontId="118" fillId="0" borderId="0" xfId="1690" applyFont="1" applyFill="1" applyBorder="1" applyAlignment="1">
      <alignment horizontal="center" vertical="center" wrapText="1"/>
    </xf>
    <xf numFmtId="10" fontId="118" fillId="0" borderId="1" xfId="1690" applyNumberFormat="1" applyFont="1" applyFill="1" applyBorder="1" applyAlignment="1">
      <alignment horizontal="center" vertical="center" wrapText="1"/>
    </xf>
    <xf numFmtId="0" fontId="118" fillId="0" borderId="32" xfId="1690" applyFont="1" applyFill="1" applyBorder="1" applyAlignment="1">
      <alignment vertical="top"/>
    </xf>
    <xf numFmtId="0" fontId="118" fillId="0" borderId="33" xfId="1690" applyFont="1" applyFill="1" applyBorder="1" applyAlignment="1">
      <alignment vertical="top" wrapText="1"/>
    </xf>
    <xf numFmtId="0" fontId="118" fillId="0" borderId="33" xfId="1690" applyFont="1" applyFill="1" applyBorder="1" applyAlignment="1">
      <alignment horizontal="right" vertical="top" wrapText="1"/>
    </xf>
    <xf numFmtId="0" fontId="118" fillId="0" borderId="33" xfId="1690" applyFont="1" applyFill="1" applyBorder="1" applyAlignment="1">
      <alignment horizontal="right" vertical="top"/>
    </xf>
    <xf numFmtId="4" fontId="117" fillId="0" borderId="1" xfId="1690" applyNumberFormat="1" applyFont="1" applyFill="1" applyBorder="1" applyAlignment="1">
      <alignment horizontal="center" vertical="center"/>
    </xf>
    <xf numFmtId="0" fontId="117" fillId="0" borderId="1" xfId="1690" applyFont="1" applyFill="1" applyBorder="1" applyAlignment="1">
      <alignment vertical="top"/>
    </xf>
    <xf numFmtId="0" fontId="102" fillId="0" borderId="1" xfId="1690" applyFont="1" applyFill="1" applyBorder="1"/>
    <xf numFmtId="0" fontId="118" fillId="0" borderId="1" xfId="1690" applyFont="1" applyFill="1" applyBorder="1" applyAlignment="1">
      <alignment horizontal="right" vertical="top" wrapText="1"/>
    </xf>
    <xf numFmtId="0" fontId="118" fillId="0" borderId="1" xfId="1690" applyFont="1" applyFill="1" applyBorder="1" applyAlignment="1">
      <alignment vertical="top"/>
    </xf>
    <xf numFmtId="0" fontId="118" fillId="0" borderId="1" xfId="1690" applyFont="1" applyFill="1" applyBorder="1" applyAlignment="1">
      <alignment vertical="center" wrapText="1"/>
    </xf>
    <xf numFmtId="4" fontId="118" fillId="0" borderId="1" xfId="1690" applyNumberFormat="1" applyFont="1" applyFill="1" applyBorder="1" applyAlignment="1">
      <alignment horizontal="center" vertical="center" wrapText="1"/>
    </xf>
    <xf numFmtId="9" fontId="118" fillId="0" borderId="1" xfId="1690" applyNumberFormat="1" applyFont="1" applyFill="1" applyBorder="1" applyAlignment="1">
      <alignment vertical="center" wrapText="1"/>
    </xf>
    <xf numFmtId="0" fontId="117" fillId="0" borderId="1" xfId="1690" applyFont="1" applyFill="1" applyBorder="1" applyAlignment="1">
      <alignment horizontal="center"/>
    </xf>
    <xf numFmtId="0" fontId="118" fillId="0" borderId="1" xfId="1690" applyFont="1" applyFill="1" applyBorder="1"/>
    <xf numFmtId="0" fontId="117" fillId="0" borderId="1" xfId="1690" applyFont="1" applyFill="1" applyBorder="1"/>
    <xf numFmtId="0" fontId="118" fillId="0" borderId="1" xfId="1690" applyFont="1" applyFill="1" applyBorder="1" applyAlignment="1">
      <alignment horizontal="left" vertical="top" wrapText="1"/>
    </xf>
    <xf numFmtId="10" fontId="118" fillId="0" borderId="1" xfId="1690" applyNumberFormat="1" applyFont="1" applyFill="1" applyBorder="1" applyAlignment="1">
      <alignment horizontal="center" vertical="center"/>
    </xf>
    <xf numFmtId="0" fontId="118" fillId="0" borderId="0" xfId="1690" applyFont="1" applyFill="1" applyBorder="1" applyAlignment="1">
      <alignment horizontal="center" vertical="center"/>
    </xf>
    <xf numFmtId="2" fontId="118" fillId="0" borderId="8" xfId="1690" applyNumberFormat="1" applyFont="1" applyFill="1" applyBorder="1" applyAlignment="1">
      <alignment horizontal="center" vertical="center"/>
    </xf>
    <xf numFmtId="0" fontId="118" fillId="0" borderId="10" xfId="1690" applyFont="1" applyFill="1" applyBorder="1" applyAlignment="1">
      <alignment horizontal="center" vertical="center"/>
    </xf>
    <xf numFmtId="0" fontId="118" fillId="0" borderId="10" xfId="1690" applyFont="1" applyFill="1" applyBorder="1" applyAlignment="1">
      <alignment vertical="top" wrapText="1"/>
    </xf>
    <xf numFmtId="2" fontId="118" fillId="0" borderId="10" xfId="1690" applyNumberFormat="1" applyFont="1" applyFill="1" applyBorder="1" applyAlignment="1">
      <alignment horizontal="center" vertical="center" wrapText="1"/>
    </xf>
    <xf numFmtId="0" fontId="118" fillId="0" borderId="11" xfId="1690" applyFont="1" applyFill="1" applyBorder="1" applyAlignment="1">
      <alignment horizontal="right" vertical="top" wrapText="1"/>
    </xf>
    <xf numFmtId="49" fontId="38" fillId="0" borderId="1" xfId="3" applyNumberFormat="1" applyFont="1" applyFill="1" applyBorder="1" applyAlignment="1">
      <alignment vertical="top" wrapText="1"/>
    </xf>
    <xf numFmtId="0" fontId="30" fillId="0" borderId="1" xfId="1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left" vertical="center"/>
    </xf>
    <xf numFmtId="181" fontId="30" fillId="0" borderId="1" xfId="1" applyNumberFormat="1" applyFont="1" applyFill="1" applyBorder="1" applyAlignment="1">
      <alignment horizontal="center" vertical="center" wrapText="1"/>
    </xf>
    <xf numFmtId="181" fontId="30" fillId="0" borderId="1" xfId="1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128" fillId="0" borderId="1" xfId="1" applyFont="1" applyFill="1" applyBorder="1" applyAlignment="1">
      <alignment horizontal="left" vertical="center" wrapText="1"/>
    </xf>
    <xf numFmtId="2" fontId="30" fillId="0" borderId="1" xfId="1" applyNumberFormat="1" applyFont="1" applyFill="1" applyBorder="1" applyAlignment="1">
      <alignment horizontal="center" vertical="center"/>
    </xf>
    <xf numFmtId="0" fontId="108" fillId="0" borderId="1" xfId="1" applyFont="1" applyFill="1" applyBorder="1" applyAlignment="1">
      <alignment horizontal="center" vertical="center"/>
    </xf>
    <xf numFmtId="9" fontId="30" fillId="0" borderId="1" xfId="1" applyNumberFormat="1" applyFont="1" applyFill="1" applyBorder="1" applyAlignment="1">
      <alignment horizontal="left" vertical="center" wrapText="1"/>
    </xf>
    <xf numFmtId="176" fontId="30" fillId="0" borderId="1" xfId="1" applyNumberFormat="1" applyFont="1" applyFill="1" applyBorder="1" applyAlignment="1">
      <alignment horizontal="center" vertical="center" wrapText="1"/>
    </xf>
    <xf numFmtId="9" fontId="30" fillId="0" borderId="1" xfId="1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1" fontId="30" fillId="0" borderId="1" xfId="1" applyNumberFormat="1" applyFont="1" applyFill="1" applyBorder="1" applyAlignment="1">
      <alignment horizontal="center" vertical="center" wrapText="1"/>
    </xf>
    <xf numFmtId="3" fontId="30" fillId="0" borderId="1" xfId="1" applyNumberFormat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 vertical="center"/>
    </xf>
    <xf numFmtId="4" fontId="108" fillId="0" borderId="1" xfId="1" applyNumberFormat="1" applyFont="1" applyFill="1" applyBorder="1" applyAlignment="1">
      <alignment horizontal="center" vertical="center" wrapText="1"/>
    </xf>
    <xf numFmtId="2" fontId="30" fillId="0" borderId="1" xfId="1" applyNumberFormat="1" applyFont="1" applyFill="1" applyBorder="1" applyAlignment="1">
      <alignment horizontal="left" vertical="center"/>
    </xf>
    <xf numFmtId="10" fontId="30" fillId="0" borderId="1" xfId="1" applyNumberFormat="1" applyFont="1" applyFill="1" applyBorder="1" applyAlignment="1">
      <alignment horizontal="center" vertical="center"/>
    </xf>
    <xf numFmtId="2" fontId="30" fillId="0" borderId="1" xfId="1" applyNumberFormat="1" applyFont="1" applyFill="1" applyBorder="1" applyAlignment="1">
      <alignment horizontal="center"/>
    </xf>
    <xf numFmtId="0" fontId="30" fillId="0" borderId="1" xfId="2216" applyFont="1" applyFill="1" applyBorder="1" applyAlignment="1">
      <alignment horizontal="left" vertical="center" wrapText="1"/>
    </xf>
    <xf numFmtId="2" fontId="30" fillId="0" borderId="1" xfId="1" applyNumberFormat="1" applyFont="1" applyFill="1" applyBorder="1" applyAlignment="1">
      <alignment horizontal="left" vertical="center" wrapText="1"/>
    </xf>
    <xf numFmtId="0" fontId="116" fillId="0" borderId="1" xfId="1" applyFont="1" applyFill="1" applyBorder="1" applyAlignment="1">
      <alignment horizontal="left" vertical="center" wrapText="1"/>
    </xf>
    <xf numFmtId="0" fontId="137" fillId="0" borderId="1" xfId="1" applyFont="1" applyFill="1" applyBorder="1" applyAlignment="1">
      <alignment horizontal="center" vertical="center" wrapText="1"/>
    </xf>
    <xf numFmtId="0" fontId="95" fillId="0" borderId="1" xfId="1" applyFont="1" applyFill="1" applyBorder="1" applyAlignment="1">
      <alignment horizontal="center" vertical="center"/>
    </xf>
    <xf numFmtId="0" fontId="128" fillId="0" borderId="1" xfId="2216" applyFont="1" applyFill="1" applyBorder="1" applyAlignment="1">
      <alignment horizontal="left" vertical="center" wrapText="1"/>
    </xf>
    <xf numFmtId="4" fontId="130" fillId="0" borderId="1" xfId="2216" applyNumberFormat="1" applyFont="1" applyFill="1" applyBorder="1" applyAlignment="1">
      <alignment horizontal="center" vertical="center" wrapText="1"/>
    </xf>
    <xf numFmtId="9" fontId="116" fillId="0" borderId="10" xfId="1" applyNumberFormat="1" applyFont="1" applyFill="1" applyBorder="1" applyAlignment="1">
      <alignment horizontal="center" vertical="center" wrapText="1"/>
    </xf>
    <xf numFmtId="0" fontId="116" fillId="0" borderId="1" xfId="2216" applyFont="1" applyFill="1" applyBorder="1" applyAlignment="1">
      <alignment horizontal="center" vertical="center" wrapText="1"/>
    </xf>
    <xf numFmtId="9" fontId="116" fillId="0" borderId="1" xfId="2216" applyNumberFormat="1" applyFont="1" applyFill="1" applyBorder="1" applyAlignment="1">
      <alignment horizontal="center" vertical="center" wrapText="1"/>
    </xf>
    <xf numFmtId="9" fontId="116" fillId="0" borderId="1" xfId="1" applyNumberFormat="1" applyFont="1" applyFill="1" applyBorder="1" applyAlignment="1">
      <alignment horizontal="center" vertical="center" wrapText="1"/>
    </xf>
    <xf numFmtId="180" fontId="30" fillId="0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 shrinkToFit="1"/>
    </xf>
    <xf numFmtId="9" fontId="30" fillId="0" borderId="1" xfId="2042" applyFont="1" applyFill="1" applyBorder="1" applyAlignment="1">
      <alignment horizontal="center" vertical="center" wrapText="1"/>
    </xf>
    <xf numFmtId="180" fontId="30" fillId="0" borderId="5" xfId="1" applyNumberFormat="1" applyFont="1" applyFill="1" applyBorder="1" applyAlignment="1">
      <alignment horizontal="center" vertical="center" wrapText="1"/>
    </xf>
    <xf numFmtId="10" fontId="30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center" vertical="center" wrapText="1"/>
    </xf>
    <xf numFmtId="3" fontId="30" fillId="0" borderId="1" xfId="1" applyNumberFormat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left" vertical="center" wrapText="1"/>
    </xf>
    <xf numFmtId="174" fontId="30" fillId="0" borderId="1" xfId="1" applyNumberFormat="1" applyFont="1" applyFill="1" applyBorder="1" applyAlignment="1">
      <alignment horizontal="center" vertical="center" wrapText="1"/>
    </xf>
    <xf numFmtId="0" fontId="30" fillId="0" borderId="8" xfId="2218" applyFont="1" applyFill="1" applyBorder="1" applyAlignment="1">
      <alignment horizontal="center" vertical="center" wrapText="1"/>
    </xf>
    <xf numFmtId="0" fontId="30" fillId="0" borderId="8" xfId="2218" applyFont="1" applyFill="1" applyBorder="1" applyAlignment="1">
      <alignment horizontal="left" vertical="center" wrapText="1"/>
    </xf>
    <xf numFmtId="0" fontId="30" fillId="0" borderId="1" xfId="2218" applyFont="1" applyFill="1" applyBorder="1" applyAlignment="1">
      <alignment horizontal="center" vertical="center"/>
    </xf>
    <xf numFmtId="2" fontId="30" fillId="0" borderId="1" xfId="2218" applyNumberFormat="1" applyFont="1" applyFill="1" applyBorder="1" applyAlignment="1">
      <alignment horizontal="center" vertical="center" wrapText="1"/>
    </xf>
    <xf numFmtId="0" fontId="118" fillId="0" borderId="1" xfId="2218" applyFont="1" applyFill="1" applyBorder="1" applyAlignment="1">
      <alignment vertical="center" wrapText="1"/>
    </xf>
    <xf numFmtId="0" fontId="30" fillId="0" borderId="1" xfId="2218" applyFont="1" applyFill="1" applyBorder="1" applyAlignment="1">
      <alignment vertical="center" wrapText="1"/>
    </xf>
    <xf numFmtId="2" fontId="30" fillId="0" borderId="1" xfId="2218" applyNumberFormat="1" applyFont="1" applyFill="1" applyBorder="1" applyAlignment="1">
      <alignment horizontal="center" vertical="center"/>
    </xf>
    <xf numFmtId="176" fontId="30" fillId="0" borderId="1" xfId="2218" applyNumberFormat="1" applyFont="1" applyFill="1" applyBorder="1" applyAlignment="1">
      <alignment horizontal="center" vertical="center"/>
    </xf>
    <xf numFmtId="0" fontId="30" fillId="0" borderId="0" xfId="2218" applyFont="1" applyFill="1" applyBorder="1" applyAlignment="1">
      <alignment vertical="center" wrapText="1"/>
    </xf>
    <xf numFmtId="0" fontId="30" fillId="0" borderId="10" xfId="2218" applyFont="1" applyFill="1" applyBorder="1" applyAlignment="1">
      <alignment horizontal="center" vertical="center"/>
    </xf>
    <xf numFmtId="0" fontId="30" fillId="0" borderId="8" xfId="2218" applyFont="1" applyFill="1" applyBorder="1" applyAlignment="1">
      <alignment vertical="center" wrapText="1"/>
    </xf>
    <xf numFmtId="0" fontId="30" fillId="0" borderId="8" xfId="2218" applyFont="1" applyFill="1" applyBorder="1" applyAlignment="1">
      <alignment horizontal="center" vertical="center"/>
    </xf>
    <xf numFmtId="9" fontId="30" fillId="0" borderId="1" xfId="2218" applyNumberFormat="1" applyFont="1" applyFill="1" applyBorder="1" applyAlignment="1">
      <alignment horizontal="center" vertical="center" wrapText="1"/>
    </xf>
    <xf numFmtId="1" fontId="30" fillId="0" borderId="1" xfId="2218" applyNumberFormat="1" applyFont="1" applyFill="1" applyBorder="1" applyAlignment="1">
      <alignment horizontal="center" vertical="center"/>
    </xf>
    <xf numFmtId="0" fontId="108" fillId="0" borderId="5" xfId="2218" applyFont="1" applyFill="1" applyBorder="1" applyAlignment="1">
      <alignment vertical="center"/>
    </xf>
    <xf numFmtId="0" fontId="108" fillId="0" borderId="1" xfId="2218" applyFont="1" applyFill="1" applyBorder="1" applyAlignment="1">
      <alignment vertical="center"/>
    </xf>
    <xf numFmtId="9" fontId="108" fillId="0" borderId="1" xfId="2218" applyNumberFormat="1" applyFont="1" applyFill="1" applyBorder="1" applyAlignment="1">
      <alignment horizontal="center" vertical="center"/>
    </xf>
    <xf numFmtId="164" fontId="108" fillId="0" borderId="1" xfId="2" applyFont="1" applyFill="1" applyBorder="1" applyAlignment="1">
      <alignment vertical="center"/>
    </xf>
    <xf numFmtId="0" fontId="27" fillId="0" borderId="1" xfId="2223" applyFont="1" applyFill="1" applyBorder="1" applyAlignment="1">
      <alignment horizontal="center" vertical="center" wrapText="1"/>
    </xf>
    <xf numFmtId="16" fontId="27" fillId="0" borderId="1" xfId="1689" quotePrefix="1" applyNumberFormat="1" applyFont="1" applyFill="1" applyBorder="1" applyAlignment="1">
      <alignment horizontal="center" vertical="center" wrapText="1"/>
    </xf>
    <xf numFmtId="49" fontId="133" fillId="0" borderId="1" xfId="1689" applyNumberFormat="1" applyFont="1" applyFill="1" applyBorder="1" applyAlignment="1">
      <alignment horizontal="center" vertical="center" wrapText="1"/>
    </xf>
    <xf numFmtId="0" fontId="133" fillId="0" borderId="1" xfId="1689" applyNumberFormat="1" applyFont="1" applyFill="1" applyBorder="1" applyAlignment="1">
      <alignment horizontal="center" vertical="center" wrapText="1"/>
    </xf>
    <xf numFmtId="4" fontId="133" fillId="0" borderId="1" xfId="1689" applyNumberFormat="1" applyFont="1" applyFill="1" applyBorder="1" applyAlignment="1">
      <alignment horizontal="center" vertical="center" wrapText="1"/>
    </xf>
    <xf numFmtId="0" fontId="152" fillId="0" borderId="1" xfId="2223" applyFont="1" applyFill="1" applyBorder="1" applyAlignment="1">
      <alignment vertical="top" wrapText="1"/>
    </xf>
    <xf numFmtId="0" fontId="27" fillId="0" borderId="1" xfId="1689" applyFill="1" applyBorder="1" applyAlignment="1">
      <alignment horizontal="center" vertical="center" wrapText="1"/>
    </xf>
    <xf numFmtId="0" fontId="90" fillId="0" borderId="13" xfId="2217" applyFont="1" applyBorder="1" applyAlignment="1">
      <alignment horizontal="right" vertical="top" wrapText="1"/>
    </xf>
    <xf numFmtId="0" fontId="27" fillId="0" borderId="8" xfId="2217" applyFont="1" applyBorder="1" applyAlignment="1">
      <alignment horizontal="left" vertical="top" wrapText="1"/>
    </xf>
    <xf numFmtId="2" fontId="27" fillId="0" borderId="8" xfId="2217" applyNumberFormat="1" applyFont="1" applyBorder="1" applyAlignment="1">
      <alignment horizontal="left" vertical="top" wrapText="1"/>
    </xf>
    <xf numFmtId="0" fontId="90" fillId="0" borderId="73" xfId="2217" applyFont="1" applyBorder="1" applyAlignment="1">
      <alignment horizontal="left" vertical="top" wrapText="1"/>
    </xf>
    <xf numFmtId="0" fontId="27" fillId="0" borderId="73" xfId="2217" applyFont="1" applyBorder="1" applyAlignment="1">
      <alignment horizontal="left" vertical="top" wrapText="1"/>
    </xf>
    <xf numFmtId="0" fontId="2" fillId="0" borderId="1" xfId="2216" applyFont="1" applyBorder="1"/>
    <xf numFmtId="0" fontId="121" fillId="0" borderId="1" xfId="2216" applyFont="1" applyBorder="1"/>
    <xf numFmtId="0" fontId="8" fillId="0" borderId="1" xfId="2216" applyBorder="1" applyAlignment="1">
      <alignment vertical="top"/>
    </xf>
    <xf numFmtId="49" fontId="90" fillId="0" borderId="8" xfId="2217" quotePrefix="1" applyNumberFormat="1" applyFont="1" applyBorder="1" applyAlignment="1">
      <alignment horizontal="right" vertical="top" wrapText="1"/>
    </xf>
    <xf numFmtId="0" fontId="27" fillId="0" borderId="9" xfId="2217" applyBorder="1" applyAlignment="1">
      <alignment horizontal="left" vertical="top" wrapText="1"/>
    </xf>
    <xf numFmtId="0" fontId="90" fillId="0" borderId="9" xfId="2217" applyFont="1" applyBorder="1" applyAlignment="1">
      <alignment horizontal="left" vertical="top" wrapText="1"/>
    </xf>
    <xf numFmtId="0" fontId="27" fillId="0" borderId="13" xfId="2217" applyFont="1" applyBorder="1" applyAlignment="1">
      <alignment horizontal="right" vertical="top" wrapText="1"/>
    </xf>
    <xf numFmtId="2" fontId="8" fillId="0" borderId="1" xfId="2216" applyNumberFormat="1" applyBorder="1" applyAlignment="1">
      <alignment vertical="top"/>
    </xf>
    <xf numFmtId="49" fontId="90" fillId="0" borderId="9" xfId="2217" applyNumberFormat="1" applyFont="1" applyBorder="1" applyAlignment="1">
      <alignment horizontal="right" vertical="top" wrapText="1"/>
    </xf>
    <xf numFmtId="0" fontId="2" fillId="0" borderId="0" xfId="2216" applyFont="1"/>
    <xf numFmtId="0" fontId="36" fillId="0" borderId="1" xfId="2216" applyFont="1" applyBorder="1"/>
    <xf numFmtId="0" fontId="36" fillId="0" borderId="0" xfId="2216" applyFont="1"/>
    <xf numFmtId="0" fontId="36" fillId="0" borderId="1" xfId="2216" applyFont="1" applyBorder="1" applyAlignment="1">
      <alignment vertical="top"/>
    </xf>
    <xf numFmtId="2" fontId="36" fillId="0" borderId="1" xfId="2216" applyNumberFormat="1" applyFont="1" applyBorder="1"/>
    <xf numFmtId="0" fontId="36" fillId="0" borderId="0" xfId="2216" applyFont="1" applyFill="1"/>
    <xf numFmtId="0" fontId="27" fillId="0" borderId="1" xfId="2217" applyFont="1" applyBorder="1" applyAlignment="1">
      <alignment horizontal="left" vertical="top" wrapText="1"/>
    </xf>
    <xf numFmtId="0" fontId="27" fillId="0" borderId="1" xfId="2217" applyBorder="1" applyAlignment="1">
      <alignment horizontal="right" vertical="top" wrapText="1"/>
    </xf>
    <xf numFmtId="9" fontId="90" fillId="0" borderId="1" xfId="2217" applyNumberFormat="1" applyFont="1" applyBorder="1" applyAlignment="1">
      <alignment horizontal="left" vertical="top" wrapText="1"/>
    </xf>
    <xf numFmtId="2" fontId="90" fillId="0" borderId="1" xfId="2217" applyNumberFormat="1" applyFont="1" applyBorder="1" applyAlignment="1">
      <alignment horizontal="left" vertical="top" wrapText="1"/>
    </xf>
    <xf numFmtId="49" fontId="27" fillId="0" borderId="1" xfId="2217" applyNumberFormat="1" applyFont="1" applyBorder="1" applyAlignment="1">
      <alignment horizontal="right" vertical="top" wrapText="1"/>
    </xf>
    <xf numFmtId="49" fontId="90" fillId="0" borderId="1" xfId="2217" applyNumberFormat="1" applyFont="1" applyBorder="1" applyAlignment="1">
      <alignment horizontal="center" vertical="top" wrapText="1"/>
    </xf>
    <xf numFmtId="0" fontId="111" fillId="0" borderId="1" xfId="2216" applyFont="1" applyBorder="1"/>
    <xf numFmtId="0" fontId="111" fillId="0" borderId="0" xfId="2216" applyFont="1"/>
    <xf numFmtId="9" fontId="27" fillId="0" borderId="1" xfId="2217" applyNumberFormat="1" applyFont="1" applyBorder="1" applyAlignment="1">
      <alignment horizontal="right" vertical="top" wrapText="1"/>
    </xf>
    <xf numFmtId="2" fontId="111" fillId="0" borderId="1" xfId="2216" applyNumberFormat="1" applyFont="1" applyBorder="1"/>
    <xf numFmtId="4" fontId="2" fillId="0" borderId="0" xfId="2216" applyNumberFormat="1" applyFont="1"/>
    <xf numFmtId="4" fontId="171" fillId="0" borderId="1" xfId="2217" applyNumberFormat="1" applyFont="1" applyBorder="1" applyAlignment="1">
      <alignment horizontal="right" vertical="top" wrapText="1"/>
    </xf>
    <xf numFmtId="49" fontId="90" fillId="0" borderId="10" xfId="2217" applyNumberFormat="1" applyFont="1" applyBorder="1" applyAlignment="1">
      <alignment horizontal="center" vertical="top" wrapText="1"/>
    </xf>
    <xf numFmtId="2" fontId="90" fillId="0" borderId="10" xfId="2217" applyNumberFormat="1" applyFont="1" applyBorder="1" applyAlignment="1">
      <alignment horizontal="left" vertical="top" wrapText="1"/>
    </xf>
    <xf numFmtId="0" fontId="90" fillId="0" borderId="10" xfId="2217" applyFont="1" applyBorder="1" applyAlignment="1">
      <alignment horizontal="right" vertical="top" wrapText="1"/>
    </xf>
    <xf numFmtId="9" fontId="27" fillId="0" borderId="1" xfId="2217" applyNumberFormat="1" applyFont="1" applyBorder="1" applyAlignment="1">
      <alignment horizontal="left" vertical="top" wrapText="1"/>
    </xf>
    <xf numFmtId="4" fontId="27" fillId="0" borderId="1" xfId="2217" applyNumberFormat="1" applyFont="1" applyBorder="1" applyAlignment="1">
      <alignment horizontal="right" vertical="top" wrapText="1"/>
    </xf>
    <xf numFmtId="4" fontId="36" fillId="0" borderId="1" xfId="2216" applyNumberFormat="1" applyFont="1" applyBorder="1"/>
    <xf numFmtId="0" fontId="8" fillId="0" borderId="8" xfId="2216" applyBorder="1"/>
    <xf numFmtId="0" fontId="90" fillId="0" borderId="8" xfId="2217" applyFont="1" applyBorder="1" applyAlignment="1">
      <alignment horizontal="right" vertical="top" wrapText="1"/>
    </xf>
    <xf numFmtId="0" fontId="36" fillId="0" borderId="8" xfId="2216" applyFont="1" applyBorder="1"/>
    <xf numFmtId="2" fontId="36" fillId="0" borderId="8" xfId="2216" applyNumberFormat="1" applyFont="1" applyBorder="1" applyAlignment="1">
      <alignment vertical="top"/>
    </xf>
    <xf numFmtId="0" fontId="111" fillId="0" borderId="10" xfId="2216" applyFont="1" applyBorder="1"/>
    <xf numFmtId="4" fontId="111" fillId="0" borderId="10" xfId="2216" applyNumberFormat="1" applyFont="1" applyBorder="1"/>
    <xf numFmtId="4" fontId="111" fillId="0" borderId="1" xfId="2216" applyNumberFormat="1" applyFont="1" applyBorder="1" applyAlignment="1">
      <alignment vertical="center"/>
    </xf>
    <xf numFmtId="0" fontId="1" fillId="0" borderId="0" xfId="2231"/>
    <xf numFmtId="0" fontId="158" fillId="0" borderId="1" xfId="2231" applyFont="1" applyBorder="1" applyAlignment="1">
      <alignment horizontal="center" vertical="center" wrapText="1"/>
    </xf>
    <xf numFmtId="0" fontId="158" fillId="0" borderId="1" xfId="2231" applyFont="1" applyFill="1" applyBorder="1" applyAlignment="1">
      <alignment horizontal="center" vertical="center" textRotation="90" wrapText="1"/>
    </xf>
    <xf numFmtId="0" fontId="160" fillId="0" borderId="1" xfId="2231" applyFont="1" applyBorder="1" applyAlignment="1">
      <alignment horizontal="center" vertical="center" wrapText="1"/>
    </xf>
    <xf numFmtId="0" fontId="162" fillId="0" borderId="1" xfId="2231" applyFont="1" applyBorder="1" applyAlignment="1">
      <alignment vertical="center" wrapText="1"/>
    </xf>
    <xf numFmtId="0" fontId="102" fillId="0" borderId="1" xfId="2231" applyFont="1" applyBorder="1" applyAlignment="1">
      <alignment horizontal="center" vertical="center" wrapText="1"/>
    </xf>
    <xf numFmtId="14" fontId="102" fillId="0" borderId="1" xfId="2231" applyNumberFormat="1" applyFont="1" applyBorder="1" applyAlignment="1">
      <alignment horizontal="center" vertical="center" wrapText="1"/>
    </xf>
    <xf numFmtId="0" fontId="1" fillId="0" borderId="0" xfId="2231" applyFont="1"/>
    <xf numFmtId="0" fontId="161" fillId="0" borderId="1" xfId="2231" applyFont="1" applyBorder="1" applyAlignment="1">
      <alignment horizontal="center" vertical="center" wrapText="1"/>
    </xf>
    <xf numFmtId="49" fontId="162" fillId="0" borderId="1" xfId="2231" applyNumberFormat="1" applyFont="1" applyBorder="1" applyAlignment="1">
      <alignment vertical="center" wrapText="1"/>
    </xf>
    <xf numFmtId="0" fontId="102" fillId="0" borderId="1" xfId="2231" applyFont="1" applyBorder="1" applyAlignment="1">
      <alignment vertical="center" wrapText="1"/>
    </xf>
    <xf numFmtId="49" fontId="102" fillId="0" borderId="1" xfId="2231" applyNumberFormat="1" applyFont="1" applyBorder="1" applyAlignment="1">
      <alignment horizontal="left" wrapText="1"/>
    </xf>
    <xf numFmtId="0" fontId="162" fillId="0" borderId="1" xfId="2231" applyFont="1" applyBorder="1" applyAlignment="1">
      <alignment horizontal="left" vertical="center" wrapText="1"/>
    </xf>
    <xf numFmtId="0" fontId="1" fillId="0" borderId="1" xfId="2231" applyFont="1" applyBorder="1"/>
    <xf numFmtId="0" fontId="162" fillId="0" borderId="0" xfId="2231" applyFont="1"/>
    <xf numFmtId="1" fontId="39" fillId="0" borderId="0" xfId="0" applyNumberFormat="1" applyFont="1" applyFill="1" applyAlignment="1">
      <alignment horizontal="center"/>
    </xf>
    <xf numFmtId="1" fontId="0" fillId="0" borderId="1" xfId="0" applyNumberFormat="1" applyBorder="1"/>
    <xf numFmtId="0" fontId="35" fillId="0" borderId="0" xfId="2231" applyFont="1" applyAlignment="1">
      <alignment horizontal="center" wrapText="1"/>
    </xf>
    <xf numFmtId="0" fontId="35" fillId="0" borderId="2" xfId="2231" applyFont="1" applyBorder="1" applyAlignment="1">
      <alignment horizontal="center" wrapText="1"/>
    </xf>
    <xf numFmtId="0" fontId="158" fillId="0" borderId="1" xfId="2231" applyFont="1" applyBorder="1" applyAlignment="1">
      <alignment horizontal="center" vertical="center" wrapText="1"/>
    </xf>
    <xf numFmtId="0" fontId="174" fillId="0" borderId="0" xfId="0" applyFont="1" applyAlignment="1">
      <alignment horizontal="center" vertical="center"/>
    </xf>
    <xf numFmtId="0" fontId="173" fillId="0" borderId="0" xfId="0" applyFont="1" applyAlignment="1">
      <alignment horizontal="center"/>
    </xf>
    <xf numFmtId="0" fontId="35" fillId="0" borderId="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4" fontId="35" fillId="0" borderId="8" xfId="2" applyFont="1" applyFill="1" applyBorder="1" applyAlignment="1">
      <alignment horizontal="center" vertical="center"/>
    </xf>
    <xf numFmtId="164" fontId="35" fillId="0" borderId="9" xfId="2" applyFont="1" applyFill="1" applyBorder="1" applyAlignment="1">
      <alignment horizontal="center" vertical="center"/>
    </xf>
    <xf numFmtId="164" fontId="35" fillId="0" borderId="10" xfId="2" applyFont="1" applyFill="1" applyBorder="1" applyAlignment="1">
      <alignment horizontal="center" vertical="center"/>
    </xf>
    <xf numFmtId="4" fontId="35" fillId="0" borderId="8" xfId="0" applyNumberFormat="1" applyFont="1" applyFill="1" applyBorder="1" applyAlignment="1">
      <alignment horizontal="center" vertical="center"/>
    </xf>
    <xf numFmtId="4" fontId="35" fillId="0" borderId="9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168" fontId="35" fillId="0" borderId="8" xfId="0" applyNumberFormat="1" applyFont="1" applyFill="1" applyBorder="1" applyAlignment="1">
      <alignment horizontal="center" vertical="center"/>
    </xf>
    <xf numFmtId="168" fontId="35" fillId="0" borderId="9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top" wrapText="1"/>
    </xf>
    <xf numFmtId="49" fontId="35" fillId="0" borderId="12" xfId="0" applyNumberFormat="1" applyFont="1" applyFill="1" applyBorder="1" applyAlignment="1">
      <alignment horizontal="justify" vertical="center" wrapText="1"/>
    </xf>
    <xf numFmtId="49" fontId="35" fillId="0" borderId="0" xfId="0" applyNumberFormat="1" applyFont="1" applyFill="1" applyBorder="1" applyAlignment="1">
      <alignment horizontal="justify" vertical="center" wrapText="1"/>
    </xf>
    <xf numFmtId="0" fontId="35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0" xfId="0" quotePrefix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1" fillId="0" borderId="2" xfId="3" applyFont="1" applyBorder="1" applyAlignment="1">
      <alignment horizontal="center"/>
    </xf>
    <xf numFmtId="0" fontId="39" fillId="0" borderId="0" xfId="3" applyFont="1" applyAlignment="1">
      <alignment horizontal="center"/>
    </xf>
    <xf numFmtId="0" fontId="39" fillId="0" borderId="0" xfId="3" applyFont="1" applyAlignment="1">
      <alignment horizontal="left" vertical="center" wrapText="1"/>
    </xf>
    <xf numFmtId="0" fontId="39" fillId="0" borderId="0" xfId="3" applyFont="1" applyFill="1" applyAlignment="1">
      <alignment horizontal="left" vertical="center" wrapText="1"/>
    </xf>
    <xf numFmtId="0" fontId="39" fillId="0" borderId="0" xfId="3" applyFont="1" applyAlignment="1">
      <alignment horizontal="left" vertical="top" wrapText="1"/>
    </xf>
    <xf numFmtId="49" fontId="38" fillId="0" borderId="0" xfId="3" applyNumberFormat="1" applyFont="1" applyAlignment="1">
      <alignment horizontal="left" wrapText="1"/>
    </xf>
    <xf numFmtId="49" fontId="38" fillId="0" borderId="0" xfId="3" applyNumberFormat="1" applyFont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8" fillId="6" borderId="2" xfId="0" applyFont="1" applyFill="1" applyBorder="1" applyAlignment="1">
      <alignment horizontal="left" vertical="top"/>
    </xf>
    <xf numFmtId="0" fontId="38" fillId="0" borderId="3" xfId="0" applyFont="1" applyBorder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38" fillId="0" borderId="5" xfId="0" applyFont="1" applyBorder="1" applyAlignment="1">
      <alignment horizontal="left" wrapText="1"/>
    </xf>
    <xf numFmtId="0" fontId="38" fillId="6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39" fillId="0" borderId="0" xfId="0" quotePrefix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6" borderId="6" xfId="0" applyFont="1" applyFill="1" applyBorder="1" applyAlignment="1">
      <alignment horizontal="left" vertical="top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left" vertical="center" wrapText="1"/>
    </xf>
    <xf numFmtId="0" fontId="38" fillId="6" borderId="5" xfId="0" applyFont="1" applyFill="1" applyBorder="1" applyAlignment="1">
      <alignment horizontal="left" vertical="center" wrapText="1"/>
    </xf>
    <xf numFmtId="0" fontId="111" fillId="0" borderId="1" xfId="0" applyFont="1" applyBorder="1" applyAlignment="1">
      <alignment horizontal="left"/>
    </xf>
    <xf numFmtId="0" fontId="165" fillId="0" borderId="0" xfId="2226" applyAlignment="1">
      <alignment horizontal="center" wrapText="1"/>
    </xf>
    <xf numFmtId="0" fontId="167" fillId="0" borderId="3" xfId="0" applyFont="1" applyBorder="1" applyAlignment="1">
      <alignment horizontal="right" vertical="center" wrapText="1"/>
    </xf>
    <xf numFmtId="0" fontId="167" fillId="0" borderId="4" xfId="0" applyFont="1" applyBorder="1" applyAlignment="1">
      <alignment horizontal="right" vertical="center" wrapText="1"/>
    </xf>
    <xf numFmtId="0" fontId="167" fillId="0" borderId="5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11" fillId="0" borderId="12" xfId="2226" applyFont="1" applyBorder="1" applyAlignment="1">
      <alignment horizontal="left"/>
    </xf>
    <xf numFmtId="0" fontId="111" fillId="0" borderId="0" xfId="2226" applyFont="1" applyAlignment="1">
      <alignment horizontal="left"/>
    </xf>
    <xf numFmtId="0" fontId="111" fillId="0" borderId="15" xfId="2226" applyFont="1" applyBorder="1" applyAlignment="1">
      <alignment horizontal="left"/>
    </xf>
    <xf numFmtId="0" fontId="163" fillId="0" borderId="3" xfId="0" applyFont="1" applyBorder="1" applyAlignment="1">
      <alignment horizontal="left" vertical="center" wrapText="1"/>
    </xf>
    <xf numFmtId="0" fontId="163" fillId="0" borderId="4" xfId="0" applyFont="1" applyBorder="1" applyAlignment="1">
      <alignment horizontal="left" vertical="center" wrapText="1"/>
    </xf>
    <xf numFmtId="0" fontId="163" fillId="0" borderId="5" xfId="0" applyFont="1" applyBorder="1" applyAlignment="1">
      <alignment horizontal="left" vertical="center" wrapText="1"/>
    </xf>
    <xf numFmtId="0" fontId="16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66" fillId="0" borderId="3" xfId="0" applyFont="1" applyBorder="1" applyAlignment="1">
      <alignment horizontal="left" wrapText="1"/>
    </xf>
    <xf numFmtId="0" fontId="166" fillId="0" borderId="4" xfId="0" applyFont="1" applyBorder="1" applyAlignment="1">
      <alignment horizontal="left" wrapText="1"/>
    </xf>
    <xf numFmtId="0" fontId="16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167" fillId="0" borderId="1" xfId="0" applyFont="1" applyBorder="1" applyAlignment="1">
      <alignment horizontal="right" vertical="center" wrapText="1"/>
    </xf>
    <xf numFmtId="0" fontId="36" fillId="0" borderId="0" xfId="0" applyFont="1" applyAlignment="1">
      <alignment horizontal="center" wrapText="1"/>
    </xf>
    <xf numFmtId="0" fontId="36" fillId="0" borderId="0" xfId="0" quotePrefix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8" fillId="4" borderId="0" xfId="3" applyFont="1" applyFill="1" applyAlignment="1">
      <alignment horizontal="left" vertical="center" wrapText="1"/>
    </xf>
    <xf numFmtId="0" fontId="39" fillId="4" borderId="0" xfId="3" applyFont="1" applyFill="1" applyAlignment="1">
      <alignment horizontal="left" vertical="center" wrapText="1"/>
    </xf>
    <xf numFmtId="0" fontId="29" fillId="4" borderId="0" xfId="0" applyFont="1" applyFill="1" applyAlignment="1">
      <alignment horizontal="left" vertical="center"/>
    </xf>
    <xf numFmtId="49" fontId="39" fillId="4" borderId="8" xfId="3" applyNumberFormat="1" applyFont="1" applyFill="1" applyBorder="1" applyAlignment="1">
      <alignment horizontal="center" vertical="center" wrapText="1"/>
    </xf>
    <xf numFmtId="49" fontId="39" fillId="4" borderId="9" xfId="3" applyNumberFormat="1" applyFont="1" applyFill="1" applyBorder="1" applyAlignment="1">
      <alignment horizontal="center" vertical="center" wrapText="1"/>
    </xf>
    <xf numFmtId="0" fontId="39" fillId="4" borderId="0" xfId="3" applyFont="1" applyFill="1" applyAlignment="1">
      <alignment horizontal="center" vertical="center" wrapText="1"/>
    </xf>
    <xf numFmtId="0" fontId="38" fillId="4" borderId="0" xfId="3" applyFont="1" applyFill="1" applyAlignment="1">
      <alignment horizontal="left" vertical="top" wrapText="1"/>
    </xf>
    <xf numFmtId="0" fontId="38" fillId="4" borderId="0" xfId="3" applyFont="1" applyFill="1" applyAlignment="1">
      <alignment horizontal="left" vertical="top"/>
    </xf>
    <xf numFmtId="0" fontId="39" fillId="4" borderId="0" xfId="3" quotePrefix="1" applyFont="1" applyFill="1" applyAlignment="1">
      <alignment horizontal="left" vertical="center" wrapText="1"/>
    </xf>
    <xf numFmtId="49" fontId="39" fillId="4" borderId="10" xfId="3" applyNumberFormat="1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/>
    </xf>
    <xf numFmtId="0" fontId="39" fillId="4" borderId="3" xfId="3" applyFont="1" applyFill="1" applyBorder="1" applyAlignment="1">
      <alignment horizontal="center" vertical="center" wrapText="1"/>
    </xf>
    <xf numFmtId="0" fontId="39" fillId="4" borderId="4" xfId="3" applyFont="1" applyFill="1" applyBorder="1" applyAlignment="1">
      <alignment horizontal="center" vertical="center" wrapText="1"/>
    </xf>
    <xf numFmtId="49" fontId="39" fillId="4" borderId="3" xfId="3" applyNumberFormat="1" applyFont="1" applyFill="1" applyBorder="1" applyAlignment="1">
      <alignment horizontal="right" vertical="center" wrapText="1"/>
    </xf>
    <xf numFmtId="49" fontId="39" fillId="4" borderId="4" xfId="3" applyNumberFormat="1" applyFont="1" applyFill="1" applyBorder="1" applyAlignment="1">
      <alignment horizontal="right" vertical="center" wrapText="1"/>
    </xf>
    <xf numFmtId="49" fontId="39" fillId="4" borderId="5" xfId="3" applyNumberFormat="1" applyFont="1" applyFill="1" applyBorder="1" applyAlignment="1">
      <alignment horizontal="right" vertical="center" wrapText="1"/>
    </xf>
    <xf numFmtId="0" fontId="39" fillId="4" borderId="13" xfId="3" applyFont="1" applyFill="1" applyBorder="1" applyAlignment="1">
      <alignment horizontal="center" vertical="center" wrapText="1"/>
    </xf>
    <xf numFmtId="0" fontId="39" fillId="4" borderId="6" xfId="3" applyFont="1" applyFill="1" applyBorder="1" applyAlignment="1">
      <alignment horizontal="center" vertical="center" wrapText="1"/>
    </xf>
    <xf numFmtId="0" fontId="39" fillId="4" borderId="7" xfId="3" applyFont="1" applyFill="1" applyBorder="1" applyAlignment="1">
      <alignment horizontal="center" vertical="center" wrapText="1"/>
    </xf>
    <xf numFmtId="0" fontId="90" fillId="0" borderId="8" xfId="2229" applyFont="1" applyBorder="1" applyAlignment="1">
      <alignment horizontal="left" vertical="top" wrapText="1"/>
    </xf>
    <xf numFmtId="0" fontId="36" fillId="0" borderId="8" xfId="2229" applyFont="1" applyBorder="1" applyAlignment="1">
      <alignment vertical="top" wrapText="1"/>
    </xf>
    <xf numFmtId="0" fontId="27" fillId="0" borderId="8" xfId="2229" applyFont="1" applyBorder="1" applyAlignment="1">
      <alignment horizontal="left" vertical="top" wrapText="1"/>
    </xf>
    <xf numFmtId="0" fontId="4" fillId="0" borderId="8" xfId="2229" applyFont="1" applyBorder="1" applyAlignment="1">
      <alignment vertical="top" wrapText="1"/>
    </xf>
    <xf numFmtId="0" fontId="90" fillId="0" borderId="1" xfId="2229" applyFont="1" applyBorder="1" applyAlignment="1">
      <alignment horizontal="left" vertical="top" wrapText="1"/>
    </xf>
    <xf numFmtId="0" fontId="36" fillId="0" borderId="1" xfId="2229" applyFont="1" applyBorder="1" applyAlignment="1">
      <alignment vertical="top" wrapText="1"/>
    </xf>
    <xf numFmtId="0" fontId="26" fillId="0" borderId="8" xfId="2229" applyFont="1" applyBorder="1" applyAlignment="1">
      <alignment vertical="top" wrapText="1"/>
    </xf>
    <xf numFmtId="0" fontId="4" fillId="0" borderId="9" xfId="2229" applyBorder="1" applyAlignment="1">
      <alignment vertical="top" wrapText="1"/>
    </xf>
    <xf numFmtId="0" fontId="4" fillId="0" borderId="10" xfId="2229" applyBorder="1" applyAlignment="1">
      <alignment vertical="top" wrapText="1"/>
    </xf>
    <xf numFmtId="0" fontId="103" fillId="0" borderId="8" xfId="2229" applyFont="1" applyBorder="1" applyAlignment="1">
      <alignment horizontal="left" vertical="top" wrapText="1"/>
    </xf>
    <xf numFmtId="0" fontId="101" fillId="0" borderId="8" xfId="2229" applyFont="1" applyBorder="1" applyAlignment="1">
      <alignment horizontal="left" vertical="top" wrapText="1"/>
    </xf>
    <xf numFmtId="0" fontId="93" fillId="0" borderId="8" xfId="2229" applyFont="1" applyBorder="1" applyAlignment="1">
      <alignment horizontal="left" vertical="top" wrapText="1"/>
    </xf>
    <xf numFmtId="0" fontId="36" fillId="0" borderId="8" xfId="2229" applyFont="1" applyBorder="1" applyAlignment="1">
      <alignment horizontal="left" vertical="top" wrapText="1"/>
    </xf>
    <xf numFmtId="0" fontId="4" fillId="0" borderId="8" xfId="2229" applyFont="1" applyBorder="1" applyAlignment="1">
      <alignment horizontal="left" vertical="top" wrapText="1"/>
    </xf>
    <xf numFmtId="0" fontId="27" fillId="0" borderId="2" xfId="2189" applyFont="1" applyBorder="1" applyAlignment="1">
      <alignment horizontal="left" vertical="top" wrapText="1"/>
    </xf>
    <xf numFmtId="0" fontId="27" fillId="0" borderId="0" xfId="2189" applyFont="1" applyBorder="1" applyAlignment="1">
      <alignment horizontal="left" vertical="top" wrapText="1"/>
    </xf>
    <xf numFmtId="0" fontId="89" fillId="0" borderId="6" xfId="2189" applyFont="1" applyBorder="1" applyAlignment="1">
      <alignment horizontal="center" vertical="top" wrapText="1"/>
    </xf>
    <xf numFmtId="0" fontId="89" fillId="0" borderId="0" xfId="2189" applyFont="1" applyBorder="1" applyAlignment="1">
      <alignment horizontal="center" vertical="top" wrapText="1"/>
    </xf>
    <xf numFmtId="0" fontId="90" fillId="0" borderId="0" xfId="2189" applyFont="1" applyAlignment="1">
      <alignment horizontal="center"/>
    </xf>
    <xf numFmtId="0" fontId="27" fillId="0" borderId="0" xfId="2229" applyFont="1" applyAlignment="1">
      <alignment horizontal="center"/>
    </xf>
    <xf numFmtId="0" fontId="90" fillId="0" borderId="2" xfId="2189" applyFont="1" applyBorder="1" applyAlignment="1">
      <alignment horizontal="center" vertical="top" wrapText="1"/>
    </xf>
    <xf numFmtId="0" fontId="91" fillId="0" borderId="0" xfId="2229" applyFont="1" applyBorder="1" applyAlignment="1">
      <alignment horizontal="center" vertical="top"/>
    </xf>
    <xf numFmtId="0" fontId="35" fillId="0" borderId="9" xfId="27" quotePrefix="1" applyFont="1" applyFill="1" applyBorder="1" applyAlignment="1">
      <alignment horizontal="center" vertical="center" wrapText="1"/>
    </xf>
    <xf numFmtId="0" fontId="35" fillId="0" borderId="10" xfId="27" quotePrefix="1" applyFont="1" applyFill="1" applyBorder="1" applyAlignment="1">
      <alignment horizontal="center" vertical="center" wrapText="1"/>
    </xf>
    <xf numFmtId="4" fontId="35" fillId="0" borderId="9" xfId="2" applyNumberFormat="1" applyFont="1" applyFill="1" applyBorder="1" applyAlignment="1">
      <alignment horizontal="center" vertical="center" wrapText="1"/>
    </xf>
    <xf numFmtId="4" fontId="35" fillId="0" borderId="10" xfId="2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04" fillId="0" borderId="0" xfId="0" applyFont="1" applyFill="1" applyAlignment="1">
      <alignment horizontal="center"/>
    </xf>
    <xf numFmtId="0" fontId="29" fillId="0" borderId="0" xfId="21" quotePrefix="1" applyFont="1" applyFill="1" applyAlignment="1">
      <alignment horizontal="center" vertical="center" wrapText="1"/>
    </xf>
    <xf numFmtId="0" fontId="35" fillId="0" borderId="0" xfId="20" applyFont="1" applyFill="1" applyAlignment="1">
      <alignment wrapText="1"/>
    </xf>
    <xf numFmtId="0" fontId="35" fillId="0" borderId="0" xfId="22" quotePrefix="1" applyFont="1" applyFill="1" applyAlignment="1">
      <alignment horizontal="center" vertical="top" wrapText="1"/>
    </xf>
    <xf numFmtId="0" fontId="29" fillId="0" borderId="0" xfId="23" quotePrefix="1" applyFont="1" applyFill="1" applyAlignment="1">
      <alignment horizontal="left" vertical="top" wrapText="1"/>
    </xf>
    <xf numFmtId="0" fontId="29" fillId="0" borderId="0" xfId="13" quotePrefix="1" applyFont="1" applyFill="1" applyAlignment="1">
      <alignment horizontal="left" vertical="top" wrapText="1"/>
    </xf>
    <xf numFmtId="0" fontId="29" fillId="0" borderId="0" xfId="20" applyFont="1" applyFill="1" applyAlignment="1">
      <alignment wrapText="1"/>
    </xf>
    <xf numFmtId="0" fontId="35" fillId="0" borderId="0" xfId="24" quotePrefix="1" applyFont="1" applyFill="1" applyAlignment="1">
      <alignment horizontal="left" vertical="center" wrapText="1"/>
    </xf>
    <xf numFmtId="0" fontId="35" fillId="2" borderId="1" xfId="26" quotePrefix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9" fillId="0" borderId="0" xfId="25" quotePrefix="1" applyFont="1" applyFill="1" applyAlignment="1">
      <alignment horizontal="left" vertical="center" wrapText="1"/>
    </xf>
    <xf numFmtId="0" fontId="35" fillId="0" borderId="0" xfId="13" quotePrefix="1" applyFont="1" applyFill="1" applyAlignment="1">
      <alignment horizontal="left" vertical="top" wrapText="1"/>
    </xf>
    <xf numFmtId="0" fontId="127" fillId="0" borderId="39" xfId="1370" applyFont="1" applyBorder="1" applyAlignment="1">
      <alignment horizontal="center" vertical="center" wrapText="1"/>
    </xf>
    <xf numFmtId="0" fontId="127" fillId="0" borderId="40" xfId="1370" applyFont="1" applyBorder="1" applyAlignment="1">
      <alignment horizontal="center" vertical="center" wrapText="1"/>
    </xf>
    <xf numFmtId="0" fontId="127" fillId="0" borderId="42" xfId="1370" applyFont="1" applyBorder="1" applyAlignment="1">
      <alignment horizontal="center" vertical="center" wrapText="1"/>
    </xf>
    <xf numFmtId="0" fontId="127" fillId="0" borderId="43" xfId="1370" applyFont="1" applyBorder="1" applyAlignment="1">
      <alignment horizontal="center" vertical="center" wrapText="1"/>
    </xf>
    <xf numFmtId="0" fontId="127" fillId="0" borderId="46" xfId="1370" applyFont="1" applyBorder="1" applyAlignment="1">
      <alignment horizontal="center" vertical="center" wrapText="1"/>
    </xf>
    <xf numFmtId="0" fontId="127" fillId="0" borderId="47" xfId="1370" applyFont="1" applyBorder="1" applyAlignment="1">
      <alignment horizontal="center" vertical="center" wrapText="1"/>
    </xf>
    <xf numFmtId="1" fontId="115" fillId="0" borderId="39" xfId="1370" applyNumberFormat="1" applyFont="1" applyBorder="1" applyAlignment="1">
      <alignment horizontal="center" vertical="center" wrapText="1"/>
    </xf>
    <xf numFmtId="1" fontId="115" fillId="0" borderId="38" xfId="1370" applyNumberFormat="1" applyFont="1" applyBorder="1" applyAlignment="1">
      <alignment horizontal="center" vertical="center" wrapText="1"/>
    </xf>
    <xf numFmtId="1" fontId="115" fillId="0" borderId="42" xfId="1370" applyNumberFormat="1" applyFont="1" applyBorder="1" applyAlignment="1">
      <alignment horizontal="center" vertical="center" wrapText="1"/>
    </xf>
    <xf numFmtId="1" fontId="115" fillId="0" borderId="0" xfId="1370" applyNumberFormat="1" applyFont="1" applyBorder="1" applyAlignment="1">
      <alignment horizontal="center" vertical="center" wrapText="1"/>
    </xf>
    <xf numFmtId="1" fontId="115" fillId="0" borderId="46" xfId="1370" applyNumberFormat="1" applyFont="1" applyBorder="1" applyAlignment="1">
      <alignment horizontal="center" vertical="center" wrapText="1"/>
    </xf>
    <xf numFmtId="1" fontId="115" fillId="0" borderId="45" xfId="1370" applyNumberFormat="1" applyFont="1" applyBorder="1" applyAlignment="1">
      <alignment horizontal="center" vertical="center" wrapText="1"/>
    </xf>
    <xf numFmtId="1" fontId="128" fillId="0" borderId="37" xfId="1370" applyNumberFormat="1" applyFont="1" applyBorder="1" applyAlignment="1">
      <alignment horizontal="center" vertical="center" wrapText="1"/>
    </xf>
    <xf numFmtId="1" fontId="128" fillId="0" borderId="41" xfId="1370" applyNumberFormat="1" applyFont="1" applyBorder="1" applyAlignment="1">
      <alignment horizontal="center" vertical="center" wrapText="1"/>
    </xf>
    <xf numFmtId="1" fontId="128" fillId="0" borderId="44" xfId="1370" applyNumberFormat="1" applyFont="1" applyBorder="1" applyAlignment="1">
      <alignment horizontal="center" vertical="center" wrapText="1"/>
    </xf>
    <xf numFmtId="0" fontId="115" fillId="0" borderId="34" xfId="1370" applyFont="1" applyBorder="1" applyAlignment="1">
      <alignment horizontal="center"/>
    </xf>
    <xf numFmtId="0" fontId="115" fillId="0" borderId="35" xfId="1370" applyFont="1" applyBorder="1" applyAlignment="1">
      <alignment horizontal="center"/>
    </xf>
    <xf numFmtId="0" fontId="115" fillId="0" borderId="36" xfId="1370" applyFont="1" applyBorder="1" applyAlignment="1">
      <alignment horizontal="center"/>
    </xf>
    <xf numFmtId="0" fontId="115" fillId="0" borderId="0" xfId="2214" applyFont="1" applyAlignment="1" applyProtection="1">
      <alignment horizontal="center" vertical="center"/>
    </xf>
    <xf numFmtId="0" fontId="116" fillId="0" borderId="0" xfId="2214" applyFont="1" applyFill="1" applyAlignment="1" applyProtection="1">
      <alignment horizontal="center"/>
      <protection locked="0"/>
    </xf>
    <xf numFmtId="0" fontId="116" fillId="0" borderId="4" xfId="2214" applyFont="1" applyFill="1" applyBorder="1" applyAlignment="1">
      <alignment horizontal="center" wrapText="1"/>
    </xf>
    <xf numFmtId="0" fontId="116" fillId="0" borderId="4" xfId="2214" applyFont="1" applyFill="1" applyBorder="1" applyAlignment="1">
      <alignment horizontal="center"/>
    </xf>
    <xf numFmtId="0" fontId="126" fillId="0" borderId="34" xfId="1370" applyFont="1" applyBorder="1" applyAlignment="1">
      <alignment horizontal="center" wrapText="1"/>
    </xf>
    <xf numFmtId="0" fontId="126" fillId="0" borderId="35" xfId="1370" applyFont="1" applyBorder="1" applyAlignment="1">
      <alignment horizontal="center" wrapText="1"/>
    </xf>
    <xf numFmtId="0" fontId="126" fillId="0" borderId="36" xfId="1370" applyFont="1" applyBorder="1" applyAlignment="1">
      <alignment horizontal="center" wrapText="1"/>
    </xf>
    <xf numFmtId="0" fontId="115" fillId="0" borderId="38" xfId="1370" applyFont="1" applyBorder="1" applyAlignment="1">
      <alignment horizontal="center"/>
    </xf>
    <xf numFmtId="0" fontId="116" fillId="0" borderId="49" xfId="1370" applyFont="1" applyFill="1" applyBorder="1" applyAlignment="1">
      <alignment horizontal="center" vertical="center"/>
    </xf>
    <xf numFmtId="0" fontId="116" fillId="0" borderId="52" xfId="1370" applyFont="1" applyFill="1" applyBorder="1" applyAlignment="1">
      <alignment horizontal="center" vertical="center"/>
    </xf>
    <xf numFmtId="0" fontId="116" fillId="0" borderId="54" xfId="1370" applyFont="1" applyFill="1" applyBorder="1" applyAlignment="1">
      <alignment horizontal="center" vertical="center"/>
    </xf>
    <xf numFmtId="0" fontId="116" fillId="0" borderId="39" xfId="1370" applyFont="1" applyFill="1" applyBorder="1" applyAlignment="1">
      <alignment vertical="center"/>
    </xf>
    <xf numFmtId="0" fontId="116" fillId="0" borderId="42" xfId="1370" applyFont="1" applyFill="1" applyBorder="1" applyAlignment="1">
      <alignment vertical="center"/>
    </xf>
    <xf numFmtId="0" fontId="116" fillId="0" borderId="46" xfId="1370" applyFont="1" applyFill="1" applyBorder="1" applyAlignment="1">
      <alignment vertical="center"/>
    </xf>
    <xf numFmtId="0" fontId="116" fillId="0" borderId="38" xfId="1370" applyFont="1" applyFill="1" applyBorder="1" applyAlignment="1">
      <alignment vertical="center"/>
    </xf>
    <xf numFmtId="0" fontId="116" fillId="0" borderId="0" xfId="1370" applyFont="1" applyFill="1" applyBorder="1" applyAlignment="1">
      <alignment vertical="center"/>
    </xf>
    <xf numFmtId="0" fontId="116" fillId="0" borderId="45" xfId="1370" applyFont="1" applyFill="1" applyBorder="1" applyAlignment="1">
      <alignment vertical="center"/>
    </xf>
    <xf numFmtId="2" fontId="116" fillId="0" borderId="38" xfId="1370" applyNumberFormat="1" applyFont="1" applyFill="1" applyBorder="1" applyAlignment="1">
      <alignment vertical="center"/>
    </xf>
    <xf numFmtId="2" fontId="116" fillId="0" borderId="0" xfId="1370" applyNumberFormat="1" applyFont="1" applyFill="1" applyBorder="1" applyAlignment="1">
      <alignment vertical="center"/>
    </xf>
    <xf numFmtId="2" fontId="116" fillId="0" borderId="45" xfId="1370" applyNumberFormat="1" applyFont="1" applyFill="1" applyBorder="1" applyAlignment="1">
      <alignment vertical="center"/>
    </xf>
    <xf numFmtId="179" fontId="116" fillId="0" borderId="37" xfId="1370" applyNumberFormat="1" applyFont="1" applyFill="1" applyBorder="1" applyAlignment="1">
      <alignment horizontal="right" vertical="center"/>
    </xf>
    <xf numFmtId="179" fontId="116" fillId="0" borderId="41" xfId="1370" applyNumberFormat="1" applyFont="1" applyFill="1" applyBorder="1" applyAlignment="1">
      <alignment horizontal="right" vertical="center"/>
    </xf>
    <xf numFmtId="179" fontId="116" fillId="0" borderId="44" xfId="1370" applyNumberFormat="1" applyFont="1" applyFill="1" applyBorder="1" applyAlignment="1">
      <alignment horizontal="right" vertical="center"/>
    </xf>
    <xf numFmtId="0" fontId="116" fillId="0" borderId="77" xfId="1370" applyFont="1" applyFill="1" applyBorder="1" applyAlignment="1">
      <alignment horizontal="center" vertical="center" wrapText="1"/>
    </xf>
    <xf numFmtId="0" fontId="116" fillId="0" borderId="62" xfId="1370" applyFont="1" applyFill="1" applyBorder="1" applyAlignment="1">
      <alignment horizontal="center" vertical="center" wrapText="1"/>
    </xf>
    <xf numFmtId="0" fontId="116" fillId="0" borderId="78" xfId="1370" applyFont="1" applyFill="1" applyBorder="1" applyAlignment="1">
      <alignment horizontal="center" vertical="center" wrapText="1"/>
    </xf>
    <xf numFmtId="0" fontId="116" fillId="0" borderId="40" xfId="1370" applyFont="1" applyFill="1" applyBorder="1" applyAlignment="1">
      <alignment horizontal="center" vertical="center"/>
    </xf>
    <xf numFmtId="0" fontId="116" fillId="0" borderId="43" xfId="1370" applyFont="1" applyFill="1" applyBorder="1" applyAlignment="1">
      <alignment horizontal="center" vertical="center"/>
    </xf>
    <xf numFmtId="0" fontId="116" fillId="0" borderId="47" xfId="1370" applyFont="1" applyFill="1" applyBorder="1" applyAlignment="1">
      <alignment horizontal="center" vertical="center"/>
    </xf>
    <xf numFmtId="0" fontId="116" fillId="0" borderId="38" xfId="2214" applyFont="1" applyFill="1" applyBorder="1" applyAlignment="1">
      <alignment horizontal="center"/>
    </xf>
    <xf numFmtId="0" fontId="116" fillId="0" borderId="0" xfId="2214" applyFont="1" applyFill="1" applyBorder="1" applyAlignment="1">
      <alignment horizontal="center"/>
    </xf>
    <xf numFmtId="0" fontId="116" fillId="0" borderId="45" xfId="2214" applyFont="1" applyFill="1" applyBorder="1" applyAlignment="1">
      <alignment horizontal="center"/>
    </xf>
    <xf numFmtId="0" fontId="128" fillId="0" borderId="34" xfId="1370" applyFont="1" applyBorder="1" applyAlignment="1">
      <alignment horizontal="right" vertical="center"/>
    </xf>
    <xf numFmtId="0" fontId="128" fillId="0" borderId="36" xfId="1370" applyFont="1" applyBorder="1" applyAlignment="1">
      <alignment horizontal="right" vertical="center"/>
    </xf>
    <xf numFmtId="0" fontId="128" fillId="0" borderId="35" xfId="1370" applyFont="1" applyBorder="1" applyAlignment="1">
      <alignment horizontal="right" vertical="center"/>
    </xf>
    <xf numFmtId="0" fontId="115" fillId="0" borderId="34" xfId="1370" applyFont="1" applyBorder="1" applyAlignment="1">
      <alignment horizontal="center" vertical="center"/>
    </xf>
    <xf numFmtId="0" fontId="115" fillId="0" borderId="36" xfId="1370" applyFont="1" applyBorder="1" applyAlignment="1">
      <alignment horizontal="center" vertical="center"/>
    </xf>
    <xf numFmtId="0" fontId="115" fillId="0" borderId="35" xfId="1370" applyFont="1" applyBorder="1" applyAlignment="1">
      <alignment horizontal="center" vertical="center"/>
    </xf>
    <xf numFmtId="0" fontId="116" fillId="0" borderId="39" xfId="1370" applyFont="1" applyBorder="1" applyAlignment="1">
      <alignment horizontal="center" vertical="center"/>
    </xf>
    <xf numFmtId="0" fontId="116" fillId="0" borderId="42" xfId="1370" applyFont="1" applyBorder="1" applyAlignment="1">
      <alignment horizontal="center" vertical="center"/>
    </xf>
    <xf numFmtId="0" fontId="30" fillId="0" borderId="39" xfId="1370" applyFont="1" applyBorder="1" applyAlignment="1">
      <alignment vertical="center"/>
    </xf>
    <xf numFmtId="0" fontId="30" fillId="0" borderId="42" xfId="1370" applyFont="1" applyBorder="1" applyAlignment="1">
      <alignment vertical="center"/>
    </xf>
    <xf numFmtId="0" fontId="30" fillId="0" borderId="46" xfId="1370" applyFont="1" applyBorder="1" applyAlignment="1">
      <alignment vertical="center"/>
    </xf>
    <xf numFmtId="0" fontId="30" fillId="0" borderId="38" xfId="1370" applyFont="1" applyBorder="1" applyAlignment="1">
      <alignment vertical="center"/>
    </xf>
    <xf numFmtId="0" fontId="30" fillId="0" borderId="0" xfId="1370" applyFont="1" applyBorder="1" applyAlignment="1">
      <alignment vertical="center"/>
    </xf>
    <xf numFmtId="0" fontId="30" fillId="0" borderId="45" xfId="1370" applyFont="1" applyBorder="1" applyAlignment="1">
      <alignment vertical="center"/>
    </xf>
    <xf numFmtId="176" fontId="30" fillId="0" borderId="38" xfId="1370" applyNumberFormat="1" applyFont="1" applyBorder="1" applyAlignment="1">
      <alignment vertical="center"/>
    </xf>
    <xf numFmtId="176" fontId="30" fillId="0" borderId="0" xfId="1370" applyNumberFormat="1" applyFont="1" applyBorder="1" applyAlignment="1">
      <alignment vertical="center"/>
    </xf>
    <xf numFmtId="176" fontId="30" fillId="0" borderId="45" xfId="1370" applyNumberFormat="1" applyFont="1" applyBorder="1" applyAlignment="1">
      <alignment vertical="center"/>
    </xf>
    <xf numFmtId="179" fontId="30" fillId="0" borderId="37" xfId="1370" applyNumberFormat="1" applyFont="1" applyBorder="1" applyAlignment="1">
      <alignment horizontal="right" vertical="center"/>
    </xf>
    <xf numFmtId="179" fontId="30" fillId="0" borderId="41" xfId="1370" applyNumberFormat="1" applyFont="1" applyBorder="1" applyAlignment="1">
      <alignment horizontal="right" vertical="center"/>
    </xf>
    <xf numFmtId="0" fontId="116" fillId="0" borderId="39" xfId="1370" applyFont="1" applyFill="1" applyBorder="1" applyAlignment="1">
      <alignment horizontal="center" vertical="center"/>
    </xf>
    <xf numFmtId="0" fontId="116" fillId="0" borderId="42" xfId="1370" applyFont="1" applyFill="1" applyBorder="1" applyAlignment="1">
      <alignment horizontal="center" vertical="center"/>
    </xf>
    <xf numFmtId="0" fontId="135" fillId="0" borderId="34" xfId="1370" applyFont="1" applyBorder="1" applyAlignment="1">
      <alignment horizontal="center"/>
    </xf>
    <xf numFmtId="0" fontId="135" fillId="0" borderId="36" xfId="1370" applyFont="1" applyBorder="1" applyAlignment="1">
      <alignment horizontal="center"/>
    </xf>
    <xf numFmtId="0" fontId="135" fillId="0" borderId="35" xfId="1370" applyFont="1" applyBorder="1" applyAlignment="1">
      <alignment horizontal="center"/>
    </xf>
    <xf numFmtId="179" fontId="39" fillId="0" borderId="34" xfId="1370" applyNumberFormat="1" applyFont="1" applyBorder="1" applyAlignment="1">
      <alignment horizontal="center"/>
    </xf>
    <xf numFmtId="0" fontId="39" fillId="0" borderId="36" xfId="1370" applyFont="1" applyBorder="1" applyAlignment="1">
      <alignment horizontal="center"/>
    </xf>
    <xf numFmtId="0" fontId="39" fillId="0" borderId="35" xfId="1370" applyFont="1" applyBorder="1" applyAlignment="1">
      <alignment horizontal="center"/>
    </xf>
    <xf numFmtId="0" fontId="108" fillId="0" borderId="3" xfId="1370" applyFont="1" applyFill="1" applyBorder="1" applyAlignment="1">
      <alignment horizontal="center" vertical="center"/>
    </xf>
    <xf numFmtId="0" fontId="108" fillId="0" borderId="4" xfId="1370" applyFont="1" applyFill="1" applyBorder="1" applyAlignment="1">
      <alignment horizontal="center" vertical="center"/>
    </xf>
    <xf numFmtId="0" fontId="108" fillId="0" borderId="5" xfId="1370" applyFont="1" applyFill="1" applyBorder="1" applyAlignment="1">
      <alignment horizontal="center" vertical="center"/>
    </xf>
    <xf numFmtId="0" fontId="30" fillId="0" borderId="49" xfId="1370" applyFont="1" applyFill="1" applyBorder="1" applyAlignment="1">
      <alignment horizontal="center" vertical="center"/>
    </xf>
    <xf numFmtId="0" fontId="30" fillId="0" borderId="52" xfId="1370" applyFont="1" applyFill="1" applyBorder="1" applyAlignment="1">
      <alignment horizontal="center" vertical="center"/>
    </xf>
    <xf numFmtId="0" fontId="30" fillId="0" borderId="54" xfId="1370" applyFont="1" applyFill="1" applyBorder="1" applyAlignment="1">
      <alignment horizontal="center" vertical="center"/>
    </xf>
    <xf numFmtId="179" fontId="130" fillId="0" borderId="37" xfId="1370" applyNumberFormat="1" applyFont="1" applyFill="1" applyBorder="1" applyAlignment="1">
      <alignment horizontal="right" vertical="center"/>
    </xf>
    <xf numFmtId="179" fontId="130" fillId="0" borderId="41" xfId="1370" applyNumberFormat="1" applyFont="1" applyFill="1" applyBorder="1" applyAlignment="1">
      <alignment horizontal="right" vertical="center"/>
    </xf>
    <xf numFmtId="179" fontId="130" fillId="0" borderId="44" xfId="1370" applyNumberFormat="1" applyFont="1" applyFill="1" applyBorder="1" applyAlignment="1">
      <alignment horizontal="right" vertical="center"/>
    </xf>
    <xf numFmtId="0" fontId="108" fillId="0" borderId="39" xfId="1370" applyFont="1" applyFill="1" applyBorder="1" applyAlignment="1">
      <alignment horizontal="center"/>
    </xf>
    <xf numFmtId="0" fontId="108" fillId="0" borderId="38" xfId="1370" applyFont="1" applyFill="1" applyBorder="1" applyAlignment="1">
      <alignment horizontal="center"/>
    </xf>
    <xf numFmtId="0" fontId="108" fillId="0" borderId="45" xfId="1370" applyFont="1" applyFill="1" applyBorder="1" applyAlignment="1">
      <alignment horizontal="center"/>
    </xf>
    <xf numFmtId="0" fontId="108" fillId="0" borderId="47" xfId="1370" applyFont="1" applyFill="1" applyBorder="1" applyAlignment="1">
      <alignment horizontal="center"/>
    </xf>
    <xf numFmtId="0" fontId="30" fillId="0" borderId="64" xfId="1370" applyFont="1" applyBorder="1" applyAlignment="1">
      <alignment horizontal="center"/>
    </xf>
    <xf numFmtId="0" fontId="30" fillId="0" borderId="65" xfId="1370" applyFont="1" applyBorder="1" applyAlignment="1">
      <alignment horizontal="center"/>
    </xf>
    <xf numFmtId="0" fontId="135" fillId="0" borderId="34" xfId="1370" applyFont="1" applyBorder="1" applyAlignment="1">
      <alignment horizontal="right"/>
    </xf>
    <xf numFmtId="0" fontId="135" fillId="0" borderId="36" xfId="1370" applyFont="1" applyBorder="1" applyAlignment="1">
      <alignment horizontal="right"/>
    </xf>
    <xf numFmtId="174" fontId="135" fillId="0" borderId="34" xfId="1370" applyNumberFormat="1" applyFont="1" applyBorder="1" applyAlignment="1">
      <alignment horizontal="center"/>
    </xf>
    <xf numFmtId="174" fontId="135" fillId="0" borderId="36" xfId="1370" applyNumberFormat="1" applyFont="1" applyBorder="1" applyAlignment="1">
      <alignment horizontal="center"/>
    </xf>
    <xf numFmtId="174" fontId="135" fillId="0" borderId="35" xfId="1370" applyNumberFormat="1" applyFont="1" applyBorder="1" applyAlignment="1">
      <alignment horizontal="center"/>
    </xf>
    <xf numFmtId="0" fontId="128" fillId="0" borderId="34" xfId="1370" applyFont="1" applyFill="1" applyBorder="1" applyAlignment="1">
      <alignment horizontal="right" vertical="center"/>
    </xf>
    <xf numFmtId="0" fontId="128" fillId="0" borderId="36" xfId="1370" applyFont="1" applyFill="1" applyBorder="1" applyAlignment="1">
      <alignment horizontal="right" vertical="center"/>
    </xf>
    <xf numFmtId="0" fontId="128" fillId="0" borderId="35" xfId="1370" applyFont="1" applyFill="1" applyBorder="1" applyAlignment="1">
      <alignment horizontal="right" vertical="center"/>
    </xf>
    <xf numFmtId="179" fontId="130" fillId="0" borderId="39" xfId="1370" applyNumberFormat="1" applyFont="1" applyFill="1" applyBorder="1" applyAlignment="1">
      <alignment horizontal="center" vertical="center" wrapText="1"/>
    </xf>
    <xf numFmtId="179" fontId="130" fillId="0" borderId="42" xfId="1370" applyNumberFormat="1" applyFont="1" applyFill="1" applyBorder="1" applyAlignment="1">
      <alignment horizontal="center" vertical="center" wrapText="1"/>
    </xf>
    <xf numFmtId="179" fontId="130" fillId="0" borderId="46" xfId="1370" applyNumberFormat="1" applyFont="1" applyFill="1" applyBorder="1" applyAlignment="1">
      <alignment horizontal="center" vertical="center" wrapText="1"/>
    </xf>
    <xf numFmtId="10" fontId="130" fillId="0" borderId="38" xfId="1370" applyNumberFormat="1" applyFont="1" applyFill="1" applyBorder="1" applyAlignment="1">
      <alignment horizontal="center" vertical="center" wrapText="1"/>
    </xf>
    <xf numFmtId="10" fontId="130" fillId="0" borderId="0" xfId="1370" applyNumberFormat="1" applyFont="1" applyFill="1" applyBorder="1" applyAlignment="1">
      <alignment horizontal="center" vertical="center" wrapText="1"/>
    </xf>
    <xf numFmtId="10" fontId="130" fillId="0" borderId="45" xfId="1370" applyNumberFormat="1" applyFont="1" applyFill="1" applyBorder="1" applyAlignment="1">
      <alignment horizontal="center" vertical="center" wrapText="1"/>
    </xf>
    <xf numFmtId="0" fontId="130" fillId="0" borderId="38" xfId="1370" applyFont="1" applyFill="1" applyBorder="1" applyAlignment="1">
      <alignment horizontal="center" vertical="center" wrapText="1"/>
    </xf>
    <xf numFmtId="0" fontId="130" fillId="0" borderId="0" xfId="1370" applyFont="1" applyFill="1" applyBorder="1" applyAlignment="1">
      <alignment horizontal="center" vertical="center" wrapText="1"/>
    </xf>
    <xf numFmtId="0" fontId="130" fillId="0" borderId="45" xfId="1370" applyFont="1" applyFill="1" applyBorder="1" applyAlignment="1">
      <alignment horizontal="center" vertical="center" wrapText="1"/>
    </xf>
    <xf numFmtId="0" fontId="128" fillId="0" borderId="34" xfId="1370" applyFont="1" applyFill="1" applyBorder="1" applyAlignment="1">
      <alignment horizontal="center" vertical="center"/>
    </xf>
    <xf numFmtId="0" fontId="128" fillId="0" borderId="36" xfId="1370" applyFont="1" applyFill="1" applyBorder="1" applyAlignment="1">
      <alignment horizontal="center" vertical="center"/>
    </xf>
    <xf numFmtId="0" fontId="128" fillId="0" borderId="38" xfId="1370" applyFont="1" applyFill="1" applyBorder="1" applyAlignment="1">
      <alignment horizontal="center" vertical="center"/>
    </xf>
    <xf numFmtId="0" fontId="128" fillId="0" borderId="40" xfId="1370" applyFont="1" applyFill="1" applyBorder="1" applyAlignment="1">
      <alignment horizontal="center" vertical="center"/>
    </xf>
    <xf numFmtId="0" fontId="115" fillId="4" borderId="0" xfId="1" applyFont="1" applyFill="1" applyAlignment="1">
      <alignment vertical="center"/>
    </xf>
    <xf numFmtId="0" fontId="8" fillId="4" borderId="0" xfId="2216" applyFill="1" applyAlignment="1">
      <alignment vertical="center"/>
    </xf>
    <xf numFmtId="0" fontId="115" fillId="4" borderId="0" xfId="1" applyFont="1" applyFill="1" applyAlignment="1">
      <alignment horizontal="center" vertical="center"/>
    </xf>
    <xf numFmtId="0" fontId="115" fillId="4" borderId="0" xfId="1" applyFont="1" applyFill="1" applyAlignment="1">
      <alignment horizontal="center" vertical="center" wrapText="1"/>
    </xf>
    <xf numFmtId="0" fontId="95" fillId="4" borderId="0" xfId="1" applyFont="1" applyFill="1" applyAlignment="1">
      <alignment horizontal="center" vertical="center" wrapText="1"/>
    </xf>
    <xf numFmtId="9" fontId="108" fillId="4" borderId="3" xfId="1" applyNumberFormat="1" applyFont="1" applyFill="1" applyBorder="1" applyAlignment="1">
      <alignment horizontal="left"/>
    </xf>
    <xf numFmtId="9" fontId="108" fillId="4" borderId="4" xfId="1" applyNumberFormat="1" applyFont="1" applyFill="1" applyBorder="1" applyAlignment="1">
      <alignment horizontal="left"/>
    </xf>
    <xf numFmtId="9" fontId="108" fillId="4" borderId="5" xfId="1" applyNumberFormat="1" applyFont="1" applyFill="1" applyBorder="1" applyAlignment="1">
      <alignment horizontal="left"/>
    </xf>
    <xf numFmtId="0" fontId="128" fillId="0" borderId="8" xfId="1" applyFont="1" applyFill="1" applyBorder="1" applyAlignment="1">
      <alignment horizontal="center" vertical="center" wrapText="1"/>
    </xf>
    <xf numFmtId="0" fontId="116" fillId="0" borderId="9" xfId="1" applyFont="1" applyFill="1" applyBorder="1" applyAlignment="1">
      <alignment horizontal="center" vertical="center" wrapText="1"/>
    </xf>
    <xf numFmtId="0" fontId="116" fillId="0" borderId="10" xfId="1" applyFont="1" applyFill="1" applyBorder="1" applyAlignment="1">
      <alignment horizontal="center" vertical="center" wrapText="1"/>
    </xf>
    <xf numFmtId="0" fontId="115" fillId="4" borderId="1" xfId="1" applyFont="1" applyFill="1" applyBorder="1" applyAlignment="1">
      <alignment horizontal="center" vertical="center" wrapText="1"/>
    </xf>
    <xf numFmtId="0" fontId="95" fillId="4" borderId="1" xfId="1" applyFont="1" applyFill="1" applyBorder="1" applyAlignment="1">
      <alignment horizontal="center" vertical="center" wrapText="1"/>
    </xf>
    <xf numFmtId="0" fontId="108" fillId="4" borderId="3" xfId="1" applyFont="1" applyFill="1" applyBorder="1" applyAlignment="1">
      <alignment horizontal="center"/>
    </xf>
    <xf numFmtId="0" fontId="108" fillId="4" borderId="4" xfId="1" applyFont="1" applyFill="1" applyBorder="1" applyAlignment="1">
      <alignment horizontal="center"/>
    </xf>
    <xf numFmtId="0" fontId="108" fillId="4" borderId="5" xfId="1" applyFont="1" applyFill="1" applyBorder="1" applyAlignment="1">
      <alignment horizontal="center"/>
    </xf>
    <xf numFmtId="0" fontId="108" fillId="0" borderId="3" xfId="1" applyFont="1" applyFill="1" applyBorder="1" applyAlignment="1">
      <alignment horizontal="center"/>
    </xf>
    <xf numFmtId="0" fontId="108" fillId="0" borderId="4" xfId="1" applyFont="1" applyFill="1" applyBorder="1" applyAlignment="1">
      <alignment horizontal="center"/>
    </xf>
    <xf numFmtId="0" fontId="108" fillId="0" borderId="5" xfId="1" applyFont="1" applyFill="1" applyBorder="1" applyAlignment="1">
      <alignment horizontal="center"/>
    </xf>
    <xf numFmtId="0" fontId="108" fillId="4" borderId="3" xfId="1" applyFont="1" applyFill="1" applyBorder="1" applyAlignment="1">
      <alignment horizontal="left" vertical="center"/>
    </xf>
    <xf numFmtId="0" fontId="108" fillId="4" borderId="4" xfId="1" applyFont="1" applyFill="1" applyBorder="1" applyAlignment="1">
      <alignment horizontal="left" vertical="center"/>
    </xf>
    <xf numFmtId="0" fontId="108" fillId="4" borderId="5" xfId="1" applyFont="1" applyFill="1" applyBorder="1" applyAlignment="1">
      <alignment horizontal="left" vertical="center"/>
    </xf>
    <xf numFmtId="0" fontId="27" fillId="0" borderId="0" xfId="2217" applyAlignment="1">
      <alignment horizontal="left" vertical="top" wrapText="1"/>
    </xf>
    <xf numFmtId="0" fontId="140" fillId="0" borderId="0" xfId="2217" applyFont="1" applyAlignment="1">
      <alignment horizontal="left" vertical="top" wrapText="1"/>
    </xf>
    <xf numFmtId="0" fontId="90" fillId="0" borderId="0" xfId="2217" applyFont="1" applyAlignment="1">
      <alignment horizontal="center" vertical="top" wrapText="1"/>
    </xf>
    <xf numFmtId="0" fontId="139" fillId="0" borderId="0" xfId="2217" applyFont="1" applyAlignment="1">
      <alignment horizontal="center" vertical="center"/>
    </xf>
    <xf numFmtId="0" fontId="90" fillId="0" borderId="0" xfId="2217" applyFont="1" applyAlignment="1">
      <alignment horizontal="center" wrapText="1"/>
    </xf>
    <xf numFmtId="0" fontId="27" fillId="0" borderId="0" xfId="2217" applyAlignment="1">
      <alignment horizontal="left" vertical="top"/>
    </xf>
    <xf numFmtId="0" fontId="27" fillId="0" borderId="67" xfId="2217" applyBorder="1" applyAlignment="1">
      <alignment horizontal="center" vertical="top" wrapText="1"/>
    </xf>
    <xf numFmtId="0" fontId="27" fillId="0" borderId="69" xfId="2217" applyBorder="1" applyAlignment="1">
      <alignment horizontal="center" vertical="top" wrapText="1"/>
    </xf>
    <xf numFmtId="0" fontId="27" fillId="0" borderId="68" xfId="2217" applyBorder="1" applyAlignment="1">
      <alignment horizontal="center" vertical="top" wrapText="1"/>
    </xf>
    <xf numFmtId="0" fontId="27" fillId="0" borderId="6" xfId="2217" applyBorder="1" applyAlignment="1">
      <alignment horizontal="center" vertical="top" wrapText="1"/>
    </xf>
    <xf numFmtId="0" fontId="27" fillId="0" borderId="7" xfId="2217" applyBorder="1" applyAlignment="1">
      <alignment horizontal="center" vertical="top" wrapText="1"/>
    </xf>
    <xf numFmtId="0" fontId="108" fillId="0" borderId="2" xfId="1" applyFont="1" applyFill="1" applyBorder="1" applyAlignment="1">
      <alignment vertical="center" wrapText="1"/>
    </xf>
    <xf numFmtId="0" fontId="142" fillId="0" borderId="0" xfId="1" applyFont="1" applyFill="1" applyAlignment="1">
      <alignment horizontal="center" vertical="center"/>
    </xf>
    <xf numFmtId="0" fontId="108" fillId="0" borderId="0" xfId="1" applyFont="1" applyFill="1" applyAlignment="1">
      <alignment horizontal="center" vertical="center" wrapText="1"/>
    </xf>
    <xf numFmtId="0" fontId="108" fillId="0" borderId="0" xfId="1" applyFont="1" applyFill="1" applyAlignment="1">
      <alignment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108" fillId="0" borderId="3" xfId="1" applyFont="1" applyFill="1" applyBorder="1" applyAlignment="1">
      <alignment horizontal="center" vertical="center" wrapText="1"/>
    </xf>
    <xf numFmtId="0" fontId="108" fillId="0" borderId="4" xfId="1" applyFont="1" applyFill="1" applyBorder="1" applyAlignment="1">
      <alignment horizontal="center" vertical="center" wrapText="1"/>
    </xf>
    <xf numFmtId="0" fontId="108" fillId="0" borderId="5" xfId="1" applyFont="1" applyFill="1" applyBorder="1" applyAlignment="1">
      <alignment horizontal="center" vertical="center" wrapText="1"/>
    </xf>
    <xf numFmtId="0" fontId="108" fillId="0" borderId="3" xfId="1" applyFont="1" applyFill="1" applyBorder="1" applyAlignment="1">
      <alignment horizontal="left" wrapText="1"/>
    </xf>
    <xf numFmtId="0" fontId="108" fillId="0" borderId="4" xfId="1" applyFont="1" applyFill="1" applyBorder="1" applyAlignment="1">
      <alignment horizontal="left" wrapText="1"/>
    </xf>
    <xf numFmtId="0" fontId="108" fillId="0" borderId="5" xfId="1" applyFont="1" applyFill="1" applyBorder="1" applyAlignment="1">
      <alignment horizontal="left" wrapText="1"/>
    </xf>
    <xf numFmtId="0" fontId="8" fillId="0" borderId="12" xfId="2218" applyFill="1" applyBorder="1" applyAlignment="1">
      <alignment horizontal="center"/>
    </xf>
    <xf numFmtId="0" fontId="38" fillId="0" borderId="1" xfId="1" applyFont="1" applyFill="1" applyBorder="1" applyAlignment="1">
      <alignment horizontal="left" vertical="center"/>
    </xf>
    <xf numFmtId="0" fontId="30" fillId="0" borderId="3" xfId="2218" applyFont="1" applyFill="1" applyBorder="1" applyAlignment="1">
      <alignment vertical="center" wrapText="1"/>
    </xf>
    <xf numFmtId="0" fontId="30" fillId="0" borderId="4" xfId="2218" applyFont="1" applyFill="1" applyBorder="1" applyAlignment="1">
      <alignment vertical="center" wrapText="1"/>
    </xf>
    <xf numFmtId="0" fontId="30" fillId="0" borderId="5" xfId="2218" applyFont="1" applyFill="1" applyBorder="1" applyAlignment="1">
      <alignment vertical="center" wrapText="1"/>
    </xf>
    <xf numFmtId="0" fontId="144" fillId="0" borderId="0" xfId="2218" applyFont="1" applyFill="1" applyAlignment="1">
      <alignment horizontal="right"/>
    </xf>
    <xf numFmtId="0" fontId="108" fillId="0" borderId="0" xfId="2218" applyFont="1" applyFill="1" applyBorder="1" applyAlignment="1">
      <alignment horizontal="center" vertical="center"/>
    </xf>
    <xf numFmtId="0" fontId="30" fillId="0" borderId="0" xfId="2218" applyFont="1" applyFill="1" applyBorder="1" applyAlignment="1">
      <alignment horizontal="center" vertical="center" wrapText="1"/>
    </xf>
    <xf numFmtId="0" fontId="30" fillId="0" borderId="0" xfId="2218" applyFont="1" applyFill="1" applyBorder="1" applyAlignment="1">
      <alignment horizontal="center" vertical="center"/>
    </xf>
    <xf numFmtId="0" fontId="38" fillId="0" borderId="10" xfId="1" applyFont="1" applyFill="1" applyBorder="1" applyAlignment="1">
      <alignment horizontal="left" vertical="center"/>
    </xf>
    <xf numFmtId="0" fontId="30" fillId="0" borderId="1" xfId="2218" applyFont="1" applyFill="1" applyBorder="1" applyAlignment="1">
      <alignment horizontal="center" vertical="center" wrapText="1"/>
    </xf>
    <xf numFmtId="0" fontId="108" fillId="0" borderId="3" xfId="2218" applyFont="1" applyFill="1" applyBorder="1" applyAlignment="1">
      <alignment horizontal="center" vertical="center" wrapText="1"/>
    </xf>
    <xf numFmtId="0" fontId="108" fillId="0" borderId="4" xfId="2218" applyFont="1" applyFill="1" applyBorder="1" applyAlignment="1">
      <alignment horizontal="center" vertical="center" wrapText="1"/>
    </xf>
    <xf numFmtId="0" fontId="108" fillId="0" borderId="5" xfId="2218" applyFont="1" applyFill="1" applyBorder="1" applyAlignment="1">
      <alignment horizontal="center" vertical="center" wrapText="1"/>
    </xf>
    <xf numFmtId="0" fontId="108" fillId="0" borderId="1" xfId="2218" applyFont="1" applyFill="1" applyBorder="1" applyAlignment="1">
      <alignment horizontal="left" vertical="center" wrapText="1"/>
    </xf>
    <xf numFmtId="0" fontId="108" fillId="0" borderId="1" xfId="2218" applyFont="1" applyFill="1" applyBorder="1" applyAlignment="1">
      <alignment vertical="center"/>
    </xf>
    <xf numFmtId="0" fontId="108" fillId="0" borderId="3" xfId="2218" applyFont="1" applyFill="1" applyBorder="1" applyAlignment="1">
      <alignment horizontal="left" vertical="center"/>
    </xf>
    <xf numFmtId="0" fontId="108" fillId="0" borderId="4" xfId="2218" applyFont="1" applyFill="1" applyBorder="1" applyAlignment="1">
      <alignment horizontal="left" vertical="center"/>
    </xf>
    <xf numFmtId="0" fontId="108" fillId="0" borderId="5" xfId="2218" applyFont="1" applyFill="1" applyBorder="1" applyAlignment="1">
      <alignment horizontal="left" vertical="center"/>
    </xf>
    <xf numFmtId="0" fontId="112" fillId="0" borderId="1" xfId="2218" applyFont="1" applyFill="1" applyBorder="1" applyAlignment="1">
      <alignment horizontal="left" vertical="center" wrapText="1"/>
    </xf>
    <xf numFmtId="0" fontId="108" fillId="0" borderId="3" xfId="2218" applyFont="1" applyFill="1" applyBorder="1" applyAlignment="1">
      <alignment vertical="center" wrapText="1"/>
    </xf>
    <xf numFmtId="0" fontId="108" fillId="0" borderId="4" xfId="2218" applyFont="1" applyFill="1" applyBorder="1" applyAlignment="1">
      <alignment vertical="center" wrapText="1"/>
    </xf>
    <xf numFmtId="0" fontId="108" fillId="0" borderId="5" xfId="2218" applyFont="1" applyFill="1" applyBorder="1" applyAlignment="1">
      <alignment vertical="center" wrapText="1"/>
    </xf>
    <xf numFmtId="0" fontId="108" fillId="0" borderId="11" xfId="2218" applyFont="1" applyFill="1" applyBorder="1" applyAlignment="1">
      <alignment vertical="center" wrapText="1"/>
    </xf>
    <xf numFmtId="0" fontId="108" fillId="0" borderId="2" xfId="2218" applyFont="1" applyFill="1" applyBorder="1" applyAlignment="1">
      <alignment vertical="center" wrapText="1"/>
    </xf>
    <xf numFmtId="0" fontId="108" fillId="0" borderId="14" xfId="2218" applyFont="1" applyFill="1" applyBorder="1" applyAlignment="1">
      <alignment vertical="center" wrapText="1"/>
    </xf>
    <xf numFmtId="0" fontId="108" fillId="0" borderId="3" xfId="2218" applyFont="1" applyFill="1" applyBorder="1" applyAlignment="1">
      <alignment vertical="center"/>
    </xf>
    <xf numFmtId="0" fontId="108" fillId="0" borderId="4" xfId="2218" applyFont="1" applyFill="1" applyBorder="1" applyAlignment="1">
      <alignment vertical="center"/>
    </xf>
    <xf numFmtId="0" fontId="108" fillId="0" borderId="5" xfId="2218" applyFont="1" applyFill="1" applyBorder="1" applyAlignment="1">
      <alignment vertical="center"/>
    </xf>
    <xf numFmtId="0" fontId="148" fillId="0" borderId="3" xfId="2222" applyFont="1" applyFill="1" applyBorder="1" applyAlignment="1" applyProtection="1">
      <alignment horizontal="left" vertical="top" wrapText="1"/>
      <protection locked="0"/>
    </xf>
    <xf numFmtId="0" fontId="148" fillId="0" borderId="4" xfId="2222" applyFont="1" applyFill="1" applyBorder="1" applyAlignment="1" applyProtection="1">
      <alignment horizontal="left" vertical="top" wrapText="1"/>
      <protection locked="0"/>
    </xf>
    <xf numFmtId="0" fontId="148" fillId="0" borderId="5" xfId="2222" applyFont="1" applyFill="1" applyBorder="1" applyAlignment="1" applyProtection="1">
      <alignment horizontal="left" vertical="top" wrapText="1"/>
      <protection locked="0"/>
    </xf>
    <xf numFmtId="2" fontId="90" fillId="0" borderId="0" xfId="1689" applyNumberFormat="1" applyFont="1" applyAlignment="1">
      <alignment horizontal="center"/>
    </xf>
    <xf numFmtId="0" fontId="90" fillId="0" borderId="0" xfId="1689" applyFont="1" applyAlignment="1">
      <alignment horizontal="center"/>
    </xf>
    <xf numFmtId="0" fontId="27" fillId="0" borderId="3" xfId="1689" applyFont="1" applyBorder="1" applyAlignment="1">
      <alignment horizontal="left" vertical="center"/>
    </xf>
    <xf numFmtId="0" fontId="27" fillId="0" borderId="5" xfId="1689" applyFont="1" applyBorder="1" applyAlignment="1">
      <alignment horizontal="left" vertical="center"/>
    </xf>
    <xf numFmtId="0" fontId="148" fillId="0" borderId="0" xfId="2222" applyFont="1" applyFill="1" applyAlignment="1" applyProtection="1">
      <alignment horizontal="left" vertical="center" wrapText="1"/>
      <protection locked="0"/>
    </xf>
    <xf numFmtId="0" fontId="149" fillId="0" borderId="1" xfId="1689" applyFont="1" applyFill="1" applyBorder="1" applyAlignment="1">
      <alignment horizontal="center" vertical="center" wrapText="1"/>
    </xf>
    <xf numFmtId="0" fontId="90" fillId="0" borderId="1" xfId="1689" applyFont="1" applyFill="1" applyBorder="1" applyAlignment="1">
      <alignment horizontal="center" vertical="center" wrapText="1"/>
    </xf>
    <xf numFmtId="0" fontId="67" fillId="0" borderId="1" xfId="1689" applyFont="1" applyFill="1" applyBorder="1" applyAlignment="1">
      <alignment horizontal="center" vertical="center" wrapText="1"/>
    </xf>
    <xf numFmtId="0" fontId="27" fillId="0" borderId="13" xfId="1689" applyFont="1" applyBorder="1" applyAlignment="1">
      <alignment horizontal="left" vertical="center" wrapText="1"/>
    </xf>
    <xf numFmtId="0" fontId="27" fillId="0" borderId="6" xfId="1689" applyFont="1" applyBorder="1" applyAlignment="1">
      <alignment horizontal="left" vertical="center" wrapText="1"/>
    </xf>
    <xf numFmtId="0" fontId="27" fillId="0" borderId="7" xfId="1689" applyFont="1" applyBorder="1" applyAlignment="1">
      <alignment horizontal="left" vertical="center" wrapText="1"/>
    </xf>
    <xf numFmtId="0" fontId="27" fillId="0" borderId="11" xfId="1689" applyFont="1" applyBorder="1" applyAlignment="1">
      <alignment horizontal="left" vertical="center" wrapText="1"/>
    </xf>
    <xf numFmtId="0" fontId="27" fillId="0" borderId="2" xfId="1689" applyFont="1" applyBorder="1" applyAlignment="1">
      <alignment horizontal="left" vertical="center" wrapText="1"/>
    </xf>
    <xf numFmtId="0" fontId="27" fillId="0" borderId="14" xfId="1689" applyFont="1" applyBorder="1" applyAlignment="1">
      <alignment horizontal="left" vertical="center" wrapText="1"/>
    </xf>
    <xf numFmtId="0" fontId="148" fillId="0" borderId="13" xfId="2222" applyFont="1" applyFill="1" applyBorder="1" applyAlignment="1" applyProtection="1">
      <alignment horizontal="left" vertical="center" wrapText="1"/>
      <protection locked="0"/>
    </xf>
    <xf numFmtId="0" fontId="148" fillId="0" borderId="6" xfId="2222" applyFont="1" applyFill="1" applyBorder="1" applyAlignment="1" applyProtection="1">
      <alignment horizontal="left" vertical="center" wrapText="1"/>
      <protection locked="0"/>
    </xf>
    <xf numFmtId="0" fontId="148" fillId="0" borderId="7" xfId="2222" applyFont="1" applyFill="1" applyBorder="1" applyAlignment="1" applyProtection="1">
      <alignment horizontal="left" vertical="center" wrapText="1"/>
      <protection locked="0"/>
    </xf>
    <xf numFmtId="0" fontId="148" fillId="0" borderId="11" xfId="2222" applyFont="1" applyFill="1" applyBorder="1" applyAlignment="1" applyProtection="1">
      <alignment horizontal="left" vertical="center" wrapText="1"/>
      <protection locked="0"/>
    </xf>
    <xf numFmtId="0" fontId="148" fillId="0" borderId="2" xfId="2222" applyFont="1" applyFill="1" applyBorder="1" applyAlignment="1" applyProtection="1">
      <alignment horizontal="left" vertical="center" wrapText="1"/>
      <protection locked="0"/>
    </xf>
    <xf numFmtId="0" fontId="148" fillId="0" borderId="14" xfId="2222" applyFont="1" applyFill="1" applyBorder="1" applyAlignment="1" applyProtection="1">
      <alignment horizontal="left" vertical="center" wrapText="1"/>
      <protection locked="0"/>
    </xf>
    <xf numFmtId="0" fontId="148" fillId="0" borderId="3" xfId="2222" applyFont="1" applyFill="1" applyBorder="1" applyAlignment="1" applyProtection="1">
      <alignment horizontal="left" vertical="center" wrapText="1"/>
      <protection locked="0"/>
    </xf>
    <xf numFmtId="0" fontId="148" fillId="0" borderId="4" xfId="2222" applyFont="1" applyFill="1" applyBorder="1" applyAlignment="1" applyProtection="1">
      <alignment horizontal="left" vertical="center" wrapText="1"/>
      <protection locked="0"/>
    </xf>
    <xf numFmtId="0" fontId="148" fillId="0" borderId="5" xfId="2222" applyFont="1" applyFill="1" applyBorder="1" applyAlignment="1" applyProtection="1">
      <alignment horizontal="left" vertical="center" wrapText="1"/>
      <protection locked="0"/>
    </xf>
    <xf numFmtId="0" fontId="27" fillId="0" borderId="4" xfId="1689" applyBorder="1" applyAlignment="1">
      <alignment horizontal="center" vertical="top" wrapText="1"/>
    </xf>
    <xf numFmtId="0" fontId="27" fillId="0" borderId="5" xfId="1689" applyBorder="1" applyAlignment="1">
      <alignment horizontal="center" vertical="top" wrapText="1"/>
    </xf>
    <xf numFmtId="2" fontId="153" fillId="0" borderId="1" xfId="1689" applyNumberFormat="1" applyFont="1" applyFill="1" applyBorder="1" applyAlignment="1">
      <alignment horizontal="center" vertical="center" wrapText="1"/>
    </xf>
    <xf numFmtId="0" fontId="27" fillId="37" borderId="1" xfId="1689" applyFont="1" applyFill="1" applyBorder="1" applyAlignment="1">
      <alignment horizontal="center" vertical="center" wrapText="1"/>
    </xf>
    <xf numFmtId="0" fontId="148" fillId="0" borderId="1" xfId="1689" applyFont="1" applyFill="1" applyBorder="1" applyAlignment="1">
      <alignment horizontal="center" vertical="center" wrapText="1"/>
    </xf>
    <xf numFmtId="0" fontId="27" fillId="0" borderId="1" xfId="1689" applyFont="1" applyFill="1" applyBorder="1" applyAlignment="1">
      <alignment horizontal="center" vertical="center" wrapText="1"/>
    </xf>
    <xf numFmtId="0" fontId="90" fillId="0" borderId="3" xfId="1689" applyFont="1" applyFill="1" applyBorder="1" applyAlignment="1">
      <alignment horizontal="center" vertical="center" wrapText="1"/>
    </xf>
    <xf numFmtId="0" fontId="90" fillId="0" borderId="4" xfId="1689" applyFont="1" applyFill="1" applyBorder="1" applyAlignment="1">
      <alignment horizontal="center" vertical="center" wrapText="1"/>
    </xf>
    <xf numFmtId="0" fontId="90" fillId="0" borderId="5" xfId="1689" applyFont="1" applyFill="1" applyBorder="1" applyAlignment="1">
      <alignment horizontal="center" vertical="center" wrapText="1"/>
    </xf>
    <xf numFmtId="0" fontId="155" fillId="0" borderId="0" xfId="1689" applyFont="1" applyAlignment="1">
      <alignment vertical="top" wrapText="1"/>
    </xf>
    <xf numFmtId="49" fontId="27" fillId="0" borderId="0" xfId="1689" applyNumberFormat="1" applyAlignment="1">
      <alignment horizontal="center"/>
    </xf>
    <xf numFmtId="0" fontId="67" fillId="0" borderId="6" xfId="1689" applyFont="1" applyBorder="1" applyAlignment="1">
      <alignment horizontal="center" vertical="top" wrapText="1"/>
    </xf>
    <xf numFmtId="0" fontId="67" fillId="0" borderId="0" xfId="1689" applyFont="1" applyBorder="1" applyAlignment="1">
      <alignment horizontal="center" vertical="top" wrapText="1"/>
    </xf>
    <xf numFmtId="0" fontId="117" fillId="0" borderId="3" xfId="1690" applyFont="1" applyFill="1" applyBorder="1" applyAlignment="1">
      <alignment horizontal="center" vertical="center" wrapText="1"/>
    </xf>
    <xf numFmtId="0" fontId="117" fillId="0" borderId="4" xfId="1690" applyFont="1" applyFill="1" applyBorder="1" applyAlignment="1">
      <alignment horizontal="center" vertical="center" wrapText="1"/>
    </xf>
    <xf numFmtId="0" fontId="117" fillId="0" borderId="5" xfId="1690" applyFont="1" applyFill="1" applyBorder="1" applyAlignment="1">
      <alignment horizontal="center" vertical="center" wrapText="1"/>
    </xf>
    <xf numFmtId="0" fontId="117" fillId="0" borderId="3" xfId="1690" applyFont="1" applyBorder="1" applyAlignment="1">
      <alignment horizontal="center" vertical="center"/>
    </xf>
    <xf numFmtId="0" fontId="117" fillId="0" borderId="4" xfId="1690" applyFont="1" applyBorder="1" applyAlignment="1">
      <alignment horizontal="center" vertical="center"/>
    </xf>
    <xf numFmtId="0" fontId="117" fillId="0" borderId="5" xfId="1690" applyFont="1" applyBorder="1" applyAlignment="1">
      <alignment horizontal="center" vertical="center"/>
    </xf>
    <xf numFmtId="0" fontId="114" fillId="0" borderId="0" xfId="1690" applyFont="1" applyAlignment="1">
      <alignment horizontal="center"/>
    </xf>
    <xf numFmtId="4" fontId="114" fillId="0" borderId="0" xfId="1690" applyNumberFormat="1" applyFont="1" applyAlignment="1">
      <alignment horizontal="center" vertical="center" wrapText="1"/>
    </xf>
    <xf numFmtId="4" fontId="114" fillId="0" borderId="4" xfId="1690" applyNumberFormat="1" applyFont="1" applyBorder="1" applyAlignment="1">
      <alignment horizontal="center" vertical="center" wrapText="1"/>
    </xf>
    <xf numFmtId="0" fontId="117" fillId="0" borderId="0" xfId="1690" applyFont="1" applyBorder="1" applyAlignment="1">
      <alignment horizontal="left"/>
    </xf>
    <xf numFmtId="0" fontId="117" fillId="0" borderId="3" xfId="1690" applyFont="1" applyBorder="1" applyAlignment="1">
      <alignment horizontal="center" vertical="top"/>
    </xf>
    <xf numFmtId="0" fontId="117" fillId="0" borderId="4" xfId="1690" applyFont="1" applyBorder="1" applyAlignment="1">
      <alignment horizontal="center" vertical="top"/>
    </xf>
    <xf numFmtId="0" fontId="117" fillId="0" borderId="5" xfId="1690" applyFont="1" applyBorder="1" applyAlignment="1">
      <alignment horizontal="center" vertical="top"/>
    </xf>
    <xf numFmtId="0" fontId="117" fillId="0" borderId="3" xfId="1690" applyFont="1" applyFill="1" applyBorder="1" applyAlignment="1">
      <alignment horizontal="right" vertical="center" wrapText="1"/>
    </xf>
    <xf numFmtId="0" fontId="117" fillId="0" borderId="4" xfId="1690" applyFont="1" applyFill="1" applyBorder="1" applyAlignment="1">
      <alignment horizontal="right" vertical="center" wrapText="1"/>
    </xf>
    <xf numFmtId="0" fontId="117" fillId="0" borderId="5" xfId="1690" applyFont="1" applyFill="1" applyBorder="1" applyAlignment="1">
      <alignment horizontal="right" vertical="center" wrapText="1"/>
    </xf>
    <xf numFmtId="0" fontId="9" fillId="0" borderId="12" xfId="2209" applyBorder="1" applyAlignment="1">
      <alignment horizontal="center" vertical="center" wrapText="1"/>
    </xf>
    <xf numFmtId="0" fontId="9" fillId="0" borderId="0" xfId="2209" applyBorder="1" applyAlignment="1">
      <alignment horizontal="center" vertical="center" wrapText="1"/>
    </xf>
    <xf numFmtId="0" fontId="109" fillId="0" borderId="8" xfId="2209" applyFont="1" applyFill="1" applyBorder="1" applyAlignment="1">
      <alignment horizontal="center" vertical="center"/>
    </xf>
    <xf numFmtId="0" fontId="109" fillId="0" borderId="9" xfId="2209" applyFont="1" applyFill="1" applyBorder="1" applyAlignment="1">
      <alignment horizontal="center" vertical="center"/>
    </xf>
    <xf numFmtId="0" fontId="9" fillId="0" borderId="10" xfId="2209" applyBorder="1" applyAlignment="1">
      <alignment horizontal="center" vertical="center"/>
    </xf>
    <xf numFmtId="0" fontId="109" fillId="0" borderId="8" xfId="2209" applyFont="1" applyFill="1" applyBorder="1" applyAlignment="1">
      <alignment horizontal="center" vertical="center" wrapText="1"/>
    </xf>
    <xf numFmtId="0" fontId="109" fillId="0" borderId="9" xfId="2209" applyFont="1" applyFill="1" applyBorder="1" applyAlignment="1">
      <alignment horizontal="center" vertical="center" wrapText="1"/>
    </xf>
    <xf numFmtId="0" fontId="30" fillId="0" borderId="0" xfId="2209" applyFont="1" applyFill="1" applyBorder="1" applyAlignment="1">
      <alignment horizontal="left" vertical="center" wrapText="1"/>
    </xf>
    <xf numFmtId="0" fontId="30" fillId="0" borderId="0" xfId="2209" applyFont="1" applyFill="1" applyBorder="1" applyAlignment="1">
      <alignment horizontal="center" vertical="center" wrapText="1"/>
    </xf>
    <xf numFmtId="0" fontId="109" fillId="0" borderId="3" xfId="2209" applyFont="1" applyFill="1" applyBorder="1" applyAlignment="1">
      <alignment horizontal="left" vertical="center" wrapText="1"/>
    </xf>
    <xf numFmtId="0" fontId="9" fillId="0" borderId="4" xfId="2209" applyBorder="1" applyAlignment="1">
      <alignment horizontal="left" vertical="center" wrapText="1"/>
    </xf>
    <xf numFmtId="0" fontId="9" fillId="0" borderId="5" xfId="2209" applyBorder="1" applyAlignment="1">
      <alignment horizontal="left" vertical="center" wrapText="1"/>
    </xf>
    <xf numFmtId="0" fontId="109" fillId="0" borderId="1" xfId="2209" applyFont="1" applyFill="1" applyBorder="1" applyAlignment="1">
      <alignment horizontal="left" vertical="center" wrapText="1"/>
    </xf>
    <xf numFmtId="0" fontId="110" fillId="0" borderId="1" xfId="2209" applyFont="1" applyBorder="1" applyAlignment="1">
      <alignment horizontal="left" vertical="center" wrapText="1"/>
    </xf>
    <xf numFmtId="0" fontId="109" fillId="4" borderId="1" xfId="2209" applyFont="1" applyFill="1" applyBorder="1" applyAlignment="1">
      <alignment horizontal="left" vertical="center" wrapText="1"/>
    </xf>
    <xf numFmtId="0" fontId="110" fillId="4" borderId="1" xfId="2209" applyFont="1" applyFill="1" applyBorder="1" applyAlignment="1">
      <alignment horizontal="left" vertical="center" wrapText="1"/>
    </xf>
    <xf numFmtId="0" fontId="109" fillId="2" borderId="3" xfId="2209" applyFont="1" applyFill="1" applyBorder="1" applyAlignment="1">
      <alignment vertical="center" wrapText="1"/>
    </xf>
    <xf numFmtId="0" fontId="109" fillId="2" borderId="4" xfId="2209" applyFont="1" applyFill="1" applyBorder="1" applyAlignment="1">
      <alignment vertical="center" wrapText="1"/>
    </xf>
    <xf numFmtId="0" fontId="109" fillId="2" borderId="5" xfId="2209" applyFont="1" applyFill="1" applyBorder="1" applyAlignment="1">
      <alignment vertical="center" wrapText="1"/>
    </xf>
    <xf numFmtId="0" fontId="112" fillId="2" borderId="3" xfId="2209" applyFont="1" applyFill="1" applyBorder="1" applyAlignment="1">
      <alignment vertical="center" wrapText="1"/>
    </xf>
    <xf numFmtId="0" fontId="112" fillId="2" borderId="4" xfId="2209" applyFont="1" applyFill="1" applyBorder="1" applyAlignment="1">
      <alignment vertical="center" wrapText="1"/>
    </xf>
    <xf numFmtId="0" fontId="112" fillId="2" borderId="5" xfId="2209" applyFont="1" applyFill="1" applyBorder="1" applyAlignment="1">
      <alignment vertical="center" wrapText="1"/>
    </xf>
    <xf numFmtId="0" fontId="109" fillId="0" borderId="10" xfId="2209" applyFont="1" applyFill="1" applyBorder="1" applyAlignment="1">
      <alignment horizontal="center" vertical="center" wrapText="1"/>
    </xf>
    <xf numFmtId="0" fontId="109" fillId="0" borderId="10" xfId="2209" applyFont="1" applyBorder="1" applyAlignment="1">
      <alignment horizontal="center" vertical="center" wrapText="1"/>
    </xf>
    <xf numFmtId="0" fontId="109" fillId="0" borderId="3" xfId="2209" applyFont="1" applyFill="1" applyBorder="1" applyAlignment="1">
      <alignment horizontal="center" vertical="center" wrapText="1"/>
    </xf>
    <xf numFmtId="0" fontId="109" fillId="0" borderId="5" xfId="2209" applyFont="1" applyFill="1" applyBorder="1" applyAlignment="1">
      <alignment horizontal="center" vertical="center" wrapText="1"/>
    </xf>
    <xf numFmtId="0" fontId="39" fillId="0" borderId="0" xfId="2209" applyFont="1" applyBorder="1" applyAlignment="1">
      <alignment horizontal="center" vertical="center" wrapText="1"/>
    </xf>
    <xf numFmtId="0" fontId="39" fillId="0" borderId="0" xfId="2209" applyFont="1" applyAlignment="1">
      <alignment horizontal="center" vertical="center" wrapText="1"/>
    </xf>
    <xf numFmtId="0" fontId="32" fillId="0" borderId="0" xfId="2210" quotePrefix="1" applyAlignment="1">
      <alignment horizontal="left" vertical="top" wrapText="1"/>
    </xf>
    <xf numFmtId="0" fontId="9" fillId="0" borderId="0" xfId="2209" applyAlignment="1">
      <alignment wrapText="1"/>
    </xf>
    <xf numFmtId="0" fontId="34" fillId="0" borderId="0" xfId="2211" applyBorder="1" applyAlignment="1">
      <alignment horizontal="left" vertical="center" wrapText="1"/>
    </xf>
    <xf numFmtId="0" fontId="32" fillId="0" borderId="0" xfId="2212" applyAlignment="1">
      <alignment horizontal="left" vertical="center" wrapText="1"/>
    </xf>
    <xf numFmtId="0" fontId="34" fillId="0" borderId="0" xfId="2213" applyBorder="1" applyAlignment="1">
      <alignment horizontal="left" vertical="center" wrapText="1"/>
    </xf>
    <xf numFmtId="0" fontId="32" fillId="0" borderId="0" xfId="2212" quotePrefix="1" applyAlignment="1">
      <alignment horizontal="left" vertical="center" wrapText="1"/>
    </xf>
    <xf numFmtId="0" fontId="117" fillId="0" borderId="3" xfId="1690" applyFont="1" applyFill="1" applyBorder="1" applyAlignment="1">
      <alignment horizontal="center" vertical="center"/>
    </xf>
    <xf numFmtId="0" fontId="117" fillId="0" borderId="4" xfId="1690" applyFont="1" applyFill="1" applyBorder="1" applyAlignment="1">
      <alignment horizontal="center" vertical="center"/>
    </xf>
    <xf numFmtId="0" fontId="117" fillId="0" borderId="5" xfId="1690" applyFont="1" applyFill="1" applyBorder="1" applyAlignment="1">
      <alignment horizontal="center" vertical="center"/>
    </xf>
    <xf numFmtId="0" fontId="117" fillId="0" borderId="0" xfId="1690" applyFont="1" applyBorder="1" applyAlignment="1">
      <alignment horizontal="left" wrapText="1"/>
    </xf>
    <xf numFmtId="0" fontId="159" fillId="0" borderId="1" xfId="2231" applyFont="1" applyBorder="1" applyAlignment="1">
      <alignment horizontal="center" vertical="center"/>
    </xf>
  </cellXfs>
  <cellStyles count="2232"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10" xfId="34"/>
    <cellStyle name="20% - Акцент1 11" xfId="35"/>
    <cellStyle name="20% - Акцент1 12" xfId="36"/>
    <cellStyle name="20% - Акцент1 13" xfId="37"/>
    <cellStyle name="20% - Акцент1 14" xfId="38"/>
    <cellStyle name="20% - Акцент1 15" xfId="39"/>
    <cellStyle name="20% - Акцент1 16" xfId="40"/>
    <cellStyle name="20% - Акцент1 17" xfId="41"/>
    <cellStyle name="20% - Акцент1 18" xfId="42"/>
    <cellStyle name="20% - Акцент1 19" xfId="43"/>
    <cellStyle name="20% - Акцент1 2" xfId="44"/>
    <cellStyle name="20% - Акцент1 2 2" xfId="45"/>
    <cellStyle name="20% - Акцент1 2 3" xfId="46"/>
    <cellStyle name="20% - Акцент1 2 4" xfId="47"/>
    <cellStyle name="20% - Акцент1 2 5" xfId="48"/>
    <cellStyle name="20% - Акцент1 2 6" xfId="49"/>
    <cellStyle name="20% - Акцент1 2_Приложения к 571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3" xfId="56"/>
    <cellStyle name="20% - Акцент1 3 2" xfId="57"/>
    <cellStyle name="20% - Акцент1 3 3" xfId="58"/>
    <cellStyle name="20% - Акцент1 3 4" xfId="59"/>
    <cellStyle name="20% - Акцент1 3 5" xfId="60"/>
    <cellStyle name="20% - Акцент1 3 6" xfId="61"/>
    <cellStyle name="20% - Акцент1 3_Приложения к 571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 4" xfId="82"/>
    <cellStyle name="20% - Акцент2 2 5" xfId="83"/>
    <cellStyle name="20% - Акцент2 2 6" xfId="84"/>
    <cellStyle name="20% - Акцент2 2_Приложения к 571" xfId="85"/>
    <cellStyle name="20% - Акцент2 20" xfId="86"/>
    <cellStyle name="20% - Акцент2 21" xfId="87"/>
    <cellStyle name="20% - Акцент2 22" xfId="88"/>
    <cellStyle name="20% - Акцент2 23" xfId="89"/>
    <cellStyle name="20% - Акцент2 24" xfId="90"/>
    <cellStyle name="20% - Акцент2 3" xfId="91"/>
    <cellStyle name="20% - Акцент2 3 2" xfId="92"/>
    <cellStyle name="20% - Акцент2 3 3" xfId="93"/>
    <cellStyle name="20% - Акцент2 3 4" xfId="94"/>
    <cellStyle name="20% - Акцент2 3 5" xfId="95"/>
    <cellStyle name="20% - Акцент2 3 6" xfId="96"/>
    <cellStyle name="20% - Акцент2 3_Приложения к 571" xfId="97"/>
    <cellStyle name="20% - Акцент2 4" xfId="98"/>
    <cellStyle name="20% - Акцент2 5" xfId="99"/>
    <cellStyle name="20% - Акцент2 6" xfId="100"/>
    <cellStyle name="20% - Акцент2 7" xfId="101"/>
    <cellStyle name="20% - Акцент2 8" xfId="102"/>
    <cellStyle name="20% - Акцент2 9" xfId="103"/>
    <cellStyle name="20% - Акцент3 10" xfId="104"/>
    <cellStyle name="20% - Акцент3 11" xfId="105"/>
    <cellStyle name="20% - Акцент3 12" xfId="106"/>
    <cellStyle name="20% - Акцент3 13" xfId="107"/>
    <cellStyle name="20% - Акцент3 14" xfId="108"/>
    <cellStyle name="20% - Акцент3 15" xfId="109"/>
    <cellStyle name="20% - Акцент3 16" xfId="110"/>
    <cellStyle name="20% - Акцент3 17" xfId="111"/>
    <cellStyle name="20% - Акцент3 18" xfId="112"/>
    <cellStyle name="20% - Акцент3 19" xfId="113"/>
    <cellStyle name="20% - Акцент3 2" xfId="114"/>
    <cellStyle name="20% - Акцент3 2 2" xfId="115"/>
    <cellStyle name="20% - Акцент3 2 3" xfId="116"/>
    <cellStyle name="20% - Акцент3 2 4" xfId="117"/>
    <cellStyle name="20% - Акцент3 2 5" xfId="118"/>
    <cellStyle name="20% - Акцент3 2 6" xfId="119"/>
    <cellStyle name="20% - Акцент3 2_Приложения к 571" xfId="120"/>
    <cellStyle name="20% - Акцент3 20" xfId="121"/>
    <cellStyle name="20% - Акцент3 21" xfId="122"/>
    <cellStyle name="20% - Акцент3 22" xfId="123"/>
    <cellStyle name="20% - Акцент3 23" xfId="124"/>
    <cellStyle name="20% - Акцент3 24" xfId="125"/>
    <cellStyle name="20% - Акцент3 3" xfId="126"/>
    <cellStyle name="20% - Акцент3 3 2" xfId="127"/>
    <cellStyle name="20% - Акцент3 3 3" xfId="128"/>
    <cellStyle name="20% - Акцент3 3 4" xfId="129"/>
    <cellStyle name="20% - Акцент3 3 5" xfId="130"/>
    <cellStyle name="20% - Акцент3 3 6" xfId="131"/>
    <cellStyle name="20% - Акцент3 3_Приложения к 571" xfId="132"/>
    <cellStyle name="20% - Акцент3 4" xfId="133"/>
    <cellStyle name="20% - Акцент3 5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4 10" xfId="139"/>
    <cellStyle name="20% - Акцент4 11" xfId="140"/>
    <cellStyle name="20% - Акцент4 12" xfId="141"/>
    <cellStyle name="20% - Акцент4 13" xfId="142"/>
    <cellStyle name="20% - Акцент4 14" xfId="143"/>
    <cellStyle name="20% - Акцент4 15" xfId="144"/>
    <cellStyle name="20% - Акцент4 16" xfId="145"/>
    <cellStyle name="20% - Акцент4 17" xfId="146"/>
    <cellStyle name="20% - Акцент4 18" xfId="147"/>
    <cellStyle name="20% - Акцент4 19" xfId="148"/>
    <cellStyle name="20% - Акцент4 2" xfId="149"/>
    <cellStyle name="20% - Акцент4 2 2" xfId="150"/>
    <cellStyle name="20% - Акцент4 2 3" xfId="151"/>
    <cellStyle name="20% - Акцент4 2 4" xfId="152"/>
    <cellStyle name="20% - Акцент4 2 5" xfId="153"/>
    <cellStyle name="20% - Акцент4 2 6" xfId="154"/>
    <cellStyle name="20% - Акцент4 2_Приложения к 571" xfId="155"/>
    <cellStyle name="20% - Акцент4 20" xfId="156"/>
    <cellStyle name="20% - Акцент4 21" xfId="157"/>
    <cellStyle name="20% - Акцент4 22" xfId="158"/>
    <cellStyle name="20% - Акцент4 23" xfId="159"/>
    <cellStyle name="20% - Акцент4 24" xfId="160"/>
    <cellStyle name="20% - Акцент4 3" xfId="161"/>
    <cellStyle name="20% - Акцент4 3 2" xfId="162"/>
    <cellStyle name="20% - Акцент4 3 3" xfId="163"/>
    <cellStyle name="20% - Акцент4 3 4" xfId="164"/>
    <cellStyle name="20% - Акцент4 3 5" xfId="165"/>
    <cellStyle name="20% - Акцент4 3 6" xfId="166"/>
    <cellStyle name="20% - Акцент4 3_Приложения к 571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8" xfId="172"/>
    <cellStyle name="20% - Акцент4 9" xfId="173"/>
    <cellStyle name="20% - Акцент5 10" xfId="174"/>
    <cellStyle name="20% - Акцент5 11" xfId="175"/>
    <cellStyle name="20% - Акцент5 12" xfId="176"/>
    <cellStyle name="20% - Акцент5 13" xfId="177"/>
    <cellStyle name="20% - Акцент5 14" xfId="178"/>
    <cellStyle name="20% - Акцент5 15" xfId="179"/>
    <cellStyle name="20% - Акцент5 16" xfId="180"/>
    <cellStyle name="20% - Акцент5 17" xfId="181"/>
    <cellStyle name="20% - Акцент5 18" xfId="182"/>
    <cellStyle name="20% - Акцент5 19" xfId="183"/>
    <cellStyle name="20% - Акцент5 2" xfId="184"/>
    <cellStyle name="20% - Акцент5 2 2" xfId="185"/>
    <cellStyle name="20% - Акцент5 2 3" xfId="186"/>
    <cellStyle name="20% - Акцент5 2 4" xfId="187"/>
    <cellStyle name="20% - Акцент5 2 5" xfId="188"/>
    <cellStyle name="20% - Акцент5 2 6" xfId="189"/>
    <cellStyle name="20% - Акцент5 2_Приложения к 571" xfId="190"/>
    <cellStyle name="20% - Акцент5 20" xfId="191"/>
    <cellStyle name="20% - Акцент5 21" xfId="192"/>
    <cellStyle name="20% - Акцент5 22" xfId="193"/>
    <cellStyle name="20% - Акцент5 23" xfId="194"/>
    <cellStyle name="20% - Акцент5 24" xfId="195"/>
    <cellStyle name="20% - Акцент5 3" xfId="196"/>
    <cellStyle name="20% - Акцент5 3 2" xfId="197"/>
    <cellStyle name="20% - Акцент5 3 3" xfId="198"/>
    <cellStyle name="20% - Акцент5 3 4" xfId="199"/>
    <cellStyle name="20% - Акцент5 3 5" xfId="200"/>
    <cellStyle name="20% - Акцент5 3 6" xfId="201"/>
    <cellStyle name="20% - Акцент5 3_Приложения к 571" xfId="202"/>
    <cellStyle name="20% - Акцент5 4" xfId="203"/>
    <cellStyle name="20% - Акцент5 5" xfId="204"/>
    <cellStyle name="20% - Акцент5 6" xfId="205"/>
    <cellStyle name="20% - Акцент5 7" xfId="206"/>
    <cellStyle name="20% - Акцент5 8" xfId="207"/>
    <cellStyle name="20% - Акцент5 9" xfId="208"/>
    <cellStyle name="20% - Акцент6 10" xfId="209"/>
    <cellStyle name="20% - Акцент6 11" xfId="210"/>
    <cellStyle name="20% - Акцент6 12" xfId="211"/>
    <cellStyle name="20% - Акцент6 13" xfId="212"/>
    <cellStyle name="20% - Акцент6 14" xfId="213"/>
    <cellStyle name="20% - Акцент6 15" xfId="214"/>
    <cellStyle name="20% - Акцент6 16" xfId="215"/>
    <cellStyle name="20% - Акцент6 17" xfId="216"/>
    <cellStyle name="20% - Акцент6 18" xfId="217"/>
    <cellStyle name="20% - Акцент6 19" xfId="218"/>
    <cellStyle name="20% - Акцент6 2" xfId="219"/>
    <cellStyle name="20% - Акцент6 2 2" xfId="220"/>
    <cellStyle name="20% - Акцент6 2 3" xfId="221"/>
    <cellStyle name="20% - Акцент6 2 4" xfId="222"/>
    <cellStyle name="20% - Акцент6 2 5" xfId="223"/>
    <cellStyle name="20% - Акцент6 2 6" xfId="224"/>
    <cellStyle name="20% - Акцент6 2_Приложения к 571" xfId="225"/>
    <cellStyle name="20% - Акцент6 20" xfId="226"/>
    <cellStyle name="20% - Акцент6 21" xfId="227"/>
    <cellStyle name="20% - Акцент6 22" xfId="228"/>
    <cellStyle name="20% - Акцент6 23" xfId="229"/>
    <cellStyle name="20% - Акцент6 24" xfId="230"/>
    <cellStyle name="20% - Акцент6 3" xfId="231"/>
    <cellStyle name="20% - Акцент6 3 2" xfId="232"/>
    <cellStyle name="20% - Акцент6 3 3" xfId="233"/>
    <cellStyle name="20% - Акцент6 3 4" xfId="234"/>
    <cellStyle name="20% - Акцент6 3 5" xfId="235"/>
    <cellStyle name="20% - Акцент6 3 6" xfId="236"/>
    <cellStyle name="20% - Акцент6 3_Приложения к 571" xfId="237"/>
    <cellStyle name="20% - Акцент6 4" xfId="238"/>
    <cellStyle name="20% - Акцент6 5" xfId="239"/>
    <cellStyle name="20% - Акцент6 6" xfId="240"/>
    <cellStyle name="20% - Акцент6 7" xfId="241"/>
    <cellStyle name="20% - Акцент6 8" xfId="242"/>
    <cellStyle name="20% - Акцент6 9" xfId="243"/>
    <cellStyle name="40% - Accent1" xfId="244"/>
    <cellStyle name="40% - Accent2" xfId="245"/>
    <cellStyle name="40% - Accent3" xfId="246"/>
    <cellStyle name="40% - Accent4" xfId="247"/>
    <cellStyle name="40% - Accent5" xfId="248"/>
    <cellStyle name="40% - Accent6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 3" xfId="262"/>
    <cellStyle name="40% - Акцент1 2 4" xfId="263"/>
    <cellStyle name="40% - Акцент1 2 5" xfId="264"/>
    <cellStyle name="40% - Акцент1 2 6" xfId="265"/>
    <cellStyle name="40% - Акцент1 2_Приложения к 571" xfId="266"/>
    <cellStyle name="40% - Акцент1 20" xfId="267"/>
    <cellStyle name="40% - Акцент1 21" xfId="268"/>
    <cellStyle name="40% - Акцент1 22" xfId="269"/>
    <cellStyle name="40% - Акцент1 23" xfId="270"/>
    <cellStyle name="40% - Акцент1 24" xfId="271"/>
    <cellStyle name="40% - Акцент1 3" xfId="272"/>
    <cellStyle name="40% - Акцент1 3 2" xfId="273"/>
    <cellStyle name="40% - Акцент1 3 3" xfId="274"/>
    <cellStyle name="40% - Акцент1 3 4" xfId="275"/>
    <cellStyle name="40% - Акцент1 3 5" xfId="276"/>
    <cellStyle name="40% - Акцент1 3 6" xfId="277"/>
    <cellStyle name="40% - Акцент1 3_Приложения к 571" xfId="278"/>
    <cellStyle name="40% - Акцент1 4" xfId="279"/>
    <cellStyle name="40% - Акцент1 5" xfId="280"/>
    <cellStyle name="40% - Акцент1 6" xfId="281"/>
    <cellStyle name="40% - Акцент1 7" xfId="282"/>
    <cellStyle name="40% - Акцент1 8" xfId="283"/>
    <cellStyle name="40% - Акцент1 9" xfId="284"/>
    <cellStyle name="40% - Акцент2 10" xfId="285"/>
    <cellStyle name="40% - Акцент2 11" xfId="286"/>
    <cellStyle name="40% - Акцент2 12" xfId="287"/>
    <cellStyle name="40% - Акцент2 13" xfId="288"/>
    <cellStyle name="40% - Акцент2 14" xfId="289"/>
    <cellStyle name="40% - Акцент2 15" xfId="290"/>
    <cellStyle name="40% - Акцент2 16" xfId="291"/>
    <cellStyle name="40% - Акцент2 17" xfId="292"/>
    <cellStyle name="40% - Акцент2 18" xfId="293"/>
    <cellStyle name="40% - Акцент2 19" xfId="294"/>
    <cellStyle name="40% - Акцент2 2" xfId="295"/>
    <cellStyle name="40% - Акцент2 2 2" xfId="296"/>
    <cellStyle name="40% - Акцент2 2 3" xfId="297"/>
    <cellStyle name="40% - Акцент2 2 4" xfId="298"/>
    <cellStyle name="40% - Акцент2 2 5" xfId="299"/>
    <cellStyle name="40% - Акцент2 2 6" xfId="300"/>
    <cellStyle name="40% - Акцент2 2_Приложения к 571" xfId="301"/>
    <cellStyle name="40% - Акцент2 20" xfId="302"/>
    <cellStyle name="40% - Акцент2 21" xfId="303"/>
    <cellStyle name="40% - Акцент2 22" xfId="304"/>
    <cellStyle name="40% - Акцент2 23" xfId="305"/>
    <cellStyle name="40% - Акцент2 24" xfId="306"/>
    <cellStyle name="40% - Акцент2 3" xfId="307"/>
    <cellStyle name="40% - Акцент2 3 2" xfId="308"/>
    <cellStyle name="40% - Акцент2 3 3" xfId="309"/>
    <cellStyle name="40% - Акцент2 3 4" xfId="310"/>
    <cellStyle name="40% - Акцент2 3 5" xfId="311"/>
    <cellStyle name="40% - Акцент2 3 6" xfId="312"/>
    <cellStyle name="40% - Акцент2 3_Приложения к 571" xfId="313"/>
    <cellStyle name="40% - Акцент2 4" xfId="314"/>
    <cellStyle name="40% - Акцент2 5" xfId="315"/>
    <cellStyle name="40% - Акцент2 6" xfId="316"/>
    <cellStyle name="40% - Акцент2 7" xfId="317"/>
    <cellStyle name="40% - Акцент2 8" xfId="318"/>
    <cellStyle name="40% - Акцент2 9" xfId="319"/>
    <cellStyle name="40% - Акцент3 10" xfId="320"/>
    <cellStyle name="40% - Акцент3 11" xfId="321"/>
    <cellStyle name="40% - Акцент3 12" xfId="322"/>
    <cellStyle name="40% - Акцент3 13" xfId="323"/>
    <cellStyle name="40% - Акцент3 14" xfId="324"/>
    <cellStyle name="40% - Акцент3 15" xfId="325"/>
    <cellStyle name="40% - Акцент3 16" xfId="326"/>
    <cellStyle name="40% - Акцент3 17" xfId="327"/>
    <cellStyle name="40% - Акцент3 18" xfId="328"/>
    <cellStyle name="40% - Акцент3 19" xfId="329"/>
    <cellStyle name="40% - Акцент3 2" xfId="330"/>
    <cellStyle name="40% - Акцент3 2 2" xfId="331"/>
    <cellStyle name="40% - Акцент3 2 3" xfId="332"/>
    <cellStyle name="40% - Акцент3 2 4" xfId="333"/>
    <cellStyle name="40% - Акцент3 2 5" xfId="334"/>
    <cellStyle name="40% - Акцент3 2 6" xfId="335"/>
    <cellStyle name="40% - Акцент3 2_Приложения к 571" xfId="336"/>
    <cellStyle name="40% - Акцент3 20" xfId="337"/>
    <cellStyle name="40% - Акцент3 21" xfId="338"/>
    <cellStyle name="40% - Акцент3 22" xfId="339"/>
    <cellStyle name="40% - Акцент3 23" xfId="340"/>
    <cellStyle name="40% - Акцент3 24" xfId="341"/>
    <cellStyle name="40% - Акцент3 3" xfId="342"/>
    <cellStyle name="40% - Акцент3 3 2" xfId="343"/>
    <cellStyle name="40% - Акцент3 3 3" xfId="344"/>
    <cellStyle name="40% - Акцент3 3 4" xfId="345"/>
    <cellStyle name="40% - Акцент3 3 5" xfId="346"/>
    <cellStyle name="40% - Акцент3 3 6" xfId="347"/>
    <cellStyle name="40% - Акцент3 3_Приложения к 571" xfId="348"/>
    <cellStyle name="40% - Акцент3 4" xfId="349"/>
    <cellStyle name="40% - Акцент3 5" xfId="350"/>
    <cellStyle name="40% - Акцент3 6" xfId="351"/>
    <cellStyle name="40% - Акцент3 7" xfId="352"/>
    <cellStyle name="40% - Акцент3 8" xfId="353"/>
    <cellStyle name="40% - Акцент3 9" xfId="354"/>
    <cellStyle name="40% - Акцент4 10" xfId="355"/>
    <cellStyle name="40% - Акцент4 11" xfId="356"/>
    <cellStyle name="40% - Акцент4 12" xfId="357"/>
    <cellStyle name="40% - Акцент4 13" xfId="358"/>
    <cellStyle name="40% - Акцент4 14" xfId="359"/>
    <cellStyle name="40% - Акцент4 15" xfId="360"/>
    <cellStyle name="40% - Акцент4 16" xfId="361"/>
    <cellStyle name="40% - Акцент4 17" xfId="362"/>
    <cellStyle name="40% - Акцент4 18" xfId="363"/>
    <cellStyle name="40% - Акцент4 19" xfId="364"/>
    <cellStyle name="40% - Акцент4 2" xfId="365"/>
    <cellStyle name="40% - Акцент4 2 2" xfId="366"/>
    <cellStyle name="40% - Акцент4 2 3" xfId="367"/>
    <cellStyle name="40% - Акцент4 2 4" xfId="368"/>
    <cellStyle name="40% - Акцент4 2 5" xfId="369"/>
    <cellStyle name="40% - Акцент4 2 6" xfId="370"/>
    <cellStyle name="40% - Акцент4 2_Приложения к 571" xfId="371"/>
    <cellStyle name="40% - Акцент4 20" xfId="372"/>
    <cellStyle name="40% - Акцент4 21" xfId="373"/>
    <cellStyle name="40% - Акцент4 22" xfId="374"/>
    <cellStyle name="40% - Акцент4 23" xfId="375"/>
    <cellStyle name="40% - Акцент4 24" xfId="376"/>
    <cellStyle name="40% - Акцент4 3" xfId="377"/>
    <cellStyle name="40% - Акцент4 3 2" xfId="378"/>
    <cellStyle name="40% - Акцент4 3 3" xfId="379"/>
    <cellStyle name="40% - Акцент4 3 4" xfId="380"/>
    <cellStyle name="40% - Акцент4 3 5" xfId="381"/>
    <cellStyle name="40% - Акцент4 3 6" xfId="382"/>
    <cellStyle name="40% - Акцент4 3_Приложения к 571" xfId="383"/>
    <cellStyle name="40% - Акцент4 4" xfId="384"/>
    <cellStyle name="40% - Акцент4 5" xfId="385"/>
    <cellStyle name="40% - Акцент4 6" xfId="386"/>
    <cellStyle name="40% - Акцент4 7" xfId="387"/>
    <cellStyle name="40% - Акцент4 8" xfId="388"/>
    <cellStyle name="40% - Акцент4 9" xfId="389"/>
    <cellStyle name="40% - Акцент5 10" xfId="390"/>
    <cellStyle name="40% - Акцент5 11" xfId="391"/>
    <cellStyle name="40% - Акцент5 12" xfId="392"/>
    <cellStyle name="40% - Акцент5 13" xfId="393"/>
    <cellStyle name="40% - Акцент5 14" xfId="394"/>
    <cellStyle name="40% - Акцент5 15" xfId="395"/>
    <cellStyle name="40% - Акцент5 16" xfId="396"/>
    <cellStyle name="40% - Акцент5 17" xfId="397"/>
    <cellStyle name="40% - Акцент5 18" xfId="398"/>
    <cellStyle name="40% - Акцент5 19" xfId="399"/>
    <cellStyle name="40% - Акцент5 2" xfId="400"/>
    <cellStyle name="40% - Акцент5 2 2" xfId="401"/>
    <cellStyle name="40% - Акцент5 2 3" xfId="402"/>
    <cellStyle name="40% - Акцент5 2 4" xfId="403"/>
    <cellStyle name="40% - Акцент5 2 5" xfId="404"/>
    <cellStyle name="40% - Акцент5 2 6" xfId="405"/>
    <cellStyle name="40% - Акцент5 2_Приложения к 571" xfId="406"/>
    <cellStyle name="40% - Акцент5 20" xfId="407"/>
    <cellStyle name="40% - Акцент5 21" xfId="408"/>
    <cellStyle name="40% - Акцент5 22" xfId="409"/>
    <cellStyle name="40% - Акцент5 23" xfId="410"/>
    <cellStyle name="40% - Акцент5 24" xfId="411"/>
    <cellStyle name="40% - Акцент5 3" xfId="412"/>
    <cellStyle name="40% - Акцент5 3 2" xfId="413"/>
    <cellStyle name="40% - Акцент5 3 3" xfId="414"/>
    <cellStyle name="40% - Акцент5 3 4" xfId="415"/>
    <cellStyle name="40% - Акцент5 3 5" xfId="416"/>
    <cellStyle name="40% - Акцент5 3 6" xfId="417"/>
    <cellStyle name="40% - Акцент5 3_Приложения к 571" xfId="418"/>
    <cellStyle name="40% - Акцент5 4" xfId="419"/>
    <cellStyle name="40% - Акцент5 5" xfId="420"/>
    <cellStyle name="40% - Акцент5 6" xfId="421"/>
    <cellStyle name="40% - Акцент5 7" xfId="422"/>
    <cellStyle name="40% - Акцент5 8" xfId="423"/>
    <cellStyle name="40% - Акцент5 9" xfId="424"/>
    <cellStyle name="40% - Акцент6 10" xfId="425"/>
    <cellStyle name="40% - Акцент6 11" xfId="426"/>
    <cellStyle name="40% - Акцент6 12" xfId="427"/>
    <cellStyle name="40% - Акцент6 13" xfId="428"/>
    <cellStyle name="40% - Акцент6 14" xfId="429"/>
    <cellStyle name="40% - Акцент6 15" xfId="430"/>
    <cellStyle name="40% - Акцент6 16" xfId="431"/>
    <cellStyle name="40% - Акцент6 17" xfId="432"/>
    <cellStyle name="40% - Акцент6 18" xfId="433"/>
    <cellStyle name="40% - Акцент6 19" xfId="434"/>
    <cellStyle name="40% - Акцент6 2" xfId="435"/>
    <cellStyle name="40% - Акцент6 2 2" xfId="436"/>
    <cellStyle name="40% - Акцент6 2 3" xfId="437"/>
    <cellStyle name="40% - Акцент6 2 4" xfId="438"/>
    <cellStyle name="40% - Акцент6 2 5" xfId="439"/>
    <cellStyle name="40% - Акцент6 2 6" xfId="440"/>
    <cellStyle name="40% - Акцент6 2_Приложения к 571" xfId="441"/>
    <cellStyle name="40% - Акцент6 20" xfId="442"/>
    <cellStyle name="40% - Акцент6 21" xfId="443"/>
    <cellStyle name="40% - Акцент6 22" xfId="444"/>
    <cellStyle name="40% - Акцент6 23" xfId="445"/>
    <cellStyle name="40% - Акцент6 24" xfId="446"/>
    <cellStyle name="40% - Акцент6 3" xfId="447"/>
    <cellStyle name="40% - Акцент6 3 2" xfId="448"/>
    <cellStyle name="40% - Акцент6 3 3" xfId="449"/>
    <cellStyle name="40% - Акцент6 3 4" xfId="450"/>
    <cellStyle name="40% - Акцент6 3 5" xfId="451"/>
    <cellStyle name="40% - Акцент6 3 6" xfId="452"/>
    <cellStyle name="40% - Акцент6 3_Приложения к 571" xfId="453"/>
    <cellStyle name="40% - Акцент6 4" xfId="454"/>
    <cellStyle name="40% - Акцент6 5" xfId="455"/>
    <cellStyle name="40% - Акцент6 6" xfId="456"/>
    <cellStyle name="40% - Акцент6 7" xfId="457"/>
    <cellStyle name="40% - Акцент6 8" xfId="458"/>
    <cellStyle name="40% - Акцент6 9" xfId="459"/>
    <cellStyle name="60% - Accent1" xfId="460"/>
    <cellStyle name="60% - Accent2" xfId="461"/>
    <cellStyle name="60% - Accent3" xfId="462"/>
    <cellStyle name="60% - Accent4" xfId="463"/>
    <cellStyle name="60% - Accent5" xfId="464"/>
    <cellStyle name="60% - Accent6" xfId="465"/>
    <cellStyle name="60% - Акцент1 10" xfId="466"/>
    <cellStyle name="60% - Акцент1 11" xfId="467"/>
    <cellStyle name="60% - Акцент1 12" xfId="468"/>
    <cellStyle name="60% - Акцент1 13" xfId="469"/>
    <cellStyle name="60% - Акцент1 14" xfId="470"/>
    <cellStyle name="60% - Акцент1 15" xfId="471"/>
    <cellStyle name="60% - Акцент1 16" xfId="472"/>
    <cellStyle name="60% - Акцент1 17" xfId="473"/>
    <cellStyle name="60% - Акцент1 18" xfId="474"/>
    <cellStyle name="60% - Акцент1 19" xfId="475"/>
    <cellStyle name="60% - Акцент1 2" xfId="476"/>
    <cellStyle name="60% - Акцент1 2 2" xfId="477"/>
    <cellStyle name="60% - Акцент1 2 3" xfId="478"/>
    <cellStyle name="60% - Акцент1 2 4" xfId="479"/>
    <cellStyle name="60% - Акцент1 2 5" xfId="480"/>
    <cellStyle name="60% - Акцент1 2 6" xfId="481"/>
    <cellStyle name="60% - Акцент1 20" xfId="482"/>
    <cellStyle name="60% - Акцент1 21" xfId="483"/>
    <cellStyle name="60% - Акцент1 22" xfId="484"/>
    <cellStyle name="60% - Акцент1 23" xfId="485"/>
    <cellStyle name="60% - Акцент1 24" xfId="486"/>
    <cellStyle name="60% - Акцент1 3" xfId="487"/>
    <cellStyle name="60% - Акцент1 3 2" xfId="488"/>
    <cellStyle name="60% - Акцент1 3 3" xfId="489"/>
    <cellStyle name="60% - Акцент1 3 4" xfId="490"/>
    <cellStyle name="60% - Акцент1 3 5" xfId="491"/>
    <cellStyle name="60% - Акцент1 3 6" xfId="492"/>
    <cellStyle name="60% - Акцент1 4" xfId="493"/>
    <cellStyle name="60% - Акцент1 5" xfId="494"/>
    <cellStyle name="60% - Акцент1 6" xfId="495"/>
    <cellStyle name="60% - Акцент1 7" xfId="496"/>
    <cellStyle name="60% - Акцент1 8" xfId="497"/>
    <cellStyle name="60% - Акцент1 9" xfId="498"/>
    <cellStyle name="60% - Акцент2 10" xfId="499"/>
    <cellStyle name="60% - Акцент2 11" xfId="500"/>
    <cellStyle name="60% - Акцент2 12" xfId="501"/>
    <cellStyle name="60% - Акцент2 13" xfId="502"/>
    <cellStyle name="60% - Акцент2 14" xfId="503"/>
    <cellStyle name="60% - Акцент2 15" xfId="504"/>
    <cellStyle name="60% - Акцент2 16" xfId="505"/>
    <cellStyle name="60% - Акцент2 17" xfId="506"/>
    <cellStyle name="60% - Акцент2 18" xfId="507"/>
    <cellStyle name="60% - Акцент2 19" xfId="508"/>
    <cellStyle name="60% - Акцент2 2" xfId="509"/>
    <cellStyle name="60% - Акцент2 2 2" xfId="510"/>
    <cellStyle name="60% - Акцент2 2 3" xfId="511"/>
    <cellStyle name="60% - Акцент2 2 4" xfId="512"/>
    <cellStyle name="60% - Акцент2 2 5" xfId="513"/>
    <cellStyle name="60% - Акцент2 2 6" xfId="514"/>
    <cellStyle name="60% - Акцент2 20" xfId="515"/>
    <cellStyle name="60% - Акцент2 21" xfId="516"/>
    <cellStyle name="60% - Акцент2 22" xfId="517"/>
    <cellStyle name="60% - Акцент2 23" xfId="518"/>
    <cellStyle name="60% - Акцент2 24" xfId="519"/>
    <cellStyle name="60% - Акцент2 3" xfId="520"/>
    <cellStyle name="60% - Акцент2 3 2" xfId="521"/>
    <cellStyle name="60% - Акцент2 3 3" xfId="522"/>
    <cellStyle name="60% - Акцент2 3 4" xfId="523"/>
    <cellStyle name="60% - Акцент2 3 5" xfId="524"/>
    <cellStyle name="60% - Акцент2 3 6" xfId="525"/>
    <cellStyle name="60% - Акцент2 4" xfId="526"/>
    <cellStyle name="60% - Акцент2 5" xfId="527"/>
    <cellStyle name="60% - Акцент2 6" xfId="528"/>
    <cellStyle name="60% - Акцент2 7" xfId="529"/>
    <cellStyle name="60% - Акцент2 8" xfId="530"/>
    <cellStyle name="60% - Акцент2 9" xfId="531"/>
    <cellStyle name="60% - Акцент3 10" xfId="532"/>
    <cellStyle name="60% - Акцент3 11" xfId="533"/>
    <cellStyle name="60% - Акцент3 12" xfId="534"/>
    <cellStyle name="60% - Акцент3 13" xfId="535"/>
    <cellStyle name="60% - Акцент3 14" xfId="536"/>
    <cellStyle name="60% - Акцент3 15" xfId="537"/>
    <cellStyle name="60% - Акцент3 16" xfId="538"/>
    <cellStyle name="60% - Акцент3 17" xfId="539"/>
    <cellStyle name="60% - Акцент3 18" xfId="540"/>
    <cellStyle name="60% - Акцент3 19" xfId="541"/>
    <cellStyle name="60% - Акцент3 2" xfId="542"/>
    <cellStyle name="60% - Акцент3 2 2" xfId="543"/>
    <cellStyle name="60% - Акцент3 2 3" xfId="544"/>
    <cellStyle name="60% - Акцент3 2 4" xfId="545"/>
    <cellStyle name="60% - Акцент3 2 5" xfId="546"/>
    <cellStyle name="60% - Акцент3 2 6" xfId="547"/>
    <cellStyle name="60% - Акцент3 20" xfId="548"/>
    <cellStyle name="60% - Акцент3 21" xfId="549"/>
    <cellStyle name="60% - Акцент3 22" xfId="550"/>
    <cellStyle name="60% - Акцент3 23" xfId="551"/>
    <cellStyle name="60% - Акцент3 24" xfId="552"/>
    <cellStyle name="60% - Акцент3 3" xfId="553"/>
    <cellStyle name="60% - Акцент3 3 2" xfId="554"/>
    <cellStyle name="60% - Акцент3 3 3" xfId="555"/>
    <cellStyle name="60% - Акцент3 3 4" xfId="556"/>
    <cellStyle name="60% - Акцент3 3 5" xfId="557"/>
    <cellStyle name="60% - Акцент3 3 6" xfId="558"/>
    <cellStyle name="60% - Акцент3 4" xfId="559"/>
    <cellStyle name="60% - Акцент3 5" xfId="560"/>
    <cellStyle name="60% - Акцент3 6" xfId="561"/>
    <cellStyle name="60% - Акцент3 7" xfId="562"/>
    <cellStyle name="60% - Акцент3 8" xfId="563"/>
    <cellStyle name="60% - Акцент3 9" xfId="564"/>
    <cellStyle name="60% - Акцент4 10" xfId="565"/>
    <cellStyle name="60% - Акцент4 11" xfId="566"/>
    <cellStyle name="60% - Акцент4 12" xfId="567"/>
    <cellStyle name="60% - Акцент4 13" xfId="568"/>
    <cellStyle name="60% - Акцент4 14" xfId="569"/>
    <cellStyle name="60% - Акцент4 15" xfId="570"/>
    <cellStyle name="60% - Акцент4 16" xfId="571"/>
    <cellStyle name="60% - Акцент4 17" xfId="572"/>
    <cellStyle name="60% - Акцент4 18" xfId="573"/>
    <cellStyle name="60% - Акцент4 19" xfId="574"/>
    <cellStyle name="60% - Акцент4 2" xfId="575"/>
    <cellStyle name="60% - Акцент4 2 2" xfId="576"/>
    <cellStyle name="60% - Акцент4 2 3" xfId="577"/>
    <cellStyle name="60% - Акцент4 2 4" xfId="578"/>
    <cellStyle name="60% - Акцент4 2 5" xfId="579"/>
    <cellStyle name="60% - Акцент4 2 6" xfId="580"/>
    <cellStyle name="60% - Акцент4 20" xfId="581"/>
    <cellStyle name="60% - Акцент4 21" xfId="582"/>
    <cellStyle name="60% - Акцент4 22" xfId="583"/>
    <cellStyle name="60% - Акцент4 23" xfId="584"/>
    <cellStyle name="60% - Акцент4 24" xfId="585"/>
    <cellStyle name="60% - Акцент4 3" xfId="586"/>
    <cellStyle name="60% - Акцент4 3 2" xfId="587"/>
    <cellStyle name="60% - Акцент4 3 3" xfId="588"/>
    <cellStyle name="60% - Акцент4 3 4" xfId="589"/>
    <cellStyle name="60% - Акцент4 3 5" xfId="590"/>
    <cellStyle name="60% - Акцент4 3 6" xfId="591"/>
    <cellStyle name="60% - Акцент4 4" xfId="592"/>
    <cellStyle name="60% - Акцент4 5" xfId="593"/>
    <cellStyle name="60% - Акцент4 6" xfId="594"/>
    <cellStyle name="60% - Акцент4 7" xfId="595"/>
    <cellStyle name="60% - Акцент4 8" xfId="596"/>
    <cellStyle name="60% - Акцент4 9" xfId="597"/>
    <cellStyle name="60% - Акцент5 10" xfId="598"/>
    <cellStyle name="60% - Акцент5 11" xfId="599"/>
    <cellStyle name="60% - Акцент5 12" xfId="600"/>
    <cellStyle name="60% - Акцент5 13" xfId="601"/>
    <cellStyle name="60% - Акцент5 14" xfId="602"/>
    <cellStyle name="60% - Акцент5 15" xfId="603"/>
    <cellStyle name="60% - Акцент5 16" xfId="604"/>
    <cellStyle name="60% - Акцент5 17" xfId="605"/>
    <cellStyle name="60% - Акцент5 18" xfId="606"/>
    <cellStyle name="60% - Акцент5 19" xfId="607"/>
    <cellStyle name="60% - Акцент5 2" xfId="608"/>
    <cellStyle name="60% - Акцент5 2 2" xfId="609"/>
    <cellStyle name="60% - Акцент5 2 3" xfId="610"/>
    <cellStyle name="60% - Акцент5 2 4" xfId="611"/>
    <cellStyle name="60% - Акцент5 2 5" xfId="612"/>
    <cellStyle name="60% - Акцент5 2 6" xfId="613"/>
    <cellStyle name="60% - Акцент5 20" xfId="614"/>
    <cellStyle name="60% - Акцент5 21" xfId="615"/>
    <cellStyle name="60% - Акцент5 22" xfId="616"/>
    <cellStyle name="60% - Акцент5 23" xfId="617"/>
    <cellStyle name="60% - Акцент5 24" xfId="618"/>
    <cellStyle name="60% - Акцент5 3" xfId="619"/>
    <cellStyle name="60% - Акцент5 3 2" xfId="620"/>
    <cellStyle name="60% - Акцент5 3 3" xfId="621"/>
    <cellStyle name="60% - Акцент5 3 4" xfId="622"/>
    <cellStyle name="60% - Акцент5 3 5" xfId="623"/>
    <cellStyle name="60% - Акцент5 3 6" xfId="624"/>
    <cellStyle name="60% - Акцент5 4" xfId="625"/>
    <cellStyle name="60% - Акцент5 5" xfId="626"/>
    <cellStyle name="60% - Акцент5 6" xfId="627"/>
    <cellStyle name="60% - Акцент5 7" xfId="628"/>
    <cellStyle name="60% - Акцент5 8" xfId="629"/>
    <cellStyle name="60% - Акцент5 9" xfId="630"/>
    <cellStyle name="60% - Акцент6 10" xfId="631"/>
    <cellStyle name="60% - Акцент6 11" xfId="632"/>
    <cellStyle name="60% - Акцент6 12" xfId="633"/>
    <cellStyle name="60% - Акцент6 13" xfId="634"/>
    <cellStyle name="60% - Акцент6 14" xfId="635"/>
    <cellStyle name="60% - Акцент6 15" xfId="636"/>
    <cellStyle name="60% - Акцент6 16" xfId="637"/>
    <cellStyle name="60% - Акцент6 17" xfId="638"/>
    <cellStyle name="60% - Акцент6 18" xfId="639"/>
    <cellStyle name="60% - Акцент6 19" xfId="640"/>
    <cellStyle name="60% - Акцент6 2" xfId="641"/>
    <cellStyle name="60% - Акцент6 2 2" xfId="642"/>
    <cellStyle name="60% - Акцент6 2 3" xfId="643"/>
    <cellStyle name="60% - Акцент6 2 4" xfId="644"/>
    <cellStyle name="60% - Акцент6 2 5" xfId="645"/>
    <cellStyle name="60% - Акцент6 2 6" xfId="646"/>
    <cellStyle name="60% - Акцент6 20" xfId="647"/>
    <cellStyle name="60% - Акцент6 21" xfId="648"/>
    <cellStyle name="60% - Акцент6 22" xfId="649"/>
    <cellStyle name="60% - Акцент6 23" xfId="650"/>
    <cellStyle name="60% - Акцент6 24" xfId="651"/>
    <cellStyle name="60% - Акцент6 3" xfId="652"/>
    <cellStyle name="60% - Акцент6 3 2" xfId="653"/>
    <cellStyle name="60% - Акцент6 3 3" xfId="654"/>
    <cellStyle name="60% - Акцент6 3 4" xfId="655"/>
    <cellStyle name="60% - Акцент6 3 5" xfId="656"/>
    <cellStyle name="60% - Акцент6 3 6" xfId="657"/>
    <cellStyle name="60% - Акцент6 4" xfId="658"/>
    <cellStyle name="60% - Акцент6 5" xfId="659"/>
    <cellStyle name="60% - Акцент6 6" xfId="660"/>
    <cellStyle name="60% - Акцент6 7" xfId="661"/>
    <cellStyle name="60% - Акцент6 8" xfId="662"/>
    <cellStyle name="60% - Акцент6 9" xfId="663"/>
    <cellStyle name="Accent1" xfId="664"/>
    <cellStyle name="Accent2" xfId="665"/>
    <cellStyle name="Accent3" xfId="666"/>
    <cellStyle name="Accent4" xfId="667"/>
    <cellStyle name="Accent5" xfId="668"/>
    <cellStyle name="Accent6" xfId="669"/>
    <cellStyle name="Bad" xfId="670"/>
    <cellStyle name="Calculation" xfId="671"/>
    <cellStyle name="Check Cell" xfId="672"/>
    <cellStyle name="Explanatory Text" xfId="673"/>
    <cellStyle name="Good" xfId="674"/>
    <cellStyle name="Heading 1" xfId="675"/>
    <cellStyle name="Heading 2" xfId="676"/>
    <cellStyle name="Heading 3" xfId="677"/>
    <cellStyle name="Heading 4" xfId="678"/>
    <cellStyle name="Input" xfId="679"/>
    <cellStyle name="Linked Cell" xfId="680"/>
    <cellStyle name="Neutral" xfId="681"/>
    <cellStyle name="normal" xfId="682"/>
    <cellStyle name="Note" xfId="683"/>
    <cellStyle name="Output" xfId="684"/>
    <cellStyle name="S0" xfId="685"/>
    <cellStyle name="S0 10" xfId="6"/>
    <cellStyle name="S0 11" xfId="686"/>
    <cellStyle name="S0 2" xfId="687"/>
    <cellStyle name="S0 2 2" xfId="688"/>
    <cellStyle name="S0 2 2 2" xfId="689"/>
    <cellStyle name="S0 2 3" xfId="690"/>
    <cellStyle name="S0 2_Сметы 1 этап" xfId="691"/>
    <cellStyle name="S0 3" xfId="692"/>
    <cellStyle name="S0 3 2" xfId="693"/>
    <cellStyle name="S0 4" xfId="694"/>
    <cellStyle name="S0 4 2" xfId="695"/>
    <cellStyle name="S0 5" xfId="696"/>
    <cellStyle name="S0 6" xfId="697"/>
    <cellStyle name="S0 7" xfId="698"/>
    <cellStyle name="S0 7 2" xfId="699"/>
    <cellStyle name="S0 8" xfId="700"/>
    <cellStyle name="S0 8 2" xfId="701"/>
    <cellStyle name="S0 9" xfId="702"/>
    <cellStyle name="S0_Сметы 1 этап" xfId="703"/>
    <cellStyle name="S1" xfId="704"/>
    <cellStyle name="S1 2" xfId="705"/>
    <cellStyle name="S1 3" xfId="706"/>
    <cellStyle name="S1 3 2" xfId="707"/>
    <cellStyle name="S1 4" xfId="708"/>
    <cellStyle name="S1 4 2" xfId="709"/>
    <cellStyle name="S1 5" xfId="710"/>
    <cellStyle name="S1 6" xfId="4"/>
    <cellStyle name="S1_Сметы 1 этап" xfId="711"/>
    <cellStyle name="S10" xfId="712"/>
    <cellStyle name="S10 2" xfId="713"/>
    <cellStyle name="S10 3" xfId="714"/>
    <cellStyle name="S10 4" xfId="715"/>
    <cellStyle name="S10 5" xfId="27"/>
    <cellStyle name="S10 6" xfId="16"/>
    <cellStyle name="S10_Сметы 1 этап" xfId="716"/>
    <cellStyle name="S11" xfId="717"/>
    <cellStyle name="S11 2" xfId="718"/>
    <cellStyle name="S11 3" xfId="719"/>
    <cellStyle name="S11 4" xfId="720"/>
    <cellStyle name="S12" xfId="721"/>
    <cellStyle name="S12 2" xfId="722"/>
    <cellStyle name="S12 3" xfId="723"/>
    <cellStyle name="S12 4" xfId="17"/>
    <cellStyle name="S13" xfId="724"/>
    <cellStyle name="S13 2" xfId="12"/>
    <cellStyle name="S13 3" xfId="725"/>
    <cellStyle name="S13 3 2" xfId="726"/>
    <cellStyle name="S13 4" xfId="727"/>
    <cellStyle name="S14" xfId="728"/>
    <cellStyle name="S14 2" xfId="729"/>
    <cellStyle name="S14 3" xfId="730"/>
    <cellStyle name="S14 4" xfId="731"/>
    <cellStyle name="S15" xfId="732"/>
    <cellStyle name="S15 2" xfId="733"/>
    <cellStyle name="S15 3" xfId="734"/>
    <cellStyle name="S16" xfId="735"/>
    <cellStyle name="S16 2" xfId="736"/>
    <cellStyle name="S17" xfId="737"/>
    <cellStyle name="S17 2" xfId="738"/>
    <cellStyle name="S18" xfId="739"/>
    <cellStyle name="S18 2" xfId="740"/>
    <cellStyle name="S19" xfId="741"/>
    <cellStyle name="S19 2" xfId="742"/>
    <cellStyle name="S2" xfId="743"/>
    <cellStyle name="S2 2" xfId="744"/>
    <cellStyle name="S2 2 2" xfId="2213"/>
    <cellStyle name="S2 3" xfId="745"/>
    <cellStyle name="S2 3 2" xfId="746"/>
    <cellStyle name="S2 4" xfId="747"/>
    <cellStyle name="S2 4 2" xfId="748"/>
    <cellStyle name="S2 5" xfId="749"/>
    <cellStyle name="S2 5 2" xfId="750"/>
    <cellStyle name="S2 5 3" xfId="751"/>
    <cellStyle name="S2 6" xfId="24"/>
    <cellStyle name="S2 7" xfId="7"/>
    <cellStyle name="S2_Сметы 1 этап" xfId="752"/>
    <cellStyle name="S20" xfId="753"/>
    <cellStyle name="S20 2" xfId="754"/>
    <cellStyle name="S21" xfId="755"/>
    <cellStyle name="S21 2" xfId="756"/>
    <cellStyle name="S22" xfId="757"/>
    <cellStyle name="S3" xfId="758"/>
    <cellStyle name="S3 2" xfId="759"/>
    <cellStyle name="S3 2 2" xfId="760"/>
    <cellStyle name="S3 2 2 2" xfId="2211"/>
    <cellStyle name="S3 3" xfId="21"/>
    <cellStyle name="S3 4" xfId="8"/>
    <cellStyle name="S4" xfId="761"/>
    <cellStyle name="S4 2" xfId="762"/>
    <cellStyle name="S4 3" xfId="763"/>
    <cellStyle name="S4 4" xfId="22"/>
    <cellStyle name="S4 5" xfId="9"/>
    <cellStyle name="S5" xfId="764"/>
    <cellStyle name="S5 2" xfId="765"/>
    <cellStyle name="S5 3" xfId="766"/>
    <cellStyle name="S5 4" xfId="23"/>
    <cellStyle name="S5 5" xfId="10"/>
    <cellStyle name="S6" xfId="767"/>
    <cellStyle name="S6 2" xfId="768"/>
    <cellStyle name="S6 2 2" xfId="2210"/>
    <cellStyle name="S6 3" xfId="769"/>
    <cellStyle name="S6 4" xfId="13"/>
    <cellStyle name="S6 5" xfId="11"/>
    <cellStyle name="S7" xfId="770"/>
    <cellStyle name="S7 2" xfId="771"/>
    <cellStyle name="S7 2 2" xfId="2212"/>
    <cellStyle name="S7 3" xfId="25"/>
    <cellStyle name="S7 4" xfId="772"/>
    <cellStyle name="S8" xfId="773"/>
    <cellStyle name="S8 2" xfId="774"/>
    <cellStyle name="S8 3" xfId="26"/>
    <cellStyle name="S8 4" xfId="14"/>
    <cellStyle name="S9" xfId="775"/>
    <cellStyle name="S9 2" xfId="776"/>
    <cellStyle name="S9 3" xfId="777"/>
    <cellStyle name="S9 4" xfId="778"/>
    <cellStyle name="S9 5" xfId="779"/>
    <cellStyle name="S9 6" xfId="15"/>
    <cellStyle name="S9_Сметы 1 этап" xfId="780"/>
    <cellStyle name="Title" xfId="781"/>
    <cellStyle name="Total" xfId="782"/>
    <cellStyle name="Warning Text" xfId="783"/>
    <cellStyle name="Акцент1 10" xfId="784"/>
    <cellStyle name="Акцент1 11" xfId="785"/>
    <cellStyle name="Акцент1 12" xfId="786"/>
    <cellStyle name="Акцент1 13" xfId="787"/>
    <cellStyle name="Акцент1 14" xfId="788"/>
    <cellStyle name="Акцент1 15" xfId="789"/>
    <cellStyle name="Акцент1 16" xfId="790"/>
    <cellStyle name="Акцент1 17" xfId="791"/>
    <cellStyle name="Акцент1 18" xfId="792"/>
    <cellStyle name="Акцент1 19" xfId="793"/>
    <cellStyle name="Акцент1 2" xfId="794"/>
    <cellStyle name="Акцент1 2 2" xfId="795"/>
    <cellStyle name="Акцент1 2 3" xfId="796"/>
    <cellStyle name="Акцент1 2 4" xfId="797"/>
    <cellStyle name="Акцент1 2 5" xfId="798"/>
    <cellStyle name="Акцент1 2 6" xfId="799"/>
    <cellStyle name="Акцент1 20" xfId="800"/>
    <cellStyle name="Акцент1 21" xfId="801"/>
    <cellStyle name="Акцент1 22" xfId="802"/>
    <cellStyle name="Акцент1 23" xfId="803"/>
    <cellStyle name="Акцент1 24" xfId="804"/>
    <cellStyle name="Акцент1 3" xfId="805"/>
    <cellStyle name="Акцент1 3 2" xfId="806"/>
    <cellStyle name="Акцент1 3 3" xfId="807"/>
    <cellStyle name="Акцент1 3 4" xfId="808"/>
    <cellStyle name="Акцент1 3 5" xfId="809"/>
    <cellStyle name="Акцент1 3 6" xfId="810"/>
    <cellStyle name="Акцент1 4" xfId="811"/>
    <cellStyle name="Акцент1 5" xfId="812"/>
    <cellStyle name="Акцент1 6" xfId="813"/>
    <cellStyle name="Акцент1 7" xfId="814"/>
    <cellStyle name="Акцент1 8" xfId="815"/>
    <cellStyle name="Акцент1 9" xfId="816"/>
    <cellStyle name="Акцент2 10" xfId="817"/>
    <cellStyle name="Акцент2 11" xfId="818"/>
    <cellStyle name="Акцент2 12" xfId="819"/>
    <cellStyle name="Акцент2 13" xfId="820"/>
    <cellStyle name="Акцент2 14" xfId="821"/>
    <cellStyle name="Акцент2 15" xfId="822"/>
    <cellStyle name="Акцент2 16" xfId="823"/>
    <cellStyle name="Акцент2 17" xfId="824"/>
    <cellStyle name="Акцент2 18" xfId="825"/>
    <cellStyle name="Акцент2 19" xfId="826"/>
    <cellStyle name="Акцент2 2" xfId="827"/>
    <cellStyle name="Акцент2 2 2" xfId="828"/>
    <cellStyle name="Акцент2 2 3" xfId="829"/>
    <cellStyle name="Акцент2 2 4" xfId="830"/>
    <cellStyle name="Акцент2 2 5" xfId="831"/>
    <cellStyle name="Акцент2 2 6" xfId="832"/>
    <cellStyle name="Акцент2 20" xfId="833"/>
    <cellStyle name="Акцент2 21" xfId="834"/>
    <cellStyle name="Акцент2 22" xfId="835"/>
    <cellStyle name="Акцент2 23" xfId="836"/>
    <cellStyle name="Акцент2 24" xfId="837"/>
    <cellStyle name="Акцент2 3" xfId="838"/>
    <cellStyle name="Акцент2 3 2" xfId="839"/>
    <cellStyle name="Акцент2 3 3" xfId="840"/>
    <cellStyle name="Акцент2 3 4" xfId="841"/>
    <cellStyle name="Акцент2 3 5" xfId="842"/>
    <cellStyle name="Акцент2 3 6" xfId="843"/>
    <cellStyle name="Акцент2 4" xfId="844"/>
    <cellStyle name="Акцент2 5" xfId="845"/>
    <cellStyle name="Акцент2 6" xfId="846"/>
    <cellStyle name="Акцент2 7" xfId="847"/>
    <cellStyle name="Акцент2 8" xfId="848"/>
    <cellStyle name="Акцент2 9" xfId="849"/>
    <cellStyle name="Акцент3 10" xfId="850"/>
    <cellStyle name="Акцент3 11" xfId="851"/>
    <cellStyle name="Акцент3 12" xfId="852"/>
    <cellStyle name="Акцент3 13" xfId="853"/>
    <cellStyle name="Акцент3 14" xfId="854"/>
    <cellStyle name="Акцент3 15" xfId="855"/>
    <cellStyle name="Акцент3 16" xfId="856"/>
    <cellStyle name="Акцент3 17" xfId="857"/>
    <cellStyle name="Акцент3 18" xfId="858"/>
    <cellStyle name="Акцент3 19" xfId="859"/>
    <cellStyle name="Акцент3 2" xfId="860"/>
    <cellStyle name="Акцент3 2 2" xfId="861"/>
    <cellStyle name="Акцент3 2 3" xfId="862"/>
    <cellStyle name="Акцент3 2 4" xfId="863"/>
    <cellStyle name="Акцент3 2 5" xfId="864"/>
    <cellStyle name="Акцент3 2 6" xfId="865"/>
    <cellStyle name="Акцент3 20" xfId="866"/>
    <cellStyle name="Акцент3 21" xfId="867"/>
    <cellStyle name="Акцент3 22" xfId="868"/>
    <cellStyle name="Акцент3 23" xfId="869"/>
    <cellStyle name="Акцент3 24" xfId="870"/>
    <cellStyle name="Акцент3 3" xfId="871"/>
    <cellStyle name="Акцент3 3 2" xfId="872"/>
    <cellStyle name="Акцент3 3 3" xfId="873"/>
    <cellStyle name="Акцент3 3 4" xfId="874"/>
    <cellStyle name="Акцент3 3 5" xfId="875"/>
    <cellStyle name="Акцент3 3 6" xfId="876"/>
    <cellStyle name="Акцент3 4" xfId="877"/>
    <cellStyle name="Акцент3 5" xfId="878"/>
    <cellStyle name="Акцент3 6" xfId="879"/>
    <cellStyle name="Акцент3 7" xfId="880"/>
    <cellStyle name="Акцент3 8" xfId="881"/>
    <cellStyle name="Акцент3 9" xfId="882"/>
    <cellStyle name="Акцент4 10" xfId="883"/>
    <cellStyle name="Акцент4 11" xfId="884"/>
    <cellStyle name="Акцент4 12" xfId="885"/>
    <cellStyle name="Акцент4 13" xfId="886"/>
    <cellStyle name="Акцент4 14" xfId="887"/>
    <cellStyle name="Акцент4 15" xfId="888"/>
    <cellStyle name="Акцент4 16" xfId="889"/>
    <cellStyle name="Акцент4 17" xfId="890"/>
    <cellStyle name="Акцент4 18" xfId="891"/>
    <cellStyle name="Акцент4 19" xfId="892"/>
    <cellStyle name="Акцент4 2" xfId="893"/>
    <cellStyle name="Акцент4 2 2" xfId="894"/>
    <cellStyle name="Акцент4 2 3" xfId="895"/>
    <cellStyle name="Акцент4 2 4" xfId="896"/>
    <cellStyle name="Акцент4 2 5" xfId="897"/>
    <cellStyle name="Акцент4 2 6" xfId="898"/>
    <cellStyle name="Акцент4 20" xfId="899"/>
    <cellStyle name="Акцент4 21" xfId="900"/>
    <cellStyle name="Акцент4 22" xfId="901"/>
    <cellStyle name="Акцент4 23" xfId="902"/>
    <cellStyle name="Акцент4 24" xfId="903"/>
    <cellStyle name="Акцент4 3" xfId="904"/>
    <cellStyle name="Акцент4 3 2" xfId="905"/>
    <cellStyle name="Акцент4 3 3" xfId="906"/>
    <cellStyle name="Акцент4 3 4" xfId="907"/>
    <cellStyle name="Акцент4 3 5" xfId="908"/>
    <cellStyle name="Акцент4 3 6" xfId="909"/>
    <cellStyle name="Акцент4 4" xfId="910"/>
    <cellStyle name="Акцент4 5" xfId="911"/>
    <cellStyle name="Акцент4 6" xfId="912"/>
    <cellStyle name="Акцент4 7" xfId="913"/>
    <cellStyle name="Акцент4 8" xfId="914"/>
    <cellStyle name="Акцент4 9" xfId="915"/>
    <cellStyle name="Акцент5 10" xfId="916"/>
    <cellStyle name="Акцент5 11" xfId="917"/>
    <cellStyle name="Акцент5 12" xfId="918"/>
    <cellStyle name="Акцент5 13" xfId="919"/>
    <cellStyle name="Акцент5 14" xfId="920"/>
    <cellStyle name="Акцент5 15" xfId="921"/>
    <cellStyle name="Акцент5 16" xfId="922"/>
    <cellStyle name="Акцент5 17" xfId="923"/>
    <cellStyle name="Акцент5 18" xfId="924"/>
    <cellStyle name="Акцент5 19" xfId="925"/>
    <cellStyle name="Акцент5 2" xfId="926"/>
    <cellStyle name="Акцент5 2 2" xfId="927"/>
    <cellStyle name="Акцент5 2 3" xfId="928"/>
    <cellStyle name="Акцент5 2 4" xfId="929"/>
    <cellStyle name="Акцент5 2 5" xfId="930"/>
    <cellStyle name="Акцент5 2 6" xfId="931"/>
    <cellStyle name="Акцент5 20" xfId="932"/>
    <cellStyle name="Акцент5 21" xfId="933"/>
    <cellStyle name="Акцент5 22" xfId="934"/>
    <cellStyle name="Акцент5 23" xfId="935"/>
    <cellStyle name="Акцент5 24" xfId="936"/>
    <cellStyle name="Акцент5 3" xfId="937"/>
    <cellStyle name="Акцент5 3 2" xfId="938"/>
    <cellStyle name="Акцент5 3 3" xfId="939"/>
    <cellStyle name="Акцент5 3 4" xfId="940"/>
    <cellStyle name="Акцент5 3 5" xfId="941"/>
    <cellStyle name="Акцент5 3 6" xfId="942"/>
    <cellStyle name="Акцент5 4" xfId="943"/>
    <cellStyle name="Акцент5 5" xfId="944"/>
    <cellStyle name="Акцент5 6" xfId="945"/>
    <cellStyle name="Акцент5 7" xfId="946"/>
    <cellStyle name="Акцент5 8" xfId="947"/>
    <cellStyle name="Акцент5 9" xfId="948"/>
    <cellStyle name="Акцент6 10" xfId="949"/>
    <cellStyle name="Акцент6 11" xfId="950"/>
    <cellStyle name="Акцент6 12" xfId="951"/>
    <cellStyle name="Акцент6 13" xfId="952"/>
    <cellStyle name="Акцент6 14" xfId="953"/>
    <cellStyle name="Акцент6 15" xfId="954"/>
    <cellStyle name="Акцент6 16" xfId="955"/>
    <cellStyle name="Акцент6 17" xfId="956"/>
    <cellStyle name="Акцент6 18" xfId="957"/>
    <cellStyle name="Акцент6 19" xfId="958"/>
    <cellStyle name="Акцент6 2" xfId="959"/>
    <cellStyle name="Акцент6 2 2" xfId="960"/>
    <cellStyle name="Акцент6 2 3" xfId="961"/>
    <cellStyle name="Акцент6 2 4" xfId="962"/>
    <cellStyle name="Акцент6 2 5" xfId="963"/>
    <cellStyle name="Акцент6 2 6" xfId="964"/>
    <cellStyle name="Акцент6 20" xfId="965"/>
    <cellStyle name="Акцент6 21" xfId="966"/>
    <cellStyle name="Акцент6 22" xfId="967"/>
    <cellStyle name="Акцент6 23" xfId="968"/>
    <cellStyle name="Акцент6 24" xfId="969"/>
    <cellStyle name="Акцент6 3" xfId="970"/>
    <cellStyle name="Акцент6 3 2" xfId="971"/>
    <cellStyle name="Акцент6 3 3" xfId="972"/>
    <cellStyle name="Акцент6 3 4" xfId="973"/>
    <cellStyle name="Акцент6 3 5" xfId="974"/>
    <cellStyle name="Акцент6 3 6" xfId="975"/>
    <cellStyle name="Акцент6 4" xfId="976"/>
    <cellStyle name="Акцент6 5" xfId="977"/>
    <cellStyle name="Акцент6 6" xfId="978"/>
    <cellStyle name="Акцент6 7" xfId="979"/>
    <cellStyle name="Акцент6 8" xfId="980"/>
    <cellStyle name="Акцент6 9" xfId="981"/>
    <cellStyle name="Ввод  10" xfId="982"/>
    <cellStyle name="Ввод  11" xfId="983"/>
    <cellStyle name="Ввод  12" xfId="984"/>
    <cellStyle name="Ввод  13" xfId="985"/>
    <cellStyle name="Ввод  14" xfId="986"/>
    <cellStyle name="Ввод  15" xfId="987"/>
    <cellStyle name="Ввод  16" xfId="988"/>
    <cellStyle name="Ввод  17" xfId="989"/>
    <cellStyle name="Ввод  18" xfId="990"/>
    <cellStyle name="Ввод  19" xfId="991"/>
    <cellStyle name="Ввод  2" xfId="992"/>
    <cellStyle name="Ввод  2 2" xfId="993"/>
    <cellStyle name="Ввод  2 3" xfId="994"/>
    <cellStyle name="Ввод  2 4" xfId="995"/>
    <cellStyle name="Ввод  2 5" xfId="996"/>
    <cellStyle name="Ввод  2 6" xfId="997"/>
    <cellStyle name="Ввод  20" xfId="998"/>
    <cellStyle name="Ввод  21" xfId="999"/>
    <cellStyle name="Ввод  22" xfId="1000"/>
    <cellStyle name="Ввод  23" xfId="1001"/>
    <cellStyle name="Ввод  24" xfId="1002"/>
    <cellStyle name="Ввод  3" xfId="1003"/>
    <cellStyle name="Ввод  3 2" xfId="1004"/>
    <cellStyle name="Ввод  3 3" xfId="1005"/>
    <cellStyle name="Ввод  3 4" xfId="1006"/>
    <cellStyle name="Ввод  3 5" xfId="1007"/>
    <cellStyle name="Ввод  3 6" xfId="1008"/>
    <cellStyle name="Ввод  4" xfId="1009"/>
    <cellStyle name="Ввод  5" xfId="1010"/>
    <cellStyle name="Ввод  6" xfId="1011"/>
    <cellStyle name="Ввод  7" xfId="1012"/>
    <cellStyle name="Ввод  8" xfId="1013"/>
    <cellStyle name="Ввод  9" xfId="1014"/>
    <cellStyle name="Вывод 10" xfId="1015"/>
    <cellStyle name="Вывод 11" xfId="1016"/>
    <cellStyle name="Вывод 12" xfId="1017"/>
    <cellStyle name="Вывод 13" xfId="1018"/>
    <cellStyle name="Вывод 14" xfId="1019"/>
    <cellStyle name="Вывод 15" xfId="1020"/>
    <cellStyle name="Вывод 16" xfId="1021"/>
    <cellStyle name="Вывод 17" xfId="1022"/>
    <cellStyle name="Вывод 18" xfId="1023"/>
    <cellStyle name="Вывод 19" xfId="1024"/>
    <cellStyle name="Вывод 2" xfId="1025"/>
    <cellStyle name="Вывод 2 2" xfId="1026"/>
    <cellStyle name="Вывод 2 3" xfId="1027"/>
    <cellStyle name="Вывод 2 4" xfId="1028"/>
    <cellStyle name="Вывод 2 5" xfId="1029"/>
    <cellStyle name="Вывод 2 6" xfId="1030"/>
    <cellStyle name="Вывод 20" xfId="1031"/>
    <cellStyle name="Вывод 21" xfId="1032"/>
    <cellStyle name="Вывод 22" xfId="1033"/>
    <cellStyle name="Вывод 23" xfId="1034"/>
    <cellStyle name="Вывод 24" xfId="1035"/>
    <cellStyle name="Вывод 3" xfId="1036"/>
    <cellStyle name="Вывод 3 2" xfId="1037"/>
    <cellStyle name="Вывод 3 3" xfId="1038"/>
    <cellStyle name="Вывод 3 4" xfId="1039"/>
    <cellStyle name="Вывод 3 5" xfId="1040"/>
    <cellStyle name="Вывод 3 6" xfId="1041"/>
    <cellStyle name="Вывод 4" xfId="1042"/>
    <cellStyle name="Вывод 5" xfId="1043"/>
    <cellStyle name="Вывод 6" xfId="1044"/>
    <cellStyle name="Вывод 7" xfId="1045"/>
    <cellStyle name="Вывод 8" xfId="1046"/>
    <cellStyle name="Вывод 9" xfId="1047"/>
    <cellStyle name="Вычисление 10" xfId="1048"/>
    <cellStyle name="Вычисление 11" xfId="1049"/>
    <cellStyle name="Вычисление 12" xfId="1050"/>
    <cellStyle name="Вычисление 13" xfId="1051"/>
    <cellStyle name="Вычисление 14" xfId="1052"/>
    <cellStyle name="Вычисление 15" xfId="1053"/>
    <cellStyle name="Вычисление 16" xfId="1054"/>
    <cellStyle name="Вычисление 17" xfId="1055"/>
    <cellStyle name="Вычисление 18" xfId="1056"/>
    <cellStyle name="Вычисление 19" xfId="1057"/>
    <cellStyle name="Вычисление 2" xfId="1058"/>
    <cellStyle name="Вычисление 2 2" xfId="1059"/>
    <cellStyle name="Вычисление 2 3" xfId="1060"/>
    <cellStyle name="Вычисление 2 4" xfId="1061"/>
    <cellStyle name="Вычисление 2 5" xfId="1062"/>
    <cellStyle name="Вычисление 2 6" xfId="1063"/>
    <cellStyle name="Вычисление 20" xfId="1064"/>
    <cellStyle name="Вычисление 21" xfId="1065"/>
    <cellStyle name="Вычисление 22" xfId="1066"/>
    <cellStyle name="Вычисление 23" xfId="1067"/>
    <cellStyle name="Вычисление 24" xfId="1068"/>
    <cellStyle name="Вычисление 3" xfId="1069"/>
    <cellStyle name="Вычисление 3 2" xfId="1070"/>
    <cellStyle name="Вычисление 3 3" xfId="1071"/>
    <cellStyle name="Вычисление 3 4" xfId="1072"/>
    <cellStyle name="Вычисление 3 5" xfId="1073"/>
    <cellStyle name="Вычисление 3 6" xfId="1074"/>
    <cellStyle name="Вычисление 4" xfId="1075"/>
    <cellStyle name="Вычисление 5" xfId="1076"/>
    <cellStyle name="Вычисление 6" xfId="1077"/>
    <cellStyle name="Вычисление 7" xfId="1078"/>
    <cellStyle name="Вычисление 8" xfId="1079"/>
    <cellStyle name="Вычисление 9" xfId="1080"/>
    <cellStyle name="Гиперссылка" xfId="2226" builtinId="8"/>
    <cellStyle name="Денежный [0] 10" xfId="1081"/>
    <cellStyle name="Денежный [0] 11" xfId="1082"/>
    <cellStyle name="Денежный [0] 12" xfId="1083"/>
    <cellStyle name="Денежный [0] 13" xfId="1084"/>
    <cellStyle name="Денежный [0] 14" xfId="1085"/>
    <cellStyle name="Денежный [0] 15" xfId="1086"/>
    <cellStyle name="Денежный [0] 16" xfId="1087"/>
    <cellStyle name="Денежный [0] 17" xfId="1088"/>
    <cellStyle name="Денежный [0] 18" xfId="1089"/>
    <cellStyle name="Денежный [0] 19" xfId="1090"/>
    <cellStyle name="Денежный [0] 2" xfId="1091"/>
    <cellStyle name="Денежный [0] 20" xfId="1092"/>
    <cellStyle name="Денежный [0] 21" xfId="1093"/>
    <cellStyle name="Денежный [0] 3" xfId="1094"/>
    <cellStyle name="Денежный [0] 4" xfId="1095"/>
    <cellStyle name="Денежный [0] 5" xfId="1096"/>
    <cellStyle name="Денежный [0] 6" xfId="1097"/>
    <cellStyle name="Денежный [0] 7" xfId="1098"/>
    <cellStyle name="Денежный [0] 8" xfId="1099"/>
    <cellStyle name="Денежный [0] 9" xfId="1100"/>
    <cellStyle name="Денежный 2" xfId="1101"/>
    <cellStyle name="Денежный 2 2" xfId="1102"/>
    <cellStyle name="Заголовок 1 10" xfId="1103"/>
    <cellStyle name="Заголовок 1 11" xfId="1104"/>
    <cellStyle name="Заголовок 1 12" xfId="1105"/>
    <cellStyle name="Заголовок 1 13" xfId="1106"/>
    <cellStyle name="Заголовок 1 14" xfId="1107"/>
    <cellStyle name="Заголовок 1 15" xfId="1108"/>
    <cellStyle name="Заголовок 1 16" xfId="1109"/>
    <cellStyle name="Заголовок 1 17" xfId="1110"/>
    <cellStyle name="Заголовок 1 18" xfId="1111"/>
    <cellStyle name="Заголовок 1 19" xfId="1112"/>
    <cellStyle name="Заголовок 1 2" xfId="1113"/>
    <cellStyle name="Заголовок 1 2 2" xfId="1114"/>
    <cellStyle name="Заголовок 1 2 3" xfId="1115"/>
    <cellStyle name="Заголовок 1 2 4" xfId="1116"/>
    <cellStyle name="Заголовок 1 2 5" xfId="1117"/>
    <cellStyle name="Заголовок 1 2 6" xfId="1118"/>
    <cellStyle name="Заголовок 1 20" xfId="1119"/>
    <cellStyle name="Заголовок 1 21" xfId="1120"/>
    <cellStyle name="Заголовок 1 22" xfId="1121"/>
    <cellStyle name="Заголовок 1 23" xfId="1122"/>
    <cellStyle name="Заголовок 1 24" xfId="1123"/>
    <cellStyle name="Заголовок 1 3" xfId="1124"/>
    <cellStyle name="Заголовок 1 3 2" xfId="1125"/>
    <cellStyle name="Заголовок 1 3 3" xfId="1126"/>
    <cellStyle name="Заголовок 1 3 4" xfId="1127"/>
    <cellStyle name="Заголовок 1 3 5" xfId="1128"/>
    <cellStyle name="Заголовок 1 3 6" xfId="1129"/>
    <cellStyle name="Заголовок 1 4" xfId="1130"/>
    <cellStyle name="Заголовок 1 5" xfId="1131"/>
    <cellStyle name="Заголовок 1 6" xfId="1132"/>
    <cellStyle name="Заголовок 1 7" xfId="1133"/>
    <cellStyle name="Заголовок 1 8" xfId="1134"/>
    <cellStyle name="Заголовок 1 9" xfId="1135"/>
    <cellStyle name="Заголовок 2 10" xfId="1136"/>
    <cellStyle name="Заголовок 2 11" xfId="1137"/>
    <cellStyle name="Заголовок 2 12" xfId="1138"/>
    <cellStyle name="Заголовок 2 13" xfId="1139"/>
    <cellStyle name="Заголовок 2 14" xfId="1140"/>
    <cellStyle name="Заголовок 2 15" xfId="1141"/>
    <cellStyle name="Заголовок 2 16" xfId="1142"/>
    <cellStyle name="Заголовок 2 17" xfId="1143"/>
    <cellStyle name="Заголовок 2 18" xfId="1144"/>
    <cellStyle name="Заголовок 2 19" xfId="1145"/>
    <cellStyle name="Заголовок 2 2" xfId="1146"/>
    <cellStyle name="Заголовок 2 2 2" xfId="1147"/>
    <cellStyle name="Заголовок 2 2 3" xfId="1148"/>
    <cellStyle name="Заголовок 2 2 4" xfId="1149"/>
    <cellStyle name="Заголовок 2 2 5" xfId="1150"/>
    <cellStyle name="Заголовок 2 2 6" xfId="1151"/>
    <cellStyle name="Заголовок 2 20" xfId="1152"/>
    <cellStyle name="Заголовок 2 21" xfId="1153"/>
    <cellStyle name="Заголовок 2 22" xfId="1154"/>
    <cellStyle name="Заголовок 2 23" xfId="1155"/>
    <cellStyle name="Заголовок 2 24" xfId="1156"/>
    <cellStyle name="Заголовок 2 3" xfId="1157"/>
    <cellStyle name="Заголовок 2 3 2" xfId="1158"/>
    <cellStyle name="Заголовок 2 3 3" xfId="1159"/>
    <cellStyle name="Заголовок 2 3 4" xfId="1160"/>
    <cellStyle name="Заголовок 2 3 5" xfId="1161"/>
    <cellStyle name="Заголовок 2 3 6" xfId="1162"/>
    <cellStyle name="Заголовок 2 4" xfId="1163"/>
    <cellStyle name="Заголовок 2 5" xfId="1164"/>
    <cellStyle name="Заголовок 2 6" xfId="1165"/>
    <cellStyle name="Заголовок 2 7" xfId="1166"/>
    <cellStyle name="Заголовок 2 8" xfId="1167"/>
    <cellStyle name="Заголовок 2 9" xfId="1168"/>
    <cellStyle name="Заголовок 3 10" xfId="1169"/>
    <cellStyle name="Заголовок 3 11" xfId="1170"/>
    <cellStyle name="Заголовок 3 12" xfId="1171"/>
    <cellStyle name="Заголовок 3 13" xfId="1172"/>
    <cellStyle name="Заголовок 3 14" xfId="1173"/>
    <cellStyle name="Заголовок 3 15" xfId="1174"/>
    <cellStyle name="Заголовок 3 16" xfId="1175"/>
    <cellStyle name="Заголовок 3 17" xfId="1176"/>
    <cellStyle name="Заголовок 3 18" xfId="1177"/>
    <cellStyle name="Заголовок 3 19" xfId="1178"/>
    <cellStyle name="Заголовок 3 2" xfId="1179"/>
    <cellStyle name="Заголовок 3 2 2" xfId="1180"/>
    <cellStyle name="Заголовок 3 2 3" xfId="1181"/>
    <cellStyle name="Заголовок 3 2 4" xfId="1182"/>
    <cellStyle name="Заголовок 3 2 5" xfId="1183"/>
    <cellStyle name="Заголовок 3 2 6" xfId="1184"/>
    <cellStyle name="Заголовок 3 20" xfId="1185"/>
    <cellStyle name="Заголовок 3 21" xfId="1186"/>
    <cellStyle name="Заголовок 3 22" xfId="1187"/>
    <cellStyle name="Заголовок 3 23" xfId="1188"/>
    <cellStyle name="Заголовок 3 24" xfId="1189"/>
    <cellStyle name="Заголовок 3 3" xfId="1190"/>
    <cellStyle name="Заголовок 3 3 2" xfId="1191"/>
    <cellStyle name="Заголовок 3 3 3" xfId="1192"/>
    <cellStyle name="Заголовок 3 3 4" xfId="1193"/>
    <cellStyle name="Заголовок 3 3 5" xfId="1194"/>
    <cellStyle name="Заголовок 3 3 6" xfId="1195"/>
    <cellStyle name="Заголовок 3 4" xfId="1196"/>
    <cellStyle name="Заголовок 3 5" xfId="1197"/>
    <cellStyle name="Заголовок 3 6" xfId="1198"/>
    <cellStyle name="Заголовок 3 7" xfId="1199"/>
    <cellStyle name="Заголовок 3 8" xfId="1200"/>
    <cellStyle name="Заголовок 3 9" xfId="1201"/>
    <cellStyle name="Заголовок 4 10" xfId="1202"/>
    <cellStyle name="Заголовок 4 11" xfId="1203"/>
    <cellStyle name="Заголовок 4 12" xfId="1204"/>
    <cellStyle name="Заголовок 4 13" xfId="1205"/>
    <cellStyle name="Заголовок 4 14" xfId="1206"/>
    <cellStyle name="Заголовок 4 15" xfId="1207"/>
    <cellStyle name="Заголовок 4 16" xfId="1208"/>
    <cellStyle name="Заголовок 4 17" xfId="1209"/>
    <cellStyle name="Заголовок 4 18" xfId="1210"/>
    <cellStyle name="Заголовок 4 19" xfId="1211"/>
    <cellStyle name="Заголовок 4 2" xfId="1212"/>
    <cellStyle name="Заголовок 4 2 2" xfId="1213"/>
    <cellStyle name="Заголовок 4 2 3" xfId="1214"/>
    <cellStyle name="Заголовок 4 2 4" xfId="1215"/>
    <cellStyle name="Заголовок 4 2 5" xfId="1216"/>
    <cellStyle name="Заголовок 4 2 6" xfId="1217"/>
    <cellStyle name="Заголовок 4 20" xfId="1218"/>
    <cellStyle name="Заголовок 4 21" xfId="1219"/>
    <cellStyle name="Заголовок 4 22" xfId="1220"/>
    <cellStyle name="Заголовок 4 23" xfId="1221"/>
    <cellStyle name="Заголовок 4 24" xfId="1222"/>
    <cellStyle name="Заголовок 4 3" xfId="1223"/>
    <cellStyle name="Заголовок 4 3 2" xfId="1224"/>
    <cellStyle name="Заголовок 4 3 3" xfId="1225"/>
    <cellStyle name="Заголовок 4 3 4" xfId="1226"/>
    <cellStyle name="Заголовок 4 3 5" xfId="1227"/>
    <cellStyle name="Заголовок 4 3 6" xfId="1228"/>
    <cellStyle name="Заголовок 4 4" xfId="1229"/>
    <cellStyle name="Заголовок 4 5" xfId="1230"/>
    <cellStyle name="Заголовок 4 6" xfId="1231"/>
    <cellStyle name="Заголовок 4 7" xfId="1232"/>
    <cellStyle name="Заголовок 4 8" xfId="1233"/>
    <cellStyle name="Заголовок 4 9" xfId="1234"/>
    <cellStyle name="Итог 10" xfId="1235"/>
    <cellStyle name="Итог 11" xfId="1236"/>
    <cellStyle name="Итог 12" xfId="1237"/>
    <cellStyle name="Итог 13" xfId="1238"/>
    <cellStyle name="Итог 14" xfId="1239"/>
    <cellStyle name="Итог 15" xfId="1240"/>
    <cellStyle name="Итог 16" xfId="1241"/>
    <cellStyle name="Итог 17" xfId="1242"/>
    <cellStyle name="Итог 18" xfId="1243"/>
    <cellStyle name="Итог 19" xfId="1244"/>
    <cellStyle name="Итог 2" xfId="1245"/>
    <cellStyle name="Итог 2 2" xfId="1246"/>
    <cellStyle name="Итог 2 3" xfId="1247"/>
    <cellStyle name="Итог 2 4" xfId="1248"/>
    <cellStyle name="Итог 2 5" xfId="1249"/>
    <cellStyle name="Итог 2 6" xfId="1250"/>
    <cellStyle name="Итог 20" xfId="1251"/>
    <cellStyle name="Итог 21" xfId="1252"/>
    <cellStyle name="Итог 22" xfId="1253"/>
    <cellStyle name="Итог 23" xfId="1254"/>
    <cellStyle name="Итог 24" xfId="1255"/>
    <cellStyle name="Итог 3" xfId="1256"/>
    <cellStyle name="Итог 3 2" xfId="1257"/>
    <cellStyle name="Итог 3 3" xfId="1258"/>
    <cellStyle name="Итог 3 4" xfId="1259"/>
    <cellStyle name="Итог 3 5" xfId="1260"/>
    <cellStyle name="Итог 3 6" xfId="1261"/>
    <cellStyle name="Итог 4" xfId="1262"/>
    <cellStyle name="Итог 5" xfId="1263"/>
    <cellStyle name="Итог 6" xfId="1264"/>
    <cellStyle name="Итог 7" xfId="1265"/>
    <cellStyle name="Итог 8" xfId="1266"/>
    <cellStyle name="Итог 9" xfId="1267"/>
    <cellStyle name="Итоги" xfId="2193"/>
    <cellStyle name="Контрольная ячейка 10" xfId="1268"/>
    <cellStyle name="Контрольная ячейка 11" xfId="1269"/>
    <cellStyle name="Контрольная ячейка 12" xfId="1270"/>
    <cellStyle name="Контрольная ячейка 13" xfId="1271"/>
    <cellStyle name="Контрольная ячейка 14" xfId="1272"/>
    <cellStyle name="Контрольная ячейка 15" xfId="1273"/>
    <cellStyle name="Контрольная ячейка 16" xfId="1274"/>
    <cellStyle name="Контрольная ячейка 17" xfId="1275"/>
    <cellStyle name="Контрольная ячейка 18" xfId="1276"/>
    <cellStyle name="Контрольная ячейка 19" xfId="1277"/>
    <cellStyle name="Контрольная ячейка 2" xfId="1278"/>
    <cellStyle name="Контрольная ячейка 2 2" xfId="1279"/>
    <cellStyle name="Контрольная ячейка 2 3" xfId="1280"/>
    <cellStyle name="Контрольная ячейка 2 4" xfId="1281"/>
    <cellStyle name="Контрольная ячейка 2 5" xfId="1282"/>
    <cellStyle name="Контрольная ячейка 2 6" xfId="1283"/>
    <cellStyle name="Контрольная ячейка 20" xfId="1284"/>
    <cellStyle name="Контрольная ячейка 21" xfId="1285"/>
    <cellStyle name="Контрольная ячейка 22" xfId="1286"/>
    <cellStyle name="Контрольная ячейка 23" xfId="1287"/>
    <cellStyle name="Контрольная ячейка 24" xfId="1288"/>
    <cellStyle name="Контрольная ячейка 3" xfId="1289"/>
    <cellStyle name="Контрольная ячейка 3 2" xfId="1290"/>
    <cellStyle name="Контрольная ячейка 3 3" xfId="1291"/>
    <cellStyle name="Контрольная ячейка 3 4" xfId="1292"/>
    <cellStyle name="Контрольная ячейка 3 5" xfId="1293"/>
    <cellStyle name="Контрольная ячейка 3 6" xfId="1294"/>
    <cellStyle name="Контрольная ячейка 4" xfId="1295"/>
    <cellStyle name="Контрольная ячейка 5" xfId="1296"/>
    <cellStyle name="Контрольная ячейка 6" xfId="1297"/>
    <cellStyle name="Контрольная ячейка 7" xfId="1298"/>
    <cellStyle name="Контрольная ячейка 8" xfId="1299"/>
    <cellStyle name="Контрольная ячейка 9" xfId="1300"/>
    <cellStyle name="ЛокСмета" xfId="2194"/>
    <cellStyle name="Название 10" xfId="1301"/>
    <cellStyle name="Название 11" xfId="1302"/>
    <cellStyle name="Название 12" xfId="1303"/>
    <cellStyle name="Название 13" xfId="1304"/>
    <cellStyle name="Название 14" xfId="1305"/>
    <cellStyle name="Название 15" xfId="1306"/>
    <cellStyle name="Название 16" xfId="1307"/>
    <cellStyle name="Название 17" xfId="1308"/>
    <cellStyle name="Название 18" xfId="1309"/>
    <cellStyle name="Название 19" xfId="1310"/>
    <cellStyle name="Название 2" xfId="1311"/>
    <cellStyle name="Название 2 2" xfId="1312"/>
    <cellStyle name="Название 2 3" xfId="1313"/>
    <cellStyle name="Название 2 4" xfId="1314"/>
    <cellStyle name="Название 2 5" xfId="1315"/>
    <cellStyle name="Название 2 6" xfId="1316"/>
    <cellStyle name="Название 20" xfId="1317"/>
    <cellStyle name="Название 21" xfId="1318"/>
    <cellStyle name="Название 22" xfId="1319"/>
    <cellStyle name="Название 23" xfId="1320"/>
    <cellStyle name="Название 24" xfId="1321"/>
    <cellStyle name="Название 3" xfId="1322"/>
    <cellStyle name="Название 3 2" xfId="1323"/>
    <cellStyle name="Название 3 3" xfId="1324"/>
    <cellStyle name="Название 3 4" xfId="1325"/>
    <cellStyle name="Название 3 5" xfId="1326"/>
    <cellStyle name="Название 3 6" xfId="1327"/>
    <cellStyle name="Название 4" xfId="1328"/>
    <cellStyle name="Название 5" xfId="1329"/>
    <cellStyle name="Название 6" xfId="1330"/>
    <cellStyle name="Название 7" xfId="1331"/>
    <cellStyle name="Название 8" xfId="1332"/>
    <cellStyle name="Название 9" xfId="1333"/>
    <cellStyle name="Нейтральный 10" xfId="1334"/>
    <cellStyle name="Нейтральный 11" xfId="1335"/>
    <cellStyle name="Нейтральный 12" xfId="1336"/>
    <cellStyle name="Нейтральный 13" xfId="1337"/>
    <cellStyle name="Нейтральный 14" xfId="1338"/>
    <cellStyle name="Нейтральный 15" xfId="1339"/>
    <cellStyle name="Нейтральный 16" xfId="1340"/>
    <cellStyle name="Нейтральный 17" xfId="1341"/>
    <cellStyle name="Нейтральный 18" xfId="1342"/>
    <cellStyle name="Нейтральный 19" xfId="1343"/>
    <cellStyle name="Нейтральный 2" xfId="1344"/>
    <cellStyle name="Нейтральный 2 2" xfId="1345"/>
    <cellStyle name="Нейтральный 2 3" xfId="1346"/>
    <cellStyle name="Нейтральный 2 4" xfId="1347"/>
    <cellStyle name="Нейтральный 2 5" xfId="1348"/>
    <cellStyle name="Нейтральный 2 6" xfId="1349"/>
    <cellStyle name="Нейтральный 20" xfId="1350"/>
    <cellStyle name="Нейтральный 21" xfId="1351"/>
    <cellStyle name="Нейтральный 22" xfId="1352"/>
    <cellStyle name="Нейтральный 23" xfId="1353"/>
    <cellStyle name="Нейтральный 24" xfId="1354"/>
    <cellStyle name="Нейтральный 3" xfId="1355"/>
    <cellStyle name="Нейтральный 3 2" xfId="1356"/>
    <cellStyle name="Нейтральный 3 3" xfId="1357"/>
    <cellStyle name="Нейтральный 3 4" xfId="1358"/>
    <cellStyle name="Нейтральный 3 5" xfId="1359"/>
    <cellStyle name="Нейтральный 3 6" xfId="1360"/>
    <cellStyle name="Нейтральный 4" xfId="1361"/>
    <cellStyle name="Нейтральный 5" xfId="1362"/>
    <cellStyle name="Нейтральный 6" xfId="1363"/>
    <cellStyle name="Нейтральный 7" xfId="1364"/>
    <cellStyle name="Нейтральный 8" xfId="1365"/>
    <cellStyle name="Нейтральный 9" xfId="1366"/>
    <cellStyle name="Обычный" xfId="0" builtinId="0"/>
    <cellStyle name="Обычный 10" xfId="1367"/>
    <cellStyle name="Обычный 10 12 2" xfId="2217"/>
    <cellStyle name="Обычный 10 2" xfId="1368"/>
    <cellStyle name="Обычный 10 2 2" xfId="1369"/>
    <cellStyle name="Обычный 10 3" xfId="1370"/>
    <cellStyle name="Обычный 10 4" xfId="1371"/>
    <cellStyle name="Обычный 11" xfId="1372"/>
    <cellStyle name="Обычный 11 2" xfId="1373"/>
    <cellStyle name="Обычный 11 2 2" xfId="1374"/>
    <cellStyle name="Обычный 11 2 2 2" xfId="1375"/>
    <cellStyle name="Обычный 11 2 2 2 2" xfId="1376"/>
    <cellStyle name="Обычный 11 2 2 3" xfId="1377"/>
    <cellStyle name="Обычный 11 2 3" xfId="1378"/>
    <cellStyle name="Обычный 11 2 3 2" xfId="1379"/>
    <cellStyle name="Обычный 11 2 3 2 2" xfId="1380"/>
    <cellStyle name="Обычный 11 2 3 3" xfId="1381"/>
    <cellStyle name="Обычный 11 2 4" xfId="1382"/>
    <cellStyle name="Обычный 11 2 4 2" xfId="1383"/>
    <cellStyle name="Обычный 11 2 5" xfId="1384"/>
    <cellStyle name="Обычный 11 2 5 2" xfId="1385"/>
    <cellStyle name="Обычный 11 2 6" xfId="1386"/>
    <cellStyle name="Обычный 11 3" xfId="1387"/>
    <cellStyle name="Обычный 11 3 2" xfId="1388"/>
    <cellStyle name="Обычный 11 3 2 2" xfId="1389"/>
    <cellStyle name="Обычный 11 3 3" xfId="1390"/>
    <cellStyle name="Обычный 11 3 3 2" xfId="1391"/>
    <cellStyle name="Обычный 11 3 4" xfId="1392"/>
    <cellStyle name="Обычный 11 4" xfId="1393"/>
    <cellStyle name="Обычный 11 4 2" xfId="1394"/>
    <cellStyle name="Обычный 11 4 2 2" xfId="1395"/>
    <cellStyle name="Обычный 11 4 3" xfId="1396"/>
    <cellStyle name="Обычный 11 5" xfId="1397"/>
    <cellStyle name="Обычный 11 5 2" xfId="1398"/>
    <cellStyle name="Обычный 11 5 2 2" xfId="1399"/>
    <cellStyle name="Обычный 11 5 3" xfId="1400"/>
    <cellStyle name="Обычный 11 6" xfId="1401"/>
    <cellStyle name="Обычный 11 6 2" xfId="1402"/>
    <cellStyle name="Обычный 11 7" xfId="1403"/>
    <cellStyle name="Обычный 11 7 2" xfId="1404"/>
    <cellStyle name="Обычный 11 8" xfId="1405"/>
    <cellStyle name="Обычный 11 9" xfId="1406"/>
    <cellStyle name="Обычный 12" xfId="1407"/>
    <cellStyle name="Обычный 12 2" xfId="1408"/>
    <cellStyle name="Обычный 12 2 2" xfId="1409"/>
    <cellStyle name="Обычный 12 2 2 2" xfId="1410"/>
    <cellStyle name="Обычный 12 2 2 2 2" xfId="1411"/>
    <cellStyle name="Обычный 12 2 2 3" xfId="1412"/>
    <cellStyle name="Обычный 12 2 3" xfId="1413"/>
    <cellStyle name="Обычный 12 2 3 2" xfId="1414"/>
    <cellStyle name="Обычный 12 2 3 2 2" xfId="1415"/>
    <cellStyle name="Обычный 12 2 3 3" xfId="1416"/>
    <cellStyle name="Обычный 12 2 4" xfId="1417"/>
    <cellStyle name="Обычный 12 2 4 2" xfId="1418"/>
    <cellStyle name="Обычный 12 2 5" xfId="1419"/>
    <cellStyle name="Обычный 12 2 5 2" xfId="1420"/>
    <cellStyle name="Обычный 12 2 6" xfId="1421"/>
    <cellStyle name="Обычный 12 3" xfId="1422"/>
    <cellStyle name="Обычный 12 3 2" xfId="1423"/>
    <cellStyle name="Обычный 12 3 2 2" xfId="1424"/>
    <cellStyle name="Обычный 12 3 3" xfId="1425"/>
    <cellStyle name="Обычный 12 3 3 2" xfId="1426"/>
    <cellStyle name="Обычный 12 3 4" xfId="1427"/>
    <cellStyle name="Обычный 12 4" xfId="1428"/>
    <cellStyle name="Обычный 12 4 2" xfId="1429"/>
    <cellStyle name="Обычный 12 4 2 2" xfId="1430"/>
    <cellStyle name="Обычный 12 4 3" xfId="1431"/>
    <cellStyle name="Обычный 12 5" xfId="1432"/>
    <cellStyle name="Обычный 12 5 2" xfId="1433"/>
    <cellStyle name="Обычный 12 5 2 2" xfId="1434"/>
    <cellStyle name="Обычный 12 5 3" xfId="1435"/>
    <cellStyle name="Обычный 12 6" xfId="1436"/>
    <cellStyle name="Обычный 12 6 2" xfId="1437"/>
    <cellStyle name="Обычный 12 7" xfId="1438"/>
    <cellStyle name="Обычный 12 7 2" xfId="1439"/>
    <cellStyle name="Обычный 12 8" xfId="1440"/>
    <cellStyle name="Обычный 12 9" xfId="1441"/>
    <cellStyle name="Обычный 13" xfId="1442"/>
    <cellStyle name="Обычный 13 2" xfId="1443"/>
    <cellStyle name="Обычный 13 2 2" xfId="1444"/>
    <cellStyle name="Обычный 13 2 2 2" xfId="1445"/>
    <cellStyle name="Обычный 13 2 2 2 2" xfId="1446"/>
    <cellStyle name="Обычный 13 2 2 3" xfId="1447"/>
    <cellStyle name="Обычный 13 2 3" xfId="1448"/>
    <cellStyle name="Обычный 13 2 3 2" xfId="1449"/>
    <cellStyle name="Обычный 13 2 3 2 2" xfId="1450"/>
    <cellStyle name="Обычный 13 2 3 3" xfId="1451"/>
    <cellStyle name="Обычный 13 2 4" xfId="1452"/>
    <cellStyle name="Обычный 13 2 4 2" xfId="1453"/>
    <cellStyle name="Обычный 13 2 5" xfId="1454"/>
    <cellStyle name="Обычный 13 2 5 2" xfId="1455"/>
    <cellStyle name="Обычный 13 2 6" xfId="1456"/>
    <cellStyle name="Обычный 13 3" xfId="1457"/>
    <cellStyle name="Обычный 13 3 2" xfId="1458"/>
    <cellStyle name="Обычный 13 3 2 2" xfId="1459"/>
    <cellStyle name="Обычный 13 3 3" xfId="1460"/>
    <cellStyle name="Обычный 13 3 3 2" xfId="1461"/>
    <cellStyle name="Обычный 13 3 4" xfId="1462"/>
    <cellStyle name="Обычный 13 4" xfId="1463"/>
    <cellStyle name="Обычный 13 4 2" xfId="1464"/>
    <cellStyle name="Обычный 13 4 2 2" xfId="1465"/>
    <cellStyle name="Обычный 13 4 3" xfId="1466"/>
    <cellStyle name="Обычный 13 5" xfId="1467"/>
    <cellStyle name="Обычный 13 5 2" xfId="1468"/>
    <cellStyle name="Обычный 13 5 2 2" xfId="1469"/>
    <cellStyle name="Обычный 13 5 3" xfId="1470"/>
    <cellStyle name="Обычный 13 6" xfId="1471"/>
    <cellStyle name="Обычный 13 6 2" xfId="1472"/>
    <cellStyle name="Обычный 13 7" xfId="1473"/>
    <cellStyle name="Обычный 13 7 2" xfId="1474"/>
    <cellStyle name="Обычный 13 8" xfId="1475"/>
    <cellStyle name="Обычный 13 9" xfId="1476"/>
    <cellStyle name="Обычный 14" xfId="1477"/>
    <cellStyle name="Обычный 14 2" xfId="1478"/>
    <cellStyle name="Обычный 14 2 2" xfId="1479"/>
    <cellStyle name="Обычный 14 2 2 2" xfId="1480"/>
    <cellStyle name="Обычный 14 2 2 2 2" xfId="1481"/>
    <cellStyle name="Обычный 14 2 2 3" xfId="1482"/>
    <cellStyle name="Обычный 14 2 3" xfId="1483"/>
    <cellStyle name="Обычный 14 2 3 2" xfId="1484"/>
    <cellStyle name="Обычный 14 2 3 2 2" xfId="1485"/>
    <cellStyle name="Обычный 14 2 3 3" xfId="1486"/>
    <cellStyle name="Обычный 14 2 4" xfId="1487"/>
    <cellStyle name="Обычный 14 2 4 2" xfId="1488"/>
    <cellStyle name="Обычный 14 2 5" xfId="1489"/>
    <cellStyle name="Обычный 14 2 5 2" xfId="1490"/>
    <cellStyle name="Обычный 14 2 6" xfId="1491"/>
    <cellStyle name="Обычный 14 3" xfId="1492"/>
    <cellStyle name="Обычный 14 3 2" xfId="1493"/>
    <cellStyle name="Обычный 14 3 2 2" xfId="1494"/>
    <cellStyle name="Обычный 14 3 3" xfId="1495"/>
    <cellStyle name="Обычный 14 3 3 2" xfId="1496"/>
    <cellStyle name="Обычный 14 3 4" xfId="1497"/>
    <cellStyle name="Обычный 14 4" xfId="1498"/>
    <cellStyle name="Обычный 14 4 2" xfId="1499"/>
    <cellStyle name="Обычный 14 4 2 2" xfId="1500"/>
    <cellStyle name="Обычный 14 4 3" xfId="1501"/>
    <cellStyle name="Обычный 14 5" xfId="1502"/>
    <cellStyle name="Обычный 14 5 2" xfId="1503"/>
    <cellStyle name="Обычный 14 5 2 2" xfId="1504"/>
    <cellStyle name="Обычный 14 5 3" xfId="1505"/>
    <cellStyle name="Обычный 14 6" xfId="1506"/>
    <cellStyle name="Обычный 14 6 2" xfId="1507"/>
    <cellStyle name="Обычный 14 7" xfId="1508"/>
    <cellStyle name="Обычный 14 7 2" xfId="1509"/>
    <cellStyle name="Обычный 14 8" xfId="1510"/>
    <cellStyle name="Обычный 14 9" xfId="1511"/>
    <cellStyle name="Обычный 15" xfId="5"/>
    <cellStyle name="Обычный 15 2" xfId="1512"/>
    <cellStyle name="Обычный 15 2 2" xfId="1513"/>
    <cellStyle name="Обычный 15 2 2 2" xfId="1514"/>
    <cellStyle name="Обычный 15 2 2 2 2" xfId="1515"/>
    <cellStyle name="Обычный 15 2 2 3" xfId="1516"/>
    <cellStyle name="Обычный 15 2 3" xfId="1517"/>
    <cellStyle name="Обычный 15 2 3 2" xfId="1518"/>
    <cellStyle name="Обычный 15 2 3 2 2" xfId="1519"/>
    <cellStyle name="Обычный 15 2 3 3" xfId="1520"/>
    <cellStyle name="Обычный 15 2 4" xfId="1521"/>
    <cellStyle name="Обычный 15 2 4 2" xfId="1522"/>
    <cellStyle name="Обычный 15 2 5" xfId="1523"/>
    <cellStyle name="Обычный 15 2 5 2" xfId="1524"/>
    <cellStyle name="Обычный 15 2 6" xfId="1525"/>
    <cellStyle name="Обычный 15 3" xfId="1526"/>
    <cellStyle name="Обычный 15 3 2" xfId="1527"/>
    <cellStyle name="Обычный 15 3 2 2" xfId="1528"/>
    <cellStyle name="Обычный 15 3 3" xfId="1529"/>
    <cellStyle name="Обычный 15 3 3 2" xfId="1530"/>
    <cellStyle name="Обычный 15 3 4" xfId="1531"/>
    <cellStyle name="Обычный 15 4" xfId="1532"/>
    <cellStyle name="Обычный 15 4 2" xfId="1533"/>
    <cellStyle name="Обычный 15 4 2 2" xfId="1534"/>
    <cellStyle name="Обычный 15 4 3" xfId="1535"/>
    <cellStyle name="Обычный 15 5" xfId="1536"/>
    <cellStyle name="Обычный 15 5 2" xfId="1537"/>
    <cellStyle name="Обычный 15 5 2 2" xfId="1538"/>
    <cellStyle name="Обычный 15 5 3" xfId="1539"/>
    <cellStyle name="Обычный 15 6" xfId="1540"/>
    <cellStyle name="Обычный 15 6 2" xfId="1541"/>
    <cellStyle name="Обычный 15 7" xfId="1542"/>
    <cellStyle name="Обычный 15 7 2" xfId="1543"/>
    <cellStyle name="Обычный 15 8" xfId="1544"/>
    <cellStyle name="Обычный 15 9" xfId="1545"/>
    <cellStyle name="Обычный 16" xfId="1546"/>
    <cellStyle name="Обычный 16 2" xfId="1547"/>
    <cellStyle name="Обычный 16 2 2" xfId="1548"/>
    <cellStyle name="Обычный 16 2 2 2" xfId="1549"/>
    <cellStyle name="Обычный 16 2 2 2 2" xfId="1550"/>
    <cellStyle name="Обычный 16 2 2 3" xfId="1551"/>
    <cellStyle name="Обычный 16 2 3" xfId="1552"/>
    <cellStyle name="Обычный 16 2 3 2" xfId="1553"/>
    <cellStyle name="Обычный 16 2 3 2 2" xfId="1554"/>
    <cellStyle name="Обычный 16 2 3 3" xfId="1555"/>
    <cellStyle name="Обычный 16 2 4" xfId="1556"/>
    <cellStyle name="Обычный 16 2 4 2" xfId="1557"/>
    <cellStyle name="Обычный 16 2 5" xfId="1558"/>
    <cellStyle name="Обычный 16 2 5 2" xfId="1559"/>
    <cellStyle name="Обычный 16 2 6" xfId="1560"/>
    <cellStyle name="Обычный 16 3" xfId="1561"/>
    <cellStyle name="Обычный 16 3 2" xfId="1562"/>
    <cellStyle name="Обычный 16 3 2 2" xfId="1563"/>
    <cellStyle name="Обычный 16 3 3" xfId="1564"/>
    <cellStyle name="Обычный 16 4" xfId="1565"/>
    <cellStyle name="Обычный 16 4 2" xfId="1566"/>
    <cellStyle name="Обычный 16 4 2 2" xfId="1567"/>
    <cellStyle name="Обычный 16 4 3" xfId="1568"/>
    <cellStyle name="Обычный 16 5" xfId="1569"/>
    <cellStyle name="Обычный 16 5 2" xfId="1570"/>
    <cellStyle name="Обычный 16 5 2 2" xfId="1571"/>
    <cellStyle name="Обычный 16 5 3" xfId="1572"/>
    <cellStyle name="Обычный 16 6" xfId="1573"/>
    <cellStyle name="Обычный 16 6 2" xfId="1574"/>
    <cellStyle name="Обычный 16 7" xfId="1575"/>
    <cellStyle name="Обычный 16 7 2" xfId="1576"/>
    <cellStyle name="Обычный 16 8" xfId="1577"/>
    <cellStyle name="Обычный 16 9" xfId="1578"/>
    <cellStyle name="Обычный 17" xfId="1579"/>
    <cellStyle name="Обычный 17 2" xfId="1580"/>
    <cellStyle name="Обычный 17 2 2" xfId="1581"/>
    <cellStyle name="Обычный 17 2 2 2" xfId="1582"/>
    <cellStyle name="Обычный 17 2 2 2 2" xfId="1583"/>
    <cellStyle name="Обычный 17 2 2 3" xfId="1584"/>
    <cellStyle name="Обычный 17 2 3" xfId="1585"/>
    <cellStyle name="Обычный 17 2 3 2" xfId="1586"/>
    <cellStyle name="Обычный 17 2 3 2 2" xfId="1587"/>
    <cellStyle name="Обычный 17 2 3 3" xfId="1588"/>
    <cellStyle name="Обычный 17 2 4" xfId="1589"/>
    <cellStyle name="Обычный 17 2 4 2" xfId="1590"/>
    <cellStyle name="Обычный 17 2 5" xfId="1591"/>
    <cellStyle name="Обычный 17 2 5 2" xfId="1592"/>
    <cellStyle name="Обычный 17 2 6" xfId="1593"/>
    <cellStyle name="Обычный 17 3" xfId="1594"/>
    <cellStyle name="Обычный 17 3 2" xfId="1595"/>
    <cellStyle name="Обычный 17 3 2 2" xfId="1596"/>
    <cellStyle name="Обычный 17 3 3" xfId="1597"/>
    <cellStyle name="Обычный 17 4" xfId="1598"/>
    <cellStyle name="Обычный 17 4 2" xfId="1599"/>
    <cellStyle name="Обычный 17 4 2 2" xfId="1600"/>
    <cellStyle name="Обычный 17 4 3" xfId="1601"/>
    <cellStyle name="Обычный 17 5" xfId="1602"/>
    <cellStyle name="Обычный 17 5 2" xfId="1603"/>
    <cellStyle name="Обычный 17 5 2 2" xfId="1604"/>
    <cellStyle name="Обычный 17 5 3" xfId="1605"/>
    <cellStyle name="Обычный 17 6" xfId="1606"/>
    <cellStyle name="Обычный 17 6 2" xfId="1607"/>
    <cellStyle name="Обычный 17 7" xfId="1608"/>
    <cellStyle name="Обычный 17 7 2" xfId="1609"/>
    <cellStyle name="Обычный 17 8" xfId="1610"/>
    <cellStyle name="Обычный 17 9" xfId="1611"/>
    <cellStyle name="Обычный 18" xfId="20"/>
    <cellStyle name="Обычный 18 2" xfId="1612"/>
    <cellStyle name="Обычный 18 2 2" xfId="1613"/>
    <cellStyle name="Обычный 18 2 2 2" xfId="1614"/>
    <cellStyle name="Обычный 18 2 2 2 2" xfId="1615"/>
    <cellStyle name="Обычный 18 2 2 3" xfId="1616"/>
    <cellStyle name="Обычный 18 2 3" xfId="1617"/>
    <cellStyle name="Обычный 18 2 3 2" xfId="1618"/>
    <cellStyle name="Обычный 18 2 3 2 2" xfId="1619"/>
    <cellStyle name="Обычный 18 2 3 3" xfId="1620"/>
    <cellStyle name="Обычный 18 2 4" xfId="1621"/>
    <cellStyle name="Обычный 18 2 4 2" xfId="1622"/>
    <cellStyle name="Обычный 18 2 5" xfId="1623"/>
    <cellStyle name="Обычный 18 2 5 2" xfId="1624"/>
    <cellStyle name="Обычный 18 2 6" xfId="1625"/>
    <cellStyle name="Обычный 18 3" xfId="1626"/>
    <cellStyle name="Обычный 18 3 2" xfId="1627"/>
    <cellStyle name="Обычный 18 3 2 2" xfId="1628"/>
    <cellStyle name="Обычный 18 3 3" xfId="1629"/>
    <cellStyle name="Обычный 18 3 3 2" xfId="1630"/>
    <cellStyle name="Обычный 18 3 4" xfId="1631"/>
    <cellStyle name="Обычный 18 4" xfId="1632"/>
    <cellStyle name="Обычный 18 4 2" xfId="1633"/>
    <cellStyle name="Обычный 18 4 2 2" xfId="1634"/>
    <cellStyle name="Обычный 18 4 3" xfId="1635"/>
    <cellStyle name="Обычный 18 5" xfId="1636"/>
    <cellStyle name="Обычный 18 5 2" xfId="1637"/>
    <cellStyle name="Обычный 18 5 2 2" xfId="1638"/>
    <cellStyle name="Обычный 18 5 3" xfId="1639"/>
    <cellStyle name="Обычный 18 6" xfId="1640"/>
    <cellStyle name="Обычный 18 6 2" xfId="1641"/>
    <cellStyle name="Обычный 18 7" xfId="1642"/>
    <cellStyle name="Обычный 18 7 2" xfId="1643"/>
    <cellStyle name="Обычный 18 8" xfId="1644"/>
    <cellStyle name="Обычный 18 9" xfId="1645"/>
    <cellStyle name="Обычный 19" xfId="1646"/>
    <cellStyle name="Обычный 19 2" xfId="1647"/>
    <cellStyle name="Обычный 19 2 2" xfId="1648"/>
    <cellStyle name="Обычный 19 2 2 2" xfId="1649"/>
    <cellStyle name="Обычный 19 2 2 2 2" xfId="1650"/>
    <cellStyle name="Обычный 19 2 2 3" xfId="1651"/>
    <cellStyle name="Обычный 19 2 3" xfId="1652"/>
    <cellStyle name="Обычный 19 2 3 2" xfId="1653"/>
    <cellStyle name="Обычный 19 2 3 2 2" xfId="1654"/>
    <cellStyle name="Обычный 19 2 3 3" xfId="1655"/>
    <cellStyle name="Обычный 19 2 4" xfId="1656"/>
    <cellStyle name="Обычный 19 2 4 2" xfId="1657"/>
    <cellStyle name="Обычный 19 2 5" xfId="1658"/>
    <cellStyle name="Обычный 19 2 5 2" xfId="1659"/>
    <cellStyle name="Обычный 19 2 6" xfId="1660"/>
    <cellStyle name="Обычный 19 3" xfId="1661"/>
    <cellStyle name="Обычный 19 3 2" xfId="1662"/>
    <cellStyle name="Обычный 19 3 2 2" xfId="1663"/>
    <cellStyle name="Обычный 19 3 3" xfId="1664"/>
    <cellStyle name="Обычный 19 4" xfId="1665"/>
    <cellStyle name="Обычный 19 4 2" xfId="1666"/>
    <cellStyle name="Обычный 19 4 2 2" xfId="1667"/>
    <cellStyle name="Обычный 19 4 3" xfId="1668"/>
    <cellStyle name="Обычный 19 5" xfId="1669"/>
    <cellStyle name="Обычный 19 5 2" xfId="1670"/>
    <cellStyle name="Обычный 19 5 2 2" xfId="1671"/>
    <cellStyle name="Обычный 19 5 3" xfId="1672"/>
    <cellStyle name="Обычный 19 6" xfId="1673"/>
    <cellStyle name="Обычный 19 6 2" xfId="1674"/>
    <cellStyle name="Обычный 19 7" xfId="1675"/>
    <cellStyle name="Обычный 19 7 2" xfId="1676"/>
    <cellStyle name="Обычный 19 8" xfId="1677"/>
    <cellStyle name="Обычный 19 9" xfId="1678"/>
    <cellStyle name="Обычный 2" xfId="1"/>
    <cellStyle name="Обычный 2 10" xfId="1679"/>
    <cellStyle name="Обычный 2 11" xfId="1680"/>
    <cellStyle name="Обычный 2 12" xfId="1681"/>
    <cellStyle name="Обычный 2 13" xfId="1682"/>
    <cellStyle name="Обычный 2 14" xfId="1683"/>
    <cellStyle name="Обычный 2 15" xfId="1684"/>
    <cellStyle name="Обычный 2 16" xfId="1685"/>
    <cellStyle name="Обычный 2 17" xfId="1686"/>
    <cellStyle name="Обычный 2 18" xfId="1687"/>
    <cellStyle name="Обычный 2 2" xfId="19"/>
    <cellStyle name="Обычный 2 2 2" xfId="1688"/>
    <cellStyle name="Обычный 2 2 2 2" xfId="1689"/>
    <cellStyle name="Обычный 2 2 4" xfId="2220"/>
    <cellStyle name="Обычный 2 3" xfId="1690"/>
    <cellStyle name="Обычный 2 3 2" xfId="1691"/>
    <cellStyle name="Обычный 2 4" xfId="1692"/>
    <cellStyle name="Обычный 2 5" xfId="1693"/>
    <cellStyle name="Обычный 2 6" xfId="1694"/>
    <cellStyle name="Обычный 2 7" xfId="1695"/>
    <cellStyle name="Обычный 2 8" xfId="1696"/>
    <cellStyle name="Обычный 2 9" xfId="1697"/>
    <cellStyle name="Обычный 20" xfId="1698"/>
    <cellStyle name="Обычный 20 2" xfId="1699"/>
    <cellStyle name="Обычный 20 2 2" xfId="1700"/>
    <cellStyle name="Обычный 20 2 2 2" xfId="1701"/>
    <cellStyle name="Обычный 20 2 3" xfId="1702"/>
    <cellStyle name="Обычный 20 3" xfId="1703"/>
    <cellStyle name="Обычный 20 3 2" xfId="1704"/>
    <cellStyle name="Обычный 20 3 2 2" xfId="1705"/>
    <cellStyle name="Обычный 20 3 3" xfId="1706"/>
    <cellStyle name="Обычный 20 4" xfId="1707"/>
    <cellStyle name="Обычный 20 4 2" xfId="1708"/>
    <cellStyle name="Обычный 20 4 2 2" xfId="1709"/>
    <cellStyle name="Обычный 20 4 3" xfId="1710"/>
    <cellStyle name="Обычный 20 5" xfId="1711"/>
    <cellStyle name="Обычный 20 5 2" xfId="1712"/>
    <cellStyle name="Обычный 20 6" xfId="1713"/>
    <cellStyle name="Обычный 20 6 2" xfId="1714"/>
    <cellStyle name="Обычный 20 7" xfId="1715"/>
    <cellStyle name="Обычный 20 8" xfId="1716"/>
    <cellStyle name="Обычный 21" xfId="1717"/>
    <cellStyle name="Обычный 21 2" xfId="1718"/>
    <cellStyle name="Обычный 22" xfId="1719"/>
    <cellStyle name="Обычный 22 2" xfId="1720"/>
    <cellStyle name="Обычный 22 2 2" xfId="1721"/>
    <cellStyle name="Обычный 22 2 2 2" xfId="1722"/>
    <cellStyle name="Обычный 22 2 3" xfId="1723"/>
    <cellStyle name="Обычный 22 3" xfId="1724"/>
    <cellStyle name="Обычный 22 3 2" xfId="1725"/>
    <cellStyle name="Обычный 22 4" xfId="1726"/>
    <cellStyle name="Обычный 22 5" xfId="1727"/>
    <cellStyle name="Обычный 23" xfId="1728"/>
    <cellStyle name="Обычный 23 2" xfId="1729"/>
    <cellStyle name="Обычный 23 2 2" xfId="1730"/>
    <cellStyle name="Обычный 23 3" xfId="1731"/>
    <cellStyle name="Обычный 23 4" xfId="1732"/>
    <cellStyle name="Обычный 24" xfId="1733"/>
    <cellStyle name="Обычный 24 2" xfId="1734"/>
    <cellStyle name="Обычный 24 2 2" xfId="1735"/>
    <cellStyle name="Обычный 24 3" xfId="1736"/>
    <cellStyle name="Обычный 24 4" xfId="1737"/>
    <cellStyle name="Обычный 25" xfId="1738"/>
    <cellStyle name="Обычный 25 2" xfId="1739"/>
    <cellStyle name="Обычный 25 2 2" xfId="1740"/>
    <cellStyle name="Обычный 25 3" xfId="1741"/>
    <cellStyle name="Обычный 26" xfId="1742"/>
    <cellStyle name="Обычный 26 2" xfId="1743"/>
    <cellStyle name="Обычный 27" xfId="1744"/>
    <cellStyle name="Обычный 27 2" xfId="1745"/>
    <cellStyle name="Обычный 28" xfId="1746"/>
    <cellStyle name="Обычный 28 4" xfId="2218"/>
    <cellStyle name="Обычный 29" xfId="2190"/>
    <cellStyle name="Обычный 3" xfId="3"/>
    <cellStyle name="Обычный 3 2" xfId="1747"/>
    <cellStyle name="Обычный 3 2 2" xfId="1748"/>
    <cellStyle name="Обычный 30" xfId="2195"/>
    <cellStyle name="Обычный 30 2" xfId="2198"/>
    <cellStyle name="Обычный 31" xfId="2196"/>
    <cellStyle name="Обычный 31 2 2" xfId="2209"/>
    <cellStyle name="Обычный 31 2 2 2" xfId="2224"/>
    <cellStyle name="Обычный 32" xfId="2197"/>
    <cellStyle name="Обычный 33" xfId="2202"/>
    <cellStyle name="Обычный 34" xfId="2203"/>
    <cellStyle name="Обычный 35" xfId="2204"/>
    <cellStyle name="Обычный 36" xfId="2205"/>
    <cellStyle name="Обычный 37" xfId="2206"/>
    <cellStyle name="Обычный 38" xfId="2207"/>
    <cellStyle name="Обычный 39" xfId="2208"/>
    <cellStyle name="Обычный 4" xfId="1749"/>
    <cellStyle name="Обычный 4 2" xfId="1750"/>
    <cellStyle name="Обычный 4 3" xfId="1751"/>
    <cellStyle name="Обычный 4 3 2" xfId="1752"/>
    <cellStyle name="Обычный 4 3 2 2" xfId="1753"/>
    <cellStyle name="Обычный 4 3 2 2 2" xfId="1754"/>
    <cellStyle name="Обычный 4 3 2 2 2 2" xfId="1755"/>
    <cellStyle name="Обычный 4 3 2 2 3" xfId="1756"/>
    <cellStyle name="Обычный 4 3 2 3" xfId="1757"/>
    <cellStyle name="Обычный 4 3 2 3 2" xfId="1758"/>
    <cellStyle name="Обычный 4 3 2 3 2 2" xfId="1759"/>
    <cellStyle name="Обычный 4 3 2 3 3" xfId="1760"/>
    <cellStyle name="Обычный 4 3 2 4" xfId="1761"/>
    <cellStyle name="Обычный 4 3 2 4 2" xfId="1762"/>
    <cellStyle name="Обычный 4 3 2 5" xfId="1763"/>
    <cellStyle name="Обычный 4 3 2 5 2" xfId="1764"/>
    <cellStyle name="Обычный 4 3 2 6" xfId="1765"/>
    <cellStyle name="Обычный 4 3 3" xfId="1766"/>
    <cellStyle name="Обычный 4 3 3 2" xfId="1767"/>
    <cellStyle name="Обычный 4 3 3 2 2" xfId="1768"/>
    <cellStyle name="Обычный 4 3 3 2 2 2" xfId="1769"/>
    <cellStyle name="Обычный 4 3 3 2 3" xfId="1770"/>
    <cellStyle name="Обычный 4 3 3 3" xfId="1771"/>
    <cellStyle name="Обычный 4 3 3 3 2" xfId="1772"/>
    <cellStyle name="Обычный 4 3 3 4" xfId="1773"/>
    <cellStyle name="Обычный 4 3 3 4 2" xfId="1774"/>
    <cellStyle name="Обычный 4 3 3 5" xfId="1775"/>
    <cellStyle name="Обычный 4 3 4" xfId="1776"/>
    <cellStyle name="Обычный 4 3 4 2" xfId="1777"/>
    <cellStyle name="Обычный 4 3 4 2 2" xfId="1778"/>
    <cellStyle name="Обычный 4 3 4 2 2 2" xfId="1779"/>
    <cellStyle name="Обычный 4 3 4 2 3" xfId="1780"/>
    <cellStyle name="Обычный 4 3 4 3" xfId="1781"/>
    <cellStyle name="Обычный 4 3 4 3 2" xfId="1782"/>
    <cellStyle name="Обычный 4 3 4 4" xfId="1783"/>
    <cellStyle name="Обычный 4 3 5" xfId="1784"/>
    <cellStyle name="Обычный 4 3 5 2" xfId="1785"/>
    <cellStyle name="Обычный 4 3 5 2 2" xfId="1786"/>
    <cellStyle name="Обычный 4 3 5 3" xfId="1787"/>
    <cellStyle name="Обычный 4 3 6" xfId="1788"/>
    <cellStyle name="Обычный 4 3 6 2" xfId="1789"/>
    <cellStyle name="Обычный 4 3 7" xfId="1790"/>
    <cellStyle name="Обычный 4 3 7 2" xfId="1791"/>
    <cellStyle name="Обычный 4 4" xfId="1792"/>
    <cellStyle name="Обычный 4 4 2" xfId="1793"/>
    <cellStyle name="Обычный 4 4 3" xfId="1794"/>
    <cellStyle name="Обычный 40" xfId="2223"/>
    <cellStyle name="Обычный 41" xfId="2216"/>
    <cellStyle name="Обычный 42" xfId="2225"/>
    <cellStyle name="Обычный 43" xfId="2227"/>
    <cellStyle name="Обычный 44" xfId="2228"/>
    <cellStyle name="Обычный 44 2" xfId="2231"/>
    <cellStyle name="Обычный 45" xfId="2229"/>
    <cellStyle name="Обычный 5" xfId="1795"/>
    <cellStyle name="Обычный 6" xfId="1796"/>
    <cellStyle name="Обычный 6 2" xfId="1797"/>
    <cellStyle name="Обычный 6 2 2" xfId="1798"/>
    <cellStyle name="Обычный 6 3" xfId="1799"/>
    <cellStyle name="Обычный 7" xfId="1800"/>
    <cellStyle name="Обычный 7 10" xfId="1801"/>
    <cellStyle name="Обычный 7 2" xfId="1802"/>
    <cellStyle name="Обычный 7 2 2" xfId="1803"/>
    <cellStyle name="Обычный 7 2 2 2" xfId="1804"/>
    <cellStyle name="Обычный 7 2 2 2 2" xfId="1805"/>
    <cellStyle name="Обычный 7 2 2 2 2 2" xfId="1806"/>
    <cellStyle name="Обычный 7 2 2 2 3" xfId="1807"/>
    <cellStyle name="Обычный 7 2 2 3" xfId="1808"/>
    <cellStyle name="Обычный 7 2 2 3 2" xfId="1809"/>
    <cellStyle name="Обычный 7 2 2 3 2 2" xfId="1810"/>
    <cellStyle name="Обычный 7 2 2 3 3" xfId="1811"/>
    <cellStyle name="Обычный 7 2 2 4" xfId="1812"/>
    <cellStyle name="Обычный 7 2 2 4 2" xfId="1813"/>
    <cellStyle name="Обычный 7 2 2 5" xfId="1814"/>
    <cellStyle name="Обычный 7 2 2 5 2" xfId="1815"/>
    <cellStyle name="Обычный 7 2 2 6" xfId="1816"/>
    <cellStyle name="Обычный 7 2 3" xfId="1817"/>
    <cellStyle name="Обычный 7 2 3 2" xfId="1818"/>
    <cellStyle name="Обычный 7 2 3 2 2" xfId="1819"/>
    <cellStyle name="Обычный 7 2 3 3" xfId="1820"/>
    <cellStyle name="Обычный 7 2 3 3 2" xfId="1821"/>
    <cellStyle name="Обычный 7 2 3 4" xfId="1822"/>
    <cellStyle name="Обычный 7 2 4" xfId="1823"/>
    <cellStyle name="Обычный 7 2 4 2" xfId="1824"/>
    <cellStyle name="Обычный 7 2 4 2 2" xfId="1825"/>
    <cellStyle name="Обычный 7 2 4 3" xfId="1826"/>
    <cellStyle name="Обычный 7 2 5" xfId="1827"/>
    <cellStyle name="Обычный 7 2 5 2" xfId="1828"/>
    <cellStyle name="Обычный 7 2 5 2 2" xfId="1829"/>
    <cellStyle name="Обычный 7 2 5 3" xfId="1830"/>
    <cellStyle name="Обычный 7 2 6" xfId="1831"/>
    <cellStyle name="Обычный 7 2 6 2" xfId="1832"/>
    <cellStyle name="Обычный 7 2 7" xfId="1833"/>
    <cellStyle name="Обычный 7 2 7 2" xfId="1834"/>
    <cellStyle name="Обычный 7 3" xfId="1835"/>
    <cellStyle name="Обычный 7 3 2" xfId="1836"/>
    <cellStyle name="Обычный 7 3 2 2" xfId="1837"/>
    <cellStyle name="Обычный 7 3 2 2 2" xfId="1838"/>
    <cellStyle name="Обычный 7 3 2 3" xfId="1839"/>
    <cellStyle name="Обычный 7 3 3" xfId="1840"/>
    <cellStyle name="Обычный 7 3 3 2" xfId="1841"/>
    <cellStyle name="Обычный 7 3 3 2 2" xfId="1842"/>
    <cellStyle name="Обычный 7 3 3 3" xfId="1843"/>
    <cellStyle name="Обычный 7 3 4" xfId="1844"/>
    <cellStyle name="Обычный 7 3 4 2" xfId="1845"/>
    <cellStyle name="Обычный 7 3 5" xfId="1846"/>
    <cellStyle name="Обычный 7 3 5 2" xfId="1847"/>
    <cellStyle name="Обычный 7 3 6" xfId="1848"/>
    <cellStyle name="Обычный 7 4" xfId="1849"/>
    <cellStyle name="Обычный 7 4 2" xfId="1850"/>
    <cellStyle name="Обычный 7 4 2 2" xfId="1851"/>
    <cellStyle name="Обычный 7 4 3" xfId="1852"/>
    <cellStyle name="Обычный 7 4 3 2" xfId="1853"/>
    <cellStyle name="Обычный 7 4 4" xfId="1854"/>
    <cellStyle name="Обычный 7 5" xfId="1855"/>
    <cellStyle name="Обычный 7 5 2" xfId="1856"/>
    <cellStyle name="Обычный 7 5 2 2" xfId="1857"/>
    <cellStyle name="Обычный 7 5 3" xfId="1858"/>
    <cellStyle name="Обычный 7 6" xfId="1859"/>
    <cellStyle name="Обычный 7 6 2" xfId="1860"/>
    <cellStyle name="Обычный 7 6 2 2" xfId="1861"/>
    <cellStyle name="Обычный 7 6 3" xfId="1862"/>
    <cellStyle name="Обычный 7 7" xfId="1863"/>
    <cellStyle name="Обычный 7 7 2" xfId="1864"/>
    <cellStyle name="Обычный 7 8" xfId="1865"/>
    <cellStyle name="Обычный 7 8 2" xfId="1866"/>
    <cellStyle name="Обычный 7 9" xfId="1867"/>
    <cellStyle name="Обычный 8" xfId="1868"/>
    <cellStyle name="Обычный 8 2" xfId="1869"/>
    <cellStyle name="Обычный 8 2 2" xfId="1870"/>
    <cellStyle name="Обычный 8 2 2 2" xfId="1871"/>
    <cellStyle name="Обычный 8 2 2 2 2" xfId="1872"/>
    <cellStyle name="Обычный 8 2 2 3" xfId="1873"/>
    <cellStyle name="Обычный 8 2 3" xfId="1874"/>
    <cellStyle name="Обычный 8 2 3 2" xfId="1875"/>
    <cellStyle name="Обычный 8 2 3 2 2" xfId="1876"/>
    <cellStyle name="Обычный 8 2 3 3" xfId="1877"/>
    <cellStyle name="Обычный 8 2 4" xfId="1878"/>
    <cellStyle name="Обычный 8 2 4 2" xfId="1879"/>
    <cellStyle name="Обычный 8 2 5" xfId="1880"/>
    <cellStyle name="Обычный 8 2 5 2" xfId="1881"/>
    <cellStyle name="Обычный 8 2 6" xfId="1882"/>
    <cellStyle name="Обычный 8 3" xfId="1883"/>
    <cellStyle name="Обычный 8 3 2" xfId="1884"/>
    <cellStyle name="Обычный 8 3 2 2" xfId="1885"/>
    <cellStyle name="Обычный 8 3 3" xfId="1886"/>
    <cellStyle name="Обычный 8 3 3 2" xfId="1887"/>
    <cellStyle name="Обычный 8 3 4" xfId="1888"/>
    <cellStyle name="Обычный 8 4" xfId="1889"/>
    <cellStyle name="Обычный 8 4 2" xfId="1890"/>
    <cellStyle name="Обычный 8 4 2 2" xfId="1891"/>
    <cellStyle name="Обычный 8 4 3" xfId="1892"/>
    <cellStyle name="Обычный 8 5" xfId="1893"/>
    <cellStyle name="Обычный 8 5 2" xfId="1894"/>
    <cellStyle name="Обычный 8 5 2 2" xfId="1895"/>
    <cellStyle name="Обычный 8 5 3" xfId="1896"/>
    <cellStyle name="Обычный 8 6" xfId="1897"/>
    <cellStyle name="Обычный 8 6 2" xfId="1898"/>
    <cellStyle name="Обычный 8 7" xfId="1899"/>
    <cellStyle name="Обычный 8 7 2" xfId="1900"/>
    <cellStyle name="Обычный 8 8" xfId="1901"/>
    <cellStyle name="Обычный 8 9" xfId="1902"/>
    <cellStyle name="Обычный 9" xfId="1903"/>
    <cellStyle name="Обычный 9 2" xfId="1904"/>
    <cellStyle name="Обычный 9 2 2" xfId="1905"/>
    <cellStyle name="Обычный 9 2 2 2" xfId="1906"/>
    <cellStyle name="Обычный 9 2 2 2 2" xfId="1907"/>
    <cellStyle name="Обычный 9 2 2 3" xfId="1908"/>
    <cellStyle name="Обычный 9 2 3" xfId="1909"/>
    <cellStyle name="Обычный 9 2 3 2" xfId="1910"/>
    <cellStyle name="Обычный 9 2 3 2 2" xfId="1911"/>
    <cellStyle name="Обычный 9 2 3 3" xfId="1912"/>
    <cellStyle name="Обычный 9 2 4" xfId="1913"/>
    <cellStyle name="Обычный 9 2 4 2" xfId="1914"/>
    <cellStyle name="Обычный 9 2 5" xfId="1915"/>
    <cellStyle name="Обычный 9 2 5 2" xfId="1916"/>
    <cellStyle name="Обычный 9 2 6" xfId="1917"/>
    <cellStyle name="Обычный 9 3" xfId="1918"/>
    <cellStyle name="Обычный 9 3 2" xfId="1919"/>
    <cellStyle name="Обычный 9 3 2 2" xfId="1920"/>
    <cellStyle name="Обычный 9 3 3" xfId="1921"/>
    <cellStyle name="Обычный 9 3 3 2" xfId="1922"/>
    <cellStyle name="Обычный 9 3 4" xfId="1923"/>
    <cellStyle name="Обычный 9 4" xfId="1924"/>
    <cellStyle name="Обычный 9 4 2" xfId="1925"/>
    <cellStyle name="Обычный 9 4 2 2" xfId="1926"/>
    <cellStyle name="Обычный 9 4 3" xfId="1927"/>
    <cellStyle name="Обычный 9 5" xfId="1928"/>
    <cellStyle name="Обычный 9 5 2" xfId="1929"/>
    <cellStyle name="Обычный 9 5 2 2" xfId="1930"/>
    <cellStyle name="Обычный 9 5 3" xfId="1931"/>
    <cellStyle name="Обычный 9 6" xfId="1932"/>
    <cellStyle name="Обычный 9 6 2" xfId="1933"/>
    <cellStyle name="Обычный 9 7" xfId="1934"/>
    <cellStyle name="Обычный 9 7 2" xfId="1935"/>
    <cellStyle name="Обычный 9 8" xfId="1936"/>
    <cellStyle name="Обычный 9 9" xfId="1937"/>
    <cellStyle name="Обычный_1080  сводный расчет" xfId="2215"/>
    <cellStyle name="Обычный_6200_PRT" xfId="2222"/>
    <cellStyle name="Обычный_6200_PRT 2" xfId="2214"/>
    <cellStyle name="Обычный_6200РД" xfId="2221"/>
    <cellStyle name="ПИР" xfId="2191"/>
    <cellStyle name="Плохой 10" xfId="1938"/>
    <cellStyle name="Плохой 11" xfId="1939"/>
    <cellStyle name="Плохой 12" xfId="1940"/>
    <cellStyle name="Плохой 13" xfId="1941"/>
    <cellStyle name="Плохой 14" xfId="1942"/>
    <cellStyle name="Плохой 15" xfId="1943"/>
    <cellStyle name="Плохой 16" xfId="1944"/>
    <cellStyle name="Плохой 17" xfId="1945"/>
    <cellStyle name="Плохой 18" xfId="1946"/>
    <cellStyle name="Плохой 19" xfId="1947"/>
    <cellStyle name="Плохой 2" xfId="1948"/>
    <cellStyle name="Плохой 2 2" xfId="1949"/>
    <cellStyle name="Плохой 2 3" xfId="1950"/>
    <cellStyle name="Плохой 2 4" xfId="1951"/>
    <cellStyle name="Плохой 2 5" xfId="1952"/>
    <cellStyle name="Плохой 2 6" xfId="1953"/>
    <cellStyle name="Плохой 20" xfId="1954"/>
    <cellStyle name="Плохой 21" xfId="1955"/>
    <cellStyle name="Плохой 22" xfId="1956"/>
    <cellStyle name="Плохой 23" xfId="1957"/>
    <cellStyle name="Плохой 24" xfId="1958"/>
    <cellStyle name="Плохой 3" xfId="1959"/>
    <cellStyle name="Плохой 3 2" xfId="1960"/>
    <cellStyle name="Плохой 3 3" xfId="1961"/>
    <cellStyle name="Плохой 3 4" xfId="1962"/>
    <cellStyle name="Плохой 3 5" xfId="1963"/>
    <cellStyle name="Плохой 3 6" xfId="1964"/>
    <cellStyle name="Плохой 4" xfId="1965"/>
    <cellStyle name="Плохой 5" xfId="1966"/>
    <cellStyle name="Плохой 6" xfId="1967"/>
    <cellStyle name="Плохой 7" xfId="1968"/>
    <cellStyle name="Плохой 8" xfId="1969"/>
    <cellStyle name="Плохой 9" xfId="1970"/>
    <cellStyle name="Пояснение 10" xfId="1971"/>
    <cellStyle name="Пояснение 11" xfId="1972"/>
    <cellStyle name="Пояснение 12" xfId="1973"/>
    <cellStyle name="Пояснение 13" xfId="1974"/>
    <cellStyle name="Пояснение 14" xfId="1975"/>
    <cellStyle name="Пояснение 15" xfId="1976"/>
    <cellStyle name="Пояснение 16" xfId="1977"/>
    <cellStyle name="Пояснение 17" xfId="1978"/>
    <cellStyle name="Пояснение 18" xfId="1979"/>
    <cellStyle name="Пояснение 19" xfId="1980"/>
    <cellStyle name="Пояснение 2" xfId="1981"/>
    <cellStyle name="Пояснение 2 2" xfId="1982"/>
    <cellStyle name="Пояснение 2 3" xfId="1983"/>
    <cellStyle name="Пояснение 2 4" xfId="1984"/>
    <cellStyle name="Пояснение 2 5" xfId="1985"/>
    <cellStyle name="Пояснение 2 6" xfId="1986"/>
    <cellStyle name="Пояснение 20" xfId="1987"/>
    <cellStyle name="Пояснение 21" xfId="1988"/>
    <cellStyle name="Пояснение 22" xfId="1989"/>
    <cellStyle name="Пояснение 23" xfId="1990"/>
    <cellStyle name="Пояснение 24" xfId="1991"/>
    <cellStyle name="Пояснение 3" xfId="1992"/>
    <cellStyle name="Пояснение 3 2" xfId="1993"/>
    <cellStyle name="Пояснение 3 3" xfId="1994"/>
    <cellStyle name="Пояснение 3 4" xfId="1995"/>
    <cellStyle name="Пояснение 3 5" xfId="1996"/>
    <cellStyle name="Пояснение 3 6" xfId="1997"/>
    <cellStyle name="Пояснение 4" xfId="1998"/>
    <cellStyle name="Пояснение 5" xfId="1999"/>
    <cellStyle name="Пояснение 6" xfId="2000"/>
    <cellStyle name="Пояснение 7" xfId="2001"/>
    <cellStyle name="Пояснение 8" xfId="2002"/>
    <cellStyle name="Пояснение 9" xfId="2003"/>
    <cellStyle name="Примечание 10" xfId="2004"/>
    <cellStyle name="Примечание 11" xfId="2005"/>
    <cellStyle name="Примечание 12" xfId="2006"/>
    <cellStyle name="Примечание 13" xfId="2007"/>
    <cellStyle name="Примечание 14" xfId="2008"/>
    <cellStyle name="Примечание 15" xfId="2009"/>
    <cellStyle name="Примечание 16" xfId="2010"/>
    <cellStyle name="Примечание 17" xfId="2011"/>
    <cellStyle name="Примечание 18" xfId="2012"/>
    <cellStyle name="Примечание 19" xfId="2013"/>
    <cellStyle name="Примечание 2" xfId="2014"/>
    <cellStyle name="Примечание 2 2" xfId="2015"/>
    <cellStyle name="Примечание 2 3" xfId="2016"/>
    <cellStyle name="Примечание 2 4" xfId="2017"/>
    <cellStyle name="Примечание 2 5" xfId="2018"/>
    <cellStyle name="Примечание 2 6" xfId="2019"/>
    <cellStyle name="Примечание 20" xfId="2020"/>
    <cellStyle name="Примечание 21" xfId="2021"/>
    <cellStyle name="Примечание 22" xfId="2022"/>
    <cellStyle name="Примечание 23" xfId="2023"/>
    <cellStyle name="Примечание 24" xfId="2024"/>
    <cellStyle name="Примечание 3" xfId="2025"/>
    <cellStyle name="Примечание 3 2" xfId="2026"/>
    <cellStyle name="Примечание 3 3" xfId="2027"/>
    <cellStyle name="Примечание 3 4" xfId="2028"/>
    <cellStyle name="Примечание 3 5" xfId="2029"/>
    <cellStyle name="Примечание 3 6" xfId="2030"/>
    <cellStyle name="Примечание 4" xfId="2031"/>
    <cellStyle name="Примечание 5" xfId="2032"/>
    <cellStyle name="Примечание 6" xfId="2033"/>
    <cellStyle name="Примечание 7" xfId="2034"/>
    <cellStyle name="Примечание 8" xfId="2035"/>
    <cellStyle name="Примечание 9" xfId="2036"/>
    <cellStyle name="Процентный" xfId="18" builtinId="5"/>
    <cellStyle name="Процентный 10" xfId="2037"/>
    <cellStyle name="Процентный 11" xfId="2038"/>
    <cellStyle name="Процентный 12" xfId="2039"/>
    <cellStyle name="Процентный 13" xfId="2040"/>
    <cellStyle name="Процентный 14" xfId="2041"/>
    <cellStyle name="Процентный 15" xfId="2199"/>
    <cellStyle name="Процентный 2" xfId="2042"/>
    <cellStyle name="Процентный 2 2" xfId="2043"/>
    <cellStyle name="Процентный 3" xfId="2044"/>
    <cellStyle name="Процентный 3 2" xfId="2045"/>
    <cellStyle name="Процентный 4" xfId="2046"/>
    <cellStyle name="Процентный 5" xfId="2047"/>
    <cellStyle name="Процентный 6" xfId="2048"/>
    <cellStyle name="Процентный 7" xfId="2049"/>
    <cellStyle name="Процентный 8" xfId="2050"/>
    <cellStyle name="Процентный 9" xfId="2051"/>
    <cellStyle name="СводРасч" xfId="2052"/>
    <cellStyle name="Связанная ячейка 10" xfId="2053"/>
    <cellStyle name="Связанная ячейка 11" xfId="2054"/>
    <cellStyle name="Связанная ячейка 12" xfId="2055"/>
    <cellStyle name="Связанная ячейка 13" xfId="2056"/>
    <cellStyle name="Связанная ячейка 14" xfId="2057"/>
    <cellStyle name="Связанная ячейка 15" xfId="2058"/>
    <cellStyle name="Связанная ячейка 16" xfId="2059"/>
    <cellStyle name="Связанная ячейка 17" xfId="2060"/>
    <cellStyle name="Связанная ячейка 18" xfId="2061"/>
    <cellStyle name="Связанная ячейка 19" xfId="2062"/>
    <cellStyle name="Связанная ячейка 2" xfId="2063"/>
    <cellStyle name="Связанная ячейка 2 2" xfId="2064"/>
    <cellStyle name="Связанная ячейка 2 3" xfId="2065"/>
    <cellStyle name="Связанная ячейка 2 4" xfId="2066"/>
    <cellStyle name="Связанная ячейка 2 5" xfId="2067"/>
    <cellStyle name="Связанная ячейка 2 6" xfId="2068"/>
    <cellStyle name="Связанная ячейка 20" xfId="2069"/>
    <cellStyle name="Связанная ячейка 21" xfId="2070"/>
    <cellStyle name="Связанная ячейка 22" xfId="2071"/>
    <cellStyle name="Связанная ячейка 23" xfId="2072"/>
    <cellStyle name="Связанная ячейка 24" xfId="2073"/>
    <cellStyle name="Связанная ячейка 3" xfId="2074"/>
    <cellStyle name="Связанная ячейка 3 2" xfId="2075"/>
    <cellStyle name="Связанная ячейка 3 3" xfId="2076"/>
    <cellStyle name="Связанная ячейка 3 4" xfId="2077"/>
    <cellStyle name="Связанная ячейка 3 5" xfId="2078"/>
    <cellStyle name="Связанная ячейка 3 6" xfId="2079"/>
    <cellStyle name="Связанная ячейка 4" xfId="2080"/>
    <cellStyle name="Связанная ячейка 5" xfId="2081"/>
    <cellStyle name="Связанная ячейка 6" xfId="2082"/>
    <cellStyle name="Связанная ячейка 7" xfId="2083"/>
    <cellStyle name="Связанная ячейка 8" xfId="2084"/>
    <cellStyle name="Связанная ячейка 9" xfId="2085"/>
    <cellStyle name="Стиль 1" xfId="2086"/>
    <cellStyle name="ТЕКСТ" xfId="2087"/>
    <cellStyle name="ТЕКСТ 2" xfId="2088"/>
    <cellStyle name="Текст предупреждения 10" xfId="2089"/>
    <cellStyle name="Текст предупреждения 11" xfId="2090"/>
    <cellStyle name="Текст предупреждения 12" xfId="2091"/>
    <cellStyle name="Текст предупреждения 13" xfId="2092"/>
    <cellStyle name="Текст предупреждения 14" xfId="2093"/>
    <cellStyle name="Текст предупреждения 15" xfId="2094"/>
    <cellStyle name="Текст предупреждения 16" xfId="2095"/>
    <cellStyle name="Текст предупреждения 17" xfId="2096"/>
    <cellStyle name="Текст предупреждения 18" xfId="2097"/>
    <cellStyle name="Текст предупреждения 19" xfId="2098"/>
    <cellStyle name="Текст предупреждения 2" xfId="2099"/>
    <cellStyle name="Текст предупреждения 2 2" xfId="2100"/>
    <cellStyle name="Текст предупреждения 2 3" xfId="2101"/>
    <cellStyle name="Текст предупреждения 2 4" xfId="2102"/>
    <cellStyle name="Текст предупреждения 2 5" xfId="2103"/>
    <cellStyle name="Текст предупреждения 2 6" xfId="2104"/>
    <cellStyle name="Текст предупреждения 20" xfId="2105"/>
    <cellStyle name="Текст предупреждения 21" xfId="2106"/>
    <cellStyle name="Текст предупреждения 22" xfId="2107"/>
    <cellStyle name="Текст предупреждения 23" xfId="2108"/>
    <cellStyle name="Текст предупреждения 24" xfId="2109"/>
    <cellStyle name="Текст предупреждения 3" xfId="2110"/>
    <cellStyle name="Текст предупреждения 3 2" xfId="2111"/>
    <cellStyle name="Текст предупреждения 3 3" xfId="2112"/>
    <cellStyle name="Текст предупреждения 3 4" xfId="2113"/>
    <cellStyle name="Текст предупреждения 3 5" xfId="2114"/>
    <cellStyle name="Текст предупреждения 3 6" xfId="2115"/>
    <cellStyle name="Текст предупреждения 4" xfId="2116"/>
    <cellStyle name="Текст предупреждения 5" xfId="2117"/>
    <cellStyle name="Текст предупреждения 6" xfId="2118"/>
    <cellStyle name="Текст предупреждения 7" xfId="2119"/>
    <cellStyle name="Текст предупреждения 8" xfId="2120"/>
    <cellStyle name="Текст предупреждения 9" xfId="2121"/>
    <cellStyle name="Титул" xfId="2189"/>
    <cellStyle name="Тысячи [0]_Акт" xfId="2122"/>
    <cellStyle name="Тысячи_Акт" xfId="2123"/>
    <cellStyle name="Финансовый" xfId="2" builtinId="3"/>
    <cellStyle name="Финансовый [0] 2" xfId="2124"/>
    <cellStyle name="Финансовый [0] 2 2" xfId="2125"/>
    <cellStyle name="Финансовый [0] 2 2 2" xfId="2126"/>
    <cellStyle name="Финансовый [0] 2 2 2 2" xfId="2127"/>
    <cellStyle name="Финансовый [0] 2 2 3" xfId="2128"/>
    <cellStyle name="Финансовый [0] 2 2 3 2" xfId="2129"/>
    <cellStyle name="Финансовый [0] 2 3" xfId="2130"/>
    <cellStyle name="Финансовый [0] 2 4" xfId="2131"/>
    <cellStyle name="Финансовый [0] 3" xfId="2132"/>
    <cellStyle name="Финансовый [0] 3 2" xfId="2133"/>
    <cellStyle name="Финансовый [0] 3 3" xfId="2134"/>
    <cellStyle name="Финансовый 2" xfId="2135"/>
    <cellStyle name="Финансовый 2 2" xfId="2136"/>
    <cellStyle name="Финансовый 2 2 2" xfId="2137"/>
    <cellStyle name="Финансовый 2 3" xfId="2138"/>
    <cellStyle name="Финансовый 2 3 2" xfId="2139"/>
    <cellStyle name="Финансовый 2 3 3" xfId="2140"/>
    <cellStyle name="Финансовый 2 4" xfId="2141"/>
    <cellStyle name="Финансовый 2 5" xfId="2142"/>
    <cellStyle name="Финансовый 3" xfId="2143"/>
    <cellStyle name="Финансовый 3 2" xfId="2144"/>
    <cellStyle name="Финансовый 3 2 2" xfId="2145"/>
    <cellStyle name="Финансовый 3 3" xfId="2146"/>
    <cellStyle name="Финансовый 4" xfId="2147"/>
    <cellStyle name="Финансовый 4 2" xfId="2148"/>
    <cellStyle name="Финансовый 4 2 2" xfId="2149"/>
    <cellStyle name="Финансовый 4 2 3" xfId="2150"/>
    <cellStyle name="Финансовый 5" xfId="2151"/>
    <cellStyle name="Финансовый 5 2" xfId="2152"/>
    <cellStyle name="Финансовый 5 2 2" xfId="2153"/>
    <cellStyle name="Финансовый 6" xfId="2154"/>
    <cellStyle name="Финансовый 6 2" xfId="2155"/>
    <cellStyle name="Финансовый 7" xfId="2200"/>
    <cellStyle name="Финансовый 7 2" xfId="2219"/>
    <cellStyle name="Финансовый 8" xfId="2201"/>
    <cellStyle name="Финансовый 9" xfId="2230"/>
    <cellStyle name="Хвост" xfId="2192"/>
    <cellStyle name="Хороший 10" xfId="2156"/>
    <cellStyle name="Хороший 11" xfId="2157"/>
    <cellStyle name="Хороший 12" xfId="2158"/>
    <cellStyle name="Хороший 13" xfId="2159"/>
    <cellStyle name="Хороший 14" xfId="2160"/>
    <cellStyle name="Хороший 15" xfId="2161"/>
    <cellStyle name="Хороший 16" xfId="2162"/>
    <cellStyle name="Хороший 17" xfId="2163"/>
    <cellStyle name="Хороший 18" xfId="2164"/>
    <cellStyle name="Хороший 19" xfId="2165"/>
    <cellStyle name="Хороший 2" xfId="2166"/>
    <cellStyle name="Хороший 2 2" xfId="2167"/>
    <cellStyle name="Хороший 2 3" xfId="2168"/>
    <cellStyle name="Хороший 2 4" xfId="2169"/>
    <cellStyle name="Хороший 2 5" xfId="2170"/>
    <cellStyle name="Хороший 2 6" xfId="2171"/>
    <cellStyle name="Хороший 20" xfId="2172"/>
    <cellStyle name="Хороший 21" xfId="2173"/>
    <cellStyle name="Хороший 22" xfId="2174"/>
    <cellStyle name="Хороший 23" xfId="2175"/>
    <cellStyle name="Хороший 24" xfId="2176"/>
    <cellStyle name="Хороший 3" xfId="2177"/>
    <cellStyle name="Хороший 3 2" xfId="2178"/>
    <cellStyle name="Хороший 3 3" xfId="2179"/>
    <cellStyle name="Хороший 3 4" xfId="2180"/>
    <cellStyle name="Хороший 3 5" xfId="2181"/>
    <cellStyle name="Хороший 3 6" xfId="2182"/>
    <cellStyle name="Хороший 4" xfId="2183"/>
    <cellStyle name="Хороший 5" xfId="2184"/>
    <cellStyle name="Хороший 6" xfId="2185"/>
    <cellStyle name="Хороший 7" xfId="2186"/>
    <cellStyle name="Хороший 8" xfId="2187"/>
    <cellStyle name="Хороший 9" xfId="218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45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externalLink" Target="externalLinks/externalLink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257175</xdr:rowOff>
    </xdr:from>
    <xdr:to>
      <xdr:col>9</xdr:col>
      <xdr:colOff>0</xdr:colOff>
      <xdr:row>6</xdr:row>
      <xdr:rowOff>266700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5867400" y="3552825"/>
          <a:ext cx="2000250" cy="952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659423</xdr:colOff>
      <xdr:row>9</xdr:row>
      <xdr:rowOff>282819</xdr:rowOff>
    </xdr:from>
    <xdr:to>
      <xdr:col>17</xdr:col>
      <xdr:colOff>638044</xdr:colOff>
      <xdr:row>9</xdr:row>
      <xdr:rowOff>293297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11860823" y="5321544"/>
          <a:ext cx="1978871" cy="1047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657225</xdr:colOff>
      <xdr:row>8</xdr:row>
      <xdr:rowOff>285751</xdr:rowOff>
    </xdr:from>
    <xdr:to>
      <xdr:col>14</xdr:col>
      <xdr:colOff>647700</xdr:colOff>
      <xdr:row>8</xdr:row>
      <xdr:rowOff>295275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9191625" y="4743451"/>
          <a:ext cx="2657475" cy="9524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0</xdr:colOff>
      <xdr:row>8</xdr:row>
      <xdr:rowOff>190327</xdr:rowOff>
    </xdr:from>
    <xdr:to>
      <xdr:col>18</xdr:col>
      <xdr:colOff>19708</xdr:colOff>
      <xdr:row>8</xdr:row>
      <xdr:rowOff>197069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3868400" y="4648027"/>
          <a:ext cx="19708" cy="674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7</xdr:row>
      <xdr:rowOff>293077</xdr:rowOff>
    </xdr:from>
    <xdr:to>
      <xdr:col>15</xdr:col>
      <xdr:colOff>0</xdr:colOff>
      <xdr:row>7</xdr:row>
      <xdr:rowOff>295275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877175" y="4169752"/>
          <a:ext cx="3990975" cy="219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638042</xdr:colOff>
      <xdr:row>4</xdr:row>
      <xdr:rowOff>275661</xdr:rowOff>
    </xdr:from>
    <xdr:to>
      <xdr:col>10</xdr:col>
      <xdr:colOff>2931</xdr:colOff>
      <xdr:row>4</xdr:row>
      <xdr:rowOff>275661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6505442" y="2409261"/>
          <a:ext cx="2031889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5</xdr:row>
      <xdr:rowOff>304800</xdr:rowOff>
    </xdr:from>
    <xdr:to>
      <xdr:col>14</xdr:col>
      <xdr:colOff>638175</xdr:colOff>
      <xdr:row>5</xdr:row>
      <xdr:rowOff>306998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876925" y="3019425"/>
          <a:ext cx="5962650" cy="219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52725" y="1049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52725" y="10839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2249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22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577353" y="987238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577353" y="1108261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</xdr:row>
      <xdr:rowOff>161925</xdr:rowOff>
    </xdr:from>
    <xdr:to>
      <xdr:col>6</xdr:col>
      <xdr:colOff>485775</xdr:colOff>
      <xdr:row>5</xdr:row>
      <xdr:rowOff>28575</xdr:rowOff>
    </xdr:to>
    <xdr:pic>
      <xdr:nvPicPr>
        <xdr:cNvPr id="2" name="Рисунок 1" descr="http://base.garant.ru/files/base/70670884/137272916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733550"/>
          <a:ext cx="14573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171450</xdr:colOff>
      <xdr:row>10</xdr:row>
      <xdr:rowOff>0</xdr:rowOff>
    </xdr:to>
    <xdr:pic>
      <xdr:nvPicPr>
        <xdr:cNvPr id="3" name="Рисунок 2" descr="http://base.garant.ru/files/base/70670884/284786625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14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609600</xdr:colOff>
      <xdr:row>11</xdr:row>
      <xdr:rowOff>0</xdr:rowOff>
    </xdr:to>
    <xdr:pic>
      <xdr:nvPicPr>
        <xdr:cNvPr id="4" name="Рисунок 3" descr="http://base.garant.ru/files/base/70670884/44268221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609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ylova\AppData\Local\Microsoft\Windows\INetCache\Content.Outlook\S1Y6U532\&#1056;&#1072;&#1079;&#1076;&#1077;&#1083;%20&#1055;&#1044;%20&#8470;9.%20&#1063;&#1072;&#1089;&#1090;&#1100;%202.%20&#1069;&#1051;2-4-&#1055;&#1048;&#1056;-&#1057;&#1052;2_&#1080;&#1079;&#1084;5%2012.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Титул"/>
      <sheetName val="изм.1"/>
      <sheetName val="изм.2"/>
      <sheetName val="изм.3"/>
      <sheetName val="изм.4"/>
      <sheetName val="изм.5"/>
      <sheetName val="Содерж"/>
      <sheetName val="02-01-01"/>
      <sheetName val="02-01-02"/>
      <sheetName val="02-01-03"/>
      <sheetName val="02-01-04"/>
      <sheetName val="02-02-01"/>
      <sheetName val="02-02-02"/>
      <sheetName val="02-02-03"/>
      <sheetName val="02-03-01"/>
      <sheetName val="02-03-02"/>
      <sheetName val="02-03-03"/>
      <sheetName val="02-04-01"/>
      <sheetName val="02-04-02"/>
      <sheetName val="02-05-01"/>
      <sheetName val="02-05-02"/>
      <sheetName val="02-05-03"/>
      <sheetName val="02-06-01"/>
      <sheetName val="02-06-02"/>
      <sheetName val="02-06-03"/>
      <sheetName val="02-07-01"/>
      <sheetName val="02-07-02"/>
      <sheetName val="02-07-03"/>
      <sheetName val="02-08-01"/>
      <sheetName val="02-08-02"/>
      <sheetName val="02-08-03"/>
      <sheetName val="02-08-04"/>
      <sheetName val="09-05-01база"/>
      <sheetName val="09-05-01"/>
      <sheetName val="09-05-02база"/>
      <sheetName val="09-05-02"/>
      <sheetName val="09-06-01база"/>
      <sheetName val="09-06-01"/>
      <sheetName val="09-06-02база"/>
      <sheetName val="09-06-02"/>
      <sheetName val="12-01-01"/>
      <sheetName val="12-01-02-1"/>
      <sheetName val="12-01-02-3 "/>
      <sheetName val="12-01-02-3-1"/>
      <sheetName val="12-01-03-2"/>
      <sheetName val="12-01-04"/>
      <sheetName val="12-01-05 "/>
      <sheetName val="12-02-01"/>
      <sheetName val="12-02-02"/>
      <sheetName val="12-02-2-2"/>
      <sheetName val="12-02-03"/>
      <sheetName val="12-03-01"/>
      <sheetName val="12-03-02"/>
      <sheetName val="12-03-02-1"/>
      <sheetName val="12-04-01"/>
      <sheetName val="12-04-1-2"/>
      <sheetName val="12-05-01"/>
      <sheetName val="12-05-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1">
          <cell r="B31" t="str">
            <v>Всего по смете: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base.garant.ru/70670884/8b6528c8dbf6f8d4de1266ff8ab5dff3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view="pageBreakPreview" zoomScaleNormal="100" zoomScaleSheetLayoutView="100" workbookViewId="0">
      <selection activeCell="B8" sqref="B8"/>
    </sheetView>
  </sheetViews>
  <sheetFormatPr defaultColWidth="10" defaultRowHeight="15" customHeight="1" zeroHeight="1" x14ac:dyDescent="0.25"/>
  <cols>
    <col min="1" max="1" width="5" style="984" customWidth="1"/>
    <col min="2" max="2" width="46.7109375" style="984" customWidth="1"/>
    <col min="3" max="4" width="20.7109375" style="984" customWidth="1"/>
    <col min="5" max="16384" width="10" style="984"/>
  </cols>
  <sheetData>
    <row r="1" spans="1:18" ht="15" customHeight="1" x14ac:dyDescent="0.25">
      <c r="A1" s="1001" t="s">
        <v>2205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18" ht="78.75" customHeight="1" x14ac:dyDescent="0.25">
      <c r="A2" s="1002"/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</row>
    <row r="3" spans="1:18" ht="45" customHeight="1" x14ac:dyDescent="0.25">
      <c r="A3" s="1003" t="s">
        <v>0</v>
      </c>
      <c r="B3" s="1003" t="s">
        <v>334</v>
      </c>
      <c r="C3" s="1003" t="s">
        <v>1038</v>
      </c>
      <c r="D3" s="1003"/>
      <c r="E3" s="1457">
        <v>2022</v>
      </c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>
        <v>2023</v>
      </c>
      <c r="R3" s="1457"/>
    </row>
    <row r="4" spans="1:18" ht="45" customHeight="1" x14ac:dyDescent="0.25">
      <c r="A4" s="1003"/>
      <c r="B4" s="1003"/>
      <c r="C4" s="985" t="s">
        <v>1039</v>
      </c>
      <c r="D4" s="985" t="s">
        <v>1040</v>
      </c>
      <c r="E4" s="986" t="s">
        <v>1044</v>
      </c>
      <c r="F4" s="986" t="s">
        <v>1045</v>
      </c>
      <c r="G4" s="986" t="s">
        <v>1046</v>
      </c>
      <c r="H4" s="986" t="s">
        <v>1047</v>
      </c>
      <c r="I4" s="986" t="s">
        <v>1048</v>
      </c>
      <c r="J4" s="986" t="s">
        <v>1049</v>
      </c>
      <c r="K4" s="986" t="s">
        <v>1050</v>
      </c>
      <c r="L4" s="986" t="s">
        <v>1051</v>
      </c>
      <c r="M4" s="986" t="s">
        <v>1052</v>
      </c>
      <c r="N4" s="986" t="s">
        <v>1041</v>
      </c>
      <c r="O4" s="986" t="s">
        <v>1042</v>
      </c>
      <c r="P4" s="986" t="s">
        <v>1043</v>
      </c>
      <c r="Q4" s="986" t="s">
        <v>1044</v>
      </c>
      <c r="R4" s="986" t="s">
        <v>1045</v>
      </c>
    </row>
    <row r="5" spans="1:18" s="991" customFormat="1" ht="45" customHeight="1" x14ac:dyDescent="0.25">
      <c r="A5" s="987">
        <v>1</v>
      </c>
      <c r="B5" s="988" t="s">
        <v>30</v>
      </c>
      <c r="C5" s="989" t="s">
        <v>1053</v>
      </c>
      <c r="D5" s="990">
        <v>44742</v>
      </c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</row>
    <row r="6" spans="1:18" s="991" customFormat="1" ht="45" customHeight="1" x14ac:dyDescent="0.25">
      <c r="A6" s="987">
        <v>2</v>
      </c>
      <c r="B6" s="988" t="s">
        <v>2206</v>
      </c>
      <c r="C6" s="989" t="s">
        <v>1053</v>
      </c>
      <c r="D6" s="990">
        <v>44895</v>
      </c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7"/>
    </row>
    <row r="7" spans="1:18" s="991" customFormat="1" ht="45" customHeight="1" x14ac:dyDescent="0.25">
      <c r="A7" s="992" t="s">
        <v>2207</v>
      </c>
      <c r="B7" s="993" t="s">
        <v>1101</v>
      </c>
      <c r="C7" s="989" t="s">
        <v>1053</v>
      </c>
      <c r="D7" s="990">
        <v>44712</v>
      </c>
      <c r="E7" s="994"/>
      <c r="F7" s="994"/>
      <c r="G7" s="994"/>
      <c r="H7" s="994"/>
      <c r="I7" s="994"/>
      <c r="J7" s="995"/>
      <c r="K7" s="994"/>
      <c r="L7" s="994"/>
      <c r="M7" s="995"/>
      <c r="N7" s="994"/>
      <c r="O7" s="995"/>
      <c r="P7" s="994"/>
      <c r="Q7" s="994"/>
      <c r="R7" s="994"/>
    </row>
    <row r="8" spans="1:18" s="991" customFormat="1" ht="45" customHeight="1" x14ac:dyDescent="0.25">
      <c r="A8" s="992" t="s">
        <v>2208</v>
      </c>
      <c r="B8" s="993" t="s">
        <v>1102</v>
      </c>
      <c r="C8" s="990">
        <v>44713</v>
      </c>
      <c r="D8" s="990">
        <v>44895</v>
      </c>
      <c r="E8" s="994"/>
      <c r="F8" s="994"/>
      <c r="G8" s="994"/>
      <c r="H8" s="994"/>
      <c r="I8" s="994"/>
      <c r="J8" s="995"/>
      <c r="K8" s="994"/>
      <c r="L8" s="994"/>
      <c r="M8" s="995"/>
      <c r="N8" s="994"/>
      <c r="O8" s="995"/>
      <c r="P8" s="994"/>
      <c r="Q8" s="994"/>
      <c r="R8" s="994"/>
    </row>
    <row r="9" spans="1:18" s="991" customFormat="1" ht="45" customHeight="1" x14ac:dyDescent="0.25">
      <c r="A9" s="992">
        <v>3</v>
      </c>
      <c r="B9" s="988" t="s">
        <v>2209</v>
      </c>
      <c r="C9" s="990">
        <v>44774</v>
      </c>
      <c r="D9" s="990">
        <v>44895</v>
      </c>
      <c r="E9" s="994"/>
      <c r="F9" s="994"/>
      <c r="G9" s="994"/>
      <c r="H9" s="994"/>
      <c r="I9" s="994"/>
      <c r="J9" s="994"/>
      <c r="K9" s="994"/>
      <c r="L9" s="994"/>
      <c r="M9" s="995"/>
      <c r="N9" s="995"/>
      <c r="O9" s="995"/>
      <c r="P9" s="995"/>
      <c r="Q9" s="994"/>
      <c r="R9" s="994"/>
    </row>
    <row r="10" spans="1:18" s="991" customFormat="1" ht="45" customHeight="1" x14ac:dyDescent="0.25">
      <c r="A10" s="992">
        <v>4</v>
      </c>
      <c r="B10" s="996" t="s">
        <v>1054</v>
      </c>
      <c r="C10" s="990">
        <v>44896</v>
      </c>
      <c r="D10" s="990">
        <v>44985</v>
      </c>
      <c r="E10" s="997"/>
      <c r="F10" s="997"/>
      <c r="G10" s="997"/>
      <c r="H10" s="997"/>
      <c r="I10" s="997"/>
      <c r="J10" s="997"/>
      <c r="K10" s="997"/>
      <c r="L10" s="997"/>
      <c r="M10" s="997"/>
      <c r="N10" s="995"/>
      <c r="O10" s="995"/>
      <c r="P10" s="995"/>
      <c r="Q10" s="995"/>
      <c r="R10" s="997"/>
    </row>
    <row r="11" spans="1:18" hidden="1" x14ac:dyDescent="0.25">
      <c r="B11" s="998"/>
      <c r="C11" s="998"/>
    </row>
    <row r="12" spans="1:18" hidden="1" x14ac:dyDescent="0.25">
      <c r="B12" s="998"/>
      <c r="C12" s="998"/>
    </row>
    <row r="13" spans="1:18" hidden="1" x14ac:dyDescent="0.25">
      <c r="B13" s="998"/>
      <c r="C13" s="998"/>
    </row>
    <row r="14" spans="1:18" hidden="1" x14ac:dyDescent="0.25">
      <c r="B14" s="998"/>
      <c r="C14" s="998"/>
    </row>
    <row r="15" spans="1:18" hidden="1" x14ac:dyDescent="0.25">
      <c r="B15" s="998"/>
      <c r="C15" s="998"/>
    </row>
    <row r="16" spans="1:18" hidden="1" x14ac:dyDescent="0.25">
      <c r="B16" s="998"/>
      <c r="C16" s="998"/>
    </row>
    <row r="17" spans="2:3" hidden="1" x14ac:dyDescent="0.25">
      <c r="B17" s="998"/>
      <c r="C17" s="998"/>
    </row>
    <row r="18" spans="2:3" hidden="1" x14ac:dyDescent="0.25">
      <c r="B18" s="998"/>
      <c r="C18" s="998"/>
    </row>
    <row r="19" spans="2:3" hidden="1" x14ac:dyDescent="0.25">
      <c r="B19" s="998"/>
      <c r="C19" s="998"/>
    </row>
    <row r="20" spans="2:3" hidden="1" x14ac:dyDescent="0.25">
      <c r="B20" s="998"/>
      <c r="C20" s="998"/>
    </row>
    <row r="21" spans="2:3" hidden="1" x14ac:dyDescent="0.25">
      <c r="B21" s="998"/>
      <c r="C21" s="998"/>
    </row>
    <row r="22" spans="2:3" hidden="1" x14ac:dyDescent="0.25">
      <c r="B22" s="998"/>
      <c r="C22" s="998"/>
    </row>
    <row r="23" spans="2:3" hidden="1" x14ac:dyDescent="0.25">
      <c r="B23" s="998"/>
      <c r="C23" s="998"/>
    </row>
    <row r="24" spans="2:3" hidden="1" x14ac:dyDescent="0.25">
      <c r="B24" s="998"/>
      <c r="C24" s="998"/>
    </row>
    <row r="25" spans="2:3" hidden="1" x14ac:dyDescent="0.25">
      <c r="B25" s="998"/>
      <c r="C25" s="998"/>
    </row>
    <row r="26" spans="2:3" hidden="1" x14ac:dyDescent="0.25">
      <c r="B26" s="998"/>
      <c r="C26" s="998"/>
    </row>
    <row r="27" spans="2:3" hidden="1" x14ac:dyDescent="0.25">
      <c r="B27" s="998"/>
      <c r="C27" s="998"/>
    </row>
    <row r="28" spans="2:3" hidden="1" x14ac:dyDescent="0.25">
      <c r="B28" s="998"/>
      <c r="C28" s="998"/>
    </row>
    <row r="29" spans="2:3" hidden="1" x14ac:dyDescent="0.25">
      <c r="B29" s="998"/>
      <c r="C29" s="998"/>
    </row>
    <row r="30" spans="2:3" hidden="1" x14ac:dyDescent="0.25">
      <c r="B30" s="998"/>
      <c r="C30" s="998"/>
    </row>
    <row r="31" spans="2:3" hidden="1" x14ac:dyDescent="0.25">
      <c r="B31" s="998"/>
      <c r="C31" s="998"/>
    </row>
    <row r="32" spans="2:3" hidden="1" x14ac:dyDescent="0.25">
      <c r="B32" s="998"/>
      <c r="C32" s="998"/>
    </row>
    <row r="33" spans="2:3" hidden="1" x14ac:dyDescent="0.25">
      <c r="B33" s="998"/>
      <c r="C33" s="998"/>
    </row>
    <row r="34" spans="2:3" hidden="1" x14ac:dyDescent="0.25">
      <c r="B34" s="998"/>
      <c r="C34" s="998"/>
    </row>
    <row r="35" spans="2:3" hidden="1" x14ac:dyDescent="0.25">
      <c r="B35" s="998"/>
      <c r="C35" s="998"/>
    </row>
    <row r="36" spans="2:3" hidden="1" x14ac:dyDescent="0.25">
      <c r="B36" s="998"/>
      <c r="C36" s="998"/>
    </row>
    <row r="37" spans="2:3" hidden="1" x14ac:dyDescent="0.25">
      <c r="B37" s="998"/>
      <c r="C37" s="998"/>
    </row>
    <row r="38" spans="2:3" hidden="1" x14ac:dyDescent="0.25">
      <c r="B38" s="998"/>
      <c r="C38" s="998"/>
    </row>
    <row r="39" spans="2:3" hidden="1" x14ac:dyDescent="0.25">
      <c r="B39" s="998"/>
      <c r="C39" s="998"/>
    </row>
    <row r="40" spans="2:3" hidden="1" x14ac:dyDescent="0.25">
      <c r="B40" s="998"/>
      <c r="C40" s="998"/>
    </row>
    <row r="41" spans="2:3" hidden="1" x14ac:dyDescent="0.25">
      <c r="B41" s="998"/>
      <c r="C41" s="998"/>
    </row>
    <row r="42" spans="2:3" hidden="1" x14ac:dyDescent="0.25">
      <c r="B42" s="998"/>
      <c r="C42" s="998"/>
    </row>
    <row r="43" spans="2:3" hidden="1" x14ac:dyDescent="0.25">
      <c r="B43" s="998"/>
      <c r="C43" s="998"/>
    </row>
    <row r="44" spans="2:3" hidden="1" x14ac:dyDescent="0.25">
      <c r="B44" s="998"/>
      <c r="C44" s="998"/>
    </row>
    <row r="45" spans="2:3" x14ac:dyDescent="0.25">
      <c r="B45" s="998"/>
      <c r="C45" s="998"/>
    </row>
    <row r="46" spans="2:3" x14ac:dyDescent="0.25">
      <c r="B46" s="998" t="s">
        <v>1055</v>
      </c>
      <c r="C46" s="998"/>
    </row>
    <row r="47" spans="2:3" x14ac:dyDescent="0.25"/>
    <row r="48" spans="2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hidden="1" x14ac:dyDescent="0.25"/>
    <row r="62" x14ac:dyDescent="0.25"/>
    <row r="63" x14ac:dyDescent="0.25"/>
    <row r="64" x14ac:dyDescent="0.25"/>
    <row r="65" x14ac:dyDescent="0.25"/>
    <row r="66" x14ac:dyDescent="0.25"/>
    <row r="67" ht="15" customHeight="1" x14ac:dyDescent="0.25"/>
    <row r="68" ht="15" customHeight="1" x14ac:dyDescent="0.25"/>
  </sheetData>
  <mergeCells count="6">
    <mergeCell ref="A1:R2"/>
    <mergeCell ref="A3:A4"/>
    <mergeCell ref="B3:B4"/>
    <mergeCell ref="C3:D3"/>
    <mergeCell ref="E3:P3"/>
    <mergeCell ref="Q3:R3"/>
  </mergeCells>
  <printOptions horizontalCentered="1"/>
  <pageMargins left="0.23622047244094491" right="0.23622047244094491" top="1.9291338582677167" bottom="0.74803149606299213" header="0.51181102362204722" footer="0.31496062992125984"/>
  <pageSetup paperSize="9" fitToHeight="0" orientation="portrait" r:id="rId1"/>
  <headerFooter>
    <oddHeader>&amp;C&amp;"Times New Roman,полужирный"&amp;12Календарный план 
выполнения проектно-изыскательских работ по объекту
Всесезонный туристско-рекреационный комплекс «Эльбрус», 
Кабардино-Балкарская Республика. 
Система искусственного снегообразования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1284"/>
  <sheetViews>
    <sheetView showGridLines="0" topLeftCell="B13" zoomScale="115" zoomScaleNormal="115" workbookViewId="0">
      <selection activeCell="B1" sqref="B1"/>
    </sheetView>
  </sheetViews>
  <sheetFormatPr defaultColWidth="8.85546875" defaultRowHeight="12.75" outlineLevelRow="1" x14ac:dyDescent="0.2"/>
  <cols>
    <col min="1" max="1" width="0" style="814" hidden="1" customWidth="1"/>
    <col min="2" max="2" width="4.28515625" style="814" customWidth="1"/>
    <col min="3" max="3" width="46.140625" style="814" customWidth="1"/>
    <col min="4" max="4" width="46.42578125" style="814" customWidth="1"/>
    <col min="5" max="5" width="31.42578125" style="814" customWidth="1"/>
    <col min="6" max="6" width="14" style="814" customWidth="1"/>
    <col min="7" max="10" width="8.85546875" style="814"/>
    <col min="11" max="11" width="16" style="814" customWidth="1"/>
    <col min="12" max="16384" width="8.85546875" style="814"/>
  </cols>
  <sheetData>
    <row r="1" spans="2:6" x14ac:dyDescent="0.2">
      <c r="B1" s="106"/>
      <c r="C1" s="106"/>
      <c r="D1" s="106"/>
      <c r="E1" s="813" t="s">
        <v>134</v>
      </c>
    </row>
    <row r="2" spans="2:6" ht="14.45" customHeight="1" x14ac:dyDescent="0.2">
      <c r="B2" s="1148" t="s">
        <v>135</v>
      </c>
      <c r="C2" s="1148"/>
      <c r="D2" s="107"/>
      <c r="E2" s="107"/>
      <c r="F2" s="815"/>
    </row>
    <row r="3" spans="2:6" ht="18" customHeight="1" x14ac:dyDescent="0.2">
      <c r="B3" s="644"/>
      <c r="C3" s="644"/>
      <c r="D3" s="1149" t="s">
        <v>136</v>
      </c>
      <c r="E3" s="1149"/>
      <c r="F3" s="1150"/>
    </row>
    <row r="4" spans="2:6" ht="24.6" customHeight="1" x14ac:dyDescent="0.2">
      <c r="B4" s="1151" t="s">
        <v>137</v>
      </c>
      <c r="C4" s="1151"/>
      <c r="D4" s="1151"/>
      <c r="E4" s="1151"/>
      <c r="F4" s="1151"/>
    </row>
    <row r="5" spans="2:6" ht="20.45" customHeight="1" x14ac:dyDescent="0.2">
      <c r="B5" s="1152" t="s">
        <v>138</v>
      </c>
      <c r="C5" s="1152"/>
      <c r="D5" s="1152"/>
      <c r="E5" s="1152"/>
      <c r="F5" s="816"/>
    </row>
    <row r="6" spans="2:6" ht="5.45" customHeight="1" x14ac:dyDescent="0.2">
      <c r="B6" s="817"/>
      <c r="C6" s="817"/>
      <c r="D6" s="817"/>
      <c r="E6" s="817"/>
      <c r="F6" s="817"/>
    </row>
    <row r="7" spans="2:6" ht="30.75" customHeight="1" x14ac:dyDescent="0.2">
      <c r="B7" s="1153" t="s">
        <v>586</v>
      </c>
      <c r="C7" s="1153"/>
      <c r="D7" s="1153"/>
      <c r="E7" s="1153"/>
      <c r="F7" s="1153"/>
    </row>
    <row r="8" spans="2:6" ht="19.149999999999999" customHeight="1" x14ac:dyDescent="0.2">
      <c r="B8" s="1154" t="s">
        <v>139</v>
      </c>
      <c r="C8" s="1154"/>
      <c r="D8" s="1154"/>
      <c r="E8" s="1154"/>
      <c r="F8" s="818"/>
    </row>
    <row r="9" spans="2:6" x14ac:dyDescent="0.2">
      <c r="B9" s="817"/>
      <c r="C9" s="817"/>
      <c r="D9" s="817"/>
      <c r="E9" s="817"/>
      <c r="F9" s="817"/>
    </row>
    <row r="10" spans="2:6" ht="17.45" customHeight="1" x14ac:dyDescent="0.2">
      <c r="B10" s="819" t="s">
        <v>140</v>
      </c>
      <c r="C10" s="817"/>
      <c r="D10" s="820"/>
      <c r="E10" s="820"/>
      <c r="F10" s="820"/>
    </row>
    <row r="11" spans="2:6" ht="16.899999999999999" customHeight="1" x14ac:dyDescent="0.2">
      <c r="B11" s="821"/>
      <c r="C11" s="1147"/>
      <c r="D11" s="1147"/>
      <c r="E11" s="1147"/>
      <c r="F11" s="1147"/>
    </row>
    <row r="12" spans="2:6" ht="25.15" customHeight="1" x14ac:dyDescent="0.2">
      <c r="B12" s="816" t="s">
        <v>141</v>
      </c>
      <c r="C12" s="817"/>
      <c r="D12" s="822"/>
      <c r="E12" s="822"/>
      <c r="F12" s="822"/>
    </row>
    <row r="13" spans="2:6" ht="24" customHeight="1" x14ac:dyDescent="0.2">
      <c r="C13" s="1147" t="s">
        <v>1314</v>
      </c>
      <c r="D13" s="1147"/>
      <c r="E13" s="1147"/>
      <c r="F13" s="1147"/>
    </row>
    <row r="14" spans="2:6" ht="24" customHeight="1" x14ac:dyDescent="0.2">
      <c r="C14" s="644"/>
      <c r="D14" s="644"/>
      <c r="E14" s="644"/>
      <c r="F14" s="644"/>
    </row>
    <row r="15" spans="2:6" ht="15" customHeight="1" outlineLevel="1" x14ac:dyDescent="0.2">
      <c r="B15" s="136" t="s">
        <v>1962</v>
      </c>
      <c r="C15" s="644"/>
      <c r="D15" s="644"/>
      <c r="E15" s="644"/>
      <c r="F15" s="644"/>
    </row>
    <row r="16" spans="2:6" x14ac:dyDescent="0.2">
      <c r="B16" s="817"/>
      <c r="C16" s="817"/>
      <c r="D16" s="108"/>
      <c r="E16" s="108"/>
      <c r="F16" s="109"/>
    </row>
    <row r="17" spans="2:6" ht="79.900000000000006" customHeight="1" x14ac:dyDescent="0.2">
      <c r="B17" s="823" t="s">
        <v>142</v>
      </c>
      <c r="C17" s="824" t="s">
        <v>143</v>
      </c>
      <c r="D17" s="824" t="s">
        <v>144</v>
      </c>
      <c r="E17" s="110" t="s">
        <v>145</v>
      </c>
      <c r="F17" s="110" t="s">
        <v>146</v>
      </c>
    </row>
    <row r="18" spans="2:6" x14ac:dyDescent="0.2">
      <c r="B18" s="111">
        <v>1</v>
      </c>
      <c r="C18" s="112">
        <v>2</v>
      </c>
      <c r="D18" s="112">
        <v>3</v>
      </c>
      <c r="E18" s="111">
        <v>4</v>
      </c>
      <c r="F18" s="111">
        <v>5</v>
      </c>
    </row>
    <row r="19" spans="2:6" ht="21" customHeight="1" x14ac:dyDescent="0.2">
      <c r="B19" s="1144" t="s">
        <v>340</v>
      </c>
      <c r="C19" s="1145"/>
      <c r="D19" s="1145"/>
      <c r="E19" s="1145"/>
      <c r="F19" s="1145"/>
    </row>
    <row r="20" spans="2:6" ht="21" customHeight="1" x14ac:dyDescent="0.2">
      <c r="B20" s="1142" t="s">
        <v>1315</v>
      </c>
      <c r="C20" s="1143"/>
      <c r="D20" s="1143"/>
      <c r="E20" s="1143"/>
      <c r="F20" s="1143"/>
    </row>
    <row r="21" spans="2:6" ht="38.25" x14ac:dyDescent="0.2">
      <c r="B21" s="1139">
        <v>1</v>
      </c>
      <c r="C21" s="825" t="s">
        <v>1316</v>
      </c>
      <c r="D21" s="113" t="s">
        <v>215</v>
      </c>
      <c r="E21" s="826" t="s">
        <v>1317</v>
      </c>
      <c r="F21" s="827" t="s">
        <v>1318</v>
      </c>
    </row>
    <row r="22" spans="2:6" ht="36" outlineLevel="1" x14ac:dyDescent="0.2">
      <c r="B22" s="1140"/>
      <c r="C22" s="828"/>
      <c r="D22" s="114" t="s">
        <v>282</v>
      </c>
      <c r="E22" s="829"/>
      <c r="F22" s="830" t="s">
        <v>2</v>
      </c>
    </row>
    <row r="23" spans="2:6" ht="48" outlineLevel="1" x14ac:dyDescent="0.2">
      <c r="B23" s="1140"/>
      <c r="C23" s="828"/>
      <c r="D23" s="114" t="s">
        <v>283</v>
      </c>
      <c r="E23" s="829"/>
      <c r="F23" s="830" t="s">
        <v>2</v>
      </c>
    </row>
    <row r="24" spans="2:6" ht="36" outlineLevel="1" x14ac:dyDescent="0.2">
      <c r="B24" s="1140"/>
      <c r="C24" s="828"/>
      <c r="D24" s="114" t="s">
        <v>341</v>
      </c>
      <c r="E24" s="829"/>
      <c r="F24" s="830" t="s">
        <v>2</v>
      </c>
    </row>
    <row r="25" spans="2:6" outlineLevel="1" x14ac:dyDescent="0.2">
      <c r="B25" s="1140"/>
      <c r="C25" s="828"/>
      <c r="D25" s="114" t="s">
        <v>216</v>
      </c>
      <c r="E25" s="829"/>
      <c r="F25" s="830" t="s">
        <v>2</v>
      </c>
    </row>
    <row r="26" spans="2:6" ht="36" outlineLevel="1" x14ac:dyDescent="0.2">
      <c r="B26" s="1140"/>
      <c r="C26" s="828"/>
      <c r="D26" s="114" t="s">
        <v>342</v>
      </c>
      <c r="E26" s="829"/>
      <c r="F26" s="830" t="s">
        <v>2</v>
      </c>
    </row>
    <row r="27" spans="2:6" ht="48" outlineLevel="1" x14ac:dyDescent="0.2">
      <c r="B27" s="1140"/>
      <c r="C27" s="828"/>
      <c r="D27" s="114" t="s">
        <v>1319</v>
      </c>
      <c r="E27" s="829"/>
      <c r="F27" s="830" t="s">
        <v>2</v>
      </c>
    </row>
    <row r="28" spans="2:6" outlineLevel="1" x14ac:dyDescent="0.2">
      <c r="B28" s="1140"/>
      <c r="C28" s="828"/>
      <c r="D28" s="114" t="s">
        <v>148</v>
      </c>
      <c r="E28" s="829"/>
      <c r="F28" s="830" t="s">
        <v>1320</v>
      </c>
    </row>
    <row r="29" spans="2:6" ht="24" outlineLevel="1" x14ac:dyDescent="0.2">
      <c r="B29" s="1140"/>
      <c r="C29" s="828"/>
      <c r="D29" s="114" t="s">
        <v>153</v>
      </c>
      <c r="E29" s="829"/>
      <c r="F29" s="830" t="s">
        <v>1320</v>
      </c>
    </row>
    <row r="30" spans="2:6" outlineLevel="1" x14ac:dyDescent="0.2">
      <c r="B30" s="1140"/>
      <c r="C30" s="828"/>
      <c r="D30" s="114" t="s">
        <v>154</v>
      </c>
      <c r="E30" s="829"/>
      <c r="F30" s="830" t="s">
        <v>1321</v>
      </c>
    </row>
    <row r="31" spans="2:6" ht="24" outlineLevel="1" x14ac:dyDescent="0.2">
      <c r="B31" s="1140"/>
      <c r="C31" s="828"/>
      <c r="D31" s="114" t="s">
        <v>217</v>
      </c>
      <c r="E31" s="829"/>
      <c r="F31" s="830" t="s">
        <v>1322</v>
      </c>
    </row>
    <row r="32" spans="2:6" ht="36" outlineLevel="1" x14ac:dyDescent="0.2">
      <c r="B32" s="1140"/>
      <c r="C32" s="828"/>
      <c r="D32" s="114" t="s">
        <v>218</v>
      </c>
      <c r="E32" s="829"/>
      <c r="F32" s="830" t="s">
        <v>1323</v>
      </c>
    </row>
    <row r="33" spans="2:6" ht="36" outlineLevel="1" x14ac:dyDescent="0.2">
      <c r="B33" s="1140"/>
      <c r="C33" s="828"/>
      <c r="D33" s="114" t="s">
        <v>219</v>
      </c>
      <c r="E33" s="829"/>
      <c r="F33" s="830" t="s">
        <v>1320</v>
      </c>
    </row>
    <row r="34" spans="2:6" ht="36" outlineLevel="1" x14ac:dyDescent="0.2">
      <c r="B34" s="1140"/>
      <c r="C34" s="828"/>
      <c r="D34" s="114" t="s">
        <v>220</v>
      </c>
      <c r="E34" s="829"/>
      <c r="F34" s="830" t="s">
        <v>1320</v>
      </c>
    </row>
    <row r="35" spans="2:6" ht="36" outlineLevel="1" x14ac:dyDescent="0.2">
      <c r="B35" s="1140"/>
      <c r="C35" s="828"/>
      <c r="D35" s="114" t="s">
        <v>221</v>
      </c>
      <c r="E35" s="829"/>
      <c r="F35" s="830" t="s">
        <v>1324</v>
      </c>
    </row>
    <row r="36" spans="2:6" ht="48" outlineLevel="1" x14ac:dyDescent="0.2">
      <c r="B36" s="1140"/>
      <c r="C36" s="828"/>
      <c r="D36" s="114" t="s">
        <v>222</v>
      </c>
      <c r="E36" s="829"/>
      <c r="F36" s="830" t="s">
        <v>1320</v>
      </c>
    </row>
    <row r="37" spans="2:6" ht="36" outlineLevel="1" x14ac:dyDescent="0.2">
      <c r="B37" s="1140"/>
      <c r="C37" s="828"/>
      <c r="D37" s="114" t="s">
        <v>223</v>
      </c>
      <c r="E37" s="829"/>
      <c r="F37" s="830" t="s">
        <v>1325</v>
      </c>
    </row>
    <row r="38" spans="2:6" outlineLevel="1" x14ac:dyDescent="0.2">
      <c r="B38" s="1140"/>
      <c r="C38" s="828"/>
      <c r="D38" s="114" t="s">
        <v>155</v>
      </c>
      <c r="E38" s="829"/>
      <c r="F38" s="830" t="s">
        <v>1324</v>
      </c>
    </row>
    <row r="39" spans="2:6" ht="24" outlineLevel="1" x14ac:dyDescent="0.2">
      <c r="B39" s="1140"/>
      <c r="C39" s="828"/>
      <c r="D39" s="114" t="s">
        <v>156</v>
      </c>
      <c r="E39" s="829"/>
      <c r="F39" s="830" t="s">
        <v>1323</v>
      </c>
    </row>
    <row r="40" spans="2:6" ht="24" outlineLevel="1" x14ac:dyDescent="0.2">
      <c r="B40" s="1140"/>
      <c r="C40" s="828"/>
      <c r="D40" s="114" t="s">
        <v>157</v>
      </c>
      <c r="E40" s="829"/>
      <c r="F40" s="830" t="s">
        <v>1326</v>
      </c>
    </row>
    <row r="41" spans="2:6" ht="36" outlineLevel="1" x14ac:dyDescent="0.2">
      <c r="B41" s="1140"/>
      <c r="C41" s="828"/>
      <c r="D41" s="114" t="s">
        <v>158</v>
      </c>
      <c r="E41" s="829"/>
      <c r="F41" s="830" t="s">
        <v>1327</v>
      </c>
    </row>
    <row r="42" spans="2:6" ht="60" outlineLevel="1" x14ac:dyDescent="0.2">
      <c r="B42" s="1140"/>
      <c r="C42" s="828"/>
      <c r="D42" s="114" t="s">
        <v>159</v>
      </c>
      <c r="E42" s="829"/>
      <c r="F42" s="830" t="s">
        <v>1320</v>
      </c>
    </row>
    <row r="43" spans="2:6" outlineLevel="1" x14ac:dyDescent="0.2">
      <c r="B43" s="1140"/>
      <c r="C43" s="828"/>
      <c r="D43" s="114" t="s">
        <v>160</v>
      </c>
      <c r="E43" s="829"/>
      <c r="F43" s="830" t="s">
        <v>1328</v>
      </c>
    </row>
    <row r="44" spans="2:6" outlineLevel="1" x14ac:dyDescent="0.2">
      <c r="B44" s="1141"/>
      <c r="C44" s="828"/>
      <c r="D44" s="114" t="s">
        <v>149</v>
      </c>
      <c r="E44" s="829"/>
      <c r="F44" s="830"/>
    </row>
    <row r="45" spans="2:6" ht="27.95" customHeight="1" x14ac:dyDescent="0.2">
      <c r="B45" s="1142" t="s">
        <v>1329</v>
      </c>
      <c r="C45" s="1143"/>
      <c r="D45" s="1143"/>
      <c r="E45" s="1143"/>
      <c r="F45" s="1143"/>
    </row>
    <row r="46" spans="2:6" ht="38.25" x14ac:dyDescent="0.2">
      <c r="B46" s="1139">
        <v>2</v>
      </c>
      <c r="C46" s="825" t="s">
        <v>1330</v>
      </c>
      <c r="D46" s="113" t="s">
        <v>292</v>
      </c>
      <c r="E46" s="826" t="s">
        <v>1331</v>
      </c>
      <c r="F46" s="827" t="s">
        <v>1332</v>
      </c>
    </row>
    <row r="47" spans="2:6" ht="36" outlineLevel="1" x14ac:dyDescent="0.2">
      <c r="B47" s="1140"/>
      <c r="C47" s="828"/>
      <c r="D47" s="114" t="s">
        <v>347</v>
      </c>
      <c r="E47" s="829"/>
      <c r="F47" s="830" t="s">
        <v>2</v>
      </c>
    </row>
    <row r="48" spans="2:6" outlineLevel="1" x14ac:dyDescent="0.2">
      <c r="B48" s="1140"/>
      <c r="C48" s="828"/>
      <c r="D48" s="114" t="s">
        <v>216</v>
      </c>
      <c r="E48" s="829"/>
      <c r="F48" s="830" t="s">
        <v>2</v>
      </c>
    </row>
    <row r="49" spans="2:6" ht="36" outlineLevel="1" x14ac:dyDescent="0.2">
      <c r="B49" s="1140"/>
      <c r="C49" s="828"/>
      <c r="D49" s="114" t="s">
        <v>342</v>
      </c>
      <c r="E49" s="829"/>
      <c r="F49" s="830" t="s">
        <v>2</v>
      </c>
    </row>
    <row r="50" spans="2:6" ht="48" outlineLevel="1" x14ac:dyDescent="0.2">
      <c r="B50" s="1140"/>
      <c r="C50" s="828"/>
      <c r="D50" s="114" t="s">
        <v>348</v>
      </c>
      <c r="E50" s="829"/>
      <c r="F50" s="830" t="s">
        <v>2</v>
      </c>
    </row>
    <row r="51" spans="2:6" ht="48" outlineLevel="1" x14ac:dyDescent="0.2">
      <c r="B51" s="1140"/>
      <c r="C51" s="828"/>
      <c r="D51" s="114" t="s">
        <v>1319</v>
      </c>
      <c r="E51" s="829"/>
      <c r="F51" s="830" t="s">
        <v>2</v>
      </c>
    </row>
    <row r="52" spans="2:6" outlineLevel="1" x14ac:dyDescent="0.2">
      <c r="B52" s="1140"/>
      <c r="C52" s="828"/>
      <c r="D52" s="114" t="s">
        <v>148</v>
      </c>
      <c r="E52" s="829"/>
      <c r="F52" s="830" t="s">
        <v>1333</v>
      </c>
    </row>
    <row r="53" spans="2:6" ht="24" outlineLevel="1" x14ac:dyDescent="0.2">
      <c r="B53" s="1140"/>
      <c r="C53" s="828"/>
      <c r="D53" s="114" t="s">
        <v>153</v>
      </c>
      <c r="E53" s="829"/>
      <c r="F53" s="830" t="s">
        <v>1333</v>
      </c>
    </row>
    <row r="54" spans="2:6" outlineLevel="1" x14ac:dyDescent="0.2">
      <c r="B54" s="1140"/>
      <c r="C54" s="828"/>
      <c r="D54" s="114" t="s">
        <v>154</v>
      </c>
      <c r="E54" s="829"/>
      <c r="F54" s="830" t="s">
        <v>1334</v>
      </c>
    </row>
    <row r="55" spans="2:6" ht="24" outlineLevel="1" x14ac:dyDescent="0.2">
      <c r="B55" s="1140"/>
      <c r="C55" s="828"/>
      <c r="D55" s="114" t="s">
        <v>217</v>
      </c>
      <c r="E55" s="829"/>
      <c r="F55" s="830" t="s">
        <v>1335</v>
      </c>
    </row>
    <row r="56" spans="2:6" ht="36" outlineLevel="1" x14ac:dyDescent="0.2">
      <c r="B56" s="1140"/>
      <c r="C56" s="828"/>
      <c r="D56" s="114" t="s">
        <v>218</v>
      </c>
      <c r="E56" s="829"/>
      <c r="F56" s="830" t="s">
        <v>1336</v>
      </c>
    </row>
    <row r="57" spans="2:6" ht="36" outlineLevel="1" x14ac:dyDescent="0.2">
      <c r="B57" s="1140"/>
      <c r="C57" s="828"/>
      <c r="D57" s="114" t="s">
        <v>219</v>
      </c>
      <c r="E57" s="829"/>
      <c r="F57" s="830" t="s">
        <v>1333</v>
      </c>
    </row>
    <row r="58" spans="2:6" ht="36" outlineLevel="1" x14ac:dyDescent="0.2">
      <c r="B58" s="1140"/>
      <c r="C58" s="828"/>
      <c r="D58" s="114" t="s">
        <v>220</v>
      </c>
      <c r="E58" s="829"/>
      <c r="F58" s="830" t="s">
        <v>1333</v>
      </c>
    </row>
    <row r="59" spans="2:6" ht="36" outlineLevel="1" x14ac:dyDescent="0.2">
      <c r="B59" s="1140"/>
      <c r="C59" s="828"/>
      <c r="D59" s="114" t="s">
        <v>221</v>
      </c>
      <c r="E59" s="829"/>
      <c r="F59" s="830" t="s">
        <v>1337</v>
      </c>
    </row>
    <row r="60" spans="2:6" ht="48" outlineLevel="1" x14ac:dyDescent="0.2">
      <c r="B60" s="1140"/>
      <c r="C60" s="828"/>
      <c r="D60" s="114" t="s">
        <v>222</v>
      </c>
      <c r="E60" s="829"/>
      <c r="F60" s="830" t="s">
        <v>1333</v>
      </c>
    </row>
    <row r="61" spans="2:6" ht="36" outlineLevel="1" x14ac:dyDescent="0.2">
      <c r="B61" s="1140"/>
      <c r="C61" s="828"/>
      <c r="D61" s="114" t="s">
        <v>223</v>
      </c>
      <c r="E61" s="829"/>
      <c r="F61" s="830" t="s">
        <v>1338</v>
      </c>
    </row>
    <row r="62" spans="2:6" outlineLevel="1" x14ac:dyDescent="0.2">
      <c r="B62" s="1140"/>
      <c r="C62" s="828"/>
      <c r="D62" s="114" t="s">
        <v>155</v>
      </c>
      <c r="E62" s="829"/>
      <c r="F62" s="830" t="s">
        <v>1337</v>
      </c>
    </row>
    <row r="63" spans="2:6" ht="24" outlineLevel="1" x14ac:dyDescent="0.2">
      <c r="B63" s="1140"/>
      <c r="C63" s="828"/>
      <c r="D63" s="114" t="s">
        <v>156</v>
      </c>
      <c r="E63" s="829"/>
      <c r="F63" s="830" t="s">
        <v>1336</v>
      </c>
    </row>
    <row r="64" spans="2:6" ht="24" outlineLevel="1" x14ac:dyDescent="0.2">
      <c r="B64" s="1140"/>
      <c r="C64" s="828"/>
      <c r="D64" s="114" t="s">
        <v>157</v>
      </c>
      <c r="E64" s="829"/>
      <c r="F64" s="830" t="s">
        <v>1339</v>
      </c>
    </row>
    <row r="65" spans="2:6" ht="36" outlineLevel="1" x14ac:dyDescent="0.2">
      <c r="B65" s="1140"/>
      <c r="C65" s="828"/>
      <c r="D65" s="114" t="s">
        <v>158</v>
      </c>
      <c r="E65" s="829"/>
      <c r="F65" s="830" t="s">
        <v>1340</v>
      </c>
    </row>
    <row r="66" spans="2:6" ht="60" outlineLevel="1" x14ac:dyDescent="0.2">
      <c r="B66" s="1140"/>
      <c r="C66" s="828"/>
      <c r="D66" s="114" t="s">
        <v>159</v>
      </c>
      <c r="E66" s="829"/>
      <c r="F66" s="830" t="s">
        <v>1333</v>
      </c>
    </row>
    <row r="67" spans="2:6" outlineLevel="1" x14ac:dyDescent="0.2">
      <c r="B67" s="1140"/>
      <c r="C67" s="828"/>
      <c r="D67" s="114" t="s">
        <v>160</v>
      </c>
      <c r="E67" s="829"/>
      <c r="F67" s="830" t="s">
        <v>1341</v>
      </c>
    </row>
    <row r="68" spans="2:6" outlineLevel="1" x14ac:dyDescent="0.2">
      <c r="B68" s="1141"/>
      <c r="C68" s="828"/>
      <c r="D68" s="114" t="s">
        <v>149</v>
      </c>
      <c r="E68" s="829"/>
      <c r="F68" s="830"/>
    </row>
    <row r="69" spans="2:6" ht="27.95" customHeight="1" x14ac:dyDescent="0.2">
      <c r="B69" s="1142" t="s">
        <v>1106</v>
      </c>
      <c r="C69" s="1143"/>
      <c r="D69" s="1143"/>
      <c r="E69" s="1143"/>
      <c r="F69" s="1143"/>
    </row>
    <row r="70" spans="2:6" ht="38.25" x14ac:dyDescent="0.2">
      <c r="B70" s="1139">
        <v>3</v>
      </c>
      <c r="C70" s="825" t="s">
        <v>1342</v>
      </c>
      <c r="D70" s="113" t="s">
        <v>1343</v>
      </c>
      <c r="E70" s="826" t="s">
        <v>1344</v>
      </c>
      <c r="F70" s="827" t="s">
        <v>1345</v>
      </c>
    </row>
    <row r="71" spans="2:6" ht="48" outlineLevel="1" x14ac:dyDescent="0.2">
      <c r="B71" s="1140"/>
      <c r="C71" s="828"/>
      <c r="D71" s="114" t="s">
        <v>345</v>
      </c>
      <c r="E71" s="829"/>
      <c r="F71" s="830" t="s">
        <v>2</v>
      </c>
    </row>
    <row r="72" spans="2:6" outlineLevel="1" x14ac:dyDescent="0.2">
      <c r="B72" s="1140"/>
      <c r="C72" s="828"/>
      <c r="D72" s="114" t="s">
        <v>170</v>
      </c>
      <c r="E72" s="829"/>
      <c r="F72" s="830" t="s">
        <v>2</v>
      </c>
    </row>
    <row r="73" spans="2:6" ht="48" outlineLevel="1" x14ac:dyDescent="0.2">
      <c r="B73" s="1140"/>
      <c r="C73" s="828"/>
      <c r="D73" s="114" t="s">
        <v>346</v>
      </c>
      <c r="E73" s="829"/>
      <c r="F73" s="830" t="s">
        <v>2</v>
      </c>
    </row>
    <row r="74" spans="2:6" ht="72" outlineLevel="1" x14ac:dyDescent="0.2">
      <c r="B74" s="1140"/>
      <c r="C74" s="828"/>
      <c r="D74" s="114" t="s">
        <v>1346</v>
      </c>
      <c r="E74" s="829"/>
      <c r="F74" s="830" t="s">
        <v>2</v>
      </c>
    </row>
    <row r="75" spans="2:6" ht="48" outlineLevel="1" x14ac:dyDescent="0.2">
      <c r="B75" s="1140"/>
      <c r="C75" s="828"/>
      <c r="D75" s="114" t="s">
        <v>1319</v>
      </c>
      <c r="E75" s="829"/>
      <c r="F75" s="830" t="s">
        <v>2</v>
      </c>
    </row>
    <row r="76" spans="2:6" outlineLevel="1" x14ac:dyDescent="0.2">
      <c r="B76" s="1140"/>
      <c r="C76" s="828"/>
      <c r="D76" s="114" t="s">
        <v>148</v>
      </c>
      <c r="E76" s="829"/>
      <c r="F76" s="830" t="s">
        <v>1347</v>
      </c>
    </row>
    <row r="77" spans="2:6" outlineLevel="1" x14ac:dyDescent="0.2">
      <c r="B77" s="1140"/>
      <c r="C77" s="828"/>
      <c r="D77" s="114" t="s">
        <v>162</v>
      </c>
      <c r="E77" s="829"/>
      <c r="F77" s="830" t="s">
        <v>1347</v>
      </c>
    </row>
    <row r="78" spans="2:6" ht="24" outlineLevel="1" x14ac:dyDescent="0.2">
      <c r="B78" s="1140"/>
      <c r="C78" s="828"/>
      <c r="D78" s="114" t="s">
        <v>172</v>
      </c>
      <c r="E78" s="829"/>
      <c r="F78" s="830" t="s">
        <v>1348</v>
      </c>
    </row>
    <row r="79" spans="2:6" outlineLevel="1" x14ac:dyDescent="0.2">
      <c r="B79" s="1140"/>
      <c r="C79" s="828"/>
      <c r="D79" s="114" t="s">
        <v>152</v>
      </c>
      <c r="E79" s="829"/>
      <c r="F79" s="830" t="s">
        <v>1347</v>
      </c>
    </row>
    <row r="80" spans="2:6" ht="24" outlineLevel="1" x14ac:dyDescent="0.2">
      <c r="B80" s="1140"/>
      <c r="C80" s="828"/>
      <c r="D80" s="114" t="s">
        <v>163</v>
      </c>
      <c r="E80" s="829"/>
      <c r="F80" s="830">
        <v>809.62</v>
      </c>
    </row>
    <row r="81" spans="2:6" outlineLevel="1" x14ac:dyDescent="0.2">
      <c r="B81" s="1140"/>
      <c r="C81" s="828"/>
      <c r="D81" s="114" t="s">
        <v>164</v>
      </c>
      <c r="E81" s="829"/>
      <c r="F81" s="830" t="s">
        <v>1349</v>
      </c>
    </row>
    <row r="82" spans="2:6" ht="24" outlineLevel="1" x14ac:dyDescent="0.2">
      <c r="B82" s="1140"/>
      <c r="C82" s="828"/>
      <c r="D82" s="114" t="s">
        <v>165</v>
      </c>
      <c r="E82" s="829"/>
      <c r="F82" s="830" t="s">
        <v>1350</v>
      </c>
    </row>
    <row r="83" spans="2:6" outlineLevel="1" x14ac:dyDescent="0.2">
      <c r="B83" s="1140"/>
      <c r="C83" s="828"/>
      <c r="D83" s="114" t="s">
        <v>224</v>
      </c>
      <c r="E83" s="829"/>
      <c r="F83" s="830" t="s">
        <v>1351</v>
      </c>
    </row>
    <row r="84" spans="2:6" ht="48" outlineLevel="1" x14ac:dyDescent="0.2">
      <c r="B84" s="1140"/>
      <c r="C84" s="828"/>
      <c r="D84" s="114" t="s">
        <v>173</v>
      </c>
      <c r="E84" s="829"/>
      <c r="F84" s="830" t="s">
        <v>1352</v>
      </c>
    </row>
    <row r="85" spans="2:6" ht="48" outlineLevel="1" x14ac:dyDescent="0.2">
      <c r="B85" s="1140"/>
      <c r="C85" s="828"/>
      <c r="D85" s="114" t="s">
        <v>174</v>
      </c>
      <c r="E85" s="829"/>
      <c r="F85" s="830" t="s">
        <v>1353</v>
      </c>
    </row>
    <row r="86" spans="2:6" ht="48" outlineLevel="1" x14ac:dyDescent="0.2">
      <c r="B86" s="1140"/>
      <c r="C86" s="828"/>
      <c r="D86" s="114" t="s">
        <v>175</v>
      </c>
      <c r="E86" s="829"/>
      <c r="F86" s="830" t="s">
        <v>1354</v>
      </c>
    </row>
    <row r="87" spans="2:6" ht="48" outlineLevel="1" x14ac:dyDescent="0.2">
      <c r="B87" s="1140"/>
      <c r="C87" s="828"/>
      <c r="D87" s="114" t="s">
        <v>171</v>
      </c>
      <c r="E87" s="829"/>
      <c r="F87" s="830" t="s">
        <v>1355</v>
      </c>
    </row>
    <row r="88" spans="2:6" ht="48" outlineLevel="1" x14ac:dyDescent="0.2">
      <c r="B88" s="1140"/>
      <c r="C88" s="828"/>
      <c r="D88" s="114" t="s">
        <v>225</v>
      </c>
      <c r="E88" s="829"/>
      <c r="F88" s="830" t="s">
        <v>1356</v>
      </c>
    </row>
    <row r="89" spans="2:6" ht="48" outlineLevel="1" x14ac:dyDescent="0.2">
      <c r="B89" s="1140"/>
      <c r="C89" s="828"/>
      <c r="D89" s="114" t="s">
        <v>226</v>
      </c>
      <c r="E89" s="829"/>
      <c r="F89" s="830" t="s">
        <v>1355</v>
      </c>
    </row>
    <row r="90" spans="2:6" ht="48" outlineLevel="1" x14ac:dyDescent="0.2">
      <c r="B90" s="1140"/>
      <c r="C90" s="828"/>
      <c r="D90" s="114" t="s">
        <v>227</v>
      </c>
      <c r="E90" s="829"/>
      <c r="F90" s="830" t="s">
        <v>1354</v>
      </c>
    </row>
    <row r="91" spans="2:6" outlineLevel="1" x14ac:dyDescent="0.2">
      <c r="B91" s="1141"/>
      <c r="C91" s="828"/>
      <c r="D91" s="114" t="s">
        <v>149</v>
      </c>
      <c r="E91" s="829"/>
      <c r="F91" s="830"/>
    </row>
    <row r="92" spans="2:6" ht="38.25" x14ac:dyDescent="0.2">
      <c r="B92" s="1139">
        <v>4</v>
      </c>
      <c r="C92" s="825" t="s">
        <v>1342</v>
      </c>
      <c r="D92" s="113" t="s">
        <v>1343</v>
      </c>
      <c r="E92" s="826" t="s">
        <v>1357</v>
      </c>
      <c r="F92" s="827" t="s">
        <v>1358</v>
      </c>
    </row>
    <row r="93" spans="2:6" ht="48" outlineLevel="1" x14ac:dyDescent="0.2">
      <c r="B93" s="1140"/>
      <c r="C93" s="828"/>
      <c r="D93" s="114" t="s">
        <v>345</v>
      </c>
      <c r="E93" s="829"/>
      <c r="F93" s="830" t="s">
        <v>2</v>
      </c>
    </row>
    <row r="94" spans="2:6" outlineLevel="1" x14ac:dyDescent="0.2">
      <c r="B94" s="1140"/>
      <c r="C94" s="828"/>
      <c r="D94" s="114" t="s">
        <v>170</v>
      </c>
      <c r="E94" s="829"/>
      <c r="F94" s="830" t="s">
        <v>2</v>
      </c>
    </row>
    <row r="95" spans="2:6" ht="48" outlineLevel="1" x14ac:dyDescent="0.2">
      <c r="B95" s="1140"/>
      <c r="C95" s="828"/>
      <c r="D95" s="114" t="s">
        <v>346</v>
      </c>
      <c r="E95" s="829"/>
      <c r="F95" s="830" t="s">
        <v>2</v>
      </c>
    </row>
    <row r="96" spans="2:6" ht="36" outlineLevel="1" x14ac:dyDescent="0.2">
      <c r="B96" s="1140"/>
      <c r="C96" s="828"/>
      <c r="D96" s="114" t="s">
        <v>1359</v>
      </c>
      <c r="E96" s="829"/>
      <c r="F96" s="830" t="s">
        <v>2</v>
      </c>
    </row>
    <row r="97" spans="2:6" ht="72" outlineLevel="1" x14ac:dyDescent="0.2">
      <c r="B97" s="1140"/>
      <c r="C97" s="828"/>
      <c r="D97" s="114" t="s">
        <v>1346</v>
      </c>
      <c r="E97" s="829"/>
      <c r="F97" s="830" t="s">
        <v>2</v>
      </c>
    </row>
    <row r="98" spans="2:6" ht="48" outlineLevel="1" x14ac:dyDescent="0.2">
      <c r="B98" s="1140"/>
      <c r="C98" s="828"/>
      <c r="D98" s="114" t="s">
        <v>1319</v>
      </c>
      <c r="E98" s="829"/>
      <c r="F98" s="830" t="s">
        <v>2</v>
      </c>
    </row>
    <row r="99" spans="2:6" outlineLevel="1" x14ac:dyDescent="0.2">
      <c r="B99" s="1140"/>
      <c r="C99" s="828"/>
      <c r="D99" s="114" t="s">
        <v>148</v>
      </c>
      <c r="E99" s="829"/>
      <c r="F99" s="830">
        <v>242.89</v>
      </c>
    </row>
    <row r="100" spans="2:6" outlineLevel="1" x14ac:dyDescent="0.2">
      <c r="B100" s="1140"/>
      <c r="C100" s="828"/>
      <c r="D100" s="114" t="s">
        <v>162</v>
      </c>
      <c r="E100" s="829"/>
      <c r="F100" s="830">
        <v>242.89</v>
      </c>
    </row>
    <row r="101" spans="2:6" ht="24" outlineLevel="1" x14ac:dyDescent="0.2">
      <c r="B101" s="1140"/>
      <c r="C101" s="828"/>
      <c r="D101" s="114" t="s">
        <v>172</v>
      </c>
      <c r="E101" s="829"/>
      <c r="F101" s="830">
        <v>728.66</v>
      </c>
    </row>
    <row r="102" spans="2:6" outlineLevel="1" x14ac:dyDescent="0.2">
      <c r="B102" s="1140"/>
      <c r="C102" s="828"/>
      <c r="D102" s="114" t="s">
        <v>152</v>
      </c>
      <c r="E102" s="829"/>
      <c r="F102" s="830">
        <v>242.89</v>
      </c>
    </row>
    <row r="103" spans="2:6" ht="24" outlineLevel="1" x14ac:dyDescent="0.2">
      <c r="B103" s="1140"/>
      <c r="C103" s="828"/>
      <c r="D103" s="114" t="s">
        <v>163</v>
      </c>
      <c r="E103" s="829"/>
      <c r="F103" s="830">
        <v>121.44</v>
      </c>
    </row>
    <row r="104" spans="2:6" outlineLevel="1" x14ac:dyDescent="0.2">
      <c r="B104" s="1140"/>
      <c r="C104" s="828"/>
      <c r="D104" s="114" t="s">
        <v>164</v>
      </c>
      <c r="E104" s="829"/>
      <c r="F104" s="830" t="s">
        <v>1360</v>
      </c>
    </row>
    <row r="105" spans="2:6" ht="24" outlineLevel="1" x14ac:dyDescent="0.2">
      <c r="B105" s="1140"/>
      <c r="C105" s="828"/>
      <c r="D105" s="114" t="s">
        <v>165</v>
      </c>
      <c r="E105" s="829"/>
      <c r="F105" s="830">
        <v>364.33</v>
      </c>
    </row>
    <row r="106" spans="2:6" outlineLevel="1" x14ac:dyDescent="0.2">
      <c r="B106" s="1140"/>
      <c r="C106" s="828"/>
      <c r="D106" s="114" t="s">
        <v>224</v>
      </c>
      <c r="E106" s="829"/>
      <c r="F106" s="830">
        <v>607.22</v>
      </c>
    </row>
    <row r="107" spans="2:6" ht="48" outlineLevel="1" x14ac:dyDescent="0.2">
      <c r="B107" s="1140"/>
      <c r="C107" s="828"/>
      <c r="D107" s="114" t="s">
        <v>173</v>
      </c>
      <c r="E107" s="829"/>
      <c r="F107" s="830" t="s">
        <v>1361</v>
      </c>
    </row>
    <row r="108" spans="2:6" ht="48" outlineLevel="1" x14ac:dyDescent="0.2">
      <c r="B108" s="1140"/>
      <c r="C108" s="828"/>
      <c r="D108" s="114" t="s">
        <v>174</v>
      </c>
      <c r="E108" s="829"/>
      <c r="F108" s="830" t="s">
        <v>1362</v>
      </c>
    </row>
    <row r="109" spans="2:6" ht="48" outlineLevel="1" x14ac:dyDescent="0.2">
      <c r="B109" s="1140"/>
      <c r="C109" s="828"/>
      <c r="D109" s="114" t="s">
        <v>175</v>
      </c>
      <c r="E109" s="829"/>
      <c r="F109" s="830">
        <v>182.17</v>
      </c>
    </row>
    <row r="110" spans="2:6" ht="48" outlineLevel="1" x14ac:dyDescent="0.2">
      <c r="B110" s="1140"/>
      <c r="C110" s="828"/>
      <c r="D110" s="114" t="s">
        <v>171</v>
      </c>
      <c r="E110" s="829"/>
      <c r="F110" s="830">
        <v>303.61</v>
      </c>
    </row>
    <row r="111" spans="2:6" ht="48" outlineLevel="1" x14ac:dyDescent="0.2">
      <c r="B111" s="1140"/>
      <c r="C111" s="828"/>
      <c r="D111" s="114" t="s">
        <v>225</v>
      </c>
      <c r="E111" s="829"/>
      <c r="F111" s="830" t="s">
        <v>1354</v>
      </c>
    </row>
    <row r="112" spans="2:6" ht="48" outlineLevel="1" x14ac:dyDescent="0.2">
      <c r="B112" s="1140"/>
      <c r="C112" s="828"/>
      <c r="D112" s="114" t="s">
        <v>226</v>
      </c>
      <c r="E112" s="829"/>
      <c r="F112" s="830">
        <v>303.61</v>
      </c>
    </row>
    <row r="113" spans="2:6" ht="48" outlineLevel="1" x14ac:dyDescent="0.2">
      <c r="B113" s="1140"/>
      <c r="C113" s="828"/>
      <c r="D113" s="114" t="s">
        <v>227</v>
      </c>
      <c r="E113" s="829"/>
      <c r="F113" s="830">
        <v>182.17</v>
      </c>
    </row>
    <row r="114" spans="2:6" outlineLevel="1" x14ac:dyDescent="0.2">
      <c r="B114" s="1141"/>
      <c r="C114" s="828"/>
      <c r="D114" s="114" t="s">
        <v>149</v>
      </c>
      <c r="E114" s="829"/>
      <c r="F114" s="830"/>
    </row>
    <row r="115" spans="2:6" ht="27.95" customHeight="1" x14ac:dyDescent="0.2">
      <c r="B115" s="1142" t="s">
        <v>1363</v>
      </c>
      <c r="C115" s="1143"/>
      <c r="D115" s="1143"/>
      <c r="E115" s="1143"/>
      <c r="F115" s="1143"/>
    </row>
    <row r="116" spans="2:6" ht="38.25" x14ac:dyDescent="0.2">
      <c r="B116" s="1139">
        <v>5</v>
      </c>
      <c r="C116" s="825" t="s">
        <v>1364</v>
      </c>
      <c r="D116" s="113" t="s">
        <v>344</v>
      </c>
      <c r="E116" s="826" t="s">
        <v>1365</v>
      </c>
      <c r="F116" s="827" t="s">
        <v>1366</v>
      </c>
    </row>
    <row r="117" spans="2:6" ht="48" outlineLevel="1" x14ac:dyDescent="0.2">
      <c r="B117" s="1140"/>
      <c r="C117" s="828"/>
      <c r="D117" s="114" t="s">
        <v>345</v>
      </c>
      <c r="E117" s="829"/>
      <c r="F117" s="830" t="s">
        <v>2</v>
      </c>
    </row>
    <row r="118" spans="2:6" outlineLevel="1" x14ac:dyDescent="0.2">
      <c r="B118" s="1140"/>
      <c r="C118" s="828"/>
      <c r="D118" s="114" t="s">
        <v>170</v>
      </c>
      <c r="E118" s="829"/>
      <c r="F118" s="830" t="s">
        <v>2</v>
      </c>
    </row>
    <row r="119" spans="2:6" ht="48" outlineLevel="1" x14ac:dyDescent="0.2">
      <c r="B119" s="1140"/>
      <c r="C119" s="828"/>
      <c r="D119" s="114" t="s">
        <v>346</v>
      </c>
      <c r="E119" s="829"/>
      <c r="F119" s="830" t="s">
        <v>2</v>
      </c>
    </row>
    <row r="120" spans="2:6" ht="72" outlineLevel="1" x14ac:dyDescent="0.2">
      <c r="B120" s="1140"/>
      <c r="C120" s="828"/>
      <c r="D120" s="114" t="s">
        <v>1346</v>
      </c>
      <c r="E120" s="829"/>
      <c r="F120" s="830" t="s">
        <v>2</v>
      </c>
    </row>
    <row r="121" spans="2:6" ht="48" outlineLevel="1" x14ac:dyDescent="0.2">
      <c r="B121" s="1140"/>
      <c r="C121" s="828"/>
      <c r="D121" s="114" t="s">
        <v>1319</v>
      </c>
      <c r="E121" s="829"/>
      <c r="F121" s="830" t="s">
        <v>2</v>
      </c>
    </row>
    <row r="122" spans="2:6" outlineLevel="1" x14ac:dyDescent="0.2">
      <c r="B122" s="1140"/>
      <c r="C122" s="828"/>
      <c r="D122" s="114" t="s">
        <v>148</v>
      </c>
      <c r="E122" s="829"/>
      <c r="F122" s="830" t="s">
        <v>1367</v>
      </c>
    </row>
    <row r="123" spans="2:6" outlineLevel="1" x14ac:dyDescent="0.2">
      <c r="B123" s="1140"/>
      <c r="C123" s="828"/>
      <c r="D123" s="114" t="s">
        <v>162</v>
      </c>
      <c r="E123" s="829"/>
      <c r="F123" s="830" t="s">
        <v>1367</v>
      </c>
    </row>
    <row r="124" spans="2:6" ht="24" outlineLevel="1" x14ac:dyDescent="0.2">
      <c r="B124" s="1140"/>
      <c r="C124" s="828"/>
      <c r="D124" s="114" t="s">
        <v>172</v>
      </c>
      <c r="E124" s="829"/>
      <c r="F124" s="830" t="s">
        <v>1368</v>
      </c>
    </row>
    <row r="125" spans="2:6" outlineLevel="1" x14ac:dyDescent="0.2">
      <c r="B125" s="1140"/>
      <c r="C125" s="828"/>
      <c r="D125" s="114" t="s">
        <v>152</v>
      </c>
      <c r="E125" s="829"/>
      <c r="F125" s="830" t="s">
        <v>1367</v>
      </c>
    </row>
    <row r="126" spans="2:6" ht="24" outlineLevel="1" x14ac:dyDescent="0.2">
      <c r="B126" s="1140"/>
      <c r="C126" s="828"/>
      <c r="D126" s="114" t="s">
        <v>163</v>
      </c>
      <c r="E126" s="829"/>
      <c r="F126" s="830" t="s">
        <v>1369</v>
      </c>
    </row>
    <row r="127" spans="2:6" outlineLevel="1" x14ac:dyDescent="0.2">
      <c r="B127" s="1140"/>
      <c r="C127" s="828"/>
      <c r="D127" s="114" t="s">
        <v>164</v>
      </c>
      <c r="E127" s="829"/>
      <c r="F127" s="830" t="s">
        <v>1370</v>
      </c>
    </row>
    <row r="128" spans="2:6" ht="24" outlineLevel="1" x14ac:dyDescent="0.2">
      <c r="B128" s="1140"/>
      <c r="C128" s="828"/>
      <c r="D128" s="114" t="s">
        <v>165</v>
      </c>
      <c r="E128" s="829"/>
      <c r="F128" s="830" t="s">
        <v>1371</v>
      </c>
    </row>
    <row r="129" spans="2:6" outlineLevel="1" x14ac:dyDescent="0.2">
      <c r="B129" s="1140"/>
      <c r="C129" s="828"/>
      <c r="D129" s="114" t="s">
        <v>224</v>
      </c>
      <c r="E129" s="829"/>
      <c r="F129" s="830" t="s">
        <v>1372</v>
      </c>
    </row>
    <row r="130" spans="2:6" ht="48" outlineLevel="1" x14ac:dyDescent="0.2">
      <c r="B130" s="1140"/>
      <c r="C130" s="828"/>
      <c r="D130" s="114" t="s">
        <v>173</v>
      </c>
      <c r="E130" s="829"/>
      <c r="F130" s="830" t="s">
        <v>1373</v>
      </c>
    </row>
    <row r="131" spans="2:6" ht="48" outlineLevel="1" x14ac:dyDescent="0.2">
      <c r="B131" s="1140"/>
      <c r="C131" s="828"/>
      <c r="D131" s="114" t="s">
        <v>174</v>
      </c>
      <c r="E131" s="829"/>
      <c r="F131" s="830" t="s">
        <v>1374</v>
      </c>
    </row>
    <row r="132" spans="2:6" ht="48" outlineLevel="1" x14ac:dyDescent="0.2">
      <c r="B132" s="1140"/>
      <c r="C132" s="828"/>
      <c r="D132" s="114" t="s">
        <v>175</v>
      </c>
      <c r="E132" s="829"/>
      <c r="F132" s="830" t="s">
        <v>1375</v>
      </c>
    </row>
    <row r="133" spans="2:6" ht="48" outlineLevel="1" x14ac:dyDescent="0.2">
      <c r="B133" s="1140"/>
      <c r="C133" s="828"/>
      <c r="D133" s="114" t="s">
        <v>171</v>
      </c>
      <c r="E133" s="829"/>
      <c r="F133" s="830" t="s">
        <v>1376</v>
      </c>
    </row>
    <row r="134" spans="2:6" ht="48" outlineLevel="1" x14ac:dyDescent="0.2">
      <c r="B134" s="1140"/>
      <c r="C134" s="828"/>
      <c r="D134" s="114" t="s">
        <v>225</v>
      </c>
      <c r="E134" s="829"/>
      <c r="F134" s="830" t="s">
        <v>1377</v>
      </c>
    </row>
    <row r="135" spans="2:6" ht="48" outlineLevel="1" x14ac:dyDescent="0.2">
      <c r="B135" s="1140"/>
      <c r="C135" s="828"/>
      <c r="D135" s="114" t="s">
        <v>226</v>
      </c>
      <c r="E135" s="829"/>
      <c r="F135" s="830" t="s">
        <v>1376</v>
      </c>
    </row>
    <row r="136" spans="2:6" ht="48" outlineLevel="1" x14ac:dyDescent="0.2">
      <c r="B136" s="1140"/>
      <c r="C136" s="828"/>
      <c r="D136" s="114" t="s">
        <v>227</v>
      </c>
      <c r="E136" s="829"/>
      <c r="F136" s="830" t="s">
        <v>1375</v>
      </c>
    </row>
    <row r="137" spans="2:6" outlineLevel="1" x14ac:dyDescent="0.2">
      <c r="B137" s="1141"/>
      <c r="C137" s="828"/>
      <c r="D137" s="114" t="s">
        <v>149</v>
      </c>
      <c r="E137" s="829"/>
      <c r="F137" s="830"/>
    </row>
    <row r="138" spans="2:6" ht="21" customHeight="1" x14ac:dyDescent="0.2">
      <c r="B138" s="1142" t="s">
        <v>349</v>
      </c>
      <c r="C138" s="1143"/>
      <c r="D138" s="1143"/>
      <c r="E138" s="1143"/>
      <c r="F138" s="1143"/>
    </row>
    <row r="139" spans="2:6" ht="38.25" x14ac:dyDescent="0.2">
      <c r="B139" s="1139">
        <v>6</v>
      </c>
      <c r="C139" s="825" t="s">
        <v>293</v>
      </c>
      <c r="D139" s="113" t="s">
        <v>294</v>
      </c>
      <c r="E139" s="826" t="s">
        <v>1378</v>
      </c>
      <c r="F139" s="827" t="s">
        <v>1379</v>
      </c>
    </row>
    <row r="140" spans="2:6" ht="36" outlineLevel="1" x14ac:dyDescent="0.2">
      <c r="B140" s="1140"/>
      <c r="C140" s="828"/>
      <c r="D140" s="114" t="s">
        <v>347</v>
      </c>
      <c r="E140" s="829"/>
      <c r="F140" s="830" t="s">
        <v>2</v>
      </c>
    </row>
    <row r="141" spans="2:6" outlineLevel="1" x14ac:dyDescent="0.2">
      <c r="B141" s="1140"/>
      <c r="C141" s="828"/>
      <c r="D141" s="114" t="s">
        <v>216</v>
      </c>
      <c r="E141" s="829"/>
      <c r="F141" s="830" t="s">
        <v>2</v>
      </c>
    </row>
    <row r="142" spans="2:6" ht="36" outlineLevel="1" x14ac:dyDescent="0.2">
      <c r="B142" s="1140"/>
      <c r="C142" s="828"/>
      <c r="D142" s="114" t="s">
        <v>342</v>
      </c>
      <c r="E142" s="829"/>
      <c r="F142" s="830" t="s">
        <v>2</v>
      </c>
    </row>
    <row r="143" spans="2:6" ht="48" outlineLevel="1" x14ac:dyDescent="0.2">
      <c r="B143" s="1140"/>
      <c r="C143" s="828"/>
      <c r="D143" s="114" t="s">
        <v>348</v>
      </c>
      <c r="E143" s="829"/>
      <c r="F143" s="830" t="s">
        <v>2</v>
      </c>
    </row>
    <row r="144" spans="2:6" ht="48" outlineLevel="1" x14ac:dyDescent="0.2">
      <c r="B144" s="1140"/>
      <c r="C144" s="828"/>
      <c r="D144" s="114" t="s">
        <v>1380</v>
      </c>
      <c r="E144" s="829"/>
      <c r="F144" s="830" t="s">
        <v>2</v>
      </c>
    </row>
    <row r="145" spans="2:6" ht="48" outlineLevel="1" x14ac:dyDescent="0.2">
      <c r="B145" s="1140"/>
      <c r="C145" s="828"/>
      <c r="D145" s="114" t="s">
        <v>1319</v>
      </c>
      <c r="E145" s="829"/>
      <c r="F145" s="830" t="s">
        <v>2</v>
      </c>
    </row>
    <row r="146" spans="2:6" outlineLevel="1" x14ac:dyDescent="0.2">
      <c r="B146" s="1140"/>
      <c r="C146" s="828"/>
      <c r="D146" s="114" t="s">
        <v>148</v>
      </c>
      <c r="E146" s="829"/>
      <c r="F146" s="830" t="s">
        <v>1381</v>
      </c>
    </row>
    <row r="147" spans="2:6" ht="24" outlineLevel="1" x14ac:dyDescent="0.2">
      <c r="B147" s="1140"/>
      <c r="C147" s="828"/>
      <c r="D147" s="114" t="s">
        <v>153</v>
      </c>
      <c r="E147" s="829"/>
      <c r="F147" s="830" t="s">
        <v>1381</v>
      </c>
    </row>
    <row r="148" spans="2:6" outlineLevel="1" x14ac:dyDescent="0.2">
      <c r="B148" s="1140"/>
      <c r="C148" s="828"/>
      <c r="D148" s="114" t="s">
        <v>154</v>
      </c>
      <c r="E148" s="829"/>
      <c r="F148" s="830" t="s">
        <v>1382</v>
      </c>
    </row>
    <row r="149" spans="2:6" ht="24" outlineLevel="1" x14ac:dyDescent="0.2">
      <c r="B149" s="1140"/>
      <c r="C149" s="828"/>
      <c r="D149" s="114" t="s">
        <v>217</v>
      </c>
      <c r="E149" s="829"/>
      <c r="F149" s="830" t="s">
        <v>1383</v>
      </c>
    </row>
    <row r="150" spans="2:6" ht="36" outlineLevel="1" x14ac:dyDescent="0.2">
      <c r="B150" s="1140"/>
      <c r="C150" s="828"/>
      <c r="D150" s="114" t="s">
        <v>218</v>
      </c>
      <c r="E150" s="829"/>
      <c r="F150" s="830" t="s">
        <v>1384</v>
      </c>
    </row>
    <row r="151" spans="2:6" ht="36" outlineLevel="1" x14ac:dyDescent="0.2">
      <c r="B151" s="1140"/>
      <c r="C151" s="828"/>
      <c r="D151" s="114" t="s">
        <v>219</v>
      </c>
      <c r="E151" s="829"/>
      <c r="F151" s="830" t="s">
        <v>1381</v>
      </c>
    </row>
    <row r="152" spans="2:6" ht="36" outlineLevel="1" x14ac:dyDescent="0.2">
      <c r="B152" s="1140"/>
      <c r="C152" s="828"/>
      <c r="D152" s="114" t="s">
        <v>220</v>
      </c>
      <c r="E152" s="829"/>
      <c r="F152" s="830" t="s">
        <v>1381</v>
      </c>
    </row>
    <row r="153" spans="2:6" ht="36" outlineLevel="1" x14ac:dyDescent="0.2">
      <c r="B153" s="1140"/>
      <c r="C153" s="828"/>
      <c r="D153" s="114" t="s">
        <v>221</v>
      </c>
      <c r="E153" s="829"/>
      <c r="F153" s="830" t="s">
        <v>1385</v>
      </c>
    </row>
    <row r="154" spans="2:6" ht="48" outlineLevel="1" x14ac:dyDescent="0.2">
      <c r="B154" s="1140"/>
      <c r="C154" s="828"/>
      <c r="D154" s="114" t="s">
        <v>222</v>
      </c>
      <c r="E154" s="829"/>
      <c r="F154" s="830" t="s">
        <v>1381</v>
      </c>
    </row>
    <row r="155" spans="2:6" ht="36" outlineLevel="1" x14ac:dyDescent="0.2">
      <c r="B155" s="1140"/>
      <c r="C155" s="828"/>
      <c r="D155" s="114" t="s">
        <v>223</v>
      </c>
      <c r="E155" s="829"/>
      <c r="F155" s="830" t="s">
        <v>1386</v>
      </c>
    </row>
    <row r="156" spans="2:6" outlineLevel="1" x14ac:dyDescent="0.2">
      <c r="B156" s="1140"/>
      <c r="C156" s="828"/>
      <c r="D156" s="114" t="s">
        <v>155</v>
      </c>
      <c r="E156" s="829"/>
      <c r="F156" s="830" t="s">
        <v>1385</v>
      </c>
    </row>
    <row r="157" spans="2:6" ht="24" outlineLevel="1" x14ac:dyDescent="0.2">
      <c r="B157" s="1140"/>
      <c r="C157" s="828"/>
      <c r="D157" s="114" t="s">
        <v>156</v>
      </c>
      <c r="E157" s="829"/>
      <c r="F157" s="830" t="s">
        <v>1384</v>
      </c>
    </row>
    <row r="158" spans="2:6" ht="24" outlineLevel="1" x14ac:dyDescent="0.2">
      <c r="B158" s="1140"/>
      <c r="C158" s="828"/>
      <c r="D158" s="114" t="s">
        <v>157</v>
      </c>
      <c r="E158" s="829"/>
      <c r="F158" s="830" t="s">
        <v>1387</v>
      </c>
    </row>
    <row r="159" spans="2:6" ht="36" outlineLevel="1" x14ac:dyDescent="0.2">
      <c r="B159" s="1140"/>
      <c r="C159" s="828"/>
      <c r="D159" s="114" t="s">
        <v>158</v>
      </c>
      <c r="E159" s="829"/>
      <c r="F159" s="830" t="s">
        <v>1388</v>
      </c>
    </row>
    <row r="160" spans="2:6" ht="60" outlineLevel="1" x14ac:dyDescent="0.2">
      <c r="B160" s="1140"/>
      <c r="C160" s="828"/>
      <c r="D160" s="114" t="s">
        <v>159</v>
      </c>
      <c r="E160" s="829"/>
      <c r="F160" s="830" t="s">
        <v>1381</v>
      </c>
    </row>
    <row r="161" spans="2:6" outlineLevel="1" x14ac:dyDescent="0.2">
      <c r="B161" s="1140"/>
      <c r="C161" s="828"/>
      <c r="D161" s="114" t="s">
        <v>160</v>
      </c>
      <c r="E161" s="829"/>
      <c r="F161" s="830" t="s">
        <v>1389</v>
      </c>
    </row>
    <row r="162" spans="2:6" outlineLevel="1" x14ac:dyDescent="0.2">
      <c r="B162" s="1141"/>
      <c r="C162" s="828"/>
      <c r="D162" s="114" t="s">
        <v>149</v>
      </c>
      <c r="E162" s="829"/>
      <c r="F162" s="830"/>
    </row>
    <row r="163" spans="2:6" ht="21" customHeight="1" x14ac:dyDescent="0.2">
      <c r="B163" s="1142" t="s">
        <v>1390</v>
      </c>
      <c r="C163" s="1143"/>
      <c r="D163" s="1143"/>
      <c r="E163" s="1143"/>
      <c r="F163" s="1143"/>
    </row>
    <row r="164" spans="2:6" ht="27.95" customHeight="1" x14ac:dyDescent="0.2">
      <c r="B164" s="831"/>
      <c r="C164" s="1135" t="s">
        <v>1391</v>
      </c>
      <c r="D164" s="1146"/>
      <c r="E164" s="1146"/>
      <c r="F164" s="1146"/>
    </row>
    <row r="165" spans="2:6" ht="27.95" customHeight="1" x14ac:dyDescent="0.2">
      <c r="B165" s="831"/>
      <c r="C165" s="1135" t="s">
        <v>1392</v>
      </c>
      <c r="D165" s="1146"/>
      <c r="E165" s="1146"/>
      <c r="F165" s="1146"/>
    </row>
    <row r="166" spans="2:6" ht="38.25" x14ac:dyDescent="0.2">
      <c r="B166" s="1139">
        <v>7</v>
      </c>
      <c r="C166" s="825" t="s">
        <v>1393</v>
      </c>
      <c r="D166" s="113" t="s">
        <v>292</v>
      </c>
      <c r="E166" s="826" t="s">
        <v>1394</v>
      </c>
      <c r="F166" s="827" t="s">
        <v>1332</v>
      </c>
    </row>
    <row r="167" spans="2:6" ht="36" outlineLevel="1" x14ac:dyDescent="0.2">
      <c r="B167" s="1140"/>
      <c r="C167" s="828"/>
      <c r="D167" s="114" t="s">
        <v>347</v>
      </c>
      <c r="E167" s="829"/>
      <c r="F167" s="830" t="s">
        <v>2</v>
      </c>
    </row>
    <row r="168" spans="2:6" outlineLevel="1" x14ac:dyDescent="0.2">
      <c r="B168" s="1140"/>
      <c r="C168" s="828"/>
      <c r="D168" s="114" t="s">
        <v>216</v>
      </c>
      <c r="E168" s="829"/>
      <c r="F168" s="830" t="s">
        <v>2</v>
      </c>
    </row>
    <row r="169" spans="2:6" ht="36" outlineLevel="1" x14ac:dyDescent="0.2">
      <c r="B169" s="1140"/>
      <c r="C169" s="828"/>
      <c r="D169" s="114" t="s">
        <v>342</v>
      </c>
      <c r="E169" s="829"/>
      <c r="F169" s="830" t="s">
        <v>2</v>
      </c>
    </row>
    <row r="170" spans="2:6" ht="48" outlineLevel="1" x14ac:dyDescent="0.2">
      <c r="B170" s="1140"/>
      <c r="C170" s="828"/>
      <c r="D170" s="114" t="s">
        <v>348</v>
      </c>
      <c r="E170" s="829"/>
      <c r="F170" s="830" t="s">
        <v>2</v>
      </c>
    </row>
    <row r="171" spans="2:6" ht="48" outlineLevel="1" x14ac:dyDescent="0.2">
      <c r="B171" s="1140"/>
      <c r="C171" s="828"/>
      <c r="D171" s="114" t="s">
        <v>1319</v>
      </c>
      <c r="E171" s="829"/>
      <c r="F171" s="830" t="s">
        <v>2</v>
      </c>
    </row>
    <row r="172" spans="2:6" outlineLevel="1" x14ac:dyDescent="0.2">
      <c r="B172" s="1140"/>
      <c r="C172" s="828"/>
      <c r="D172" s="114" t="s">
        <v>148</v>
      </c>
      <c r="E172" s="829"/>
      <c r="F172" s="830" t="s">
        <v>1333</v>
      </c>
    </row>
    <row r="173" spans="2:6" ht="24" outlineLevel="1" x14ac:dyDescent="0.2">
      <c r="B173" s="1140"/>
      <c r="C173" s="828"/>
      <c r="D173" s="114" t="s">
        <v>153</v>
      </c>
      <c r="E173" s="829"/>
      <c r="F173" s="830" t="s">
        <v>1333</v>
      </c>
    </row>
    <row r="174" spans="2:6" outlineLevel="1" x14ac:dyDescent="0.2">
      <c r="B174" s="1140"/>
      <c r="C174" s="828"/>
      <c r="D174" s="114" t="s">
        <v>154</v>
      </c>
      <c r="E174" s="829"/>
      <c r="F174" s="830" t="s">
        <v>1334</v>
      </c>
    </row>
    <row r="175" spans="2:6" ht="24" outlineLevel="1" x14ac:dyDescent="0.2">
      <c r="B175" s="1140"/>
      <c r="C175" s="828"/>
      <c r="D175" s="114" t="s">
        <v>217</v>
      </c>
      <c r="E175" s="829"/>
      <c r="F175" s="830" t="s">
        <v>1335</v>
      </c>
    </row>
    <row r="176" spans="2:6" ht="36" outlineLevel="1" x14ac:dyDescent="0.2">
      <c r="B176" s="1140"/>
      <c r="C176" s="828"/>
      <c r="D176" s="114" t="s">
        <v>218</v>
      </c>
      <c r="E176" s="829"/>
      <c r="F176" s="830" t="s">
        <v>1336</v>
      </c>
    </row>
    <row r="177" spans="2:6" ht="36" outlineLevel="1" x14ac:dyDescent="0.2">
      <c r="B177" s="1140"/>
      <c r="C177" s="828"/>
      <c r="D177" s="114" t="s">
        <v>219</v>
      </c>
      <c r="E177" s="829"/>
      <c r="F177" s="830" t="s">
        <v>1333</v>
      </c>
    </row>
    <row r="178" spans="2:6" ht="36" outlineLevel="1" x14ac:dyDescent="0.2">
      <c r="B178" s="1140"/>
      <c r="C178" s="828"/>
      <c r="D178" s="114" t="s">
        <v>220</v>
      </c>
      <c r="E178" s="829"/>
      <c r="F178" s="830" t="s">
        <v>1333</v>
      </c>
    </row>
    <row r="179" spans="2:6" ht="36" outlineLevel="1" x14ac:dyDescent="0.2">
      <c r="B179" s="1140"/>
      <c r="C179" s="828"/>
      <c r="D179" s="114" t="s">
        <v>221</v>
      </c>
      <c r="E179" s="829"/>
      <c r="F179" s="830" t="s">
        <v>1337</v>
      </c>
    </row>
    <row r="180" spans="2:6" ht="48" outlineLevel="1" x14ac:dyDescent="0.2">
      <c r="B180" s="1140"/>
      <c r="C180" s="828"/>
      <c r="D180" s="114" t="s">
        <v>222</v>
      </c>
      <c r="E180" s="829"/>
      <c r="F180" s="830" t="s">
        <v>1333</v>
      </c>
    </row>
    <row r="181" spans="2:6" ht="36" outlineLevel="1" x14ac:dyDescent="0.2">
      <c r="B181" s="1140"/>
      <c r="C181" s="828"/>
      <c r="D181" s="114" t="s">
        <v>223</v>
      </c>
      <c r="E181" s="829"/>
      <c r="F181" s="830" t="s">
        <v>1338</v>
      </c>
    </row>
    <row r="182" spans="2:6" outlineLevel="1" x14ac:dyDescent="0.2">
      <c r="B182" s="1140"/>
      <c r="C182" s="828"/>
      <c r="D182" s="114" t="s">
        <v>155</v>
      </c>
      <c r="E182" s="829"/>
      <c r="F182" s="830" t="s">
        <v>1337</v>
      </c>
    </row>
    <row r="183" spans="2:6" ht="24" outlineLevel="1" x14ac:dyDescent="0.2">
      <c r="B183" s="1140"/>
      <c r="C183" s="828"/>
      <c r="D183" s="114" t="s">
        <v>156</v>
      </c>
      <c r="E183" s="829"/>
      <c r="F183" s="830" t="s">
        <v>1336</v>
      </c>
    </row>
    <row r="184" spans="2:6" ht="24" outlineLevel="1" x14ac:dyDescent="0.2">
      <c r="B184" s="1140"/>
      <c r="C184" s="828"/>
      <c r="D184" s="114" t="s">
        <v>157</v>
      </c>
      <c r="E184" s="829"/>
      <c r="F184" s="830" t="s">
        <v>1339</v>
      </c>
    </row>
    <row r="185" spans="2:6" ht="36" outlineLevel="1" x14ac:dyDescent="0.2">
      <c r="B185" s="1140"/>
      <c r="C185" s="828"/>
      <c r="D185" s="114" t="s">
        <v>158</v>
      </c>
      <c r="E185" s="829"/>
      <c r="F185" s="830" t="s">
        <v>1340</v>
      </c>
    </row>
    <row r="186" spans="2:6" ht="60" outlineLevel="1" x14ac:dyDescent="0.2">
      <c r="B186" s="1140"/>
      <c r="C186" s="828"/>
      <c r="D186" s="114" t="s">
        <v>159</v>
      </c>
      <c r="E186" s="829"/>
      <c r="F186" s="830" t="s">
        <v>1333</v>
      </c>
    </row>
    <row r="187" spans="2:6" outlineLevel="1" x14ac:dyDescent="0.2">
      <c r="B187" s="1140"/>
      <c r="C187" s="828"/>
      <c r="D187" s="114" t="s">
        <v>160</v>
      </c>
      <c r="E187" s="829"/>
      <c r="F187" s="830" t="s">
        <v>1341</v>
      </c>
    </row>
    <row r="188" spans="2:6" outlineLevel="1" x14ac:dyDescent="0.2">
      <c r="B188" s="1141"/>
      <c r="C188" s="828"/>
      <c r="D188" s="114" t="s">
        <v>149</v>
      </c>
      <c r="E188" s="829"/>
      <c r="F188" s="830"/>
    </row>
    <row r="189" spans="2:6" ht="27.95" customHeight="1" x14ac:dyDescent="0.2">
      <c r="B189" s="1142" t="s">
        <v>1109</v>
      </c>
      <c r="C189" s="1143"/>
      <c r="D189" s="1143"/>
      <c r="E189" s="1143"/>
      <c r="F189" s="1143"/>
    </row>
    <row r="190" spans="2:6" ht="38.25" x14ac:dyDescent="0.2">
      <c r="B190" s="1139">
        <v>8</v>
      </c>
      <c r="C190" s="825" t="s">
        <v>1395</v>
      </c>
      <c r="D190" s="113" t="s">
        <v>1343</v>
      </c>
      <c r="E190" s="826" t="s">
        <v>1396</v>
      </c>
      <c r="F190" s="827" t="s">
        <v>1397</v>
      </c>
    </row>
    <row r="191" spans="2:6" ht="48" outlineLevel="1" x14ac:dyDescent="0.2">
      <c r="B191" s="1140"/>
      <c r="C191" s="828"/>
      <c r="D191" s="114" t="s">
        <v>345</v>
      </c>
      <c r="E191" s="829"/>
      <c r="F191" s="830" t="s">
        <v>2</v>
      </c>
    </row>
    <row r="192" spans="2:6" outlineLevel="1" x14ac:dyDescent="0.2">
      <c r="B192" s="1140"/>
      <c r="C192" s="828"/>
      <c r="D192" s="114" t="s">
        <v>170</v>
      </c>
      <c r="E192" s="829"/>
      <c r="F192" s="830" t="s">
        <v>2</v>
      </c>
    </row>
    <row r="193" spans="2:6" ht="48" outlineLevel="1" x14ac:dyDescent="0.2">
      <c r="B193" s="1140"/>
      <c r="C193" s="828"/>
      <c r="D193" s="114" t="s">
        <v>346</v>
      </c>
      <c r="E193" s="829"/>
      <c r="F193" s="830" t="s">
        <v>2</v>
      </c>
    </row>
    <row r="194" spans="2:6" ht="72" outlineLevel="1" x14ac:dyDescent="0.2">
      <c r="B194" s="1140"/>
      <c r="C194" s="828"/>
      <c r="D194" s="114" t="s">
        <v>1346</v>
      </c>
      <c r="E194" s="829"/>
      <c r="F194" s="830" t="s">
        <v>2</v>
      </c>
    </row>
    <row r="195" spans="2:6" ht="48" outlineLevel="1" x14ac:dyDescent="0.2">
      <c r="B195" s="1140"/>
      <c r="C195" s="828"/>
      <c r="D195" s="114" t="s">
        <v>1319</v>
      </c>
      <c r="E195" s="829"/>
      <c r="F195" s="830" t="s">
        <v>2</v>
      </c>
    </row>
    <row r="196" spans="2:6" outlineLevel="1" x14ac:dyDescent="0.2">
      <c r="B196" s="1140"/>
      <c r="C196" s="828"/>
      <c r="D196" s="114" t="s">
        <v>148</v>
      </c>
      <c r="E196" s="829"/>
      <c r="F196" s="830" t="s">
        <v>1398</v>
      </c>
    </row>
    <row r="197" spans="2:6" outlineLevel="1" x14ac:dyDescent="0.2">
      <c r="B197" s="1140"/>
      <c r="C197" s="828"/>
      <c r="D197" s="114" t="s">
        <v>162</v>
      </c>
      <c r="E197" s="829"/>
      <c r="F197" s="830" t="s">
        <v>1398</v>
      </c>
    </row>
    <row r="198" spans="2:6" ht="24" outlineLevel="1" x14ac:dyDescent="0.2">
      <c r="B198" s="1140"/>
      <c r="C198" s="828"/>
      <c r="D198" s="114" t="s">
        <v>172</v>
      </c>
      <c r="E198" s="829"/>
      <c r="F198" s="830" t="s">
        <v>1399</v>
      </c>
    </row>
    <row r="199" spans="2:6" outlineLevel="1" x14ac:dyDescent="0.2">
      <c r="B199" s="1140"/>
      <c r="C199" s="828"/>
      <c r="D199" s="114" t="s">
        <v>152</v>
      </c>
      <c r="E199" s="829"/>
      <c r="F199" s="830" t="s">
        <v>1398</v>
      </c>
    </row>
    <row r="200" spans="2:6" ht="24" outlineLevel="1" x14ac:dyDescent="0.2">
      <c r="B200" s="1140"/>
      <c r="C200" s="828"/>
      <c r="D200" s="114" t="s">
        <v>163</v>
      </c>
      <c r="E200" s="829"/>
      <c r="F200" s="830" t="s">
        <v>1400</v>
      </c>
    </row>
    <row r="201" spans="2:6" outlineLevel="1" x14ac:dyDescent="0.2">
      <c r="B201" s="1140"/>
      <c r="C201" s="828"/>
      <c r="D201" s="114" t="s">
        <v>164</v>
      </c>
      <c r="E201" s="829"/>
      <c r="F201" s="830" t="s">
        <v>1401</v>
      </c>
    </row>
    <row r="202" spans="2:6" ht="24" outlineLevel="1" x14ac:dyDescent="0.2">
      <c r="B202" s="1140"/>
      <c r="C202" s="828"/>
      <c r="D202" s="114" t="s">
        <v>165</v>
      </c>
      <c r="E202" s="829"/>
      <c r="F202" s="830" t="s">
        <v>1402</v>
      </c>
    </row>
    <row r="203" spans="2:6" outlineLevel="1" x14ac:dyDescent="0.2">
      <c r="B203" s="1140"/>
      <c r="C203" s="828"/>
      <c r="D203" s="114" t="s">
        <v>224</v>
      </c>
      <c r="E203" s="829"/>
      <c r="F203" s="830" t="s">
        <v>1403</v>
      </c>
    </row>
    <row r="204" spans="2:6" ht="48" outlineLevel="1" x14ac:dyDescent="0.2">
      <c r="B204" s="1140"/>
      <c r="C204" s="828"/>
      <c r="D204" s="114" t="s">
        <v>173</v>
      </c>
      <c r="E204" s="829"/>
      <c r="F204" s="830" t="s">
        <v>1404</v>
      </c>
    </row>
    <row r="205" spans="2:6" ht="48" outlineLevel="1" x14ac:dyDescent="0.2">
      <c r="B205" s="1140"/>
      <c r="C205" s="828"/>
      <c r="D205" s="114" t="s">
        <v>174</v>
      </c>
      <c r="E205" s="829"/>
      <c r="F205" s="830" t="s">
        <v>1405</v>
      </c>
    </row>
    <row r="206" spans="2:6" ht="48" outlineLevel="1" x14ac:dyDescent="0.2">
      <c r="B206" s="1140"/>
      <c r="C206" s="828"/>
      <c r="D206" s="114" t="s">
        <v>175</v>
      </c>
      <c r="E206" s="829"/>
      <c r="F206" s="830" t="s">
        <v>1406</v>
      </c>
    </row>
    <row r="207" spans="2:6" ht="48" outlineLevel="1" x14ac:dyDescent="0.2">
      <c r="B207" s="1140"/>
      <c r="C207" s="828"/>
      <c r="D207" s="114" t="s">
        <v>171</v>
      </c>
      <c r="E207" s="829"/>
      <c r="F207" s="830" t="s">
        <v>1407</v>
      </c>
    </row>
    <row r="208" spans="2:6" ht="48" outlineLevel="1" x14ac:dyDescent="0.2">
      <c r="B208" s="1140"/>
      <c r="C208" s="828"/>
      <c r="D208" s="114" t="s">
        <v>225</v>
      </c>
      <c r="E208" s="829"/>
      <c r="F208" s="830" t="s">
        <v>1408</v>
      </c>
    </row>
    <row r="209" spans="2:6" ht="48" outlineLevel="1" x14ac:dyDescent="0.2">
      <c r="B209" s="1140"/>
      <c r="C209" s="828"/>
      <c r="D209" s="114" t="s">
        <v>226</v>
      </c>
      <c r="E209" s="829"/>
      <c r="F209" s="830" t="s">
        <v>1407</v>
      </c>
    </row>
    <row r="210" spans="2:6" ht="48" outlineLevel="1" x14ac:dyDescent="0.2">
      <c r="B210" s="1140"/>
      <c r="C210" s="828"/>
      <c r="D210" s="114" t="s">
        <v>227</v>
      </c>
      <c r="E210" s="829"/>
      <c r="F210" s="830" t="s">
        <v>1406</v>
      </c>
    </row>
    <row r="211" spans="2:6" outlineLevel="1" x14ac:dyDescent="0.2">
      <c r="B211" s="1141"/>
      <c r="C211" s="828"/>
      <c r="D211" s="114" t="s">
        <v>149</v>
      </c>
      <c r="E211" s="829"/>
      <c r="F211" s="830"/>
    </row>
    <row r="212" spans="2:6" ht="27.95" customHeight="1" x14ac:dyDescent="0.2">
      <c r="B212" s="1142" t="s">
        <v>1254</v>
      </c>
      <c r="C212" s="1143"/>
      <c r="D212" s="1143"/>
      <c r="E212" s="1143"/>
      <c r="F212" s="1143"/>
    </row>
    <row r="213" spans="2:6" ht="38.25" x14ac:dyDescent="0.2">
      <c r="B213" s="1139">
        <v>9</v>
      </c>
      <c r="C213" s="825" t="s">
        <v>1409</v>
      </c>
      <c r="D213" s="113" t="s">
        <v>229</v>
      </c>
      <c r="E213" s="826" t="s">
        <v>1410</v>
      </c>
      <c r="F213" s="827" t="s">
        <v>1411</v>
      </c>
    </row>
    <row r="214" spans="2:6" ht="48" outlineLevel="1" x14ac:dyDescent="0.2">
      <c r="B214" s="1140"/>
      <c r="C214" s="828"/>
      <c r="D214" s="114" t="s">
        <v>345</v>
      </c>
      <c r="E214" s="829"/>
      <c r="F214" s="830" t="s">
        <v>2</v>
      </c>
    </row>
    <row r="215" spans="2:6" outlineLevel="1" x14ac:dyDescent="0.2">
      <c r="B215" s="1140"/>
      <c r="C215" s="828"/>
      <c r="D215" s="114" t="s">
        <v>170</v>
      </c>
      <c r="E215" s="829"/>
      <c r="F215" s="830" t="s">
        <v>2</v>
      </c>
    </row>
    <row r="216" spans="2:6" ht="48" outlineLevel="1" x14ac:dyDescent="0.2">
      <c r="B216" s="1140"/>
      <c r="C216" s="828"/>
      <c r="D216" s="114" t="s">
        <v>346</v>
      </c>
      <c r="E216" s="829"/>
      <c r="F216" s="830" t="s">
        <v>2</v>
      </c>
    </row>
    <row r="217" spans="2:6" ht="48" outlineLevel="1" x14ac:dyDescent="0.2">
      <c r="B217" s="1140"/>
      <c r="C217" s="828"/>
      <c r="D217" s="114" t="s">
        <v>1319</v>
      </c>
      <c r="E217" s="829"/>
      <c r="F217" s="830" t="s">
        <v>2</v>
      </c>
    </row>
    <row r="218" spans="2:6" outlineLevel="1" x14ac:dyDescent="0.2">
      <c r="B218" s="1140"/>
      <c r="C218" s="828"/>
      <c r="D218" s="114" t="s">
        <v>148</v>
      </c>
      <c r="E218" s="829"/>
      <c r="F218" s="830" t="s">
        <v>1412</v>
      </c>
    </row>
    <row r="219" spans="2:6" outlineLevel="1" x14ac:dyDescent="0.2">
      <c r="B219" s="1140"/>
      <c r="C219" s="828"/>
      <c r="D219" s="114" t="s">
        <v>162</v>
      </c>
      <c r="E219" s="829"/>
      <c r="F219" s="830" t="s">
        <v>1412</v>
      </c>
    </row>
    <row r="220" spans="2:6" ht="24" outlineLevel="1" x14ac:dyDescent="0.2">
      <c r="B220" s="1140"/>
      <c r="C220" s="828"/>
      <c r="D220" s="114" t="s">
        <v>172</v>
      </c>
      <c r="E220" s="829"/>
      <c r="F220" s="830" t="s">
        <v>1413</v>
      </c>
    </row>
    <row r="221" spans="2:6" outlineLevel="1" x14ac:dyDescent="0.2">
      <c r="B221" s="1140"/>
      <c r="C221" s="828"/>
      <c r="D221" s="114" t="s">
        <v>152</v>
      </c>
      <c r="E221" s="829"/>
      <c r="F221" s="830" t="s">
        <v>1412</v>
      </c>
    </row>
    <row r="222" spans="2:6" ht="24" outlineLevel="1" x14ac:dyDescent="0.2">
      <c r="B222" s="1140"/>
      <c r="C222" s="828"/>
      <c r="D222" s="114" t="s">
        <v>163</v>
      </c>
      <c r="E222" s="829"/>
      <c r="F222" s="830" t="s">
        <v>1414</v>
      </c>
    </row>
    <row r="223" spans="2:6" outlineLevel="1" x14ac:dyDescent="0.2">
      <c r="B223" s="1140"/>
      <c r="C223" s="828"/>
      <c r="D223" s="114" t="s">
        <v>164</v>
      </c>
      <c r="E223" s="829"/>
      <c r="F223" s="830" t="s">
        <v>1415</v>
      </c>
    </row>
    <row r="224" spans="2:6" ht="24" outlineLevel="1" x14ac:dyDescent="0.2">
      <c r="B224" s="1140"/>
      <c r="C224" s="828"/>
      <c r="D224" s="114" t="s">
        <v>165</v>
      </c>
      <c r="E224" s="829"/>
      <c r="F224" s="830" t="s">
        <v>1416</v>
      </c>
    </row>
    <row r="225" spans="2:6" outlineLevel="1" x14ac:dyDescent="0.2">
      <c r="B225" s="1140"/>
      <c r="C225" s="828"/>
      <c r="D225" s="114" t="s">
        <v>224</v>
      </c>
      <c r="E225" s="829"/>
      <c r="F225" s="830" t="s">
        <v>1417</v>
      </c>
    </row>
    <row r="226" spans="2:6" ht="48" outlineLevel="1" x14ac:dyDescent="0.2">
      <c r="B226" s="1140"/>
      <c r="C226" s="828"/>
      <c r="D226" s="114" t="s">
        <v>173</v>
      </c>
      <c r="E226" s="829"/>
      <c r="F226" s="830" t="s">
        <v>1418</v>
      </c>
    </row>
    <row r="227" spans="2:6" ht="48" outlineLevel="1" x14ac:dyDescent="0.2">
      <c r="B227" s="1140"/>
      <c r="C227" s="828"/>
      <c r="D227" s="114" t="s">
        <v>174</v>
      </c>
      <c r="E227" s="829"/>
      <c r="F227" s="830" t="s">
        <v>1419</v>
      </c>
    </row>
    <row r="228" spans="2:6" ht="48" outlineLevel="1" x14ac:dyDescent="0.2">
      <c r="B228" s="1140"/>
      <c r="C228" s="828"/>
      <c r="D228" s="114" t="s">
        <v>175</v>
      </c>
      <c r="E228" s="829"/>
      <c r="F228" s="830" t="s">
        <v>1420</v>
      </c>
    </row>
    <row r="229" spans="2:6" ht="48" outlineLevel="1" x14ac:dyDescent="0.2">
      <c r="B229" s="1140"/>
      <c r="C229" s="828"/>
      <c r="D229" s="114" t="s">
        <v>171</v>
      </c>
      <c r="E229" s="829"/>
      <c r="F229" s="830" t="s">
        <v>1421</v>
      </c>
    </row>
    <row r="230" spans="2:6" ht="48" outlineLevel="1" x14ac:dyDescent="0.2">
      <c r="B230" s="1140"/>
      <c r="C230" s="828"/>
      <c r="D230" s="114" t="s">
        <v>225</v>
      </c>
      <c r="E230" s="829"/>
      <c r="F230" s="830" t="s">
        <v>1422</v>
      </c>
    </row>
    <row r="231" spans="2:6" ht="48" outlineLevel="1" x14ac:dyDescent="0.2">
      <c r="B231" s="1140"/>
      <c r="C231" s="828"/>
      <c r="D231" s="114" t="s">
        <v>226</v>
      </c>
      <c r="E231" s="829"/>
      <c r="F231" s="830" t="s">
        <v>1421</v>
      </c>
    </row>
    <row r="232" spans="2:6" ht="48" outlineLevel="1" x14ac:dyDescent="0.2">
      <c r="B232" s="1140"/>
      <c r="C232" s="828"/>
      <c r="D232" s="114" t="s">
        <v>227</v>
      </c>
      <c r="E232" s="829"/>
      <c r="F232" s="830" t="s">
        <v>1420</v>
      </c>
    </row>
    <row r="233" spans="2:6" outlineLevel="1" x14ac:dyDescent="0.2">
      <c r="B233" s="1141"/>
      <c r="C233" s="828"/>
      <c r="D233" s="114" t="s">
        <v>149</v>
      </c>
      <c r="E233" s="829"/>
      <c r="F233" s="830"/>
    </row>
    <row r="234" spans="2:6" ht="27.95" customHeight="1" x14ac:dyDescent="0.2">
      <c r="B234" s="1142" t="s">
        <v>1423</v>
      </c>
      <c r="C234" s="1143"/>
      <c r="D234" s="1143"/>
      <c r="E234" s="1143"/>
      <c r="F234" s="1143"/>
    </row>
    <row r="235" spans="2:6" ht="38.25" x14ac:dyDescent="0.2">
      <c r="B235" s="1139">
        <v>10</v>
      </c>
      <c r="C235" s="825" t="s">
        <v>1424</v>
      </c>
      <c r="D235" s="113" t="s">
        <v>229</v>
      </c>
      <c r="E235" s="826" t="s">
        <v>1425</v>
      </c>
      <c r="F235" s="827" t="s">
        <v>1426</v>
      </c>
    </row>
    <row r="236" spans="2:6" ht="48" outlineLevel="1" x14ac:dyDescent="0.2">
      <c r="B236" s="1140"/>
      <c r="C236" s="828"/>
      <c r="D236" s="114" t="s">
        <v>345</v>
      </c>
      <c r="E236" s="829"/>
      <c r="F236" s="830" t="s">
        <v>2</v>
      </c>
    </row>
    <row r="237" spans="2:6" outlineLevel="1" x14ac:dyDescent="0.2">
      <c r="B237" s="1140"/>
      <c r="C237" s="828"/>
      <c r="D237" s="114" t="s">
        <v>170</v>
      </c>
      <c r="E237" s="829"/>
      <c r="F237" s="830" t="s">
        <v>2</v>
      </c>
    </row>
    <row r="238" spans="2:6" ht="48" outlineLevel="1" x14ac:dyDescent="0.2">
      <c r="B238" s="1140"/>
      <c r="C238" s="828"/>
      <c r="D238" s="114" t="s">
        <v>346</v>
      </c>
      <c r="E238" s="829"/>
      <c r="F238" s="830" t="s">
        <v>2</v>
      </c>
    </row>
    <row r="239" spans="2:6" ht="48" outlineLevel="1" x14ac:dyDescent="0.2">
      <c r="B239" s="1140"/>
      <c r="C239" s="828"/>
      <c r="D239" s="114" t="s">
        <v>1319</v>
      </c>
      <c r="E239" s="829"/>
      <c r="F239" s="830" t="s">
        <v>2</v>
      </c>
    </row>
    <row r="240" spans="2:6" outlineLevel="1" x14ac:dyDescent="0.2">
      <c r="B240" s="1140"/>
      <c r="C240" s="828"/>
      <c r="D240" s="114" t="s">
        <v>148</v>
      </c>
      <c r="E240" s="829"/>
      <c r="F240" s="830" t="s">
        <v>1427</v>
      </c>
    </row>
    <row r="241" spans="2:6" outlineLevel="1" x14ac:dyDescent="0.2">
      <c r="B241" s="1140"/>
      <c r="C241" s="828"/>
      <c r="D241" s="114" t="s">
        <v>162</v>
      </c>
      <c r="E241" s="829"/>
      <c r="F241" s="830" t="s">
        <v>1427</v>
      </c>
    </row>
    <row r="242" spans="2:6" ht="24" outlineLevel="1" x14ac:dyDescent="0.2">
      <c r="B242" s="1140"/>
      <c r="C242" s="828"/>
      <c r="D242" s="114" t="s">
        <v>172</v>
      </c>
      <c r="E242" s="829"/>
      <c r="F242" s="830" t="s">
        <v>1428</v>
      </c>
    </row>
    <row r="243" spans="2:6" outlineLevel="1" x14ac:dyDescent="0.2">
      <c r="B243" s="1140"/>
      <c r="C243" s="828"/>
      <c r="D243" s="114" t="s">
        <v>152</v>
      </c>
      <c r="E243" s="829"/>
      <c r="F243" s="830" t="s">
        <v>1427</v>
      </c>
    </row>
    <row r="244" spans="2:6" ht="24" outlineLevel="1" x14ac:dyDescent="0.2">
      <c r="B244" s="1140"/>
      <c r="C244" s="828"/>
      <c r="D244" s="114" t="s">
        <v>163</v>
      </c>
      <c r="E244" s="829"/>
      <c r="F244" s="830" t="s">
        <v>1429</v>
      </c>
    </row>
    <row r="245" spans="2:6" outlineLevel="1" x14ac:dyDescent="0.2">
      <c r="B245" s="1140"/>
      <c r="C245" s="828"/>
      <c r="D245" s="114" t="s">
        <v>164</v>
      </c>
      <c r="E245" s="829"/>
      <c r="F245" s="830" t="s">
        <v>1430</v>
      </c>
    </row>
    <row r="246" spans="2:6" ht="24" outlineLevel="1" x14ac:dyDescent="0.2">
      <c r="B246" s="1140"/>
      <c r="C246" s="828"/>
      <c r="D246" s="114" t="s">
        <v>165</v>
      </c>
      <c r="E246" s="829"/>
      <c r="F246" s="830" t="s">
        <v>1431</v>
      </c>
    </row>
    <row r="247" spans="2:6" outlineLevel="1" x14ac:dyDescent="0.2">
      <c r="B247" s="1140"/>
      <c r="C247" s="828"/>
      <c r="D247" s="114" t="s">
        <v>224</v>
      </c>
      <c r="E247" s="829"/>
      <c r="F247" s="830" t="s">
        <v>1432</v>
      </c>
    </row>
    <row r="248" spans="2:6" ht="48" outlineLevel="1" x14ac:dyDescent="0.2">
      <c r="B248" s="1140"/>
      <c r="C248" s="828"/>
      <c r="D248" s="114" t="s">
        <v>173</v>
      </c>
      <c r="E248" s="829"/>
      <c r="F248" s="830" t="s">
        <v>1433</v>
      </c>
    </row>
    <row r="249" spans="2:6" ht="48" outlineLevel="1" x14ac:dyDescent="0.2">
      <c r="B249" s="1140"/>
      <c r="C249" s="828"/>
      <c r="D249" s="114" t="s">
        <v>174</v>
      </c>
      <c r="E249" s="829"/>
      <c r="F249" s="830" t="s">
        <v>1434</v>
      </c>
    </row>
    <row r="250" spans="2:6" ht="48" outlineLevel="1" x14ac:dyDescent="0.2">
      <c r="B250" s="1140"/>
      <c r="C250" s="828"/>
      <c r="D250" s="114" t="s">
        <v>175</v>
      </c>
      <c r="E250" s="829"/>
      <c r="F250" s="830" t="s">
        <v>1435</v>
      </c>
    </row>
    <row r="251" spans="2:6" ht="48" outlineLevel="1" x14ac:dyDescent="0.2">
      <c r="B251" s="1140"/>
      <c r="C251" s="828"/>
      <c r="D251" s="114" t="s">
        <v>171</v>
      </c>
      <c r="E251" s="829"/>
      <c r="F251" s="830" t="s">
        <v>1436</v>
      </c>
    </row>
    <row r="252" spans="2:6" ht="48" outlineLevel="1" x14ac:dyDescent="0.2">
      <c r="B252" s="1140"/>
      <c r="C252" s="828"/>
      <c r="D252" s="114" t="s">
        <v>225</v>
      </c>
      <c r="E252" s="829"/>
      <c r="F252" s="830" t="s">
        <v>1437</v>
      </c>
    </row>
    <row r="253" spans="2:6" ht="48" outlineLevel="1" x14ac:dyDescent="0.2">
      <c r="B253" s="1140"/>
      <c r="C253" s="828"/>
      <c r="D253" s="114" t="s">
        <v>226</v>
      </c>
      <c r="E253" s="829"/>
      <c r="F253" s="830" t="s">
        <v>1436</v>
      </c>
    </row>
    <row r="254" spans="2:6" ht="48" outlineLevel="1" x14ac:dyDescent="0.2">
      <c r="B254" s="1140"/>
      <c r="C254" s="828"/>
      <c r="D254" s="114" t="s">
        <v>227</v>
      </c>
      <c r="E254" s="829"/>
      <c r="F254" s="830" t="s">
        <v>1435</v>
      </c>
    </row>
    <row r="255" spans="2:6" outlineLevel="1" x14ac:dyDescent="0.2">
      <c r="B255" s="1141"/>
      <c r="C255" s="828"/>
      <c r="D255" s="114" t="s">
        <v>149</v>
      </c>
      <c r="E255" s="829"/>
      <c r="F255" s="830"/>
    </row>
    <row r="256" spans="2:6" ht="27.95" customHeight="1" x14ac:dyDescent="0.2">
      <c r="B256" s="1142" t="s">
        <v>1241</v>
      </c>
      <c r="C256" s="1143"/>
      <c r="D256" s="1143"/>
      <c r="E256" s="1143"/>
      <c r="F256" s="1143"/>
    </row>
    <row r="257" spans="2:6" ht="38.25" x14ac:dyDescent="0.2">
      <c r="B257" s="1139">
        <v>11</v>
      </c>
      <c r="C257" s="825" t="s">
        <v>1438</v>
      </c>
      <c r="D257" s="113" t="s">
        <v>1343</v>
      </c>
      <c r="E257" s="826" t="s">
        <v>1439</v>
      </c>
      <c r="F257" s="827" t="s">
        <v>1440</v>
      </c>
    </row>
    <row r="258" spans="2:6" ht="48" outlineLevel="1" x14ac:dyDescent="0.2">
      <c r="B258" s="1140"/>
      <c r="C258" s="828"/>
      <c r="D258" s="114" t="s">
        <v>345</v>
      </c>
      <c r="E258" s="829"/>
      <c r="F258" s="830" t="s">
        <v>2</v>
      </c>
    </row>
    <row r="259" spans="2:6" outlineLevel="1" x14ac:dyDescent="0.2">
      <c r="B259" s="1140"/>
      <c r="C259" s="828"/>
      <c r="D259" s="114" t="s">
        <v>170</v>
      </c>
      <c r="E259" s="829"/>
      <c r="F259" s="830" t="s">
        <v>2</v>
      </c>
    </row>
    <row r="260" spans="2:6" ht="48" outlineLevel="1" x14ac:dyDescent="0.2">
      <c r="B260" s="1140"/>
      <c r="C260" s="828"/>
      <c r="D260" s="114" t="s">
        <v>346</v>
      </c>
      <c r="E260" s="829"/>
      <c r="F260" s="830" t="s">
        <v>2</v>
      </c>
    </row>
    <row r="261" spans="2:6" ht="48" outlineLevel="1" x14ac:dyDescent="0.2">
      <c r="B261" s="1140"/>
      <c r="C261" s="828"/>
      <c r="D261" s="114" t="s">
        <v>1319</v>
      </c>
      <c r="E261" s="829"/>
      <c r="F261" s="830" t="s">
        <v>2</v>
      </c>
    </row>
    <row r="262" spans="2:6" outlineLevel="1" x14ac:dyDescent="0.2">
      <c r="B262" s="1140"/>
      <c r="C262" s="828"/>
      <c r="D262" s="114" t="s">
        <v>148</v>
      </c>
      <c r="E262" s="829"/>
      <c r="F262" s="830" t="s">
        <v>1441</v>
      </c>
    </row>
    <row r="263" spans="2:6" outlineLevel="1" x14ac:dyDescent="0.2">
      <c r="B263" s="1140"/>
      <c r="C263" s="828"/>
      <c r="D263" s="114" t="s">
        <v>162</v>
      </c>
      <c r="E263" s="829"/>
      <c r="F263" s="830" t="s">
        <v>1441</v>
      </c>
    </row>
    <row r="264" spans="2:6" ht="24" outlineLevel="1" x14ac:dyDescent="0.2">
      <c r="B264" s="1140"/>
      <c r="C264" s="828"/>
      <c r="D264" s="114" t="s">
        <v>172</v>
      </c>
      <c r="E264" s="829"/>
      <c r="F264" s="830" t="s">
        <v>1442</v>
      </c>
    </row>
    <row r="265" spans="2:6" outlineLevel="1" x14ac:dyDescent="0.2">
      <c r="B265" s="1140"/>
      <c r="C265" s="828"/>
      <c r="D265" s="114" t="s">
        <v>152</v>
      </c>
      <c r="E265" s="829"/>
      <c r="F265" s="830" t="s">
        <v>1441</v>
      </c>
    </row>
    <row r="266" spans="2:6" ht="24" outlineLevel="1" x14ac:dyDescent="0.2">
      <c r="B266" s="1140"/>
      <c r="C266" s="828"/>
      <c r="D266" s="114" t="s">
        <v>163</v>
      </c>
      <c r="E266" s="829"/>
      <c r="F266" s="830" t="s">
        <v>1443</v>
      </c>
    </row>
    <row r="267" spans="2:6" outlineLevel="1" x14ac:dyDescent="0.2">
      <c r="B267" s="1140"/>
      <c r="C267" s="828"/>
      <c r="D267" s="114" t="s">
        <v>164</v>
      </c>
      <c r="E267" s="829"/>
      <c r="F267" s="830" t="s">
        <v>1444</v>
      </c>
    </row>
    <row r="268" spans="2:6" ht="24" outlineLevel="1" x14ac:dyDescent="0.2">
      <c r="B268" s="1140"/>
      <c r="C268" s="828"/>
      <c r="D268" s="114" t="s">
        <v>165</v>
      </c>
      <c r="E268" s="829"/>
      <c r="F268" s="830" t="s">
        <v>1445</v>
      </c>
    </row>
    <row r="269" spans="2:6" outlineLevel="1" x14ac:dyDescent="0.2">
      <c r="B269" s="1140"/>
      <c r="C269" s="828"/>
      <c r="D269" s="114" t="s">
        <v>224</v>
      </c>
      <c r="E269" s="829"/>
      <c r="F269" s="830" t="s">
        <v>1446</v>
      </c>
    </row>
    <row r="270" spans="2:6" ht="48" outlineLevel="1" x14ac:dyDescent="0.2">
      <c r="B270" s="1140"/>
      <c r="C270" s="828"/>
      <c r="D270" s="114" t="s">
        <v>173</v>
      </c>
      <c r="E270" s="829"/>
      <c r="F270" s="830" t="s">
        <v>1447</v>
      </c>
    </row>
    <row r="271" spans="2:6" ht="48" outlineLevel="1" x14ac:dyDescent="0.2">
      <c r="B271" s="1140"/>
      <c r="C271" s="828"/>
      <c r="D271" s="114" t="s">
        <v>174</v>
      </c>
      <c r="E271" s="829"/>
      <c r="F271" s="830" t="s">
        <v>1448</v>
      </c>
    </row>
    <row r="272" spans="2:6" ht="48" outlineLevel="1" x14ac:dyDescent="0.2">
      <c r="B272" s="1140"/>
      <c r="C272" s="828"/>
      <c r="D272" s="114" t="s">
        <v>175</v>
      </c>
      <c r="E272" s="829"/>
      <c r="F272" s="830" t="s">
        <v>1449</v>
      </c>
    </row>
    <row r="273" spans="2:6" ht="48" outlineLevel="1" x14ac:dyDescent="0.2">
      <c r="B273" s="1140"/>
      <c r="C273" s="828"/>
      <c r="D273" s="114" t="s">
        <v>171</v>
      </c>
      <c r="E273" s="829"/>
      <c r="F273" s="830" t="s">
        <v>1450</v>
      </c>
    </row>
    <row r="274" spans="2:6" ht="48" outlineLevel="1" x14ac:dyDescent="0.2">
      <c r="B274" s="1140"/>
      <c r="C274" s="828"/>
      <c r="D274" s="114" t="s">
        <v>225</v>
      </c>
      <c r="E274" s="829"/>
      <c r="F274" s="830" t="s">
        <v>1451</v>
      </c>
    </row>
    <row r="275" spans="2:6" ht="48" outlineLevel="1" x14ac:dyDescent="0.2">
      <c r="B275" s="1140"/>
      <c r="C275" s="828"/>
      <c r="D275" s="114" t="s">
        <v>226</v>
      </c>
      <c r="E275" s="829"/>
      <c r="F275" s="830" t="s">
        <v>1450</v>
      </c>
    </row>
    <row r="276" spans="2:6" ht="48" outlineLevel="1" x14ac:dyDescent="0.2">
      <c r="B276" s="1140"/>
      <c r="C276" s="828"/>
      <c r="D276" s="114" t="s">
        <v>227</v>
      </c>
      <c r="E276" s="829"/>
      <c r="F276" s="830" t="s">
        <v>1449</v>
      </c>
    </row>
    <row r="277" spans="2:6" outlineLevel="1" x14ac:dyDescent="0.2">
      <c r="B277" s="1141"/>
      <c r="C277" s="828"/>
      <c r="D277" s="114" t="s">
        <v>149</v>
      </c>
      <c r="E277" s="829"/>
      <c r="F277" s="830"/>
    </row>
    <row r="278" spans="2:6" ht="27.95" customHeight="1" x14ac:dyDescent="0.2">
      <c r="B278" s="1142" t="s">
        <v>1261</v>
      </c>
      <c r="C278" s="1143"/>
      <c r="D278" s="1143"/>
      <c r="E278" s="1143"/>
      <c r="F278" s="1143"/>
    </row>
    <row r="279" spans="2:6" ht="51" x14ac:dyDescent="0.2">
      <c r="B279" s="1139">
        <v>12</v>
      </c>
      <c r="C279" s="825" t="s">
        <v>1452</v>
      </c>
      <c r="D279" s="113" t="s">
        <v>229</v>
      </c>
      <c r="E279" s="826" t="s">
        <v>1453</v>
      </c>
      <c r="F279" s="827" t="s">
        <v>1454</v>
      </c>
    </row>
    <row r="280" spans="2:6" ht="48" outlineLevel="1" x14ac:dyDescent="0.2">
      <c r="B280" s="1140"/>
      <c r="C280" s="828"/>
      <c r="D280" s="114" t="s">
        <v>345</v>
      </c>
      <c r="E280" s="829"/>
      <c r="F280" s="830" t="s">
        <v>2</v>
      </c>
    </row>
    <row r="281" spans="2:6" outlineLevel="1" x14ac:dyDescent="0.2">
      <c r="B281" s="1140"/>
      <c r="C281" s="828"/>
      <c r="D281" s="114" t="s">
        <v>170</v>
      </c>
      <c r="E281" s="829"/>
      <c r="F281" s="830" t="s">
        <v>2</v>
      </c>
    </row>
    <row r="282" spans="2:6" ht="48" outlineLevel="1" x14ac:dyDescent="0.2">
      <c r="B282" s="1140"/>
      <c r="C282" s="828"/>
      <c r="D282" s="114" t="s">
        <v>346</v>
      </c>
      <c r="E282" s="829"/>
      <c r="F282" s="830" t="s">
        <v>2</v>
      </c>
    </row>
    <row r="283" spans="2:6" ht="48" outlineLevel="1" x14ac:dyDescent="0.2">
      <c r="B283" s="1140"/>
      <c r="C283" s="828"/>
      <c r="D283" s="114" t="s">
        <v>1319</v>
      </c>
      <c r="E283" s="829"/>
      <c r="F283" s="830" t="s">
        <v>2</v>
      </c>
    </row>
    <row r="284" spans="2:6" outlineLevel="1" x14ac:dyDescent="0.2">
      <c r="B284" s="1140"/>
      <c r="C284" s="828"/>
      <c r="D284" s="114" t="s">
        <v>148</v>
      </c>
      <c r="E284" s="829"/>
      <c r="F284" s="830" t="s">
        <v>1455</v>
      </c>
    </row>
    <row r="285" spans="2:6" outlineLevel="1" x14ac:dyDescent="0.2">
      <c r="B285" s="1140"/>
      <c r="C285" s="828"/>
      <c r="D285" s="114" t="s">
        <v>162</v>
      </c>
      <c r="E285" s="829"/>
      <c r="F285" s="830" t="s">
        <v>1455</v>
      </c>
    </row>
    <row r="286" spans="2:6" ht="24" outlineLevel="1" x14ac:dyDescent="0.2">
      <c r="B286" s="1140"/>
      <c r="C286" s="828"/>
      <c r="D286" s="114" t="s">
        <v>172</v>
      </c>
      <c r="E286" s="829"/>
      <c r="F286" s="830" t="s">
        <v>1456</v>
      </c>
    </row>
    <row r="287" spans="2:6" outlineLevel="1" x14ac:dyDescent="0.2">
      <c r="B287" s="1140"/>
      <c r="C287" s="828"/>
      <c r="D287" s="114" t="s">
        <v>152</v>
      </c>
      <c r="E287" s="829"/>
      <c r="F287" s="830" t="s">
        <v>1455</v>
      </c>
    </row>
    <row r="288" spans="2:6" ht="24" outlineLevel="1" x14ac:dyDescent="0.2">
      <c r="B288" s="1140"/>
      <c r="C288" s="828"/>
      <c r="D288" s="114" t="s">
        <v>163</v>
      </c>
      <c r="E288" s="829"/>
      <c r="F288" s="830" t="s">
        <v>1457</v>
      </c>
    </row>
    <row r="289" spans="2:6" outlineLevel="1" x14ac:dyDescent="0.2">
      <c r="B289" s="1140"/>
      <c r="C289" s="828"/>
      <c r="D289" s="114" t="s">
        <v>164</v>
      </c>
      <c r="E289" s="829"/>
      <c r="F289" s="830" t="s">
        <v>1458</v>
      </c>
    </row>
    <row r="290" spans="2:6" ht="24" outlineLevel="1" x14ac:dyDescent="0.2">
      <c r="B290" s="1140"/>
      <c r="C290" s="828"/>
      <c r="D290" s="114" t="s">
        <v>165</v>
      </c>
      <c r="E290" s="829"/>
      <c r="F290" s="830" t="s">
        <v>1459</v>
      </c>
    </row>
    <row r="291" spans="2:6" outlineLevel="1" x14ac:dyDescent="0.2">
      <c r="B291" s="1140"/>
      <c r="C291" s="828"/>
      <c r="D291" s="114" t="s">
        <v>224</v>
      </c>
      <c r="E291" s="829"/>
      <c r="F291" s="830" t="s">
        <v>1460</v>
      </c>
    </row>
    <row r="292" spans="2:6" ht="48" outlineLevel="1" x14ac:dyDescent="0.2">
      <c r="B292" s="1140"/>
      <c r="C292" s="828"/>
      <c r="D292" s="114" t="s">
        <v>173</v>
      </c>
      <c r="E292" s="829"/>
      <c r="F292" s="830" t="s">
        <v>1461</v>
      </c>
    </row>
    <row r="293" spans="2:6" ht="48" outlineLevel="1" x14ac:dyDescent="0.2">
      <c r="B293" s="1140"/>
      <c r="C293" s="828"/>
      <c r="D293" s="114" t="s">
        <v>174</v>
      </c>
      <c r="E293" s="829"/>
      <c r="F293" s="830" t="s">
        <v>1462</v>
      </c>
    </row>
    <row r="294" spans="2:6" ht="48" outlineLevel="1" x14ac:dyDescent="0.2">
      <c r="B294" s="1140"/>
      <c r="C294" s="828"/>
      <c r="D294" s="114" t="s">
        <v>175</v>
      </c>
      <c r="E294" s="829"/>
      <c r="F294" s="830" t="s">
        <v>1463</v>
      </c>
    </row>
    <row r="295" spans="2:6" ht="48" outlineLevel="1" x14ac:dyDescent="0.2">
      <c r="B295" s="1140"/>
      <c r="C295" s="828"/>
      <c r="D295" s="114" t="s">
        <v>171</v>
      </c>
      <c r="E295" s="829"/>
      <c r="F295" s="830" t="s">
        <v>1464</v>
      </c>
    </row>
    <row r="296" spans="2:6" ht="48" outlineLevel="1" x14ac:dyDescent="0.2">
      <c r="B296" s="1140"/>
      <c r="C296" s="828"/>
      <c r="D296" s="114" t="s">
        <v>225</v>
      </c>
      <c r="E296" s="829"/>
      <c r="F296" s="830" t="s">
        <v>1465</v>
      </c>
    </row>
    <row r="297" spans="2:6" ht="48" outlineLevel="1" x14ac:dyDescent="0.2">
      <c r="B297" s="1140"/>
      <c r="C297" s="828"/>
      <c r="D297" s="114" t="s">
        <v>226</v>
      </c>
      <c r="E297" s="829"/>
      <c r="F297" s="830" t="s">
        <v>1464</v>
      </c>
    </row>
    <row r="298" spans="2:6" ht="48" outlineLevel="1" x14ac:dyDescent="0.2">
      <c r="B298" s="1140"/>
      <c r="C298" s="828"/>
      <c r="D298" s="114" t="s">
        <v>227</v>
      </c>
      <c r="E298" s="829"/>
      <c r="F298" s="830" t="s">
        <v>1463</v>
      </c>
    </row>
    <row r="299" spans="2:6" outlineLevel="1" x14ac:dyDescent="0.2">
      <c r="B299" s="1141"/>
      <c r="C299" s="828"/>
      <c r="D299" s="114" t="s">
        <v>149</v>
      </c>
      <c r="E299" s="829"/>
      <c r="F299" s="830"/>
    </row>
    <row r="300" spans="2:6" ht="27.95" customHeight="1" x14ac:dyDescent="0.2">
      <c r="B300" s="1142" t="s">
        <v>1466</v>
      </c>
      <c r="C300" s="1143"/>
      <c r="D300" s="1143"/>
      <c r="E300" s="1143"/>
      <c r="F300" s="1143"/>
    </row>
    <row r="301" spans="2:6" ht="38.25" x14ac:dyDescent="0.2">
      <c r="B301" s="1139">
        <v>13</v>
      </c>
      <c r="C301" s="825" t="s">
        <v>1467</v>
      </c>
      <c r="D301" s="113" t="s">
        <v>1343</v>
      </c>
      <c r="E301" s="826" t="s">
        <v>1468</v>
      </c>
      <c r="F301" s="827" t="s">
        <v>1469</v>
      </c>
    </row>
    <row r="302" spans="2:6" ht="48" outlineLevel="1" x14ac:dyDescent="0.2">
      <c r="B302" s="1140"/>
      <c r="C302" s="828"/>
      <c r="D302" s="114" t="s">
        <v>345</v>
      </c>
      <c r="E302" s="829"/>
      <c r="F302" s="830" t="s">
        <v>2</v>
      </c>
    </row>
    <row r="303" spans="2:6" outlineLevel="1" x14ac:dyDescent="0.2">
      <c r="B303" s="1140"/>
      <c r="C303" s="828"/>
      <c r="D303" s="114" t="s">
        <v>170</v>
      </c>
      <c r="E303" s="829"/>
      <c r="F303" s="830" t="s">
        <v>2</v>
      </c>
    </row>
    <row r="304" spans="2:6" ht="48" outlineLevel="1" x14ac:dyDescent="0.2">
      <c r="B304" s="1140"/>
      <c r="C304" s="828"/>
      <c r="D304" s="114" t="s">
        <v>346</v>
      </c>
      <c r="E304" s="829"/>
      <c r="F304" s="830" t="s">
        <v>2</v>
      </c>
    </row>
    <row r="305" spans="2:6" ht="48" outlineLevel="1" x14ac:dyDescent="0.2">
      <c r="B305" s="1140"/>
      <c r="C305" s="828"/>
      <c r="D305" s="114" t="s">
        <v>1319</v>
      </c>
      <c r="E305" s="829"/>
      <c r="F305" s="830" t="s">
        <v>2</v>
      </c>
    </row>
    <row r="306" spans="2:6" outlineLevel="1" x14ac:dyDescent="0.2">
      <c r="B306" s="1140"/>
      <c r="C306" s="828"/>
      <c r="D306" s="114" t="s">
        <v>148</v>
      </c>
      <c r="E306" s="829"/>
      <c r="F306" s="830" t="s">
        <v>1470</v>
      </c>
    </row>
    <row r="307" spans="2:6" outlineLevel="1" x14ac:dyDescent="0.2">
      <c r="B307" s="1140"/>
      <c r="C307" s="828"/>
      <c r="D307" s="114" t="s">
        <v>162</v>
      </c>
      <c r="E307" s="829"/>
      <c r="F307" s="830" t="s">
        <v>1470</v>
      </c>
    </row>
    <row r="308" spans="2:6" ht="24" outlineLevel="1" x14ac:dyDescent="0.2">
      <c r="B308" s="1140"/>
      <c r="C308" s="828"/>
      <c r="D308" s="114" t="s">
        <v>172</v>
      </c>
      <c r="E308" s="829"/>
      <c r="F308" s="830" t="s">
        <v>1471</v>
      </c>
    </row>
    <row r="309" spans="2:6" outlineLevel="1" x14ac:dyDescent="0.2">
      <c r="B309" s="1140"/>
      <c r="C309" s="828"/>
      <c r="D309" s="114" t="s">
        <v>152</v>
      </c>
      <c r="E309" s="829"/>
      <c r="F309" s="830" t="s">
        <v>1470</v>
      </c>
    </row>
    <row r="310" spans="2:6" ht="24" outlineLevel="1" x14ac:dyDescent="0.2">
      <c r="B310" s="1140"/>
      <c r="C310" s="828"/>
      <c r="D310" s="114" t="s">
        <v>163</v>
      </c>
      <c r="E310" s="829"/>
      <c r="F310" s="830">
        <v>736.02</v>
      </c>
    </row>
    <row r="311" spans="2:6" outlineLevel="1" x14ac:dyDescent="0.2">
      <c r="B311" s="1140"/>
      <c r="C311" s="828"/>
      <c r="D311" s="114" t="s">
        <v>164</v>
      </c>
      <c r="E311" s="829"/>
      <c r="F311" s="830" t="s">
        <v>1472</v>
      </c>
    </row>
    <row r="312" spans="2:6" ht="24" outlineLevel="1" x14ac:dyDescent="0.2">
      <c r="B312" s="1140"/>
      <c r="C312" s="828"/>
      <c r="D312" s="114" t="s">
        <v>165</v>
      </c>
      <c r="E312" s="829"/>
      <c r="F312" s="830" t="s">
        <v>1473</v>
      </c>
    </row>
    <row r="313" spans="2:6" outlineLevel="1" x14ac:dyDescent="0.2">
      <c r="B313" s="1140"/>
      <c r="C313" s="828"/>
      <c r="D313" s="114" t="s">
        <v>224</v>
      </c>
      <c r="E313" s="829"/>
      <c r="F313" s="830" t="s">
        <v>1474</v>
      </c>
    </row>
    <row r="314" spans="2:6" ht="48" outlineLevel="1" x14ac:dyDescent="0.2">
      <c r="B314" s="1140"/>
      <c r="C314" s="828"/>
      <c r="D314" s="114" t="s">
        <v>173</v>
      </c>
      <c r="E314" s="829"/>
      <c r="F314" s="830" t="s">
        <v>1475</v>
      </c>
    </row>
    <row r="315" spans="2:6" ht="48" outlineLevel="1" x14ac:dyDescent="0.2">
      <c r="B315" s="1140"/>
      <c r="C315" s="828"/>
      <c r="D315" s="114" t="s">
        <v>174</v>
      </c>
      <c r="E315" s="829"/>
      <c r="F315" s="830" t="s">
        <v>1476</v>
      </c>
    </row>
    <row r="316" spans="2:6" ht="48" outlineLevel="1" x14ac:dyDescent="0.2">
      <c r="B316" s="1140"/>
      <c r="C316" s="828"/>
      <c r="D316" s="114" t="s">
        <v>175</v>
      </c>
      <c r="E316" s="829"/>
      <c r="F316" s="830" t="s">
        <v>1477</v>
      </c>
    </row>
    <row r="317" spans="2:6" ht="48" outlineLevel="1" x14ac:dyDescent="0.2">
      <c r="B317" s="1140"/>
      <c r="C317" s="828"/>
      <c r="D317" s="114" t="s">
        <v>171</v>
      </c>
      <c r="E317" s="829"/>
      <c r="F317" s="830" t="s">
        <v>1478</v>
      </c>
    </row>
    <row r="318" spans="2:6" ht="48" outlineLevel="1" x14ac:dyDescent="0.2">
      <c r="B318" s="1140"/>
      <c r="C318" s="828"/>
      <c r="D318" s="114" t="s">
        <v>225</v>
      </c>
      <c r="E318" s="829"/>
      <c r="F318" s="830" t="s">
        <v>1479</v>
      </c>
    </row>
    <row r="319" spans="2:6" ht="48" outlineLevel="1" x14ac:dyDescent="0.2">
      <c r="B319" s="1140"/>
      <c r="C319" s="828"/>
      <c r="D319" s="114" t="s">
        <v>226</v>
      </c>
      <c r="E319" s="829"/>
      <c r="F319" s="830" t="s">
        <v>1478</v>
      </c>
    </row>
    <row r="320" spans="2:6" ht="48" outlineLevel="1" x14ac:dyDescent="0.2">
      <c r="B320" s="1140"/>
      <c r="C320" s="828"/>
      <c r="D320" s="114" t="s">
        <v>227</v>
      </c>
      <c r="E320" s="829"/>
      <c r="F320" s="830" t="s">
        <v>1477</v>
      </c>
    </row>
    <row r="321" spans="2:6" outlineLevel="1" x14ac:dyDescent="0.2">
      <c r="B321" s="1141"/>
      <c r="C321" s="828"/>
      <c r="D321" s="114" t="s">
        <v>149</v>
      </c>
      <c r="E321" s="829"/>
      <c r="F321" s="830"/>
    </row>
    <row r="322" spans="2:6" ht="27.95" customHeight="1" x14ac:dyDescent="0.2">
      <c r="B322" s="1142" t="s">
        <v>1110</v>
      </c>
      <c r="C322" s="1143"/>
      <c r="D322" s="1143"/>
      <c r="E322" s="1143"/>
      <c r="F322" s="1143"/>
    </row>
    <row r="323" spans="2:6" ht="51" x14ac:dyDescent="0.2">
      <c r="B323" s="1139">
        <v>14</v>
      </c>
      <c r="C323" s="825" t="s">
        <v>1480</v>
      </c>
      <c r="D323" s="113" t="s">
        <v>228</v>
      </c>
      <c r="E323" s="826" t="s">
        <v>1481</v>
      </c>
      <c r="F323" s="827" t="s">
        <v>1482</v>
      </c>
    </row>
    <row r="324" spans="2:6" ht="36" outlineLevel="1" x14ac:dyDescent="0.2">
      <c r="B324" s="1140"/>
      <c r="C324" s="828"/>
      <c r="D324" s="114" t="s">
        <v>341</v>
      </c>
      <c r="E324" s="829"/>
      <c r="F324" s="830" t="s">
        <v>2</v>
      </c>
    </row>
    <row r="325" spans="2:6" outlineLevel="1" x14ac:dyDescent="0.2">
      <c r="B325" s="1140"/>
      <c r="C325" s="828"/>
      <c r="D325" s="114" t="s">
        <v>216</v>
      </c>
      <c r="E325" s="829"/>
      <c r="F325" s="830" t="s">
        <v>2</v>
      </c>
    </row>
    <row r="326" spans="2:6" ht="36" outlineLevel="1" x14ac:dyDescent="0.2">
      <c r="B326" s="1140"/>
      <c r="C326" s="828"/>
      <c r="D326" s="114" t="s">
        <v>342</v>
      </c>
      <c r="E326" s="829"/>
      <c r="F326" s="830" t="s">
        <v>2</v>
      </c>
    </row>
    <row r="327" spans="2:6" ht="48" outlineLevel="1" x14ac:dyDescent="0.2">
      <c r="B327" s="1140"/>
      <c r="C327" s="828"/>
      <c r="D327" s="114" t="s">
        <v>350</v>
      </c>
      <c r="E327" s="829"/>
      <c r="F327" s="830" t="s">
        <v>2</v>
      </c>
    </row>
    <row r="328" spans="2:6" ht="48" outlineLevel="1" x14ac:dyDescent="0.2">
      <c r="B328" s="1140"/>
      <c r="C328" s="828"/>
      <c r="D328" s="114" t="s">
        <v>1380</v>
      </c>
      <c r="E328" s="829"/>
      <c r="F328" s="830" t="s">
        <v>2</v>
      </c>
    </row>
    <row r="329" spans="2:6" ht="48" outlineLevel="1" x14ac:dyDescent="0.2">
      <c r="B329" s="1140"/>
      <c r="C329" s="828"/>
      <c r="D329" s="114" t="s">
        <v>1319</v>
      </c>
      <c r="E329" s="829"/>
      <c r="F329" s="830" t="s">
        <v>2</v>
      </c>
    </row>
    <row r="330" spans="2:6" outlineLevel="1" x14ac:dyDescent="0.2">
      <c r="B330" s="1140"/>
      <c r="C330" s="828"/>
      <c r="D330" s="114" t="s">
        <v>148</v>
      </c>
      <c r="E330" s="829"/>
      <c r="F330" s="830" t="s">
        <v>1483</v>
      </c>
    </row>
    <row r="331" spans="2:6" ht="24" outlineLevel="1" x14ac:dyDescent="0.2">
      <c r="B331" s="1140"/>
      <c r="C331" s="828"/>
      <c r="D331" s="114" t="s">
        <v>153</v>
      </c>
      <c r="E331" s="829"/>
      <c r="F331" s="830" t="s">
        <v>1483</v>
      </c>
    </row>
    <row r="332" spans="2:6" outlineLevel="1" x14ac:dyDescent="0.2">
      <c r="B332" s="1140"/>
      <c r="C332" s="828"/>
      <c r="D332" s="114" t="s">
        <v>154</v>
      </c>
      <c r="E332" s="829"/>
      <c r="F332" s="830" t="s">
        <v>1484</v>
      </c>
    </row>
    <row r="333" spans="2:6" ht="24" outlineLevel="1" x14ac:dyDescent="0.2">
      <c r="B333" s="1140"/>
      <c r="C333" s="828"/>
      <c r="D333" s="114" t="s">
        <v>217</v>
      </c>
      <c r="E333" s="829"/>
      <c r="F333" s="830" t="s">
        <v>1485</v>
      </c>
    </row>
    <row r="334" spans="2:6" ht="36" outlineLevel="1" x14ac:dyDescent="0.2">
      <c r="B334" s="1140"/>
      <c r="C334" s="828"/>
      <c r="D334" s="114" t="s">
        <v>218</v>
      </c>
      <c r="E334" s="829"/>
      <c r="F334" s="830" t="s">
        <v>1486</v>
      </c>
    </row>
    <row r="335" spans="2:6" ht="36" outlineLevel="1" x14ac:dyDescent="0.2">
      <c r="B335" s="1140"/>
      <c r="C335" s="828"/>
      <c r="D335" s="114" t="s">
        <v>219</v>
      </c>
      <c r="E335" s="829"/>
      <c r="F335" s="830" t="s">
        <v>1483</v>
      </c>
    </row>
    <row r="336" spans="2:6" ht="36" outlineLevel="1" x14ac:dyDescent="0.2">
      <c r="B336" s="1140"/>
      <c r="C336" s="828"/>
      <c r="D336" s="114" t="s">
        <v>220</v>
      </c>
      <c r="E336" s="829"/>
      <c r="F336" s="830" t="s">
        <v>1483</v>
      </c>
    </row>
    <row r="337" spans="2:6" ht="36" outlineLevel="1" x14ac:dyDescent="0.2">
      <c r="B337" s="1140"/>
      <c r="C337" s="828"/>
      <c r="D337" s="114" t="s">
        <v>221</v>
      </c>
      <c r="E337" s="829"/>
      <c r="F337" s="830" t="s">
        <v>1487</v>
      </c>
    </row>
    <row r="338" spans="2:6" ht="48" outlineLevel="1" x14ac:dyDescent="0.2">
      <c r="B338" s="1140"/>
      <c r="C338" s="828"/>
      <c r="D338" s="114" t="s">
        <v>222</v>
      </c>
      <c r="E338" s="829"/>
      <c r="F338" s="830" t="s">
        <v>1483</v>
      </c>
    </row>
    <row r="339" spans="2:6" ht="36" outlineLevel="1" x14ac:dyDescent="0.2">
      <c r="B339" s="1140"/>
      <c r="C339" s="828"/>
      <c r="D339" s="114" t="s">
        <v>223</v>
      </c>
      <c r="E339" s="829"/>
      <c r="F339" s="830" t="s">
        <v>1488</v>
      </c>
    </row>
    <row r="340" spans="2:6" outlineLevel="1" x14ac:dyDescent="0.2">
      <c r="B340" s="1140"/>
      <c r="C340" s="828"/>
      <c r="D340" s="114" t="s">
        <v>155</v>
      </c>
      <c r="E340" s="829"/>
      <c r="F340" s="830" t="s">
        <v>1487</v>
      </c>
    </row>
    <row r="341" spans="2:6" ht="24" outlineLevel="1" x14ac:dyDescent="0.2">
      <c r="B341" s="1140"/>
      <c r="C341" s="828"/>
      <c r="D341" s="114" t="s">
        <v>156</v>
      </c>
      <c r="E341" s="829"/>
      <c r="F341" s="830" t="s">
        <v>1486</v>
      </c>
    </row>
    <row r="342" spans="2:6" ht="24" outlineLevel="1" x14ac:dyDescent="0.2">
      <c r="B342" s="1140"/>
      <c r="C342" s="828"/>
      <c r="D342" s="114" t="s">
        <v>157</v>
      </c>
      <c r="E342" s="829"/>
      <c r="F342" s="830" t="s">
        <v>1489</v>
      </c>
    </row>
    <row r="343" spans="2:6" ht="36" outlineLevel="1" x14ac:dyDescent="0.2">
      <c r="B343" s="1140"/>
      <c r="C343" s="828"/>
      <c r="D343" s="114" t="s">
        <v>158</v>
      </c>
      <c r="E343" s="829"/>
      <c r="F343" s="830" t="s">
        <v>1490</v>
      </c>
    </row>
    <row r="344" spans="2:6" ht="60" outlineLevel="1" x14ac:dyDescent="0.2">
      <c r="B344" s="1140"/>
      <c r="C344" s="828"/>
      <c r="D344" s="114" t="s">
        <v>159</v>
      </c>
      <c r="E344" s="829"/>
      <c r="F344" s="830" t="s">
        <v>1483</v>
      </c>
    </row>
    <row r="345" spans="2:6" outlineLevel="1" x14ac:dyDescent="0.2">
      <c r="B345" s="1140"/>
      <c r="C345" s="828"/>
      <c r="D345" s="114" t="s">
        <v>160</v>
      </c>
      <c r="E345" s="829"/>
      <c r="F345" s="830" t="s">
        <v>1491</v>
      </c>
    </row>
    <row r="346" spans="2:6" outlineLevel="1" x14ac:dyDescent="0.2">
      <c r="B346" s="1141"/>
      <c r="C346" s="828"/>
      <c r="D346" s="114" t="s">
        <v>149</v>
      </c>
      <c r="E346" s="829"/>
      <c r="F346" s="830"/>
    </row>
    <row r="347" spans="2:6" ht="27.95" customHeight="1" x14ac:dyDescent="0.2">
      <c r="B347" s="1142" t="s">
        <v>1243</v>
      </c>
      <c r="C347" s="1143"/>
      <c r="D347" s="1143"/>
      <c r="E347" s="1143"/>
      <c r="F347" s="1143"/>
    </row>
    <row r="348" spans="2:6" ht="51" x14ac:dyDescent="0.2">
      <c r="B348" s="1139">
        <v>15</v>
      </c>
      <c r="C348" s="825" t="s">
        <v>1480</v>
      </c>
      <c r="D348" s="113" t="s">
        <v>228</v>
      </c>
      <c r="E348" s="826" t="s">
        <v>1481</v>
      </c>
      <c r="F348" s="827" t="s">
        <v>1482</v>
      </c>
    </row>
    <row r="349" spans="2:6" ht="36" outlineLevel="1" x14ac:dyDescent="0.2">
      <c r="B349" s="1140"/>
      <c r="C349" s="828"/>
      <c r="D349" s="114" t="s">
        <v>341</v>
      </c>
      <c r="E349" s="829"/>
      <c r="F349" s="830" t="s">
        <v>2</v>
      </c>
    </row>
    <row r="350" spans="2:6" outlineLevel="1" x14ac:dyDescent="0.2">
      <c r="B350" s="1140"/>
      <c r="C350" s="828"/>
      <c r="D350" s="114" t="s">
        <v>216</v>
      </c>
      <c r="E350" s="829"/>
      <c r="F350" s="830" t="s">
        <v>2</v>
      </c>
    </row>
    <row r="351" spans="2:6" ht="36" outlineLevel="1" x14ac:dyDescent="0.2">
      <c r="B351" s="1140"/>
      <c r="C351" s="828"/>
      <c r="D351" s="114" t="s">
        <v>342</v>
      </c>
      <c r="E351" s="829"/>
      <c r="F351" s="830" t="s">
        <v>2</v>
      </c>
    </row>
    <row r="352" spans="2:6" ht="48" outlineLevel="1" x14ac:dyDescent="0.2">
      <c r="B352" s="1140"/>
      <c r="C352" s="828"/>
      <c r="D352" s="114" t="s">
        <v>350</v>
      </c>
      <c r="E352" s="829"/>
      <c r="F352" s="830" t="s">
        <v>2</v>
      </c>
    </row>
    <row r="353" spans="2:6" ht="48" outlineLevel="1" x14ac:dyDescent="0.2">
      <c r="B353" s="1140"/>
      <c r="C353" s="828"/>
      <c r="D353" s="114" t="s">
        <v>1380</v>
      </c>
      <c r="E353" s="829"/>
      <c r="F353" s="830" t="s">
        <v>2</v>
      </c>
    </row>
    <row r="354" spans="2:6" ht="48" outlineLevel="1" x14ac:dyDescent="0.2">
      <c r="B354" s="1140"/>
      <c r="C354" s="828"/>
      <c r="D354" s="114" t="s">
        <v>1319</v>
      </c>
      <c r="E354" s="829"/>
      <c r="F354" s="830" t="s">
        <v>2</v>
      </c>
    </row>
    <row r="355" spans="2:6" outlineLevel="1" x14ac:dyDescent="0.2">
      <c r="B355" s="1140"/>
      <c r="C355" s="828"/>
      <c r="D355" s="114" t="s">
        <v>148</v>
      </c>
      <c r="E355" s="829"/>
      <c r="F355" s="830" t="s">
        <v>1483</v>
      </c>
    </row>
    <row r="356" spans="2:6" ht="24" outlineLevel="1" x14ac:dyDescent="0.2">
      <c r="B356" s="1140"/>
      <c r="C356" s="828"/>
      <c r="D356" s="114" t="s">
        <v>153</v>
      </c>
      <c r="E356" s="829"/>
      <c r="F356" s="830" t="s">
        <v>1483</v>
      </c>
    </row>
    <row r="357" spans="2:6" outlineLevel="1" x14ac:dyDescent="0.2">
      <c r="B357" s="1140"/>
      <c r="C357" s="828"/>
      <c r="D357" s="114" t="s">
        <v>154</v>
      </c>
      <c r="E357" s="829"/>
      <c r="F357" s="830" t="s">
        <v>1484</v>
      </c>
    </row>
    <row r="358" spans="2:6" ht="24" outlineLevel="1" x14ac:dyDescent="0.2">
      <c r="B358" s="1140"/>
      <c r="C358" s="828"/>
      <c r="D358" s="114" t="s">
        <v>217</v>
      </c>
      <c r="E358" s="829"/>
      <c r="F358" s="830" t="s">
        <v>1485</v>
      </c>
    </row>
    <row r="359" spans="2:6" ht="36" outlineLevel="1" x14ac:dyDescent="0.2">
      <c r="B359" s="1140"/>
      <c r="C359" s="828"/>
      <c r="D359" s="114" t="s">
        <v>218</v>
      </c>
      <c r="E359" s="829"/>
      <c r="F359" s="830" t="s">
        <v>1486</v>
      </c>
    </row>
    <row r="360" spans="2:6" ht="36" outlineLevel="1" x14ac:dyDescent="0.2">
      <c r="B360" s="1140"/>
      <c r="C360" s="828"/>
      <c r="D360" s="114" t="s">
        <v>219</v>
      </c>
      <c r="E360" s="829"/>
      <c r="F360" s="830" t="s">
        <v>1483</v>
      </c>
    </row>
    <row r="361" spans="2:6" ht="36" outlineLevel="1" x14ac:dyDescent="0.2">
      <c r="B361" s="1140"/>
      <c r="C361" s="828"/>
      <c r="D361" s="114" t="s">
        <v>220</v>
      </c>
      <c r="E361" s="829"/>
      <c r="F361" s="830" t="s">
        <v>1483</v>
      </c>
    </row>
    <row r="362" spans="2:6" ht="36" outlineLevel="1" x14ac:dyDescent="0.2">
      <c r="B362" s="1140"/>
      <c r="C362" s="828"/>
      <c r="D362" s="114" t="s">
        <v>221</v>
      </c>
      <c r="E362" s="829"/>
      <c r="F362" s="830" t="s">
        <v>1487</v>
      </c>
    </row>
    <row r="363" spans="2:6" ht="48" outlineLevel="1" x14ac:dyDescent="0.2">
      <c r="B363" s="1140"/>
      <c r="C363" s="828"/>
      <c r="D363" s="114" t="s">
        <v>222</v>
      </c>
      <c r="E363" s="829"/>
      <c r="F363" s="830" t="s">
        <v>1483</v>
      </c>
    </row>
    <row r="364" spans="2:6" ht="36" outlineLevel="1" x14ac:dyDescent="0.2">
      <c r="B364" s="1140"/>
      <c r="C364" s="828"/>
      <c r="D364" s="114" t="s">
        <v>223</v>
      </c>
      <c r="E364" s="829"/>
      <c r="F364" s="830" t="s">
        <v>1488</v>
      </c>
    </row>
    <row r="365" spans="2:6" outlineLevel="1" x14ac:dyDescent="0.2">
      <c r="B365" s="1140"/>
      <c r="C365" s="828"/>
      <c r="D365" s="114" t="s">
        <v>155</v>
      </c>
      <c r="E365" s="829"/>
      <c r="F365" s="830" t="s">
        <v>1487</v>
      </c>
    </row>
    <row r="366" spans="2:6" ht="24" outlineLevel="1" x14ac:dyDescent="0.2">
      <c r="B366" s="1140"/>
      <c r="C366" s="828"/>
      <c r="D366" s="114" t="s">
        <v>156</v>
      </c>
      <c r="E366" s="829"/>
      <c r="F366" s="830" t="s">
        <v>1486</v>
      </c>
    </row>
    <row r="367" spans="2:6" ht="24" outlineLevel="1" x14ac:dyDescent="0.2">
      <c r="B367" s="1140"/>
      <c r="C367" s="828"/>
      <c r="D367" s="114" t="s">
        <v>157</v>
      </c>
      <c r="E367" s="829"/>
      <c r="F367" s="830" t="s">
        <v>1489</v>
      </c>
    </row>
    <row r="368" spans="2:6" ht="36" outlineLevel="1" x14ac:dyDescent="0.2">
      <c r="B368" s="1140"/>
      <c r="C368" s="828"/>
      <c r="D368" s="114" t="s">
        <v>158</v>
      </c>
      <c r="E368" s="829"/>
      <c r="F368" s="830" t="s">
        <v>1490</v>
      </c>
    </row>
    <row r="369" spans="2:6" ht="60" outlineLevel="1" x14ac:dyDescent="0.2">
      <c r="B369" s="1140"/>
      <c r="C369" s="828"/>
      <c r="D369" s="114" t="s">
        <v>159</v>
      </c>
      <c r="E369" s="829"/>
      <c r="F369" s="830" t="s">
        <v>1483</v>
      </c>
    </row>
    <row r="370" spans="2:6" outlineLevel="1" x14ac:dyDescent="0.2">
      <c r="B370" s="1140"/>
      <c r="C370" s="828"/>
      <c r="D370" s="114" t="s">
        <v>160</v>
      </c>
      <c r="E370" s="829"/>
      <c r="F370" s="830" t="s">
        <v>1491</v>
      </c>
    </row>
    <row r="371" spans="2:6" outlineLevel="1" x14ac:dyDescent="0.2">
      <c r="B371" s="1141"/>
      <c r="C371" s="828"/>
      <c r="D371" s="114" t="s">
        <v>149</v>
      </c>
      <c r="E371" s="829"/>
      <c r="F371" s="830"/>
    </row>
    <row r="372" spans="2:6" ht="27.95" customHeight="1" x14ac:dyDescent="0.2">
      <c r="B372" s="1142" t="s">
        <v>1246</v>
      </c>
      <c r="C372" s="1143"/>
      <c r="D372" s="1143"/>
      <c r="E372" s="1143"/>
      <c r="F372" s="1143"/>
    </row>
    <row r="373" spans="2:6" ht="51" x14ac:dyDescent="0.2">
      <c r="B373" s="1139">
        <v>16</v>
      </c>
      <c r="C373" s="825" t="s">
        <v>1480</v>
      </c>
      <c r="D373" s="113" t="s">
        <v>228</v>
      </c>
      <c r="E373" s="826" t="s">
        <v>1481</v>
      </c>
      <c r="F373" s="827" t="s">
        <v>1482</v>
      </c>
    </row>
    <row r="374" spans="2:6" ht="36" outlineLevel="1" x14ac:dyDescent="0.2">
      <c r="B374" s="1140"/>
      <c r="C374" s="828"/>
      <c r="D374" s="114" t="s">
        <v>341</v>
      </c>
      <c r="E374" s="829"/>
      <c r="F374" s="830" t="s">
        <v>2</v>
      </c>
    </row>
    <row r="375" spans="2:6" outlineLevel="1" x14ac:dyDescent="0.2">
      <c r="B375" s="1140"/>
      <c r="C375" s="828"/>
      <c r="D375" s="114" t="s">
        <v>216</v>
      </c>
      <c r="E375" s="829"/>
      <c r="F375" s="830" t="s">
        <v>2</v>
      </c>
    </row>
    <row r="376" spans="2:6" ht="36" outlineLevel="1" x14ac:dyDescent="0.2">
      <c r="B376" s="1140"/>
      <c r="C376" s="828"/>
      <c r="D376" s="114" t="s">
        <v>342</v>
      </c>
      <c r="E376" s="829"/>
      <c r="F376" s="830" t="s">
        <v>2</v>
      </c>
    </row>
    <row r="377" spans="2:6" ht="48" outlineLevel="1" x14ac:dyDescent="0.2">
      <c r="B377" s="1140"/>
      <c r="C377" s="828"/>
      <c r="D377" s="114" t="s">
        <v>350</v>
      </c>
      <c r="E377" s="829"/>
      <c r="F377" s="830" t="s">
        <v>2</v>
      </c>
    </row>
    <row r="378" spans="2:6" ht="48" outlineLevel="1" x14ac:dyDescent="0.2">
      <c r="B378" s="1140"/>
      <c r="C378" s="828"/>
      <c r="D378" s="114" t="s">
        <v>1380</v>
      </c>
      <c r="E378" s="829"/>
      <c r="F378" s="830" t="s">
        <v>2</v>
      </c>
    </row>
    <row r="379" spans="2:6" ht="48" outlineLevel="1" x14ac:dyDescent="0.2">
      <c r="B379" s="1140"/>
      <c r="C379" s="828"/>
      <c r="D379" s="114" t="s">
        <v>1319</v>
      </c>
      <c r="E379" s="829"/>
      <c r="F379" s="830" t="s">
        <v>2</v>
      </c>
    </row>
    <row r="380" spans="2:6" outlineLevel="1" x14ac:dyDescent="0.2">
      <c r="B380" s="1140"/>
      <c r="C380" s="828"/>
      <c r="D380" s="114" t="s">
        <v>148</v>
      </c>
      <c r="E380" s="829"/>
      <c r="F380" s="830" t="s">
        <v>1483</v>
      </c>
    </row>
    <row r="381" spans="2:6" ht="24" outlineLevel="1" x14ac:dyDescent="0.2">
      <c r="B381" s="1140"/>
      <c r="C381" s="828"/>
      <c r="D381" s="114" t="s">
        <v>153</v>
      </c>
      <c r="E381" s="829"/>
      <c r="F381" s="830" t="s">
        <v>1483</v>
      </c>
    </row>
    <row r="382" spans="2:6" outlineLevel="1" x14ac:dyDescent="0.2">
      <c r="B382" s="1140"/>
      <c r="C382" s="828"/>
      <c r="D382" s="114" t="s">
        <v>154</v>
      </c>
      <c r="E382" s="829"/>
      <c r="F382" s="830" t="s">
        <v>1484</v>
      </c>
    </row>
    <row r="383" spans="2:6" ht="24" outlineLevel="1" x14ac:dyDescent="0.2">
      <c r="B383" s="1140"/>
      <c r="C383" s="828"/>
      <c r="D383" s="114" t="s">
        <v>217</v>
      </c>
      <c r="E383" s="829"/>
      <c r="F383" s="830" t="s">
        <v>1485</v>
      </c>
    </row>
    <row r="384" spans="2:6" ht="36" outlineLevel="1" x14ac:dyDescent="0.2">
      <c r="B384" s="1140"/>
      <c r="C384" s="828"/>
      <c r="D384" s="114" t="s">
        <v>218</v>
      </c>
      <c r="E384" s="829"/>
      <c r="F384" s="830" t="s">
        <v>1486</v>
      </c>
    </row>
    <row r="385" spans="2:6" ht="36" outlineLevel="1" x14ac:dyDescent="0.2">
      <c r="B385" s="1140"/>
      <c r="C385" s="828"/>
      <c r="D385" s="114" t="s">
        <v>219</v>
      </c>
      <c r="E385" s="829"/>
      <c r="F385" s="830" t="s">
        <v>1483</v>
      </c>
    </row>
    <row r="386" spans="2:6" ht="36" outlineLevel="1" x14ac:dyDescent="0.2">
      <c r="B386" s="1140"/>
      <c r="C386" s="828"/>
      <c r="D386" s="114" t="s">
        <v>220</v>
      </c>
      <c r="E386" s="829"/>
      <c r="F386" s="830" t="s">
        <v>1483</v>
      </c>
    </row>
    <row r="387" spans="2:6" ht="36" outlineLevel="1" x14ac:dyDescent="0.2">
      <c r="B387" s="1140"/>
      <c r="C387" s="828"/>
      <c r="D387" s="114" t="s">
        <v>221</v>
      </c>
      <c r="E387" s="829"/>
      <c r="F387" s="830" t="s">
        <v>1487</v>
      </c>
    </row>
    <row r="388" spans="2:6" ht="48" outlineLevel="1" x14ac:dyDescent="0.2">
      <c r="B388" s="1140"/>
      <c r="C388" s="828"/>
      <c r="D388" s="114" t="s">
        <v>222</v>
      </c>
      <c r="E388" s="829"/>
      <c r="F388" s="830" t="s">
        <v>1483</v>
      </c>
    </row>
    <row r="389" spans="2:6" ht="36" outlineLevel="1" x14ac:dyDescent="0.2">
      <c r="B389" s="1140"/>
      <c r="C389" s="828"/>
      <c r="D389" s="114" t="s">
        <v>223</v>
      </c>
      <c r="E389" s="829"/>
      <c r="F389" s="830" t="s">
        <v>1488</v>
      </c>
    </row>
    <row r="390" spans="2:6" outlineLevel="1" x14ac:dyDescent="0.2">
      <c r="B390" s="1140"/>
      <c r="C390" s="828"/>
      <c r="D390" s="114" t="s">
        <v>155</v>
      </c>
      <c r="E390" s="829"/>
      <c r="F390" s="830" t="s">
        <v>1487</v>
      </c>
    </row>
    <row r="391" spans="2:6" ht="24" outlineLevel="1" x14ac:dyDescent="0.2">
      <c r="B391" s="1140"/>
      <c r="C391" s="828"/>
      <c r="D391" s="114" t="s">
        <v>156</v>
      </c>
      <c r="E391" s="829"/>
      <c r="F391" s="830" t="s">
        <v>1486</v>
      </c>
    </row>
    <row r="392" spans="2:6" ht="24" outlineLevel="1" x14ac:dyDescent="0.2">
      <c r="B392" s="1140"/>
      <c r="C392" s="828"/>
      <c r="D392" s="114" t="s">
        <v>157</v>
      </c>
      <c r="E392" s="829"/>
      <c r="F392" s="830" t="s">
        <v>1489</v>
      </c>
    </row>
    <row r="393" spans="2:6" ht="36" outlineLevel="1" x14ac:dyDescent="0.2">
      <c r="B393" s="1140"/>
      <c r="C393" s="828"/>
      <c r="D393" s="114" t="s">
        <v>158</v>
      </c>
      <c r="E393" s="829"/>
      <c r="F393" s="830" t="s">
        <v>1490</v>
      </c>
    </row>
    <row r="394" spans="2:6" ht="60" outlineLevel="1" x14ac:dyDescent="0.2">
      <c r="B394" s="1140"/>
      <c r="C394" s="828"/>
      <c r="D394" s="114" t="s">
        <v>159</v>
      </c>
      <c r="E394" s="829"/>
      <c r="F394" s="830" t="s">
        <v>1483</v>
      </c>
    </row>
    <row r="395" spans="2:6" outlineLevel="1" x14ac:dyDescent="0.2">
      <c r="B395" s="1140"/>
      <c r="C395" s="828"/>
      <c r="D395" s="114" t="s">
        <v>160</v>
      </c>
      <c r="E395" s="829"/>
      <c r="F395" s="830" t="s">
        <v>1491</v>
      </c>
    </row>
    <row r="396" spans="2:6" outlineLevel="1" x14ac:dyDescent="0.2">
      <c r="B396" s="1141"/>
      <c r="C396" s="828"/>
      <c r="D396" s="114" t="s">
        <v>149</v>
      </c>
      <c r="E396" s="829"/>
      <c r="F396" s="830"/>
    </row>
    <row r="397" spans="2:6" ht="27.95" customHeight="1" x14ac:dyDescent="0.2">
      <c r="B397" s="1142" t="s">
        <v>1260</v>
      </c>
      <c r="C397" s="1143"/>
      <c r="D397" s="1143"/>
      <c r="E397" s="1143"/>
      <c r="F397" s="1143"/>
    </row>
    <row r="398" spans="2:6" ht="38.25" x14ac:dyDescent="0.2">
      <c r="B398" s="1139">
        <v>17</v>
      </c>
      <c r="C398" s="825" t="s">
        <v>1492</v>
      </c>
      <c r="D398" s="113" t="s">
        <v>1493</v>
      </c>
      <c r="E398" s="826" t="s">
        <v>1494</v>
      </c>
      <c r="F398" s="827" t="s">
        <v>1495</v>
      </c>
    </row>
    <row r="399" spans="2:6" ht="48" outlineLevel="1" x14ac:dyDescent="0.2">
      <c r="B399" s="1140"/>
      <c r="C399" s="828"/>
      <c r="D399" s="114" t="s">
        <v>345</v>
      </c>
      <c r="E399" s="829"/>
      <c r="F399" s="830" t="s">
        <v>2</v>
      </c>
    </row>
    <row r="400" spans="2:6" outlineLevel="1" x14ac:dyDescent="0.2">
      <c r="B400" s="1140"/>
      <c r="C400" s="828"/>
      <c r="D400" s="114" t="s">
        <v>170</v>
      </c>
      <c r="E400" s="829"/>
      <c r="F400" s="830" t="s">
        <v>2</v>
      </c>
    </row>
    <row r="401" spans="2:6" ht="48" outlineLevel="1" x14ac:dyDescent="0.2">
      <c r="B401" s="1140"/>
      <c r="C401" s="828"/>
      <c r="D401" s="114" t="s">
        <v>346</v>
      </c>
      <c r="E401" s="829"/>
      <c r="F401" s="830" t="s">
        <v>2</v>
      </c>
    </row>
    <row r="402" spans="2:6" ht="48" outlineLevel="1" x14ac:dyDescent="0.2">
      <c r="B402" s="1140"/>
      <c r="C402" s="828"/>
      <c r="D402" s="114" t="s">
        <v>1319</v>
      </c>
      <c r="E402" s="829"/>
      <c r="F402" s="830" t="s">
        <v>2</v>
      </c>
    </row>
    <row r="403" spans="2:6" outlineLevel="1" x14ac:dyDescent="0.2">
      <c r="B403" s="1140"/>
      <c r="C403" s="828"/>
      <c r="D403" s="114" t="s">
        <v>148</v>
      </c>
      <c r="E403" s="829"/>
      <c r="F403" s="830" t="s">
        <v>1496</v>
      </c>
    </row>
    <row r="404" spans="2:6" outlineLevel="1" x14ac:dyDescent="0.2">
      <c r="B404" s="1140"/>
      <c r="C404" s="828"/>
      <c r="D404" s="114" t="s">
        <v>162</v>
      </c>
      <c r="E404" s="829"/>
      <c r="F404" s="830" t="s">
        <v>1496</v>
      </c>
    </row>
    <row r="405" spans="2:6" ht="24" outlineLevel="1" x14ac:dyDescent="0.2">
      <c r="B405" s="1140"/>
      <c r="C405" s="828"/>
      <c r="D405" s="114" t="s">
        <v>172</v>
      </c>
      <c r="E405" s="829"/>
      <c r="F405" s="830" t="s">
        <v>1497</v>
      </c>
    </row>
    <row r="406" spans="2:6" outlineLevel="1" x14ac:dyDescent="0.2">
      <c r="B406" s="1140"/>
      <c r="C406" s="828"/>
      <c r="D406" s="114" t="s">
        <v>152</v>
      </c>
      <c r="E406" s="829"/>
      <c r="F406" s="830" t="s">
        <v>1496</v>
      </c>
    </row>
    <row r="407" spans="2:6" ht="24" outlineLevel="1" x14ac:dyDescent="0.2">
      <c r="B407" s="1140"/>
      <c r="C407" s="828"/>
      <c r="D407" s="114" t="s">
        <v>163</v>
      </c>
      <c r="E407" s="829"/>
      <c r="F407" s="830" t="s">
        <v>1498</v>
      </c>
    </row>
    <row r="408" spans="2:6" outlineLevel="1" x14ac:dyDescent="0.2">
      <c r="B408" s="1140"/>
      <c r="C408" s="828"/>
      <c r="D408" s="114" t="s">
        <v>164</v>
      </c>
      <c r="E408" s="829"/>
      <c r="F408" s="830" t="s">
        <v>1499</v>
      </c>
    </row>
    <row r="409" spans="2:6" ht="24" outlineLevel="1" x14ac:dyDescent="0.2">
      <c r="B409" s="1140"/>
      <c r="C409" s="828"/>
      <c r="D409" s="114" t="s">
        <v>165</v>
      </c>
      <c r="E409" s="829"/>
      <c r="F409" s="830" t="s">
        <v>1500</v>
      </c>
    </row>
    <row r="410" spans="2:6" outlineLevel="1" x14ac:dyDescent="0.2">
      <c r="B410" s="1140"/>
      <c r="C410" s="828"/>
      <c r="D410" s="114" t="s">
        <v>224</v>
      </c>
      <c r="E410" s="829"/>
      <c r="F410" s="830" t="s">
        <v>1501</v>
      </c>
    </row>
    <row r="411" spans="2:6" ht="48" outlineLevel="1" x14ac:dyDescent="0.2">
      <c r="B411" s="1140"/>
      <c r="C411" s="828"/>
      <c r="D411" s="114" t="s">
        <v>173</v>
      </c>
      <c r="E411" s="829"/>
      <c r="F411" s="830" t="s">
        <v>1502</v>
      </c>
    </row>
    <row r="412" spans="2:6" ht="48" outlineLevel="1" x14ac:dyDescent="0.2">
      <c r="B412" s="1140"/>
      <c r="C412" s="828"/>
      <c r="D412" s="114" t="s">
        <v>174</v>
      </c>
      <c r="E412" s="829"/>
      <c r="F412" s="830" t="s">
        <v>1503</v>
      </c>
    </row>
    <row r="413" spans="2:6" ht="48" outlineLevel="1" x14ac:dyDescent="0.2">
      <c r="B413" s="1140"/>
      <c r="C413" s="828"/>
      <c r="D413" s="114" t="s">
        <v>175</v>
      </c>
      <c r="E413" s="829"/>
      <c r="F413" s="830" t="s">
        <v>1504</v>
      </c>
    </row>
    <row r="414" spans="2:6" ht="48" outlineLevel="1" x14ac:dyDescent="0.2">
      <c r="B414" s="1140"/>
      <c r="C414" s="828"/>
      <c r="D414" s="114" t="s">
        <v>171</v>
      </c>
      <c r="E414" s="829"/>
      <c r="F414" s="830" t="s">
        <v>1505</v>
      </c>
    </row>
    <row r="415" spans="2:6" ht="48" outlineLevel="1" x14ac:dyDescent="0.2">
      <c r="B415" s="1140"/>
      <c r="C415" s="828"/>
      <c r="D415" s="114" t="s">
        <v>225</v>
      </c>
      <c r="E415" s="829"/>
      <c r="F415" s="830" t="s">
        <v>1506</v>
      </c>
    </row>
    <row r="416" spans="2:6" ht="48" outlineLevel="1" x14ac:dyDescent="0.2">
      <c r="B416" s="1140"/>
      <c r="C416" s="828"/>
      <c r="D416" s="114" t="s">
        <v>226</v>
      </c>
      <c r="E416" s="829"/>
      <c r="F416" s="830" t="s">
        <v>1505</v>
      </c>
    </row>
    <row r="417" spans="2:6" ht="48" outlineLevel="1" x14ac:dyDescent="0.2">
      <c r="B417" s="1140"/>
      <c r="C417" s="828"/>
      <c r="D417" s="114" t="s">
        <v>227</v>
      </c>
      <c r="E417" s="829"/>
      <c r="F417" s="830" t="s">
        <v>1504</v>
      </c>
    </row>
    <row r="418" spans="2:6" outlineLevel="1" x14ac:dyDescent="0.2">
      <c r="B418" s="1141"/>
      <c r="C418" s="828"/>
      <c r="D418" s="114" t="s">
        <v>149</v>
      </c>
      <c r="E418" s="829"/>
      <c r="F418" s="830"/>
    </row>
    <row r="419" spans="2:6" ht="21" customHeight="1" x14ac:dyDescent="0.2">
      <c r="B419" s="1142" t="s">
        <v>1112</v>
      </c>
      <c r="C419" s="1143"/>
      <c r="D419" s="1143"/>
      <c r="E419" s="1143"/>
      <c r="F419" s="1143"/>
    </row>
    <row r="420" spans="2:6" ht="27.95" customHeight="1" x14ac:dyDescent="0.2">
      <c r="B420" s="831"/>
      <c r="C420" s="1135" t="s">
        <v>1507</v>
      </c>
      <c r="D420" s="1146"/>
      <c r="E420" s="1146"/>
      <c r="F420" s="1146"/>
    </row>
    <row r="421" spans="2:6" ht="51" x14ac:dyDescent="0.2">
      <c r="B421" s="1139">
        <v>18</v>
      </c>
      <c r="C421" s="825" t="s">
        <v>1508</v>
      </c>
      <c r="D421" s="113" t="s">
        <v>166</v>
      </c>
      <c r="E421" s="826" t="s">
        <v>1509</v>
      </c>
      <c r="F421" s="827" t="s">
        <v>1510</v>
      </c>
    </row>
    <row r="422" spans="2:6" outlineLevel="1" x14ac:dyDescent="0.2">
      <c r="B422" s="1140"/>
      <c r="C422" s="828"/>
      <c r="D422" s="114" t="s">
        <v>170</v>
      </c>
      <c r="E422" s="829"/>
      <c r="F422" s="830" t="s">
        <v>2</v>
      </c>
    </row>
    <row r="423" spans="2:6" ht="36" outlineLevel="1" x14ac:dyDescent="0.2">
      <c r="B423" s="1140"/>
      <c r="C423" s="828"/>
      <c r="D423" s="114" t="s">
        <v>230</v>
      </c>
      <c r="E423" s="829"/>
      <c r="F423" s="830" t="s">
        <v>2</v>
      </c>
    </row>
    <row r="424" spans="2:6" ht="48" outlineLevel="1" x14ac:dyDescent="0.2">
      <c r="B424" s="1140"/>
      <c r="C424" s="828"/>
      <c r="D424" s="114" t="s">
        <v>346</v>
      </c>
      <c r="E424" s="829"/>
      <c r="F424" s="830" t="s">
        <v>2</v>
      </c>
    </row>
    <row r="425" spans="2:6" ht="48" outlineLevel="1" x14ac:dyDescent="0.2">
      <c r="B425" s="1140"/>
      <c r="C425" s="828"/>
      <c r="D425" s="114" t="s">
        <v>1319</v>
      </c>
      <c r="E425" s="829"/>
      <c r="F425" s="830" t="s">
        <v>2</v>
      </c>
    </row>
    <row r="426" spans="2:6" ht="24" outlineLevel="1" x14ac:dyDescent="0.2">
      <c r="B426" s="1140"/>
      <c r="C426" s="828"/>
      <c r="D426" s="114" t="s">
        <v>231</v>
      </c>
      <c r="E426" s="829"/>
      <c r="F426" s="830" t="s">
        <v>2</v>
      </c>
    </row>
    <row r="427" spans="2:6" outlineLevel="1" x14ac:dyDescent="0.2">
      <c r="B427" s="1140"/>
      <c r="C427" s="828"/>
      <c r="D427" s="114" t="s">
        <v>232</v>
      </c>
      <c r="E427" s="829"/>
      <c r="F427" s="830" t="s">
        <v>2</v>
      </c>
    </row>
    <row r="428" spans="2:6" ht="24" outlineLevel="1" x14ac:dyDescent="0.2">
      <c r="B428" s="1140"/>
      <c r="C428" s="828"/>
      <c r="D428" s="114" t="s">
        <v>233</v>
      </c>
      <c r="E428" s="829"/>
      <c r="F428" s="830" t="s">
        <v>2</v>
      </c>
    </row>
    <row r="429" spans="2:6" ht="48" outlineLevel="1" x14ac:dyDescent="0.2">
      <c r="B429" s="1140"/>
      <c r="C429" s="828"/>
      <c r="D429" s="114" t="s">
        <v>234</v>
      </c>
      <c r="E429" s="829"/>
      <c r="F429" s="830" t="s">
        <v>2</v>
      </c>
    </row>
    <row r="430" spans="2:6" ht="48" outlineLevel="1" x14ac:dyDescent="0.2">
      <c r="B430" s="1140"/>
      <c r="C430" s="828"/>
      <c r="D430" s="114" t="s">
        <v>235</v>
      </c>
      <c r="E430" s="829"/>
      <c r="F430" s="830" t="s">
        <v>2</v>
      </c>
    </row>
    <row r="431" spans="2:6" ht="48" outlineLevel="1" x14ac:dyDescent="0.2">
      <c r="B431" s="1140"/>
      <c r="C431" s="828"/>
      <c r="D431" s="114" t="s">
        <v>236</v>
      </c>
      <c r="E431" s="829"/>
      <c r="F431" s="830" t="s">
        <v>2</v>
      </c>
    </row>
    <row r="432" spans="2:6" ht="48" outlineLevel="1" x14ac:dyDescent="0.2">
      <c r="B432" s="1140"/>
      <c r="C432" s="828"/>
      <c r="D432" s="114" t="s">
        <v>237</v>
      </c>
      <c r="E432" s="829"/>
      <c r="F432" s="830" t="s">
        <v>2</v>
      </c>
    </row>
    <row r="433" spans="2:6" ht="36" outlineLevel="1" x14ac:dyDescent="0.2">
      <c r="B433" s="1140"/>
      <c r="C433" s="828"/>
      <c r="D433" s="114" t="s">
        <v>238</v>
      </c>
      <c r="E433" s="829"/>
      <c r="F433" s="830" t="s">
        <v>2</v>
      </c>
    </row>
    <row r="434" spans="2:6" ht="48" outlineLevel="1" x14ac:dyDescent="0.2">
      <c r="B434" s="1140"/>
      <c r="C434" s="828"/>
      <c r="D434" s="114" t="s">
        <v>239</v>
      </c>
      <c r="E434" s="829"/>
      <c r="F434" s="830" t="s">
        <v>2</v>
      </c>
    </row>
    <row r="435" spans="2:6" ht="48" outlineLevel="1" x14ac:dyDescent="0.2">
      <c r="B435" s="1140"/>
      <c r="C435" s="828"/>
      <c r="D435" s="114" t="s">
        <v>240</v>
      </c>
      <c r="E435" s="829"/>
      <c r="F435" s="830" t="s">
        <v>2</v>
      </c>
    </row>
    <row r="436" spans="2:6" outlineLevel="1" x14ac:dyDescent="0.2">
      <c r="B436" s="1140"/>
      <c r="C436" s="828"/>
      <c r="D436" s="114" t="s">
        <v>152</v>
      </c>
      <c r="E436" s="829"/>
      <c r="F436" s="830" t="s">
        <v>1511</v>
      </c>
    </row>
    <row r="437" spans="2:6" ht="24" outlineLevel="1" x14ac:dyDescent="0.2">
      <c r="B437" s="1140"/>
      <c r="C437" s="828"/>
      <c r="D437" s="114" t="s">
        <v>163</v>
      </c>
      <c r="E437" s="829"/>
      <c r="F437" s="830" t="s">
        <v>1512</v>
      </c>
    </row>
    <row r="438" spans="2:6" outlineLevel="1" x14ac:dyDescent="0.2">
      <c r="B438" s="1140"/>
      <c r="C438" s="828"/>
      <c r="D438" s="114" t="s">
        <v>164</v>
      </c>
      <c r="E438" s="829"/>
      <c r="F438" s="830" t="s">
        <v>1513</v>
      </c>
    </row>
    <row r="439" spans="2:6" ht="24" outlineLevel="1" x14ac:dyDescent="0.2">
      <c r="B439" s="1140"/>
      <c r="C439" s="828"/>
      <c r="D439" s="114" t="s">
        <v>165</v>
      </c>
      <c r="E439" s="829"/>
      <c r="F439" s="830" t="s">
        <v>1514</v>
      </c>
    </row>
    <row r="440" spans="2:6" outlineLevel="1" x14ac:dyDescent="0.2">
      <c r="B440" s="1140"/>
      <c r="C440" s="828"/>
      <c r="D440" s="114" t="s">
        <v>241</v>
      </c>
      <c r="E440" s="829"/>
      <c r="F440" s="830" t="s">
        <v>2</v>
      </c>
    </row>
    <row r="441" spans="2:6" ht="60" outlineLevel="1" x14ac:dyDescent="0.2">
      <c r="B441" s="1140"/>
      <c r="C441" s="828"/>
      <c r="D441" s="114" t="s">
        <v>242</v>
      </c>
      <c r="E441" s="829"/>
      <c r="F441" s="830" t="s">
        <v>2</v>
      </c>
    </row>
    <row r="442" spans="2:6" outlineLevel="1" x14ac:dyDescent="0.2">
      <c r="B442" s="1140"/>
      <c r="C442" s="828"/>
      <c r="D442" s="114" t="s">
        <v>224</v>
      </c>
      <c r="E442" s="829"/>
      <c r="F442" s="830" t="s">
        <v>1515</v>
      </c>
    </row>
    <row r="443" spans="2:6" outlineLevel="1" x14ac:dyDescent="0.2">
      <c r="B443" s="1140"/>
      <c r="C443" s="828"/>
      <c r="D443" s="114" t="s">
        <v>148</v>
      </c>
      <c r="E443" s="829"/>
      <c r="F443" s="830" t="s">
        <v>1511</v>
      </c>
    </row>
    <row r="444" spans="2:6" outlineLevel="1" x14ac:dyDescent="0.2">
      <c r="B444" s="1140"/>
      <c r="C444" s="828"/>
      <c r="D444" s="114" t="s">
        <v>162</v>
      </c>
      <c r="E444" s="829"/>
      <c r="F444" s="830" t="s">
        <v>1511</v>
      </c>
    </row>
    <row r="445" spans="2:6" ht="24" outlineLevel="1" x14ac:dyDescent="0.2">
      <c r="B445" s="1140"/>
      <c r="C445" s="828"/>
      <c r="D445" s="114" t="s">
        <v>172</v>
      </c>
      <c r="E445" s="829"/>
      <c r="F445" s="830" t="s">
        <v>1516</v>
      </c>
    </row>
    <row r="446" spans="2:6" ht="48" outlineLevel="1" x14ac:dyDescent="0.2">
      <c r="B446" s="1140"/>
      <c r="C446" s="828"/>
      <c r="D446" s="114" t="s">
        <v>173</v>
      </c>
      <c r="E446" s="829"/>
      <c r="F446" s="830" t="s">
        <v>1517</v>
      </c>
    </row>
    <row r="447" spans="2:6" ht="48" outlineLevel="1" x14ac:dyDescent="0.2">
      <c r="B447" s="1140"/>
      <c r="C447" s="828"/>
      <c r="D447" s="114" t="s">
        <v>174</v>
      </c>
      <c r="E447" s="829"/>
      <c r="F447" s="830" t="s">
        <v>1518</v>
      </c>
    </row>
    <row r="448" spans="2:6" ht="48" outlineLevel="1" x14ac:dyDescent="0.2">
      <c r="B448" s="1140"/>
      <c r="C448" s="828"/>
      <c r="D448" s="114" t="s">
        <v>175</v>
      </c>
      <c r="E448" s="829"/>
      <c r="F448" s="830" t="s">
        <v>1519</v>
      </c>
    </row>
    <row r="449" spans="2:6" ht="48" outlineLevel="1" x14ac:dyDescent="0.2">
      <c r="B449" s="1140"/>
      <c r="C449" s="828"/>
      <c r="D449" s="114" t="s">
        <v>171</v>
      </c>
      <c r="E449" s="829"/>
      <c r="F449" s="830" t="s">
        <v>1520</v>
      </c>
    </row>
    <row r="450" spans="2:6" ht="48" outlineLevel="1" x14ac:dyDescent="0.2">
      <c r="B450" s="1140"/>
      <c r="C450" s="828"/>
      <c r="D450" s="114" t="s">
        <v>225</v>
      </c>
      <c r="E450" s="829"/>
      <c r="F450" s="830" t="s">
        <v>1521</v>
      </c>
    </row>
    <row r="451" spans="2:6" ht="48" outlineLevel="1" x14ac:dyDescent="0.2">
      <c r="B451" s="1140"/>
      <c r="C451" s="828"/>
      <c r="D451" s="114" t="s">
        <v>226</v>
      </c>
      <c r="E451" s="829"/>
      <c r="F451" s="830" t="s">
        <v>1520</v>
      </c>
    </row>
    <row r="452" spans="2:6" ht="48" outlineLevel="1" x14ac:dyDescent="0.2">
      <c r="B452" s="1140"/>
      <c r="C452" s="828"/>
      <c r="D452" s="114" t="s">
        <v>227</v>
      </c>
      <c r="E452" s="829"/>
      <c r="F452" s="830" t="s">
        <v>1519</v>
      </c>
    </row>
    <row r="453" spans="2:6" outlineLevel="1" x14ac:dyDescent="0.2">
      <c r="B453" s="1141"/>
      <c r="C453" s="828"/>
      <c r="D453" s="114" t="s">
        <v>149</v>
      </c>
      <c r="E453" s="829"/>
      <c r="F453" s="830"/>
    </row>
    <row r="454" spans="2:6" ht="27.95" customHeight="1" x14ac:dyDescent="0.2">
      <c r="B454" s="1142" t="s">
        <v>1176</v>
      </c>
      <c r="C454" s="1143"/>
      <c r="D454" s="1143"/>
      <c r="E454" s="1143"/>
      <c r="F454" s="1143"/>
    </row>
    <row r="455" spans="2:6" ht="27.95" customHeight="1" x14ac:dyDescent="0.2">
      <c r="B455" s="831"/>
      <c r="C455" s="1135" t="s">
        <v>1208</v>
      </c>
      <c r="D455" s="1146"/>
      <c r="E455" s="1146"/>
      <c r="F455" s="1146"/>
    </row>
    <row r="456" spans="2:6" ht="38.25" x14ac:dyDescent="0.2">
      <c r="B456" s="1139">
        <v>19</v>
      </c>
      <c r="C456" s="825" t="s">
        <v>1522</v>
      </c>
      <c r="D456" s="113" t="s">
        <v>166</v>
      </c>
      <c r="E456" s="826" t="s">
        <v>1523</v>
      </c>
      <c r="F456" s="827" t="s">
        <v>1524</v>
      </c>
    </row>
    <row r="457" spans="2:6" outlineLevel="1" x14ac:dyDescent="0.2">
      <c r="B457" s="1140"/>
      <c r="C457" s="828"/>
      <c r="D457" s="114" t="s">
        <v>170</v>
      </c>
      <c r="E457" s="829"/>
      <c r="F457" s="830" t="s">
        <v>2</v>
      </c>
    </row>
    <row r="458" spans="2:6" ht="36" outlineLevel="1" x14ac:dyDescent="0.2">
      <c r="B458" s="1140"/>
      <c r="C458" s="828"/>
      <c r="D458" s="114" t="s">
        <v>230</v>
      </c>
      <c r="E458" s="829"/>
      <c r="F458" s="830" t="s">
        <v>2</v>
      </c>
    </row>
    <row r="459" spans="2:6" ht="48" outlineLevel="1" x14ac:dyDescent="0.2">
      <c r="B459" s="1140"/>
      <c r="C459" s="828"/>
      <c r="D459" s="114" t="s">
        <v>346</v>
      </c>
      <c r="E459" s="829"/>
      <c r="F459" s="830" t="s">
        <v>2</v>
      </c>
    </row>
    <row r="460" spans="2:6" ht="48" outlineLevel="1" x14ac:dyDescent="0.2">
      <c r="B460" s="1140"/>
      <c r="C460" s="828"/>
      <c r="D460" s="114" t="s">
        <v>1319</v>
      </c>
      <c r="E460" s="829"/>
      <c r="F460" s="830" t="s">
        <v>2</v>
      </c>
    </row>
    <row r="461" spans="2:6" ht="24" outlineLevel="1" x14ac:dyDescent="0.2">
      <c r="B461" s="1140"/>
      <c r="C461" s="828"/>
      <c r="D461" s="114" t="s">
        <v>231</v>
      </c>
      <c r="E461" s="829"/>
      <c r="F461" s="830" t="s">
        <v>2</v>
      </c>
    </row>
    <row r="462" spans="2:6" outlineLevel="1" x14ac:dyDescent="0.2">
      <c r="B462" s="1140"/>
      <c r="C462" s="828"/>
      <c r="D462" s="114" t="s">
        <v>232</v>
      </c>
      <c r="E462" s="829"/>
      <c r="F462" s="830" t="s">
        <v>2</v>
      </c>
    </row>
    <row r="463" spans="2:6" ht="24" outlineLevel="1" x14ac:dyDescent="0.2">
      <c r="B463" s="1140"/>
      <c r="C463" s="828"/>
      <c r="D463" s="114" t="s">
        <v>233</v>
      </c>
      <c r="E463" s="829"/>
      <c r="F463" s="830" t="s">
        <v>2</v>
      </c>
    </row>
    <row r="464" spans="2:6" ht="48" outlineLevel="1" x14ac:dyDescent="0.2">
      <c r="B464" s="1140"/>
      <c r="C464" s="828"/>
      <c r="D464" s="114" t="s">
        <v>234</v>
      </c>
      <c r="E464" s="829"/>
      <c r="F464" s="830" t="s">
        <v>2</v>
      </c>
    </row>
    <row r="465" spans="2:6" ht="48" outlineLevel="1" x14ac:dyDescent="0.2">
      <c r="B465" s="1140"/>
      <c r="C465" s="828"/>
      <c r="D465" s="114" t="s">
        <v>235</v>
      </c>
      <c r="E465" s="829"/>
      <c r="F465" s="830" t="s">
        <v>2</v>
      </c>
    </row>
    <row r="466" spans="2:6" ht="48" outlineLevel="1" x14ac:dyDescent="0.2">
      <c r="B466" s="1140"/>
      <c r="C466" s="828"/>
      <c r="D466" s="114" t="s">
        <v>236</v>
      </c>
      <c r="E466" s="829"/>
      <c r="F466" s="830" t="s">
        <v>2</v>
      </c>
    </row>
    <row r="467" spans="2:6" ht="48" outlineLevel="1" x14ac:dyDescent="0.2">
      <c r="B467" s="1140"/>
      <c r="C467" s="828"/>
      <c r="D467" s="114" t="s">
        <v>237</v>
      </c>
      <c r="E467" s="829"/>
      <c r="F467" s="830" t="s">
        <v>2</v>
      </c>
    </row>
    <row r="468" spans="2:6" ht="36" outlineLevel="1" x14ac:dyDescent="0.2">
      <c r="B468" s="1140"/>
      <c r="C468" s="828"/>
      <c r="D468" s="114" t="s">
        <v>238</v>
      </c>
      <c r="E468" s="829"/>
      <c r="F468" s="830" t="s">
        <v>2</v>
      </c>
    </row>
    <row r="469" spans="2:6" ht="48" outlineLevel="1" x14ac:dyDescent="0.2">
      <c r="B469" s="1140"/>
      <c r="C469" s="828"/>
      <c r="D469" s="114" t="s">
        <v>239</v>
      </c>
      <c r="E469" s="829"/>
      <c r="F469" s="830" t="s">
        <v>2</v>
      </c>
    </row>
    <row r="470" spans="2:6" ht="48" outlineLevel="1" x14ac:dyDescent="0.2">
      <c r="B470" s="1140"/>
      <c r="C470" s="828"/>
      <c r="D470" s="114" t="s">
        <v>240</v>
      </c>
      <c r="E470" s="829"/>
      <c r="F470" s="830" t="s">
        <v>2</v>
      </c>
    </row>
    <row r="471" spans="2:6" outlineLevel="1" x14ac:dyDescent="0.2">
      <c r="B471" s="1140"/>
      <c r="C471" s="828"/>
      <c r="D471" s="114" t="s">
        <v>152</v>
      </c>
      <c r="E471" s="829"/>
      <c r="F471" s="830">
        <v>592.79999999999995</v>
      </c>
    </row>
    <row r="472" spans="2:6" ht="24" outlineLevel="1" x14ac:dyDescent="0.2">
      <c r="B472" s="1140"/>
      <c r="C472" s="828"/>
      <c r="D472" s="114" t="s">
        <v>163</v>
      </c>
      <c r="E472" s="829"/>
      <c r="F472" s="830">
        <v>296.39999999999998</v>
      </c>
    </row>
    <row r="473" spans="2:6" outlineLevel="1" x14ac:dyDescent="0.2">
      <c r="B473" s="1140"/>
      <c r="C473" s="828"/>
      <c r="D473" s="114" t="s">
        <v>164</v>
      </c>
      <c r="E473" s="829"/>
      <c r="F473" s="830" t="s">
        <v>1525</v>
      </c>
    </row>
    <row r="474" spans="2:6" ht="24" outlineLevel="1" x14ac:dyDescent="0.2">
      <c r="B474" s="1140"/>
      <c r="C474" s="828"/>
      <c r="D474" s="114" t="s">
        <v>165</v>
      </c>
      <c r="E474" s="829"/>
      <c r="F474" s="830">
        <v>889.2</v>
      </c>
    </row>
    <row r="475" spans="2:6" outlineLevel="1" x14ac:dyDescent="0.2">
      <c r="B475" s="1140"/>
      <c r="C475" s="828"/>
      <c r="D475" s="114" t="s">
        <v>241</v>
      </c>
      <c r="E475" s="829"/>
      <c r="F475" s="830" t="s">
        <v>2</v>
      </c>
    </row>
    <row r="476" spans="2:6" ht="60" outlineLevel="1" x14ac:dyDescent="0.2">
      <c r="B476" s="1140"/>
      <c r="C476" s="828"/>
      <c r="D476" s="114" t="s">
        <v>242</v>
      </c>
      <c r="E476" s="829"/>
      <c r="F476" s="830" t="s">
        <v>2</v>
      </c>
    </row>
    <row r="477" spans="2:6" outlineLevel="1" x14ac:dyDescent="0.2">
      <c r="B477" s="1140"/>
      <c r="C477" s="828"/>
      <c r="D477" s="114" t="s">
        <v>224</v>
      </c>
      <c r="E477" s="829"/>
      <c r="F477" s="830" t="s">
        <v>1526</v>
      </c>
    </row>
    <row r="478" spans="2:6" outlineLevel="1" x14ac:dyDescent="0.2">
      <c r="B478" s="1140"/>
      <c r="C478" s="828"/>
      <c r="D478" s="114" t="s">
        <v>148</v>
      </c>
      <c r="E478" s="829"/>
      <c r="F478" s="830">
        <v>592.79999999999995</v>
      </c>
    </row>
    <row r="479" spans="2:6" outlineLevel="1" x14ac:dyDescent="0.2">
      <c r="B479" s="1140"/>
      <c r="C479" s="828"/>
      <c r="D479" s="114" t="s">
        <v>162</v>
      </c>
      <c r="E479" s="829"/>
      <c r="F479" s="830">
        <v>592.79999999999995</v>
      </c>
    </row>
    <row r="480" spans="2:6" ht="24" outlineLevel="1" x14ac:dyDescent="0.2">
      <c r="B480" s="1140"/>
      <c r="C480" s="828"/>
      <c r="D480" s="114" t="s">
        <v>172</v>
      </c>
      <c r="E480" s="829"/>
      <c r="F480" s="830" t="s">
        <v>1527</v>
      </c>
    </row>
    <row r="481" spans="2:6" ht="48" outlineLevel="1" x14ac:dyDescent="0.2">
      <c r="B481" s="1140"/>
      <c r="C481" s="828"/>
      <c r="D481" s="114" t="s">
        <v>173</v>
      </c>
      <c r="E481" s="829"/>
      <c r="F481" s="830" t="s">
        <v>1528</v>
      </c>
    </row>
    <row r="482" spans="2:6" ht="48" outlineLevel="1" x14ac:dyDescent="0.2">
      <c r="B482" s="1140"/>
      <c r="C482" s="828"/>
      <c r="D482" s="114" t="s">
        <v>174</v>
      </c>
      <c r="E482" s="829"/>
      <c r="F482" s="830" t="s">
        <v>1529</v>
      </c>
    </row>
    <row r="483" spans="2:6" ht="48" outlineLevel="1" x14ac:dyDescent="0.2">
      <c r="B483" s="1140"/>
      <c r="C483" s="828"/>
      <c r="D483" s="114" t="s">
        <v>175</v>
      </c>
      <c r="E483" s="829"/>
      <c r="F483" s="830">
        <v>444.6</v>
      </c>
    </row>
    <row r="484" spans="2:6" ht="48" outlineLevel="1" x14ac:dyDescent="0.2">
      <c r="B484" s="1140"/>
      <c r="C484" s="828"/>
      <c r="D484" s="114" t="s">
        <v>171</v>
      </c>
      <c r="E484" s="829"/>
      <c r="F484" s="830">
        <v>741</v>
      </c>
    </row>
    <row r="485" spans="2:6" ht="48" outlineLevel="1" x14ac:dyDescent="0.2">
      <c r="B485" s="1140"/>
      <c r="C485" s="828"/>
      <c r="D485" s="114" t="s">
        <v>225</v>
      </c>
      <c r="E485" s="829"/>
      <c r="F485" s="830" t="s">
        <v>1530</v>
      </c>
    </row>
    <row r="486" spans="2:6" ht="48" outlineLevel="1" x14ac:dyDescent="0.2">
      <c r="B486" s="1140"/>
      <c r="C486" s="828"/>
      <c r="D486" s="114" t="s">
        <v>226</v>
      </c>
      <c r="E486" s="829"/>
      <c r="F486" s="830">
        <v>741</v>
      </c>
    </row>
    <row r="487" spans="2:6" ht="48" outlineLevel="1" x14ac:dyDescent="0.2">
      <c r="B487" s="1140"/>
      <c r="C487" s="828"/>
      <c r="D487" s="114" t="s">
        <v>227</v>
      </c>
      <c r="E487" s="829"/>
      <c r="F487" s="830">
        <v>444.6</v>
      </c>
    </row>
    <row r="488" spans="2:6" outlineLevel="1" x14ac:dyDescent="0.2">
      <c r="B488" s="1141"/>
      <c r="C488" s="828"/>
      <c r="D488" s="114" t="s">
        <v>149</v>
      </c>
      <c r="E488" s="829"/>
      <c r="F488" s="830"/>
    </row>
    <row r="489" spans="2:6" ht="27.95" customHeight="1" x14ac:dyDescent="0.2">
      <c r="B489" s="1142" t="s">
        <v>1531</v>
      </c>
      <c r="C489" s="1143"/>
      <c r="D489" s="1143"/>
      <c r="E489" s="1143"/>
      <c r="F489" s="1143"/>
    </row>
    <row r="490" spans="2:6" ht="38.25" x14ac:dyDescent="0.2">
      <c r="B490" s="1139">
        <v>20</v>
      </c>
      <c r="C490" s="825" t="s">
        <v>1532</v>
      </c>
      <c r="D490" s="113" t="s">
        <v>287</v>
      </c>
      <c r="E490" s="826" t="s">
        <v>1533</v>
      </c>
      <c r="F490" s="827" t="s">
        <v>1534</v>
      </c>
    </row>
    <row r="491" spans="2:6" ht="36" outlineLevel="1" x14ac:dyDescent="0.2">
      <c r="B491" s="1140"/>
      <c r="C491" s="828"/>
      <c r="D491" s="114" t="s">
        <v>352</v>
      </c>
      <c r="E491" s="829"/>
      <c r="F491" s="830" t="s">
        <v>2</v>
      </c>
    </row>
    <row r="492" spans="2:6" outlineLevel="1" x14ac:dyDescent="0.2">
      <c r="B492" s="1140"/>
      <c r="C492" s="828"/>
      <c r="D492" s="114" t="s">
        <v>147</v>
      </c>
      <c r="E492" s="829"/>
      <c r="F492" s="830" t="s">
        <v>2</v>
      </c>
    </row>
    <row r="493" spans="2:6" ht="48" outlineLevel="1" x14ac:dyDescent="0.2">
      <c r="B493" s="1140"/>
      <c r="C493" s="828"/>
      <c r="D493" s="114" t="s">
        <v>1319</v>
      </c>
      <c r="E493" s="829"/>
      <c r="F493" s="830" t="s">
        <v>2</v>
      </c>
    </row>
    <row r="494" spans="2:6" outlineLevel="1" x14ac:dyDescent="0.2">
      <c r="B494" s="1140"/>
      <c r="C494" s="828"/>
      <c r="D494" s="114" t="s">
        <v>288</v>
      </c>
      <c r="E494" s="829"/>
      <c r="F494" s="830">
        <v>320.98</v>
      </c>
    </row>
    <row r="495" spans="2:6" ht="24" outlineLevel="1" x14ac:dyDescent="0.2">
      <c r="B495" s="1140"/>
      <c r="C495" s="828"/>
      <c r="D495" s="114" t="s">
        <v>289</v>
      </c>
      <c r="E495" s="829"/>
      <c r="F495" s="830">
        <v>962.93</v>
      </c>
    </row>
    <row r="496" spans="2:6" outlineLevel="1" x14ac:dyDescent="0.2">
      <c r="B496" s="1140"/>
      <c r="C496" s="828"/>
      <c r="D496" s="114" t="s">
        <v>303</v>
      </c>
      <c r="E496" s="829"/>
      <c r="F496" s="830" t="s">
        <v>1535</v>
      </c>
    </row>
    <row r="497" spans="2:6" ht="24" outlineLevel="1" x14ac:dyDescent="0.2">
      <c r="B497" s="1140"/>
      <c r="C497" s="828"/>
      <c r="D497" s="114" t="s">
        <v>257</v>
      </c>
      <c r="E497" s="829"/>
      <c r="F497" s="830" t="s">
        <v>1536</v>
      </c>
    </row>
    <row r="498" spans="2:6" ht="36" outlineLevel="1" x14ac:dyDescent="0.2">
      <c r="B498" s="1140"/>
      <c r="C498" s="828"/>
      <c r="D498" s="114" t="s">
        <v>302</v>
      </c>
      <c r="E498" s="829"/>
      <c r="F498" s="830" t="s">
        <v>1537</v>
      </c>
    </row>
    <row r="499" spans="2:6" ht="48" outlineLevel="1" x14ac:dyDescent="0.2">
      <c r="B499" s="1140"/>
      <c r="C499" s="828"/>
      <c r="D499" s="114" t="s">
        <v>301</v>
      </c>
      <c r="E499" s="829"/>
      <c r="F499" s="830" t="s">
        <v>1538</v>
      </c>
    </row>
    <row r="500" spans="2:6" ht="36" outlineLevel="1" x14ac:dyDescent="0.2">
      <c r="B500" s="1140"/>
      <c r="C500" s="828"/>
      <c r="D500" s="114" t="s">
        <v>300</v>
      </c>
      <c r="E500" s="829"/>
      <c r="F500" s="830" t="s">
        <v>1537</v>
      </c>
    </row>
    <row r="501" spans="2:6" ht="48" outlineLevel="1" x14ac:dyDescent="0.2">
      <c r="B501" s="1140"/>
      <c r="C501" s="828"/>
      <c r="D501" s="114" t="s">
        <v>299</v>
      </c>
      <c r="E501" s="829"/>
      <c r="F501" s="830" t="s">
        <v>1538</v>
      </c>
    </row>
    <row r="502" spans="2:6" ht="36" outlineLevel="1" x14ac:dyDescent="0.2">
      <c r="B502" s="1140"/>
      <c r="C502" s="828"/>
      <c r="D502" s="114" t="s">
        <v>298</v>
      </c>
      <c r="E502" s="829"/>
      <c r="F502" s="830">
        <v>641.95000000000005</v>
      </c>
    </row>
    <row r="503" spans="2:6" ht="36" outlineLevel="1" x14ac:dyDescent="0.2">
      <c r="B503" s="1140"/>
      <c r="C503" s="828"/>
      <c r="D503" s="114" t="s">
        <v>297</v>
      </c>
      <c r="E503" s="829"/>
      <c r="F503" s="830" t="s">
        <v>1539</v>
      </c>
    </row>
    <row r="504" spans="2:6" outlineLevel="1" x14ac:dyDescent="0.2">
      <c r="B504" s="1140"/>
      <c r="C504" s="828"/>
      <c r="D504" s="114" t="s">
        <v>296</v>
      </c>
      <c r="E504" s="829"/>
      <c r="F504" s="830" t="s">
        <v>1538</v>
      </c>
    </row>
    <row r="505" spans="2:6" ht="24" outlineLevel="1" x14ac:dyDescent="0.2">
      <c r="B505" s="1140"/>
      <c r="C505" s="828"/>
      <c r="D505" s="114" t="s">
        <v>295</v>
      </c>
      <c r="E505" s="829"/>
      <c r="F505" s="830" t="s">
        <v>1535</v>
      </c>
    </row>
    <row r="506" spans="2:6" ht="24" outlineLevel="1" x14ac:dyDescent="0.2">
      <c r="B506" s="1140"/>
      <c r="C506" s="828"/>
      <c r="D506" s="114" t="s">
        <v>291</v>
      </c>
      <c r="E506" s="829"/>
      <c r="F506" s="830" t="s">
        <v>1537</v>
      </c>
    </row>
    <row r="507" spans="2:6" ht="24" outlineLevel="1" x14ac:dyDescent="0.2">
      <c r="B507" s="1140"/>
      <c r="C507" s="828"/>
      <c r="D507" s="114" t="s">
        <v>290</v>
      </c>
      <c r="E507" s="829"/>
      <c r="F507" s="830">
        <v>320.98</v>
      </c>
    </row>
    <row r="508" spans="2:6" outlineLevel="1" x14ac:dyDescent="0.2">
      <c r="B508" s="1140"/>
      <c r="C508" s="828"/>
      <c r="D508" s="114" t="s">
        <v>224</v>
      </c>
      <c r="E508" s="829"/>
      <c r="F508" s="830" t="s">
        <v>1537</v>
      </c>
    </row>
    <row r="509" spans="2:6" outlineLevel="1" x14ac:dyDescent="0.2">
      <c r="B509" s="1141"/>
      <c r="C509" s="828"/>
      <c r="D509" s="114" t="s">
        <v>149</v>
      </c>
      <c r="E509" s="829"/>
      <c r="F509" s="830"/>
    </row>
    <row r="510" spans="2:6" ht="27.95" customHeight="1" x14ac:dyDescent="0.2">
      <c r="B510" s="1142" t="s">
        <v>1540</v>
      </c>
      <c r="C510" s="1143"/>
      <c r="D510" s="1143"/>
      <c r="E510" s="1143"/>
      <c r="F510" s="1143"/>
    </row>
    <row r="511" spans="2:6" ht="38.25" x14ac:dyDescent="0.2">
      <c r="B511" s="1139">
        <v>21</v>
      </c>
      <c r="C511" s="825" t="s">
        <v>351</v>
      </c>
      <c r="D511" s="113" t="s">
        <v>287</v>
      </c>
      <c r="E511" s="826" t="s">
        <v>1541</v>
      </c>
      <c r="F511" s="827" t="s">
        <v>1534</v>
      </c>
    </row>
    <row r="512" spans="2:6" ht="36" outlineLevel="1" x14ac:dyDescent="0.2">
      <c r="B512" s="1140"/>
      <c r="C512" s="828"/>
      <c r="D512" s="114" t="s">
        <v>352</v>
      </c>
      <c r="E512" s="829"/>
      <c r="F512" s="830" t="s">
        <v>2</v>
      </c>
    </row>
    <row r="513" spans="2:6" outlineLevel="1" x14ac:dyDescent="0.2">
      <c r="B513" s="1140"/>
      <c r="C513" s="828"/>
      <c r="D513" s="114" t="s">
        <v>147</v>
      </c>
      <c r="E513" s="829"/>
      <c r="F513" s="830" t="s">
        <v>2</v>
      </c>
    </row>
    <row r="514" spans="2:6" ht="48" outlineLevel="1" x14ac:dyDescent="0.2">
      <c r="B514" s="1140"/>
      <c r="C514" s="828"/>
      <c r="D514" s="114" t="s">
        <v>1319</v>
      </c>
      <c r="E514" s="829"/>
      <c r="F514" s="830" t="s">
        <v>2</v>
      </c>
    </row>
    <row r="515" spans="2:6" outlineLevel="1" x14ac:dyDescent="0.2">
      <c r="B515" s="1140"/>
      <c r="C515" s="828"/>
      <c r="D515" s="114" t="s">
        <v>288</v>
      </c>
      <c r="E515" s="829"/>
      <c r="F515" s="830">
        <v>320.98</v>
      </c>
    </row>
    <row r="516" spans="2:6" ht="24" outlineLevel="1" x14ac:dyDescent="0.2">
      <c r="B516" s="1140"/>
      <c r="C516" s="828"/>
      <c r="D516" s="114" t="s">
        <v>289</v>
      </c>
      <c r="E516" s="829"/>
      <c r="F516" s="830">
        <v>962.93</v>
      </c>
    </row>
    <row r="517" spans="2:6" outlineLevel="1" x14ac:dyDescent="0.2">
      <c r="B517" s="1140"/>
      <c r="C517" s="828"/>
      <c r="D517" s="114" t="s">
        <v>303</v>
      </c>
      <c r="E517" s="829"/>
      <c r="F517" s="830" t="s">
        <v>1535</v>
      </c>
    </row>
    <row r="518" spans="2:6" ht="24" outlineLevel="1" x14ac:dyDescent="0.2">
      <c r="B518" s="1140"/>
      <c r="C518" s="828"/>
      <c r="D518" s="114" t="s">
        <v>257</v>
      </c>
      <c r="E518" s="829"/>
      <c r="F518" s="830" t="s">
        <v>1536</v>
      </c>
    </row>
    <row r="519" spans="2:6" ht="36" outlineLevel="1" x14ac:dyDescent="0.2">
      <c r="B519" s="1140"/>
      <c r="C519" s="828"/>
      <c r="D519" s="114" t="s">
        <v>302</v>
      </c>
      <c r="E519" s="829"/>
      <c r="F519" s="830" t="s">
        <v>1537</v>
      </c>
    </row>
    <row r="520" spans="2:6" ht="48" outlineLevel="1" x14ac:dyDescent="0.2">
      <c r="B520" s="1140"/>
      <c r="C520" s="828"/>
      <c r="D520" s="114" t="s">
        <v>301</v>
      </c>
      <c r="E520" s="829"/>
      <c r="F520" s="830" t="s">
        <v>1538</v>
      </c>
    </row>
    <row r="521" spans="2:6" ht="36" outlineLevel="1" x14ac:dyDescent="0.2">
      <c r="B521" s="1140"/>
      <c r="C521" s="828"/>
      <c r="D521" s="114" t="s">
        <v>300</v>
      </c>
      <c r="E521" s="829"/>
      <c r="F521" s="830" t="s">
        <v>1537</v>
      </c>
    </row>
    <row r="522" spans="2:6" ht="48" outlineLevel="1" x14ac:dyDescent="0.2">
      <c r="B522" s="1140"/>
      <c r="C522" s="828"/>
      <c r="D522" s="114" t="s">
        <v>299</v>
      </c>
      <c r="E522" s="829"/>
      <c r="F522" s="830" t="s">
        <v>1538</v>
      </c>
    </row>
    <row r="523" spans="2:6" ht="36" outlineLevel="1" x14ac:dyDescent="0.2">
      <c r="B523" s="1140"/>
      <c r="C523" s="828"/>
      <c r="D523" s="114" t="s">
        <v>298</v>
      </c>
      <c r="E523" s="829"/>
      <c r="F523" s="830">
        <v>641.95000000000005</v>
      </c>
    </row>
    <row r="524" spans="2:6" ht="36" outlineLevel="1" x14ac:dyDescent="0.2">
      <c r="B524" s="1140"/>
      <c r="C524" s="828"/>
      <c r="D524" s="114" t="s">
        <v>297</v>
      </c>
      <c r="E524" s="829"/>
      <c r="F524" s="830" t="s">
        <v>1539</v>
      </c>
    </row>
    <row r="525" spans="2:6" outlineLevel="1" x14ac:dyDescent="0.2">
      <c r="B525" s="1140"/>
      <c r="C525" s="828"/>
      <c r="D525" s="114" t="s">
        <v>296</v>
      </c>
      <c r="E525" s="829"/>
      <c r="F525" s="830" t="s">
        <v>1538</v>
      </c>
    </row>
    <row r="526" spans="2:6" ht="24" outlineLevel="1" x14ac:dyDescent="0.2">
      <c r="B526" s="1140"/>
      <c r="C526" s="828"/>
      <c r="D526" s="114" t="s">
        <v>295</v>
      </c>
      <c r="E526" s="829"/>
      <c r="F526" s="830" t="s">
        <v>1535</v>
      </c>
    </row>
    <row r="527" spans="2:6" ht="24" outlineLevel="1" x14ac:dyDescent="0.2">
      <c r="B527" s="1140"/>
      <c r="C527" s="828"/>
      <c r="D527" s="114" t="s">
        <v>291</v>
      </c>
      <c r="E527" s="829"/>
      <c r="F527" s="830" t="s">
        <v>1537</v>
      </c>
    </row>
    <row r="528" spans="2:6" ht="24" outlineLevel="1" x14ac:dyDescent="0.2">
      <c r="B528" s="1140"/>
      <c r="C528" s="828"/>
      <c r="D528" s="114" t="s">
        <v>290</v>
      </c>
      <c r="E528" s="829"/>
      <c r="F528" s="830">
        <v>320.98</v>
      </c>
    </row>
    <row r="529" spans="2:6" outlineLevel="1" x14ac:dyDescent="0.2">
      <c r="B529" s="1140"/>
      <c r="C529" s="828"/>
      <c r="D529" s="114" t="s">
        <v>224</v>
      </c>
      <c r="E529" s="829"/>
      <c r="F529" s="830" t="s">
        <v>1537</v>
      </c>
    </row>
    <row r="530" spans="2:6" outlineLevel="1" x14ac:dyDescent="0.2">
      <c r="B530" s="1141"/>
      <c r="C530" s="828"/>
      <c r="D530" s="114" t="s">
        <v>149</v>
      </c>
      <c r="E530" s="829"/>
      <c r="F530" s="830"/>
    </row>
    <row r="531" spans="2:6" ht="27.95" customHeight="1" x14ac:dyDescent="0.2">
      <c r="B531" s="1142" t="s">
        <v>1542</v>
      </c>
      <c r="C531" s="1143"/>
      <c r="D531" s="1143"/>
      <c r="E531" s="1143"/>
      <c r="F531" s="1143"/>
    </row>
    <row r="532" spans="2:6" ht="38.25" x14ac:dyDescent="0.2">
      <c r="B532" s="1139">
        <v>22</v>
      </c>
      <c r="C532" s="825" t="s">
        <v>357</v>
      </c>
      <c r="D532" s="113" t="s">
        <v>287</v>
      </c>
      <c r="E532" s="826" t="s">
        <v>1543</v>
      </c>
      <c r="F532" s="827" t="s">
        <v>1534</v>
      </c>
    </row>
    <row r="533" spans="2:6" ht="36" outlineLevel="1" x14ac:dyDescent="0.2">
      <c r="B533" s="1140"/>
      <c r="C533" s="828"/>
      <c r="D533" s="114" t="s">
        <v>352</v>
      </c>
      <c r="E533" s="829"/>
      <c r="F533" s="830" t="s">
        <v>2</v>
      </c>
    </row>
    <row r="534" spans="2:6" outlineLevel="1" x14ac:dyDescent="0.2">
      <c r="B534" s="1140"/>
      <c r="C534" s="828"/>
      <c r="D534" s="114" t="s">
        <v>147</v>
      </c>
      <c r="E534" s="829"/>
      <c r="F534" s="830" t="s">
        <v>2</v>
      </c>
    </row>
    <row r="535" spans="2:6" ht="48" outlineLevel="1" x14ac:dyDescent="0.2">
      <c r="B535" s="1140"/>
      <c r="C535" s="828"/>
      <c r="D535" s="114" t="s">
        <v>1319</v>
      </c>
      <c r="E535" s="829"/>
      <c r="F535" s="830" t="s">
        <v>2</v>
      </c>
    </row>
    <row r="536" spans="2:6" outlineLevel="1" x14ac:dyDescent="0.2">
      <c r="B536" s="1140"/>
      <c r="C536" s="828"/>
      <c r="D536" s="114" t="s">
        <v>288</v>
      </c>
      <c r="E536" s="829"/>
      <c r="F536" s="830">
        <v>320.98</v>
      </c>
    </row>
    <row r="537" spans="2:6" ht="24" outlineLevel="1" x14ac:dyDescent="0.2">
      <c r="B537" s="1140"/>
      <c r="C537" s="828"/>
      <c r="D537" s="114" t="s">
        <v>289</v>
      </c>
      <c r="E537" s="829"/>
      <c r="F537" s="830">
        <v>962.93</v>
      </c>
    </row>
    <row r="538" spans="2:6" outlineLevel="1" x14ac:dyDescent="0.2">
      <c r="B538" s="1140"/>
      <c r="C538" s="828"/>
      <c r="D538" s="114" t="s">
        <v>303</v>
      </c>
      <c r="E538" s="829"/>
      <c r="F538" s="830" t="s">
        <v>1535</v>
      </c>
    </row>
    <row r="539" spans="2:6" ht="24" outlineLevel="1" x14ac:dyDescent="0.2">
      <c r="B539" s="1140"/>
      <c r="C539" s="828"/>
      <c r="D539" s="114" t="s">
        <v>257</v>
      </c>
      <c r="E539" s="829"/>
      <c r="F539" s="830" t="s">
        <v>1536</v>
      </c>
    </row>
    <row r="540" spans="2:6" ht="36" outlineLevel="1" x14ac:dyDescent="0.2">
      <c r="B540" s="1140"/>
      <c r="C540" s="828"/>
      <c r="D540" s="114" t="s">
        <v>302</v>
      </c>
      <c r="E540" s="829"/>
      <c r="F540" s="830" t="s">
        <v>1537</v>
      </c>
    </row>
    <row r="541" spans="2:6" ht="48" outlineLevel="1" x14ac:dyDescent="0.2">
      <c r="B541" s="1140"/>
      <c r="C541" s="828"/>
      <c r="D541" s="114" t="s">
        <v>301</v>
      </c>
      <c r="E541" s="829"/>
      <c r="F541" s="830" t="s">
        <v>1538</v>
      </c>
    </row>
    <row r="542" spans="2:6" ht="36" outlineLevel="1" x14ac:dyDescent="0.2">
      <c r="B542" s="1140"/>
      <c r="C542" s="828"/>
      <c r="D542" s="114" t="s">
        <v>300</v>
      </c>
      <c r="E542" s="829"/>
      <c r="F542" s="830" t="s">
        <v>1537</v>
      </c>
    </row>
    <row r="543" spans="2:6" ht="48" outlineLevel="1" x14ac:dyDescent="0.2">
      <c r="B543" s="1140"/>
      <c r="C543" s="828"/>
      <c r="D543" s="114" t="s">
        <v>299</v>
      </c>
      <c r="E543" s="829"/>
      <c r="F543" s="830" t="s">
        <v>1538</v>
      </c>
    </row>
    <row r="544" spans="2:6" ht="36" outlineLevel="1" x14ac:dyDescent="0.2">
      <c r="B544" s="1140"/>
      <c r="C544" s="828"/>
      <c r="D544" s="114" t="s">
        <v>298</v>
      </c>
      <c r="E544" s="829"/>
      <c r="F544" s="830">
        <v>641.95000000000005</v>
      </c>
    </row>
    <row r="545" spans="2:6" ht="36" outlineLevel="1" x14ac:dyDescent="0.2">
      <c r="B545" s="1140"/>
      <c r="C545" s="828"/>
      <c r="D545" s="114" t="s">
        <v>297</v>
      </c>
      <c r="E545" s="829"/>
      <c r="F545" s="830" t="s">
        <v>1539</v>
      </c>
    </row>
    <row r="546" spans="2:6" outlineLevel="1" x14ac:dyDescent="0.2">
      <c r="B546" s="1140"/>
      <c r="C546" s="828"/>
      <c r="D546" s="114" t="s">
        <v>296</v>
      </c>
      <c r="E546" s="829"/>
      <c r="F546" s="830" t="s">
        <v>1538</v>
      </c>
    </row>
    <row r="547" spans="2:6" ht="24" outlineLevel="1" x14ac:dyDescent="0.2">
      <c r="B547" s="1140"/>
      <c r="C547" s="828"/>
      <c r="D547" s="114" t="s">
        <v>295</v>
      </c>
      <c r="E547" s="829"/>
      <c r="F547" s="830" t="s">
        <v>1535</v>
      </c>
    </row>
    <row r="548" spans="2:6" ht="24" outlineLevel="1" x14ac:dyDescent="0.2">
      <c r="B548" s="1140"/>
      <c r="C548" s="828"/>
      <c r="D548" s="114" t="s">
        <v>291</v>
      </c>
      <c r="E548" s="829"/>
      <c r="F548" s="830" t="s">
        <v>1537</v>
      </c>
    </row>
    <row r="549" spans="2:6" ht="24" outlineLevel="1" x14ac:dyDescent="0.2">
      <c r="B549" s="1140"/>
      <c r="C549" s="828"/>
      <c r="D549" s="114" t="s">
        <v>290</v>
      </c>
      <c r="E549" s="829"/>
      <c r="F549" s="830">
        <v>320.98</v>
      </c>
    </row>
    <row r="550" spans="2:6" outlineLevel="1" x14ac:dyDescent="0.2">
      <c r="B550" s="1140"/>
      <c r="C550" s="828"/>
      <c r="D550" s="114" t="s">
        <v>224</v>
      </c>
      <c r="E550" s="829"/>
      <c r="F550" s="830" t="s">
        <v>1537</v>
      </c>
    </row>
    <row r="551" spans="2:6" outlineLevel="1" x14ac:dyDescent="0.2">
      <c r="B551" s="1141"/>
      <c r="C551" s="828"/>
      <c r="D551" s="114" t="s">
        <v>149</v>
      </c>
      <c r="E551" s="829"/>
      <c r="F551" s="830"/>
    </row>
    <row r="552" spans="2:6" ht="21" customHeight="1" x14ac:dyDescent="0.2">
      <c r="B552" s="1142" t="s">
        <v>1177</v>
      </c>
      <c r="C552" s="1143"/>
      <c r="D552" s="1143"/>
      <c r="E552" s="1143"/>
      <c r="F552" s="1143"/>
    </row>
    <row r="553" spans="2:6" ht="27.95" customHeight="1" x14ac:dyDescent="0.2">
      <c r="B553" s="831"/>
      <c r="C553" s="1135" t="s">
        <v>1166</v>
      </c>
      <c r="D553" s="1146"/>
      <c r="E553" s="1146"/>
      <c r="F553" s="1146"/>
    </row>
    <row r="554" spans="2:6" ht="38.25" x14ac:dyDescent="0.2">
      <c r="B554" s="1139">
        <v>23</v>
      </c>
      <c r="C554" s="825" t="s">
        <v>357</v>
      </c>
      <c r="D554" s="113" t="s">
        <v>287</v>
      </c>
      <c r="E554" s="826" t="s">
        <v>1543</v>
      </c>
      <c r="F554" s="827" t="s">
        <v>1534</v>
      </c>
    </row>
    <row r="555" spans="2:6" ht="36" outlineLevel="1" x14ac:dyDescent="0.2">
      <c r="B555" s="1140"/>
      <c r="C555" s="828"/>
      <c r="D555" s="114" t="s">
        <v>352</v>
      </c>
      <c r="E555" s="829"/>
      <c r="F555" s="830" t="s">
        <v>2</v>
      </c>
    </row>
    <row r="556" spans="2:6" outlineLevel="1" x14ac:dyDescent="0.2">
      <c r="B556" s="1140"/>
      <c r="C556" s="828"/>
      <c r="D556" s="114" t="s">
        <v>147</v>
      </c>
      <c r="E556" s="829"/>
      <c r="F556" s="830" t="s">
        <v>2</v>
      </c>
    </row>
    <row r="557" spans="2:6" ht="48" outlineLevel="1" x14ac:dyDescent="0.2">
      <c r="B557" s="1140"/>
      <c r="C557" s="828"/>
      <c r="D557" s="114" t="s">
        <v>1319</v>
      </c>
      <c r="E557" s="829"/>
      <c r="F557" s="830" t="s">
        <v>2</v>
      </c>
    </row>
    <row r="558" spans="2:6" outlineLevel="1" x14ac:dyDescent="0.2">
      <c r="B558" s="1140"/>
      <c r="C558" s="828"/>
      <c r="D558" s="114" t="s">
        <v>288</v>
      </c>
      <c r="E558" s="829"/>
      <c r="F558" s="830">
        <v>320.98</v>
      </c>
    </row>
    <row r="559" spans="2:6" ht="24" outlineLevel="1" x14ac:dyDescent="0.2">
      <c r="B559" s="1140"/>
      <c r="C559" s="828"/>
      <c r="D559" s="114" t="s">
        <v>289</v>
      </c>
      <c r="E559" s="829"/>
      <c r="F559" s="830">
        <v>962.93</v>
      </c>
    </row>
    <row r="560" spans="2:6" outlineLevel="1" x14ac:dyDescent="0.2">
      <c r="B560" s="1140"/>
      <c r="C560" s="828"/>
      <c r="D560" s="114" t="s">
        <v>303</v>
      </c>
      <c r="E560" s="829"/>
      <c r="F560" s="830" t="s">
        <v>1535</v>
      </c>
    </row>
    <row r="561" spans="2:6" ht="24" outlineLevel="1" x14ac:dyDescent="0.2">
      <c r="B561" s="1140"/>
      <c r="C561" s="828"/>
      <c r="D561" s="114" t="s">
        <v>257</v>
      </c>
      <c r="E561" s="829"/>
      <c r="F561" s="830" t="s">
        <v>1536</v>
      </c>
    </row>
    <row r="562" spans="2:6" ht="36" outlineLevel="1" x14ac:dyDescent="0.2">
      <c r="B562" s="1140"/>
      <c r="C562" s="828"/>
      <c r="D562" s="114" t="s">
        <v>302</v>
      </c>
      <c r="E562" s="829"/>
      <c r="F562" s="830" t="s">
        <v>1537</v>
      </c>
    </row>
    <row r="563" spans="2:6" ht="48" outlineLevel="1" x14ac:dyDescent="0.2">
      <c r="B563" s="1140"/>
      <c r="C563" s="828"/>
      <c r="D563" s="114" t="s">
        <v>301</v>
      </c>
      <c r="E563" s="829"/>
      <c r="F563" s="830" t="s">
        <v>1538</v>
      </c>
    </row>
    <row r="564" spans="2:6" ht="36" outlineLevel="1" x14ac:dyDescent="0.2">
      <c r="B564" s="1140"/>
      <c r="C564" s="828"/>
      <c r="D564" s="114" t="s">
        <v>300</v>
      </c>
      <c r="E564" s="829"/>
      <c r="F564" s="830" t="s">
        <v>1537</v>
      </c>
    </row>
    <row r="565" spans="2:6" ht="48" outlineLevel="1" x14ac:dyDescent="0.2">
      <c r="B565" s="1140"/>
      <c r="C565" s="828"/>
      <c r="D565" s="114" t="s">
        <v>299</v>
      </c>
      <c r="E565" s="829"/>
      <c r="F565" s="830" t="s">
        <v>1538</v>
      </c>
    </row>
    <row r="566" spans="2:6" ht="36" outlineLevel="1" x14ac:dyDescent="0.2">
      <c r="B566" s="1140"/>
      <c r="C566" s="828"/>
      <c r="D566" s="114" t="s">
        <v>298</v>
      </c>
      <c r="E566" s="829"/>
      <c r="F566" s="830">
        <v>641.95000000000005</v>
      </c>
    </row>
    <row r="567" spans="2:6" ht="36" outlineLevel="1" x14ac:dyDescent="0.2">
      <c r="B567" s="1140"/>
      <c r="C567" s="828"/>
      <c r="D567" s="114" t="s">
        <v>297</v>
      </c>
      <c r="E567" s="829"/>
      <c r="F567" s="830" t="s">
        <v>1539</v>
      </c>
    </row>
    <row r="568" spans="2:6" outlineLevel="1" x14ac:dyDescent="0.2">
      <c r="B568" s="1140"/>
      <c r="C568" s="828"/>
      <c r="D568" s="114" t="s">
        <v>296</v>
      </c>
      <c r="E568" s="829"/>
      <c r="F568" s="830" t="s">
        <v>1538</v>
      </c>
    </row>
    <row r="569" spans="2:6" ht="24" outlineLevel="1" x14ac:dyDescent="0.2">
      <c r="B569" s="1140"/>
      <c r="C569" s="828"/>
      <c r="D569" s="114" t="s">
        <v>295</v>
      </c>
      <c r="E569" s="829"/>
      <c r="F569" s="830" t="s">
        <v>1535</v>
      </c>
    </row>
    <row r="570" spans="2:6" ht="24" outlineLevel="1" x14ac:dyDescent="0.2">
      <c r="B570" s="1140"/>
      <c r="C570" s="828"/>
      <c r="D570" s="114" t="s">
        <v>291</v>
      </c>
      <c r="E570" s="829"/>
      <c r="F570" s="830" t="s">
        <v>1537</v>
      </c>
    </row>
    <row r="571" spans="2:6" ht="24" outlineLevel="1" x14ac:dyDescent="0.2">
      <c r="B571" s="1140"/>
      <c r="C571" s="828"/>
      <c r="D571" s="114" t="s">
        <v>290</v>
      </c>
      <c r="E571" s="829"/>
      <c r="F571" s="830">
        <v>320.98</v>
      </c>
    </row>
    <row r="572" spans="2:6" outlineLevel="1" x14ac:dyDescent="0.2">
      <c r="B572" s="1140"/>
      <c r="C572" s="828"/>
      <c r="D572" s="114" t="s">
        <v>224</v>
      </c>
      <c r="E572" s="829"/>
      <c r="F572" s="830" t="s">
        <v>1537</v>
      </c>
    </row>
    <row r="573" spans="2:6" outlineLevel="1" x14ac:dyDescent="0.2">
      <c r="B573" s="1141"/>
      <c r="C573" s="828"/>
      <c r="D573" s="114" t="s">
        <v>149</v>
      </c>
      <c r="E573" s="829"/>
      <c r="F573" s="830"/>
    </row>
    <row r="574" spans="2:6" ht="15" x14ac:dyDescent="0.2">
      <c r="B574" s="831"/>
      <c r="C574" s="1133" t="s">
        <v>360</v>
      </c>
      <c r="D574" s="1134"/>
      <c r="E574" s="1134"/>
      <c r="F574" s="832"/>
    </row>
    <row r="575" spans="2:6" ht="15" x14ac:dyDescent="0.2">
      <c r="B575" s="831"/>
      <c r="C575" s="1135" t="s">
        <v>1544</v>
      </c>
      <c r="D575" s="1136"/>
      <c r="E575" s="1136"/>
      <c r="F575" s="827" t="s">
        <v>1545</v>
      </c>
    </row>
    <row r="576" spans="2:6" ht="15" x14ac:dyDescent="0.2">
      <c r="B576" s="831"/>
      <c r="C576" s="1133" t="s">
        <v>361</v>
      </c>
      <c r="D576" s="1134"/>
      <c r="E576" s="1134"/>
      <c r="F576" s="832" t="s">
        <v>1545</v>
      </c>
    </row>
    <row r="577" spans="2:6" ht="21" customHeight="1" x14ac:dyDescent="0.2">
      <c r="B577" s="1144" t="s">
        <v>362</v>
      </c>
      <c r="C577" s="1145"/>
      <c r="D577" s="1145"/>
      <c r="E577" s="1145"/>
      <c r="F577" s="1145"/>
    </row>
    <row r="578" spans="2:6" ht="21" customHeight="1" x14ac:dyDescent="0.2">
      <c r="B578" s="1142" t="s">
        <v>1118</v>
      </c>
      <c r="C578" s="1143"/>
      <c r="D578" s="1143"/>
      <c r="E578" s="1143"/>
      <c r="F578" s="1143"/>
    </row>
    <row r="579" spans="2:6" ht="21" customHeight="1" x14ac:dyDescent="0.2">
      <c r="B579" s="831"/>
      <c r="C579" s="1135" t="s">
        <v>1127</v>
      </c>
      <c r="D579" s="1146"/>
      <c r="E579" s="1146"/>
      <c r="F579" s="1146"/>
    </row>
    <row r="580" spans="2:6" ht="63.75" x14ac:dyDescent="0.2">
      <c r="B580" s="1139">
        <v>24</v>
      </c>
      <c r="C580" s="825" t="s">
        <v>366</v>
      </c>
      <c r="D580" s="113" t="s">
        <v>244</v>
      </c>
      <c r="E580" s="826" t="s">
        <v>1546</v>
      </c>
      <c r="F580" s="827" t="s">
        <v>1547</v>
      </c>
    </row>
    <row r="581" spans="2:6" ht="36" outlineLevel="1" x14ac:dyDescent="0.2">
      <c r="B581" s="1140"/>
      <c r="C581" s="828"/>
      <c r="D581" s="114" t="s">
        <v>367</v>
      </c>
      <c r="E581" s="829"/>
      <c r="F581" s="830" t="s">
        <v>2</v>
      </c>
    </row>
    <row r="582" spans="2:6" outlineLevel="1" x14ac:dyDescent="0.2">
      <c r="B582" s="1140"/>
      <c r="C582" s="828"/>
      <c r="D582" s="114" t="s">
        <v>161</v>
      </c>
      <c r="E582" s="829"/>
      <c r="F582" s="830" t="s">
        <v>2</v>
      </c>
    </row>
    <row r="583" spans="2:6" ht="36" outlineLevel="1" x14ac:dyDescent="0.2">
      <c r="B583" s="1140"/>
      <c r="C583" s="828"/>
      <c r="D583" s="114" t="s">
        <v>368</v>
      </c>
      <c r="E583" s="829"/>
      <c r="F583" s="830" t="s">
        <v>2</v>
      </c>
    </row>
    <row r="584" spans="2:6" ht="48" outlineLevel="1" x14ac:dyDescent="0.2">
      <c r="B584" s="1140"/>
      <c r="C584" s="828"/>
      <c r="D584" s="114" t="s">
        <v>346</v>
      </c>
      <c r="E584" s="829"/>
      <c r="F584" s="830" t="s">
        <v>2</v>
      </c>
    </row>
    <row r="585" spans="2:6" ht="48" outlineLevel="1" x14ac:dyDescent="0.2">
      <c r="B585" s="1140"/>
      <c r="C585" s="828"/>
      <c r="D585" s="114" t="s">
        <v>1319</v>
      </c>
      <c r="E585" s="829"/>
      <c r="F585" s="830" t="s">
        <v>2</v>
      </c>
    </row>
    <row r="586" spans="2:6" outlineLevel="1" x14ac:dyDescent="0.2">
      <c r="B586" s="1140"/>
      <c r="C586" s="828"/>
      <c r="D586" s="114" t="s">
        <v>148</v>
      </c>
      <c r="E586" s="829"/>
      <c r="F586" s="830" t="s">
        <v>1548</v>
      </c>
    </row>
    <row r="587" spans="2:6" ht="24" outlineLevel="1" x14ac:dyDescent="0.2">
      <c r="B587" s="1140"/>
      <c r="C587" s="828"/>
      <c r="D587" s="114" t="s">
        <v>153</v>
      </c>
      <c r="E587" s="829"/>
      <c r="F587" s="830" t="s">
        <v>1548</v>
      </c>
    </row>
    <row r="588" spans="2:6" outlineLevel="1" x14ac:dyDescent="0.2">
      <c r="B588" s="1140"/>
      <c r="C588" s="828"/>
      <c r="D588" s="114" t="s">
        <v>154</v>
      </c>
      <c r="E588" s="829"/>
      <c r="F588" s="830" t="s">
        <v>1549</v>
      </c>
    </row>
    <row r="589" spans="2:6" ht="24" outlineLevel="1" x14ac:dyDescent="0.2">
      <c r="B589" s="1140"/>
      <c r="C589" s="828"/>
      <c r="D589" s="114" t="s">
        <v>245</v>
      </c>
      <c r="E589" s="829"/>
      <c r="F589" s="830" t="s">
        <v>1550</v>
      </c>
    </row>
    <row r="590" spans="2:6" ht="48" outlineLevel="1" x14ac:dyDescent="0.2">
      <c r="B590" s="1140"/>
      <c r="C590" s="828"/>
      <c r="D590" s="114" t="s">
        <v>246</v>
      </c>
      <c r="E590" s="829"/>
      <c r="F590" s="830" t="s">
        <v>1551</v>
      </c>
    </row>
    <row r="591" spans="2:6" ht="48" outlineLevel="1" x14ac:dyDescent="0.2">
      <c r="B591" s="1140"/>
      <c r="C591" s="828"/>
      <c r="D591" s="114" t="s">
        <v>247</v>
      </c>
      <c r="E591" s="829"/>
      <c r="F591" s="830" t="s">
        <v>1548</v>
      </c>
    </row>
    <row r="592" spans="2:6" ht="48" outlineLevel="1" x14ac:dyDescent="0.2">
      <c r="B592" s="1140"/>
      <c r="C592" s="828"/>
      <c r="D592" s="114" t="s">
        <v>248</v>
      </c>
      <c r="E592" s="829"/>
      <c r="F592" s="830" t="s">
        <v>1548</v>
      </c>
    </row>
    <row r="593" spans="2:6" ht="48" outlineLevel="1" x14ac:dyDescent="0.2">
      <c r="B593" s="1140"/>
      <c r="C593" s="828"/>
      <c r="D593" s="114" t="s">
        <v>249</v>
      </c>
      <c r="E593" s="829"/>
      <c r="F593" s="830" t="s">
        <v>1552</v>
      </c>
    </row>
    <row r="594" spans="2:6" ht="36" outlineLevel="1" x14ac:dyDescent="0.2">
      <c r="B594" s="1140"/>
      <c r="C594" s="828"/>
      <c r="D594" s="114" t="s">
        <v>250</v>
      </c>
      <c r="E594" s="829"/>
      <c r="F594" s="830" t="s">
        <v>1548</v>
      </c>
    </row>
    <row r="595" spans="2:6" ht="48" outlineLevel="1" x14ac:dyDescent="0.2">
      <c r="B595" s="1140"/>
      <c r="C595" s="828"/>
      <c r="D595" s="114" t="s">
        <v>251</v>
      </c>
      <c r="E595" s="829"/>
      <c r="F595" s="830">
        <v>646.52</v>
      </c>
    </row>
    <row r="596" spans="2:6" ht="48" outlineLevel="1" x14ac:dyDescent="0.2">
      <c r="B596" s="1140"/>
      <c r="C596" s="828"/>
      <c r="D596" s="114" t="s">
        <v>252</v>
      </c>
      <c r="E596" s="829"/>
      <c r="F596" s="830" t="s">
        <v>1553</v>
      </c>
    </row>
    <row r="597" spans="2:6" outlineLevel="1" x14ac:dyDescent="0.2">
      <c r="B597" s="1140"/>
      <c r="C597" s="828"/>
      <c r="D597" s="114" t="s">
        <v>167</v>
      </c>
      <c r="E597" s="829"/>
      <c r="F597" s="830" t="s">
        <v>1554</v>
      </c>
    </row>
    <row r="598" spans="2:6" outlineLevel="1" x14ac:dyDescent="0.2">
      <c r="B598" s="1140"/>
      <c r="C598" s="828"/>
      <c r="D598" s="114" t="s">
        <v>168</v>
      </c>
      <c r="E598" s="829"/>
      <c r="F598" s="830" t="s">
        <v>1555</v>
      </c>
    </row>
    <row r="599" spans="2:6" ht="24" outlineLevel="1" x14ac:dyDescent="0.2">
      <c r="B599" s="1140"/>
      <c r="C599" s="828"/>
      <c r="D599" s="114" t="s">
        <v>169</v>
      </c>
      <c r="E599" s="829"/>
      <c r="F599" s="830" t="s">
        <v>1552</v>
      </c>
    </row>
    <row r="600" spans="2:6" ht="24" outlineLevel="1" x14ac:dyDescent="0.2">
      <c r="B600" s="1140"/>
      <c r="C600" s="828"/>
      <c r="D600" s="114" t="s">
        <v>151</v>
      </c>
      <c r="E600" s="829"/>
      <c r="F600" s="830">
        <v>646.52</v>
      </c>
    </row>
    <row r="601" spans="2:6" ht="60" outlineLevel="1" x14ac:dyDescent="0.2">
      <c r="B601" s="1140"/>
      <c r="C601" s="828"/>
      <c r="D601" s="114" t="s">
        <v>253</v>
      </c>
      <c r="E601" s="829"/>
      <c r="F601" s="830" t="s">
        <v>1549</v>
      </c>
    </row>
    <row r="602" spans="2:6" outlineLevel="1" x14ac:dyDescent="0.2">
      <c r="B602" s="1140"/>
      <c r="C602" s="828"/>
      <c r="D602" s="114" t="s">
        <v>160</v>
      </c>
      <c r="E602" s="829"/>
      <c r="F602" s="830" t="s">
        <v>1551</v>
      </c>
    </row>
    <row r="603" spans="2:6" outlineLevel="1" x14ac:dyDescent="0.2">
      <c r="B603" s="1141"/>
      <c r="C603" s="828"/>
      <c r="D603" s="114" t="s">
        <v>149</v>
      </c>
      <c r="E603" s="829"/>
      <c r="F603" s="830"/>
    </row>
    <row r="604" spans="2:6" ht="21" customHeight="1" x14ac:dyDescent="0.2">
      <c r="B604" s="1142" t="s">
        <v>1152</v>
      </c>
      <c r="C604" s="1143"/>
      <c r="D604" s="1143"/>
      <c r="E604" s="1143"/>
      <c r="F604" s="1143"/>
    </row>
    <row r="605" spans="2:6" ht="21" customHeight="1" x14ac:dyDescent="0.2">
      <c r="B605" s="831"/>
      <c r="C605" s="1135" t="s">
        <v>1127</v>
      </c>
      <c r="D605" s="1146"/>
      <c r="E605" s="1146"/>
      <c r="F605" s="1146"/>
    </row>
    <row r="606" spans="2:6" ht="63.75" x14ac:dyDescent="0.2">
      <c r="B606" s="1139">
        <v>25</v>
      </c>
      <c r="C606" s="825" t="s">
        <v>366</v>
      </c>
      <c r="D606" s="113" t="s">
        <v>244</v>
      </c>
      <c r="E606" s="826" t="s">
        <v>1556</v>
      </c>
      <c r="F606" s="827" t="s">
        <v>1557</v>
      </c>
    </row>
    <row r="607" spans="2:6" ht="36" outlineLevel="1" x14ac:dyDescent="0.2">
      <c r="B607" s="1140"/>
      <c r="C607" s="828"/>
      <c r="D607" s="114" t="s">
        <v>367</v>
      </c>
      <c r="E607" s="829"/>
      <c r="F607" s="830" t="s">
        <v>2</v>
      </c>
    </row>
    <row r="608" spans="2:6" outlineLevel="1" x14ac:dyDescent="0.2">
      <c r="B608" s="1140"/>
      <c r="C608" s="828"/>
      <c r="D608" s="114" t="s">
        <v>161</v>
      </c>
      <c r="E608" s="829"/>
      <c r="F608" s="830" t="s">
        <v>2</v>
      </c>
    </row>
    <row r="609" spans="2:6" ht="36" outlineLevel="1" x14ac:dyDescent="0.2">
      <c r="B609" s="1140"/>
      <c r="C609" s="828"/>
      <c r="D609" s="114" t="s">
        <v>368</v>
      </c>
      <c r="E609" s="829"/>
      <c r="F609" s="830" t="s">
        <v>2</v>
      </c>
    </row>
    <row r="610" spans="2:6" ht="48" outlineLevel="1" x14ac:dyDescent="0.2">
      <c r="B610" s="1140"/>
      <c r="C610" s="828"/>
      <c r="D610" s="114" t="s">
        <v>346</v>
      </c>
      <c r="E610" s="829"/>
      <c r="F610" s="830" t="s">
        <v>2</v>
      </c>
    </row>
    <row r="611" spans="2:6" ht="36" outlineLevel="1" x14ac:dyDescent="0.2">
      <c r="B611" s="1140"/>
      <c r="C611" s="828"/>
      <c r="D611" s="114" t="s">
        <v>1558</v>
      </c>
      <c r="E611" s="829"/>
      <c r="F611" s="830" t="s">
        <v>2</v>
      </c>
    </row>
    <row r="612" spans="2:6" ht="48" outlineLevel="1" x14ac:dyDescent="0.2">
      <c r="B612" s="1140"/>
      <c r="C612" s="828"/>
      <c r="D612" s="114" t="s">
        <v>1319</v>
      </c>
      <c r="E612" s="829"/>
      <c r="F612" s="830" t="s">
        <v>2</v>
      </c>
    </row>
    <row r="613" spans="2:6" outlineLevel="1" x14ac:dyDescent="0.2">
      <c r="B613" s="1140"/>
      <c r="C613" s="828"/>
      <c r="D613" s="114" t="s">
        <v>148</v>
      </c>
      <c r="E613" s="829"/>
      <c r="F613" s="830">
        <v>646.52</v>
      </c>
    </row>
    <row r="614" spans="2:6" ht="24" outlineLevel="1" x14ac:dyDescent="0.2">
      <c r="B614" s="1140"/>
      <c r="C614" s="828"/>
      <c r="D614" s="114" t="s">
        <v>153</v>
      </c>
      <c r="E614" s="829"/>
      <c r="F614" s="830">
        <v>646.52</v>
      </c>
    </row>
    <row r="615" spans="2:6" outlineLevel="1" x14ac:dyDescent="0.2">
      <c r="B615" s="1140"/>
      <c r="C615" s="828"/>
      <c r="D615" s="114" t="s">
        <v>154</v>
      </c>
      <c r="E615" s="829"/>
      <c r="F615" s="830" t="s">
        <v>1559</v>
      </c>
    </row>
    <row r="616" spans="2:6" ht="24" outlineLevel="1" x14ac:dyDescent="0.2">
      <c r="B616" s="1140"/>
      <c r="C616" s="828"/>
      <c r="D616" s="114" t="s">
        <v>245</v>
      </c>
      <c r="E616" s="829"/>
      <c r="F616" s="830" t="s">
        <v>1560</v>
      </c>
    </row>
    <row r="617" spans="2:6" ht="48" outlineLevel="1" x14ac:dyDescent="0.2">
      <c r="B617" s="1140"/>
      <c r="C617" s="828"/>
      <c r="D617" s="114" t="s">
        <v>246</v>
      </c>
      <c r="E617" s="829"/>
      <c r="F617" s="830" t="s">
        <v>1561</v>
      </c>
    </row>
    <row r="618" spans="2:6" ht="48" outlineLevel="1" x14ac:dyDescent="0.2">
      <c r="B618" s="1140"/>
      <c r="C618" s="828"/>
      <c r="D618" s="114" t="s">
        <v>247</v>
      </c>
      <c r="E618" s="829"/>
      <c r="F618" s="830">
        <v>646.52</v>
      </c>
    </row>
    <row r="619" spans="2:6" ht="48" outlineLevel="1" x14ac:dyDescent="0.2">
      <c r="B619" s="1140"/>
      <c r="C619" s="828"/>
      <c r="D619" s="114" t="s">
        <v>248</v>
      </c>
      <c r="E619" s="829"/>
      <c r="F619" s="830">
        <v>646.52</v>
      </c>
    </row>
    <row r="620" spans="2:6" ht="48" outlineLevel="1" x14ac:dyDescent="0.2">
      <c r="B620" s="1140"/>
      <c r="C620" s="828"/>
      <c r="D620" s="114" t="s">
        <v>249</v>
      </c>
      <c r="E620" s="829"/>
      <c r="F620" s="830" t="s">
        <v>1554</v>
      </c>
    </row>
    <row r="621" spans="2:6" ht="36" outlineLevel="1" x14ac:dyDescent="0.2">
      <c r="B621" s="1140"/>
      <c r="C621" s="828"/>
      <c r="D621" s="114" t="s">
        <v>250</v>
      </c>
      <c r="E621" s="829"/>
      <c r="F621" s="830">
        <v>646.52</v>
      </c>
    </row>
    <row r="622" spans="2:6" ht="48" outlineLevel="1" x14ac:dyDescent="0.2">
      <c r="B622" s="1140"/>
      <c r="C622" s="828"/>
      <c r="D622" s="114" t="s">
        <v>251</v>
      </c>
      <c r="E622" s="829"/>
      <c r="F622" s="830">
        <v>323.26</v>
      </c>
    </row>
    <row r="623" spans="2:6" ht="48" outlineLevel="1" x14ac:dyDescent="0.2">
      <c r="B623" s="1140"/>
      <c r="C623" s="828"/>
      <c r="D623" s="114" t="s">
        <v>252</v>
      </c>
      <c r="E623" s="829"/>
      <c r="F623" s="830" t="s">
        <v>1562</v>
      </c>
    </row>
    <row r="624" spans="2:6" outlineLevel="1" x14ac:dyDescent="0.2">
      <c r="B624" s="1140"/>
      <c r="C624" s="828"/>
      <c r="D624" s="114" t="s">
        <v>167</v>
      </c>
      <c r="E624" s="829"/>
      <c r="F624" s="830">
        <v>969.77</v>
      </c>
    </row>
    <row r="625" spans="2:6" outlineLevel="1" x14ac:dyDescent="0.2">
      <c r="B625" s="1140"/>
      <c r="C625" s="828"/>
      <c r="D625" s="114" t="s">
        <v>168</v>
      </c>
      <c r="E625" s="829"/>
      <c r="F625" s="830" t="s">
        <v>1563</v>
      </c>
    </row>
    <row r="626" spans="2:6" ht="24" outlineLevel="1" x14ac:dyDescent="0.2">
      <c r="B626" s="1140"/>
      <c r="C626" s="828"/>
      <c r="D626" s="114" t="s">
        <v>169</v>
      </c>
      <c r="E626" s="829"/>
      <c r="F626" s="830" t="s">
        <v>1554</v>
      </c>
    </row>
    <row r="627" spans="2:6" ht="24" outlineLevel="1" x14ac:dyDescent="0.2">
      <c r="B627" s="1140"/>
      <c r="C627" s="828"/>
      <c r="D627" s="114" t="s">
        <v>151</v>
      </c>
      <c r="E627" s="829"/>
      <c r="F627" s="830">
        <v>323.26</v>
      </c>
    </row>
    <row r="628" spans="2:6" ht="60" outlineLevel="1" x14ac:dyDescent="0.2">
      <c r="B628" s="1140"/>
      <c r="C628" s="828"/>
      <c r="D628" s="114" t="s">
        <v>253</v>
      </c>
      <c r="E628" s="829"/>
      <c r="F628" s="830" t="s">
        <v>1559</v>
      </c>
    </row>
    <row r="629" spans="2:6" outlineLevel="1" x14ac:dyDescent="0.2">
      <c r="B629" s="1140"/>
      <c r="C629" s="828"/>
      <c r="D629" s="114" t="s">
        <v>160</v>
      </c>
      <c r="E629" s="829"/>
      <c r="F629" s="830" t="s">
        <v>1561</v>
      </c>
    </row>
    <row r="630" spans="2:6" outlineLevel="1" x14ac:dyDescent="0.2">
      <c r="B630" s="1141"/>
      <c r="C630" s="828"/>
      <c r="D630" s="114" t="s">
        <v>149</v>
      </c>
      <c r="E630" s="829"/>
      <c r="F630" s="830"/>
    </row>
    <row r="631" spans="2:6" ht="21" customHeight="1" x14ac:dyDescent="0.2">
      <c r="B631" s="1142" t="s">
        <v>1178</v>
      </c>
      <c r="C631" s="1143"/>
      <c r="D631" s="1143"/>
      <c r="E631" s="1143"/>
      <c r="F631" s="1143"/>
    </row>
    <row r="632" spans="2:6" ht="21" customHeight="1" x14ac:dyDescent="0.2">
      <c r="B632" s="831"/>
      <c r="C632" s="1135" t="s">
        <v>1127</v>
      </c>
      <c r="D632" s="1146"/>
      <c r="E632" s="1146"/>
      <c r="F632" s="1146"/>
    </row>
    <row r="633" spans="2:6" ht="63.75" x14ac:dyDescent="0.2">
      <c r="B633" s="1139">
        <v>26</v>
      </c>
      <c r="C633" s="825" t="s">
        <v>366</v>
      </c>
      <c r="D633" s="113" t="s">
        <v>244</v>
      </c>
      <c r="E633" s="826" t="s">
        <v>1556</v>
      </c>
      <c r="F633" s="827" t="s">
        <v>1557</v>
      </c>
    </row>
    <row r="634" spans="2:6" ht="36" outlineLevel="1" x14ac:dyDescent="0.2">
      <c r="B634" s="1140"/>
      <c r="C634" s="828"/>
      <c r="D634" s="114" t="s">
        <v>367</v>
      </c>
      <c r="E634" s="829"/>
      <c r="F634" s="830" t="s">
        <v>2</v>
      </c>
    </row>
    <row r="635" spans="2:6" outlineLevel="1" x14ac:dyDescent="0.2">
      <c r="B635" s="1140"/>
      <c r="C635" s="828"/>
      <c r="D635" s="114" t="s">
        <v>161</v>
      </c>
      <c r="E635" s="829"/>
      <c r="F635" s="830" t="s">
        <v>2</v>
      </c>
    </row>
    <row r="636" spans="2:6" ht="36" outlineLevel="1" x14ac:dyDescent="0.2">
      <c r="B636" s="1140"/>
      <c r="C636" s="828"/>
      <c r="D636" s="114" t="s">
        <v>368</v>
      </c>
      <c r="E636" s="829"/>
      <c r="F636" s="830" t="s">
        <v>2</v>
      </c>
    </row>
    <row r="637" spans="2:6" ht="48" outlineLevel="1" x14ac:dyDescent="0.2">
      <c r="B637" s="1140"/>
      <c r="C637" s="828"/>
      <c r="D637" s="114" t="s">
        <v>346</v>
      </c>
      <c r="E637" s="829"/>
      <c r="F637" s="830" t="s">
        <v>2</v>
      </c>
    </row>
    <row r="638" spans="2:6" ht="36" outlineLevel="1" x14ac:dyDescent="0.2">
      <c r="B638" s="1140"/>
      <c r="C638" s="828"/>
      <c r="D638" s="114" t="s">
        <v>1558</v>
      </c>
      <c r="E638" s="829"/>
      <c r="F638" s="830" t="s">
        <v>2</v>
      </c>
    </row>
    <row r="639" spans="2:6" ht="48" outlineLevel="1" x14ac:dyDescent="0.2">
      <c r="B639" s="1140"/>
      <c r="C639" s="828"/>
      <c r="D639" s="114" t="s">
        <v>1319</v>
      </c>
      <c r="E639" s="829"/>
      <c r="F639" s="830" t="s">
        <v>2</v>
      </c>
    </row>
    <row r="640" spans="2:6" outlineLevel="1" x14ac:dyDescent="0.2">
      <c r="B640" s="1140"/>
      <c r="C640" s="828"/>
      <c r="D640" s="114" t="s">
        <v>148</v>
      </c>
      <c r="E640" s="829"/>
      <c r="F640" s="830">
        <v>646.52</v>
      </c>
    </row>
    <row r="641" spans="2:6" ht="24" outlineLevel="1" x14ac:dyDescent="0.2">
      <c r="B641" s="1140"/>
      <c r="C641" s="828"/>
      <c r="D641" s="114" t="s">
        <v>153</v>
      </c>
      <c r="E641" s="829"/>
      <c r="F641" s="830">
        <v>646.52</v>
      </c>
    </row>
    <row r="642" spans="2:6" outlineLevel="1" x14ac:dyDescent="0.2">
      <c r="B642" s="1140"/>
      <c r="C642" s="828"/>
      <c r="D642" s="114" t="s">
        <v>154</v>
      </c>
      <c r="E642" s="829"/>
      <c r="F642" s="830" t="s">
        <v>1559</v>
      </c>
    </row>
    <row r="643" spans="2:6" ht="24" outlineLevel="1" x14ac:dyDescent="0.2">
      <c r="B643" s="1140"/>
      <c r="C643" s="828"/>
      <c r="D643" s="114" t="s">
        <v>245</v>
      </c>
      <c r="E643" s="829"/>
      <c r="F643" s="830" t="s">
        <v>1560</v>
      </c>
    </row>
    <row r="644" spans="2:6" ht="48" outlineLevel="1" x14ac:dyDescent="0.2">
      <c r="B644" s="1140"/>
      <c r="C644" s="828"/>
      <c r="D644" s="114" t="s">
        <v>246</v>
      </c>
      <c r="E644" s="829"/>
      <c r="F644" s="830" t="s">
        <v>1561</v>
      </c>
    </row>
    <row r="645" spans="2:6" ht="48" outlineLevel="1" x14ac:dyDescent="0.2">
      <c r="B645" s="1140"/>
      <c r="C645" s="828"/>
      <c r="D645" s="114" t="s">
        <v>247</v>
      </c>
      <c r="E645" s="829"/>
      <c r="F645" s="830">
        <v>646.52</v>
      </c>
    </row>
    <row r="646" spans="2:6" ht="48" outlineLevel="1" x14ac:dyDescent="0.2">
      <c r="B646" s="1140"/>
      <c r="C646" s="828"/>
      <c r="D646" s="114" t="s">
        <v>248</v>
      </c>
      <c r="E646" s="829"/>
      <c r="F646" s="830">
        <v>646.52</v>
      </c>
    </row>
    <row r="647" spans="2:6" ht="48" outlineLevel="1" x14ac:dyDescent="0.2">
      <c r="B647" s="1140"/>
      <c r="C647" s="828"/>
      <c r="D647" s="114" t="s">
        <v>249</v>
      </c>
      <c r="E647" s="829"/>
      <c r="F647" s="830" t="s">
        <v>1554</v>
      </c>
    </row>
    <row r="648" spans="2:6" ht="36" outlineLevel="1" x14ac:dyDescent="0.2">
      <c r="B648" s="1140"/>
      <c r="C648" s="828"/>
      <c r="D648" s="114" t="s">
        <v>250</v>
      </c>
      <c r="E648" s="829"/>
      <c r="F648" s="830">
        <v>646.52</v>
      </c>
    </row>
    <row r="649" spans="2:6" ht="48" outlineLevel="1" x14ac:dyDescent="0.2">
      <c r="B649" s="1140"/>
      <c r="C649" s="828"/>
      <c r="D649" s="114" t="s">
        <v>251</v>
      </c>
      <c r="E649" s="829"/>
      <c r="F649" s="830">
        <v>323.26</v>
      </c>
    </row>
    <row r="650" spans="2:6" ht="48" outlineLevel="1" x14ac:dyDescent="0.2">
      <c r="B650" s="1140"/>
      <c r="C650" s="828"/>
      <c r="D650" s="114" t="s">
        <v>252</v>
      </c>
      <c r="E650" s="829"/>
      <c r="F650" s="830" t="s">
        <v>1562</v>
      </c>
    </row>
    <row r="651" spans="2:6" outlineLevel="1" x14ac:dyDescent="0.2">
      <c r="B651" s="1140"/>
      <c r="C651" s="828"/>
      <c r="D651" s="114" t="s">
        <v>167</v>
      </c>
      <c r="E651" s="829"/>
      <c r="F651" s="830">
        <v>969.77</v>
      </c>
    </row>
    <row r="652" spans="2:6" outlineLevel="1" x14ac:dyDescent="0.2">
      <c r="B652" s="1140"/>
      <c r="C652" s="828"/>
      <c r="D652" s="114" t="s">
        <v>168</v>
      </c>
      <c r="E652" s="829"/>
      <c r="F652" s="830" t="s">
        <v>1563</v>
      </c>
    </row>
    <row r="653" spans="2:6" ht="24" outlineLevel="1" x14ac:dyDescent="0.2">
      <c r="B653" s="1140"/>
      <c r="C653" s="828"/>
      <c r="D653" s="114" t="s">
        <v>169</v>
      </c>
      <c r="E653" s="829"/>
      <c r="F653" s="830" t="s">
        <v>1554</v>
      </c>
    </row>
    <row r="654" spans="2:6" ht="24" outlineLevel="1" x14ac:dyDescent="0.2">
      <c r="B654" s="1140"/>
      <c r="C654" s="828"/>
      <c r="D654" s="114" t="s">
        <v>151</v>
      </c>
      <c r="E654" s="829"/>
      <c r="F654" s="830">
        <v>323.26</v>
      </c>
    </row>
    <row r="655" spans="2:6" ht="60" outlineLevel="1" x14ac:dyDescent="0.2">
      <c r="B655" s="1140"/>
      <c r="C655" s="828"/>
      <c r="D655" s="114" t="s">
        <v>253</v>
      </c>
      <c r="E655" s="829"/>
      <c r="F655" s="830" t="s">
        <v>1559</v>
      </c>
    </row>
    <row r="656" spans="2:6" outlineLevel="1" x14ac:dyDescent="0.2">
      <c r="B656" s="1140"/>
      <c r="C656" s="828"/>
      <c r="D656" s="114" t="s">
        <v>160</v>
      </c>
      <c r="E656" s="829"/>
      <c r="F656" s="830" t="s">
        <v>1561</v>
      </c>
    </row>
    <row r="657" spans="2:6" outlineLevel="1" x14ac:dyDescent="0.2">
      <c r="B657" s="1141"/>
      <c r="C657" s="828"/>
      <c r="D657" s="114" t="s">
        <v>149</v>
      </c>
      <c r="E657" s="829"/>
      <c r="F657" s="830"/>
    </row>
    <row r="658" spans="2:6" ht="27.95" customHeight="1" x14ac:dyDescent="0.2">
      <c r="B658" s="1142" t="s">
        <v>1564</v>
      </c>
      <c r="C658" s="1143"/>
      <c r="D658" s="1143"/>
      <c r="E658" s="1143"/>
      <c r="F658" s="1143"/>
    </row>
    <row r="659" spans="2:6" ht="38.25" x14ac:dyDescent="0.2">
      <c r="B659" s="1139">
        <v>27</v>
      </c>
      <c r="C659" s="825" t="s">
        <v>1565</v>
      </c>
      <c r="D659" s="113" t="s">
        <v>1566</v>
      </c>
      <c r="E659" s="826" t="s">
        <v>1567</v>
      </c>
      <c r="F659" s="827" t="s">
        <v>1568</v>
      </c>
    </row>
    <row r="660" spans="2:6" ht="36" outlineLevel="1" x14ac:dyDescent="0.2">
      <c r="B660" s="1140"/>
      <c r="C660" s="828"/>
      <c r="D660" s="114" t="s">
        <v>365</v>
      </c>
      <c r="E660" s="829"/>
      <c r="F660" s="830" t="s">
        <v>2</v>
      </c>
    </row>
    <row r="661" spans="2:6" ht="48" outlineLevel="1" x14ac:dyDescent="0.2">
      <c r="B661" s="1140"/>
      <c r="C661" s="828"/>
      <c r="D661" s="114" t="s">
        <v>346</v>
      </c>
      <c r="E661" s="829"/>
      <c r="F661" s="830" t="s">
        <v>2</v>
      </c>
    </row>
    <row r="662" spans="2:6" outlineLevel="1" x14ac:dyDescent="0.2">
      <c r="B662" s="1140"/>
      <c r="C662" s="828"/>
      <c r="D662" s="114" t="s">
        <v>147</v>
      </c>
      <c r="E662" s="829"/>
      <c r="F662" s="830" t="s">
        <v>2</v>
      </c>
    </row>
    <row r="663" spans="2:6" ht="48" outlineLevel="1" x14ac:dyDescent="0.2">
      <c r="B663" s="1140"/>
      <c r="C663" s="828"/>
      <c r="D663" s="114" t="s">
        <v>1319</v>
      </c>
      <c r="E663" s="829"/>
      <c r="F663" s="830" t="s">
        <v>2</v>
      </c>
    </row>
    <row r="664" spans="2:6" outlineLevel="1" x14ac:dyDescent="0.2">
      <c r="B664" s="1140"/>
      <c r="C664" s="828"/>
      <c r="D664" s="114" t="s">
        <v>148</v>
      </c>
      <c r="E664" s="829"/>
      <c r="F664" s="830" t="s">
        <v>1569</v>
      </c>
    </row>
    <row r="665" spans="2:6" outlineLevel="1" x14ac:dyDescent="0.2">
      <c r="B665" s="1140"/>
      <c r="C665" s="828"/>
      <c r="D665" s="114" t="s">
        <v>162</v>
      </c>
      <c r="E665" s="829"/>
      <c r="F665" s="830" t="s">
        <v>1569</v>
      </c>
    </row>
    <row r="666" spans="2:6" ht="24" outlineLevel="1" x14ac:dyDescent="0.2">
      <c r="B666" s="1140"/>
      <c r="C666" s="828"/>
      <c r="D666" s="114" t="s">
        <v>172</v>
      </c>
      <c r="E666" s="829"/>
      <c r="F666" s="830" t="s">
        <v>1570</v>
      </c>
    </row>
    <row r="667" spans="2:6" outlineLevel="1" x14ac:dyDescent="0.2">
      <c r="B667" s="1140"/>
      <c r="C667" s="828"/>
      <c r="D667" s="114" t="s">
        <v>152</v>
      </c>
      <c r="E667" s="829"/>
      <c r="F667" s="830" t="s">
        <v>1569</v>
      </c>
    </row>
    <row r="668" spans="2:6" ht="24" outlineLevel="1" x14ac:dyDescent="0.2">
      <c r="B668" s="1140"/>
      <c r="C668" s="828"/>
      <c r="D668" s="114" t="s">
        <v>163</v>
      </c>
      <c r="E668" s="829"/>
      <c r="F668" s="830">
        <v>770.2</v>
      </c>
    </row>
    <row r="669" spans="2:6" outlineLevel="1" x14ac:dyDescent="0.2">
      <c r="B669" s="1140"/>
      <c r="C669" s="828"/>
      <c r="D669" s="114" t="s">
        <v>164</v>
      </c>
      <c r="E669" s="829"/>
      <c r="F669" s="830" t="s">
        <v>1571</v>
      </c>
    </row>
    <row r="670" spans="2:6" ht="24" outlineLevel="1" x14ac:dyDescent="0.2">
      <c r="B670" s="1140"/>
      <c r="C670" s="828"/>
      <c r="D670" s="114" t="s">
        <v>165</v>
      </c>
      <c r="E670" s="829"/>
      <c r="F670" s="830" t="s">
        <v>1572</v>
      </c>
    </row>
    <row r="671" spans="2:6" outlineLevel="1" x14ac:dyDescent="0.2">
      <c r="B671" s="1140"/>
      <c r="C671" s="828"/>
      <c r="D671" s="114" t="s">
        <v>224</v>
      </c>
      <c r="E671" s="829"/>
      <c r="F671" s="830" t="s">
        <v>1573</v>
      </c>
    </row>
    <row r="672" spans="2:6" ht="48" outlineLevel="1" x14ac:dyDescent="0.2">
      <c r="B672" s="1140"/>
      <c r="C672" s="828"/>
      <c r="D672" s="114" t="s">
        <v>173</v>
      </c>
      <c r="E672" s="829"/>
      <c r="F672" s="830" t="s">
        <v>1574</v>
      </c>
    </row>
    <row r="673" spans="2:6" ht="48" outlineLevel="1" x14ac:dyDescent="0.2">
      <c r="B673" s="1140"/>
      <c r="C673" s="828"/>
      <c r="D673" s="114" t="s">
        <v>174</v>
      </c>
      <c r="E673" s="829"/>
      <c r="F673" s="830" t="s">
        <v>1575</v>
      </c>
    </row>
    <row r="674" spans="2:6" ht="48" outlineLevel="1" x14ac:dyDescent="0.2">
      <c r="B674" s="1140"/>
      <c r="C674" s="828"/>
      <c r="D674" s="114" t="s">
        <v>175</v>
      </c>
      <c r="E674" s="829"/>
      <c r="F674" s="830" t="s">
        <v>1576</v>
      </c>
    </row>
    <row r="675" spans="2:6" ht="48" outlineLevel="1" x14ac:dyDescent="0.2">
      <c r="B675" s="1140"/>
      <c r="C675" s="828"/>
      <c r="D675" s="114" t="s">
        <v>171</v>
      </c>
      <c r="E675" s="829"/>
      <c r="F675" s="830" t="s">
        <v>1577</v>
      </c>
    </row>
    <row r="676" spans="2:6" ht="48" outlineLevel="1" x14ac:dyDescent="0.2">
      <c r="B676" s="1140"/>
      <c r="C676" s="828"/>
      <c r="D676" s="114" t="s">
        <v>225</v>
      </c>
      <c r="E676" s="829"/>
      <c r="F676" s="830" t="s">
        <v>1578</v>
      </c>
    </row>
    <row r="677" spans="2:6" ht="48" outlineLevel="1" x14ac:dyDescent="0.2">
      <c r="B677" s="1140"/>
      <c r="C677" s="828"/>
      <c r="D677" s="114" t="s">
        <v>226</v>
      </c>
      <c r="E677" s="829"/>
      <c r="F677" s="830" t="s">
        <v>1577</v>
      </c>
    </row>
    <row r="678" spans="2:6" ht="48" outlineLevel="1" x14ac:dyDescent="0.2">
      <c r="B678" s="1140"/>
      <c r="C678" s="828"/>
      <c r="D678" s="114" t="s">
        <v>227</v>
      </c>
      <c r="E678" s="829"/>
      <c r="F678" s="830" t="s">
        <v>1576</v>
      </c>
    </row>
    <row r="679" spans="2:6" outlineLevel="1" x14ac:dyDescent="0.2">
      <c r="B679" s="1141"/>
      <c r="C679" s="828"/>
      <c r="D679" s="114" t="s">
        <v>149</v>
      </c>
      <c r="E679" s="829"/>
      <c r="F679" s="830"/>
    </row>
    <row r="680" spans="2:6" ht="21" customHeight="1" x14ac:dyDescent="0.2">
      <c r="B680" s="1142" t="s">
        <v>1579</v>
      </c>
      <c r="C680" s="1143"/>
      <c r="D680" s="1143"/>
      <c r="E680" s="1143"/>
      <c r="F680" s="1143"/>
    </row>
    <row r="681" spans="2:6" ht="38.25" x14ac:dyDescent="0.2">
      <c r="B681" s="1139">
        <v>28</v>
      </c>
      <c r="C681" s="825" t="s">
        <v>374</v>
      </c>
      <c r="D681" s="113" t="s">
        <v>375</v>
      </c>
      <c r="E681" s="826" t="s">
        <v>1580</v>
      </c>
      <c r="F681" s="827" t="s">
        <v>1581</v>
      </c>
    </row>
    <row r="682" spans="2:6" ht="36" outlineLevel="1" x14ac:dyDescent="0.2">
      <c r="B682" s="1140"/>
      <c r="C682" s="828"/>
      <c r="D682" s="114" t="s">
        <v>365</v>
      </c>
      <c r="E682" s="829"/>
      <c r="F682" s="830" t="s">
        <v>2</v>
      </c>
    </row>
    <row r="683" spans="2:6" ht="48" outlineLevel="1" x14ac:dyDescent="0.2">
      <c r="B683" s="1140"/>
      <c r="C683" s="828"/>
      <c r="D683" s="114" t="s">
        <v>346</v>
      </c>
      <c r="E683" s="829"/>
      <c r="F683" s="830" t="s">
        <v>2</v>
      </c>
    </row>
    <row r="684" spans="2:6" outlineLevel="1" x14ac:dyDescent="0.2">
      <c r="B684" s="1140"/>
      <c r="C684" s="828"/>
      <c r="D684" s="114" t="s">
        <v>147</v>
      </c>
      <c r="E684" s="829"/>
      <c r="F684" s="830" t="s">
        <v>2</v>
      </c>
    </row>
    <row r="685" spans="2:6" ht="48" outlineLevel="1" x14ac:dyDescent="0.2">
      <c r="B685" s="1140"/>
      <c r="C685" s="828"/>
      <c r="D685" s="114" t="s">
        <v>1319</v>
      </c>
      <c r="E685" s="829"/>
      <c r="F685" s="830" t="s">
        <v>2</v>
      </c>
    </row>
    <row r="686" spans="2:6" outlineLevel="1" x14ac:dyDescent="0.2">
      <c r="B686" s="1140"/>
      <c r="C686" s="828"/>
      <c r="D686" s="114" t="s">
        <v>148</v>
      </c>
      <c r="E686" s="829"/>
      <c r="F686" s="830">
        <v>560.57000000000005</v>
      </c>
    </row>
    <row r="687" spans="2:6" outlineLevel="1" x14ac:dyDescent="0.2">
      <c r="B687" s="1140"/>
      <c r="C687" s="828"/>
      <c r="D687" s="114" t="s">
        <v>162</v>
      </c>
      <c r="E687" s="829"/>
      <c r="F687" s="830">
        <v>560.57000000000005</v>
      </c>
    </row>
    <row r="688" spans="2:6" ht="24" outlineLevel="1" x14ac:dyDescent="0.2">
      <c r="B688" s="1140"/>
      <c r="C688" s="828"/>
      <c r="D688" s="114" t="s">
        <v>172</v>
      </c>
      <c r="E688" s="829"/>
      <c r="F688" s="830" t="s">
        <v>1582</v>
      </c>
    </row>
    <row r="689" spans="2:6" outlineLevel="1" x14ac:dyDescent="0.2">
      <c r="B689" s="1140"/>
      <c r="C689" s="828"/>
      <c r="D689" s="114" t="s">
        <v>152</v>
      </c>
      <c r="E689" s="829"/>
      <c r="F689" s="830">
        <v>560.57000000000005</v>
      </c>
    </row>
    <row r="690" spans="2:6" ht="24" outlineLevel="1" x14ac:dyDescent="0.2">
      <c r="B690" s="1140"/>
      <c r="C690" s="828"/>
      <c r="D690" s="114" t="s">
        <v>163</v>
      </c>
      <c r="E690" s="829"/>
      <c r="F690" s="830">
        <v>280.29000000000002</v>
      </c>
    </row>
    <row r="691" spans="2:6" outlineLevel="1" x14ac:dyDescent="0.2">
      <c r="B691" s="1140"/>
      <c r="C691" s="828"/>
      <c r="D691" s="114" t="s">
        <v>164</v>
      </c>
      <c r="E691" s="829"/>
      <c r="F691" s="830" t="s">
        <v>1583</v>
      </c>
    </row>
    <row r="692" spans="2:6" ht="24" outlineLevel="1" x14ac:dyDescent="0.2">
      <c r="B692" s="1140"/>
      <c r="C692" s="828"/>
      <c r="D692" s="114" t="s">
        <v>165</v>
      </c>
      <c r="E692" s="829"/>
      <c r="F692" s="830">
        <v>840.86</v>
      </c>
    </row>
    <row r="693" spans="2:6" outlineLevel="1" x14ac:dyDescent="0.2">
      <c r="B693" s="1140"/>
      <c r="C693" s="828"/>
      <c r="D693" s="114" t="s">
        <v>224</v>
      </c>
      <c r="E693" s="829"/>
      <c r="F693" s="830" t="s">
        <v>1584</v>
      </c>
    </row>
    <row r="694" spans="2:6" ht="48" outlineLevel="1" x14ac:dyDescent="0.2">
      <c r="B694" s="1140"/>
      <c r="C694" s="828"/>
      <c r="D694" s="114" t="s">
        <v>173</v>
      </c>
      <c r="E694" s="829"/>
      <c r="F694" s="830" t="s">
        <v>1585</v>
      </c>
    </row>
    <row r="695" spans="2:6" ht="48" outlineLevel="1" x14ac:dyDescent="0.2">
      <c r="B695" s="1140"/>
      <c r="C695" s="828"/>
      <c r="D695" s="114" t="s">
        <v>174</v>
      </c>
      <c r="E695" s="829"/>
      <c r="F695" s="830" t="s">
        <v>1586</v>
      </c>
    </row>
    <row r="696" spans="2:6" ht="48" outlineLevel="1" x14ac:dyDescent="0.2">
      <c r="B696" s="1140"/>
      <c r="C696" s="828"/>
      <c r="D696" s="114" t="s">
        <v>175</v>
      </c>
      <c r="E696" s="829"/>
      <c r="F696" s="830">
        <v>420.43</v>
      </c>
    </row>
    <row r="697" spans="2:6" ht="48" outlineLevel="1" x14ac:dyDescent="0.2">
      <c r="B697" s="1140"/>
      <c r="C697" s="828"/>
      <c r="D697" s="114" t="s">
        <v>171</v>
      </c>
      <c r="E697" s="829"/>
      <c r="F697" s="830">
        <v>700.72</v>
      </c>
    </row>
    <row r="698" spans="2:6" ht="48" outlineLevel="1" x14ac:dyDescent="0.2">
      <c r="B698" s="1140"/>
      <c r="C698" s="828"/>
      <c r="D698" s="114" t="s">
        <v>225</v>
      </c>
      <c r="E698" s="829"/>
      <c r="F698" s="830" t="s">
        <v>1587</v>
      </c>
    </row>
    <row r="699" spans="2:6" ht="48" outlineLevel="1" x14ac:dyDescent="0.2">
      <c r="B699" s="1140"/>
      <c r="C699" s="828"/>
      <c r="D699" s="114" t="s">
        <v>226</v>
      </c>
      <c r="E699" s="829"/>
      <c r="F699" s="830">
        <v>700.72</v>
      </c>
    </row>
    <row r="700" spans="2:6" ht="48" outlineLevel="1" x14ac:dyDescent="0.2">
      <c r="B700" s="1140"/>
      <c r="C700" s="828"/>
      <c r="D700" s="114" t="s">
        <v>227</v>
      </c>
      <c r="E700" s="829"/>
      <c r="F700" s="830">
        <v>420.43</v>
      </c>
    </row>
    <row r="701" spans="2:6" outlineLevel="1" x14ac:dyDescent="0.2">
      <c r="B701" s="1141"/>
      <c r="C701" s="828"/>
      <c r="D701" s="114" t="s">
        <v>149</v>
      </c>
      <c r="E701" s="829"/>
      <c r="F701" s="830"/>
    </row>
    <row r="702" spans="2:6" ht="21" customHeight="1" x14ac:dyDescent="0.2">
      <c r="B702" s="1142" t="s">
        <v>1588</v>
      </c>
      <c r="C702" s="1143"/>
      <c r="D702" s="1143"/>
      <c r="E702" s="1143"/>
      <c r="F702" s="1143"/>
    </row>
    <row r="703" spans="2:6" ht="38.25" x14ac:dyDescent="0.2">
      <c r="B703" s="1139">
        <v>29</v>
      </c>
      <c r="C703" s="825" t="s">
        <v>374</v>
      </c>
      <c r="D703" s="113" t="s">
        <v>375</v>
      </c>
      <c r="E703" s="826" t="s">
        <v>1580</v>
      </c>
      <c r="F703" s="827" t="s">
        <v>1581</v>
      </c>
    </row>
    <row r="704" spans="2:6" ht="36" outlineLevel="1" x14ac:dyDescent="0.2">
      <c r="B704" s="1140"/>
      <c r="C704" s="828"/>
      <c r="D704" s="114" t="s">
        <v>365</v>
      </c>
      <c r="E704" s="829"/>
      <c r="F704" s="830" t="s">
        <v>2</v>
      </c>
    </row>
    <row r="705" spans="2:6" ht="48" outlineLevel="1" x14ac:dyDescent="0.2">
      <c r="B705" s="1140"/>
      <c r="C705" s="828"/>
      <c r="D705" s="114" t="s">
        <v>346</v>
      </c>
      <c r="E705" s="829"/>
      <c r="F705" s="830" t="s">
        <v>2</v>
      </c>
    </row>
    <row r="706" spans="2:6" outlineLevel="1" x14ac:dyDescent="0.2">
      <c r="B706" s="1140"/>
      <c r="C706" s="828"/>
      <c r="D706" s="114" t="s">
        <v>147</v>
      </c>
      <c r="E706" s="829"/>
      <c r="F706" s="830" t="s">
        <v>2</v>
      </c>
    </row>
    <row r="707" spans="2:6" ht="48" outlineLevel="1" x14ac:dyDescent="0.2">
      <c r="B707" s="1140"/>
      <c r="C707" s="828"/>
      <c r="D707" s="114" t="s">
        <v>1319</v>
      </c>
      <c r="E707" s="829"/>
      <c r="F707" s="830" t="s">
        <v>2</v>
      </c>
    </row>
    <row r="708" spans="2:6" outlineLevel="1" x14ac:dyDescent="0.2">
      <c r="B708" s="1140"/>
      <c r="C708" s="828"/>
      <c r="D708" s="114" t="s">
        <v>148</v>
      </c>
      <c r="E708" s="829"/>
      <c r="F708" s="830">
        <v>560.57000000000005</v>
      </c>
    </row>
    <row r="709" spans="2:6" outlineLevel="1" x14ac:dyDescent="0.2">
      <c r="B709" s="1140"/>
      <c r="C709" s="828"/>
      <c r="D709" s="114" t="s">
        <v>162</v>
      </c>
      <c r="E709" s="829"/>
      <c r="F709" s="830">
        <v>560.57000000000005</v>
      </c>
    </row>
    <row r="710" spans="2:6" ht="24" outlineLevel="1" x14ac:dyDescent="0.2">
      <c r="B710" s="1140"/>
      <c r="C710" s="828"/>
      <c r="D710" s="114" t="s">
        <v>172</v>
      </c>
      <c r="E710" s="829"/>
      <c r="F710" s="830" t="s">
        <v>1582</v>
      </c>
    </row>
    <row r="711" spans="2:6" outlineLevel="1" x14ac:dyDescent="0.2">
      <c r="B711" s="1140"/>
      <c r="C711" s="828"/>
      <c r="D711" s="114" t="s">
        <v>152</v>
      </c>
      <c r="E711" s="829"/>
      <c r="F711" s="830">
        <v>560.57000000000005</v>
      </c>
    </row>
    <row r="712" spans="2:6" ht="24" outlineLevel="1" x14ac:dyDescent="0.2">
      <c r="B712" s="1140"/>
      <c r="C712" s="828"/>
      <c r="D712" s="114" t="s">
        <v>163</v>
      </c>
      <c r="E712" s="829"/>
      <c r="F712" s="830">
        <v>280.29000000000002</v>
      </c>
    </row>
    <row r="713" spans="2:6" outlineLevel="1" x14ac:dyDescent="0.2">
      <c r="B713" s="1140"/>
      <c r="C713" s="828"/>
      <c r="D713" s="114" t="s">
        <v>164</v>
      </c>
      <c r="E713" s="829"/>
      <c r="F713" s="830" t="s">
        <v>1583</v>
      </c>
    </row>
    <row r="714" spans="2:6" ht="24" outlineLevel="1" x14ac:dyDescent="0.2">
      <c r="B714" s="1140"/>
      <c r="C714" s="828"/>
      <c r="D714" s="114" t="s">
        <v>165</v>
      </c>
      <c r="E714" s="829"/>
      <c r="F714" s="830">
        <v>840.86</v>
      </c>
    </row>
    <row r="715" spans="2:6" outlineLevel="1" x14ac:dyDescent="0.2">
      <c r="B715" s="1140"/>
      <c r="C715" s="828"/>
      <c r="D715" s="114" t="s">
        <v>224</v>
      </c>
      <c r="E715" s="829"/>
      <c r="F715" s="830" t="s">
        <v>1584</v>
      </c>
    </row>
    <row r="716" spans="2:6" ht="48" outlineLevel="1" x14ac:dyDescent="0.2">
      <c r="B716" s="1140"/>
      <c r="C716" s="828"/>
      <c r="D716" s="114" t="s">
        <v>173</v>
      </c>
      <c r="E716" s="829"/>
      <c r="F716" s="830" t="s">
        <v>1585</v>
      </c>
    </row>
    <row r="717" spans="2:6" ht="48" outlineLevel="1" x14ac:dyDescent="0.2">
      <c r="B717" s="1140"/>
      <c r="C717" s="828"/>
      <c r="D717" s="114" t="s">
        <v>174</v>
      </c>
      <c r="E717" s="829"/>
      <c r="F717" s="830" t="s">
        <v>1586</v>
      </c>
    </row>
    <row r="718" spans="2:6" ht="48" outlineLevel="1" x14ac:dyDescent="0.2">
      <c r="B718" s="1140"/>
      <c r="C718" s="828"/>
      <c r="D718" s="114" t="s">
        <v>175</v>
      </c>
      <c r="E718" s="829"/>
      <c r="F718" s="830">
        <v>420.43</v>
      </c>
    </row>
    <row r="719" spans="2:6" ht="48" outlineLevel="1" x14ac:dyDescent="0.2">
      <c r="B719" s="1140"/>
      <c r="C719" s="828"/>
      <c r="D719" s="114" t="s">
        <v>171</v>
      </c>
      <c r="E719" s="829"/>
      <c r="F719" s="830">
        <v>700.72</v>
      </c>
    </row>
    <row r="720" spans="2:6" ht="48" outlineLevel="1" x14ac:dyDescent="0.2">
      <c r="B720" s="1140"/>
      <c r="C720" s="828"/>
      <c r="D720" s="114" t="s">
        <v>225</v>
      </c>
      <c r="E720" s="829"/>
      <c r="F720" s="830" t="s">
        <v>1587</v>
      </c>
    </row>
    <row r="721" spans="2:6" ht="48" outlineLevel="1" x14ac:dyDescent="0.2">
      <c r="B721" s="1140"/>
      <c r="C721" s="828"/>
      <c r="D721" s="114" t="s">
        <v>226</v>
      </c>
      <c r="E721" s="829"/>
      <c r="F721" s="830">
        <v>700.72</v>
      </c>
    </row>
    <row r="722" spans="2:6" ht="48" outlineLevel="1" x14ac:dyDescent="0.2">
      <c r="B722" s="1140"/>
      <c r="C722" s="828"/>
      <c r="D722" s="114" t="s">
        <v>227</v>
      </c>
      <c r="E722" s="829"/>
      <c r="F722" s="830">
        <v>420.43</v>
      </c>
    </row>
    <row r="723" spans="2:6" outlineLevel="1" x14ac:dyDescent="0.2">
      <c r="B723" s="1141"/>
      <c r="C723" s="828"/>
      <c r="D723" s="114" t="s">
        <v>149</v>
      </c>
      <c r="E723" s="829"/>
      <c r="F723" s="830"/>
    </row>
    <row r="724" spans="2:6" ht="21" customHeight="1" x14ac:dyDescent="0.2">
      <c r="B724" s="1142" t="s">
        <v>1589</v>
      </c>
      <c r="C724" s="1143"/>
      <c r="D724" s="1143"/>
      <c r="E724" s="1143"/>
      <c r="F724" s="1143"/>
    </row>
    <row r="725" spans="2:6" ht="63.75" x14ac:dyDescent="0.2">
      <c r="B725" s="1139">
        <v>30</v>
      </c>
      <c r="C725" s="825" t="s">
        <v>1590</v>
      </c>
      <c r="D725" s="113" t="s">
        <v>243</v>
      </c>
      <c r="E725" s="826" t="s">
        <v>1591</v>
      </c>
      <c r="F725" s="827" t="s">
        <v>1592</v>
      </c>
    </row>
    <row r="726" spans="2:6" ht="36" outlineLevel="1" x14ac:dyDescent="0.2">
      <c r="B726" s="1140"/>
      <c r="C726" s="828"/>
      <c r="D726" s="114" t="s">
        <v>365</v>
      </c>
      <c r="E726" s="829"/>
      <c r="F726" s="830" t="s">
        <v>2</v>
      </c>
    </row>
    <row r="727" spans="2:6" ht="48" outlineLevel="1" x14ac:dyDescent="0.2">
      <c r="B727" s="1140"/>
      <c r="C727" s="828"/>
      <c r="D727" s="114" t="s">
        <v>346</v>
      </c>
      <c r="E727" s="829"/>
      <c r="F727" s="830" t="s">
        <v>2</v>
      </c>
    </row>
    <row r="728" spans="2:6" outlineLevel="1" x14ac:dyDescent="0.2">
      <c r="B728" s="1140"/>
      <c r="C728" s="828"/>
      <c r="D728" s="114" t="s">
        <v>147</v>
      </c>
      <c r="E728" s="829"/>
      <c r="F728" s="830" t="s">
        <v>2</v>
      </c>
    </row>
    <row r="729" spans="2:6" ht="48" outlineLevel="1" x14ac:dyDescent="0.2">
      <c r="B729" s="1140"/>
      <c r="C729" s="828"/>
      <c r="D729" s="114" t="s">
        <v>1319</v>
      </c>
      <c r="E729" s="829"/>
      <c r="F729" s="830" t="s">
        <v>2</v>
      </c>
    </row>
    <row r="730" spans="2:6" outlineLevel="1" x14ac:dyDescent="0.2">
      <c r="B730" s="1140"/>
      <c r="C730" s="828"/>
      <c r="D730" s="114" t="s">
        <v>148</v>
      </c>
      <c r="E730" s="829"/>
      <c r="F730" s="830" t="s">
        <v>1593</v>
      </c>
    </row>
    <row r="731" spans="2:6" outlineLevel="1" x14ac:dyDescent="0.2">
      <c r="B731" s="1140"/>
      <c r="C731" s="828"/>
      <c r="D731" s="114" t="s">
        <v>162</v>
      </c>
      <c r="E731" s="829"/>
      <c r="F731" s="830" t="s">
        <v>1593</v>
      </c>
    </row>
    <row r="732" spans="2:6" ht="24" outlineLevel="1" x14ac:dyDescent="0.2">
      <c r="B732" s="1140"/>
      <c r="C732" s="828"/>
      <c r="D732" s="114" t="s">
        <v>172</v>
      </c>
      <c r="E732" s="829"/>
      <c r="F732" s="830" t="s">
        <v>1594</v>
      </c>
    </row>
    <row r="733" spans="2:6" outlineLevel="1" x14ac:dyDescent="0.2">
      <c r="B733" s="1140"/>
      <c r="C733" s="828"/>
      <c r="D733" s="114" t="s">
        <v>152</v>
      </c>
      <c r="E733" s="829"/>
      <c r="F733" s="830" t="s">
        <v>1593</v>
      </c>
    </row>
    <row r="734" spans="2:6" ht="24" outlineLevel="1" x14ac:dyDescent="0.2">
      <c r="B734" s="1140"/>
      <c r="C734" s="828"/>
      <c r="D734" s="114" t="s">
        <v>163</v>
      </c>
      <c r="E734" s="829"/>
      <c r="F734" s="830" t="s">
        <v>1595</v>
      </c>
    </row>
    <row r="735" spans="2:6" outlineLevel="1" x14ac:dyDescent="0.2">
      <c r="B735" s="1140"/>
      <c r="C735" s="828"/>
      <c r="D735" s="114" t="s">
        <v>164</v>
      </c>
      <c r="E735" s="829"/>
      <c r="F735" s="830" t="s">
        <v>1596</v>
      </c>
    </row>
    <row r="736" spans="2:6" ht="24" outlineLevel="1" x14ac:dyDescent="0.2">
      <c r="B736" s="1140"/>
      <c r="C736" s="828"/>
      <c r="D736" s="114" t="s">
        <v>165</v>
      </c>
      <c r="E736" s="829"/>
      <c r="F736" s="830" t="s">
        <v>1597</v>
      </c>
    </row>
    <row r="737" spans="2:6" outlineLevel="1" x14ac:dyDescent="0.2">
      <c r="B737" s="1140"/>
      <c r="C737" s="828"/>
      <c r="D737" s="114" t="s">
        <v>224</v>
      </c>
      <c r="E737" s="829"/>
      <c r="F737" s="830" t="s">
        <v>1598</v>
      </c>
    </row>
    <row r="738" spans="2:6" ht="48" outlineLevel="1" x14ac:dyDescent="0.2">
      <c r="B738" s="1140"/>
      <c r="C738" s="828"/>
      <c r="D738" s="114" t="s">
        <v>173</v>
      </c>
      <c r="E738" s="829"/>
      <c r="F738" s="830" t="s">
        <v>1599</v>
      </c>
    </row>
    <row r="739" spans="2:6" ht="48" outlineLevel="1" x14ac:dyDescent="0.2">
      <c r="B739" s="1140"/>
      <c r="C739" s="828"/>
      <c r="D739" s="114" t="s">
        <v>174</v>
      </c>
      <c r="E739" s="829"/>
      <c r="F739" s="830" t="s">
        <v>1600</v>
      </c>
    </row>
    <row r="740" spans="2:6" ht="48" outlineLevel="1" x14ac:dyDescent="0.2">
      <c r="B740" s="1140"/>
      <c r="C740" s="828"/>
      <c r="D740" s="114" t="s">
        <v>175</v>
      </c>
      <c r="E740" s="829"/>
      <c r="F740" s="830" t="s">
        <v>1601</v>
      </c>
    </row>
    <row r="741" spans="2:6" ht="48" outlineLevel="1" x14ac:dyDescent="0.2">
      <c r="B741" s="1140"/>
      <c r="C741" s="828"/>
      <c r="D741" s="114" t="s">
        <v>171</v>
      </c>
      <c r="E741" s="829"/>
      <c r="F741" s="830" t="s">
        <v>1602</v>
      </c>
    </row>
    <row r="742" spans="2:6" ht="48" outlineLevel="1" x14ac:dyDescent="0.2">
      <c r="B742" s="1140"/>
      <c r="C742" s="828"/>
      <c r="D742" s="114" t="s">
        <v>225</v>
      </c>
      <c r="E742" s="829"/>
      <c r="F742" s="830" t="s">
        <v>1603</v>
      </c>
    </row>
    <row r="743" spans="2:6" ht="48" outlineLevel="1" x14ac:dyDescent="0.2">
      <c r="B743" s="1140"/>
      <c r="C743" s="828"/>
      <c r="D743" s="114" t="s">
        <v>226</v>
      </c>
      <c r="E743" s="829"/>
      <c r="F743" s="830" t="s">
        <v>1602</v>
      </c>
    </row>
    <row r="744" spans="2:6" ht="48" outlineLevel="1" x14ac:dyDescent="0.2">
      <c r="B744" s="1140"/>
      <c r="C744" s="828"/>
      <c r="D744" s="114" t="s">
        <v>227</v>
      </c>
      <c r="E744" s="829"/>
      <c r="F744" s="830" t="s">
        <v>1601</v>
      </c>
    </row>
    <row r="745" spans="2:6" outlineLevel="1" x14ac:dyDescent="0.2">
      <c r="B745" s="1141"/>
      <c r="C745" s="828"/>
      <c r="D745" s="114" t="s">
        <v>149</v>
      </c>
      <c r="E745" s="829"/>
      <c r="F745" s="830"/>
    </row>
    <row r="746" spans="2:6" ht="27.95" customHeight="1" x14ac:dyDescent="0.2">
      <c r="B746" s="1142" t="s">
        <v>1604</v>
      </c>
      <c r="C746" s="1143"/>
      <c r="D746" s="1143"/>
      <c r="E746" s="1143"/>
      <c r="F746" s="1143"/>
    </row>
    <row r="747" spans="2:6" ht="38.25" x14ac:dyDescent="0.2">
      <c r="B747" s="1139">
        <v>31</v>
      </c>
      <c r="C747" s="825" t="s">
        <v>1605</v>
      </c>
      <c r="D747" s="113" t="s">
        <v>364</v>
      </c>
      <c r="E747" s="826" t="s">
        <v>1606</v>
      </c>
      <c r="F747" s="827" t="s">
        <v>1607</v>
      </c>
    </row>
    <row r="748" spans="2:6" ht="36" outlineLevel="1" x14ac:dyDescent="0.2">
      <c r="B748" s="1140"/>
      <c r="C748" s="828"/>
      <c r="D748" s="114" t="s">
        <v>365</v>
      </c>
      <c r="E748" s="829"/>
      <c r="F748" s="830" t="s">
        <v>2</v>
      </c>
    </row>
    <row r="749" spans="2:6" ht="48" outlineLevel="1" x14ac:dyDescent="0.2">
      <c r="B749" s="1140"/>
      <c r="C749" s="828"/>
      <c r="D749" s="114" t="s">
        <v>346</v>
      </c>
      <c r="E749" s="829"/>
      <c r="F749" s="830" t="s">
        <v>2</v>
      </c>
    </row>
    <row r="750" spans="2:6" outlineLevel="1" x14ac:dyDescent="0.2">
      <c r="B750" s="1140"/>
      <c r="C750" s="828"/>
      <c r="D750" s="114" t="s">
        <v>147</v>
      </c>
      <c r="E750" s="829"/>
      <c r="F750" s="830" t="s">
        <v>2</v>
      </c>
    </row>
    <row r="751" spans="2:6" ht="48" outlineLevel="1" x14ac:dyDescent="0.2">
      <c r="B751" s="1140"/>
      <c r="C751" s="828"/>
      <c r="D751" s="114" t="s">
        <v>1319</v>
      </c>
      <c r="E751" s="829"/>
      <c r="F751" s="830" t="s">
        <v>2</v>
      </c>
    </row>
    <row r="752" spans="2:6" outlineLevel="1" x14ac:dyDescent="0.2">
      <c r="B752" s="1140"/>
      <c r="C752" s="828"/>
      <c r="D752" s="114" t="s">
        <v>148</v>
      </c>
      <c r="E752" s="829"/>
      <c r="F752" s="830" t="s">
        <v>1608</v>
      </c>
    </row>
    <row r="753" spans="2:6" outlineLevel="1" x14ac:dyDescent="0.2">
      <c r="B753" s="1140"/>
      <c r="C753" s="828"/>
      <c r="D753" s="114" t="s">
        <v>162</v>
      </c>
      <c r="E753" s="829"/>
      <c r="F753" s="830" t="s">
        <v>1608</v>
      </c>
    </row>
    <row r="754" spans="2:6" ht="24" outlineLevel="1" x14ac:dyDescent="0.2">
      <c r="B754" s="1140"/>
      <c r="C754" s="828"/>
      <c r="D754" s="114" t="s">
        <v>172</v>
      </c>
      <c r="E754" s="829"/>
      <c r="F754" s="830" t="s">
        <v>1609</v>
      </c>
    </row>
    <row r="755" spans="2:6" outlineLevel="1" x14ac:dyDescent="0.2">
      <c r="B755" s="1140"/>
      <c r="C755" s="828"/>
      <c r="D755" s="114" t="s">
        <v>152</v>
      </c>
      <c r="E755" s="829"/>
      <c r="F755" s="830" t="s">
        <v>1608</v>
      </c>
    </row>
    <row r="756" spans="2:6" ht="24" outlineLevel="1" x14ac:dyDescent="0.2">
      <c r="B756" s="1140"/>
      <c r="C756" s="828"/>
      <c r="D756" s="114" t="s">
        <v>163</v>
      </c>
      <c r="E756" s="829"/>
      <c r="F756" s="830">
        <v>575.64</v>
      </c>
    </row>
    <row r="757" spans="2:6" outlineLevel="1" x14ac:dyDescent="0.2">
      <c r="B757" s="1140"/>
      <c r="C757" s="828"/>
      <c r="D757" s="114" t="s">
        <v>164</v>
      </c>
      <c r="E757" s="829"/>
      <c r="F757" s="830" t="s">
        <v>1610</v>
      </c>
    </row>
    <row r="758" spans="2:6" ht="24" outlineLevel="1" x14ac:dyDescent="0.2">
      <c r="B758" s="1140"/>
      <c r="C758" s="828"/>
      <c r="D758" s="114" t="s">
        <v>165</v>
      </c>
      <c r="E758" s="829"/>
      <c r="F758" s="830" t="s">
        <v>1611</v>
      </c>
    </row>
    <row r="759" spans="2:6" outlineLevel="1" x14ac:dyDescent="0.2">
      <c r="B759" s="1140"/>
      <c r="C759" s="828"/>
      <c r="D759" s="114" t="s">
        <v>224</v>
      </c>
      <c r="E759" s="829"/>
      <c r="F759" s="830" t="s">
        <v>1612</v>
      </c>
    </row>
    <row r="760" spans="2:6" ht="48" outlineLevel="1" x14ac:dyDescent="0.2">
      <c r="B760" s="1140"/>
      <c r="C760" s="828"/>
      <c r="D760" s="114" t="s">
        <v>173</v>
      </c>
      <c r="E760" s="829"/>
      <c r="F760" s="830" t="s">
        <v>1613</v>
      </c>
    </row>
    <row r="761" spans="2:6" ht="48" outlineLevel="1" x14ac:dyDescent="0.2">
      <c r="B761" s="1140"/>
      <c r="C761" s="828"/>
      <c r="D761" s="114" t="s">
        <v>174</v>
      </c>
      <c r="E761" s="829"/>
      <c r="F761" s="830" t="s">
        <v>1614</v>
      </c>
    </row>
    <row r="762" spans="2:6" ht="48" outlineLevel="1" x14ac:dyDescent="0.2">
      <c r="B762" s="1140"/>
      <c r="C762" s="828"/>
      <c r="D762" s="114" t="s">
        <v>175</v>
      </c>
      <c r="E762" s="829"/>
      <c r="F762" s="830">
        <v>863.46</v>
      </c>
    </row>
    <row r="763" spans="2:6" ht="48" outlineLevel="1" x14ac:dyDescent="0.2">
      <c r="B763" s="1140"/>
      <c r="C763" s="828"/>
      <c r="D763" s="114" t="s">
        <v>171</v>
      </c>
      <c r="E763" s="829"/>
      <c r="F763" s="830" t="s">
        <v>1615</v>
      </c>
    </row>
    <row r="764" spans="2:6" ht="48" outlineLevel="1" x14ac:dyDescent="0.2">
      <c r="B764" s="1140"/>
      <c r="C764" s="828"/>
      <c r="D764" s="114" t="s">
        <v>225</v>
      </c>
      <c r="E764" s="829"/>
      <c r="F764" s="830" t="s">
        <v>1616</v>
      </c>
    </row>
    <row r="765" spans="2:6" ht="48" outlineLevel="1" x14ac:dyDescent="0.2">
      <c r="B765" s="1140"/>
      <c r="C765" s="828"/>
      <c r="D765" s="114" t="s">
        <v>226</v>
      </c>
      <c r="E765" s="829"/>
      <c r="F765" s="830" t="s">
        <v>1615</v>
      </c>
    </row>
    <row r="766" spans="2:6" ht="48" outlineLevel="1" x14ac:dyDescent="0.2">
      <c r="B766" s="1140"/>
      <c r="C766" s="828"/>
      <c r="D766" s="114" t="s">
        <v>227</v>
      </c>
      <c r="E766" s="829"/>
      <c r="F766" s="830">
        <v>863.46</v>
      </c>
    </row>
    <row r="767" spans="2:6" outlineLevel="1" x14ac:dyDescent="0.2">
      <c r="B767" s="1141"/>
      <c r="C767" s="828"/>
      <c r="D767" s="114" t="s">
        <v>149</v>
      </c>
      <c r="E767" s="829"/>
      <c r="F767" s="830"/>
    </row>
    <row r="768" spans="2:6" ht="27.95" customHeight="1" x14ac:dyDescent="0.2">
      <c r="B768" s="1142" t="s">
        <v>1617</v>
      </c>
      <c r="C768" s="1143"/>
      <c r="D768" s="1143"/>
      <c r="E768" s="1143"/>
      <c r="F768" s="1143"/>
    </row>
    <row r="769" spans="2:6" ht="38.25" x14ac:dyDescent="0.2">
      <c r="B769" s="1139">
        <v>32</v>
      </c>
      <c r="C769" s="825" t="s">
        <v>369</v>
      </c>
      <c r="D769" s="113" t="s">
        <v>364</v>
      </c>
      <c r="E769" s="826" t="s">
        <v>1618</v>
      </c>
      <c r="F769" s="827" t="s">
        <v>1619</v>
      </c>
    </row>
    <row r="770" spans="2:6" ht="36" outlineLevel="1" x14ac:dyDescent="0.2">
      <c r="B770" s="1140"/>
      <c r="C770" s="828"/>
      <c r="D770" s="114" t="s">
        <v>365</v>
      </c>
      <c r="E770" s="829"/>
      <c r="F770" s="830" t="s">
        <v>2</v>
      </c>
    </row>
    <row r="771" spans="2:6" ht="48" outlineLevel="1" x14ac:dyDescent="0.2">
      <c r="B771" s="1140"/>
      <c r="C771" s="828"/>
      <c r="D771" s="114" t="s">
        <v>346</v>
      </c>
      <c r="E771" s="829"/>
      <c r="F771" s="830" t="s">
        <v>2</v>
      </c>
    </row>
    <row r="772" spans="2:6" outlineLevel="1" x14ac:dyDescent="0.2">
      <c r="B772" s="1140"/>
      <c r="C772" s="828"/>
      <c r="D772" s="114" t="s">
        <v>147</v>
      </c>
      <c r="E772" s="829"/>
      <c r="F772" s="830" t="s">
        <v>2</v>
      </c>
    </row>
    <row r="773" spans="2:6" ht="48" outlineLevel="1" x14ac:dyDescent="0.2">
      <c r="B773" s="1140"/>
      <c r="C773" s="828"/>
      <c r="D773" s="114" t="s">
        <v>1319</v>
      </c>
      <c r="E773" s="829"/>
      <c r="F773" s="830" t="s">
        <v>2</v>
      </c>
    </row>
    <row r="774" spans="2:6" outlineLevel="1" x14ac:dyDescent="0.2">
      <c r="B774" s="1140"/>
      <c r="C774" s="828"/>
      <c r="D774" s="114" t="s">
        <v>148</v>
      </c>
      <c r="E774" s="829"/>
      <c r="F774" s="830">
        <v>954.43</v>
      </c>
    </row>
    <row r="775" spans="2:6" outlineLevel="1" x14ac:dyDescent="0.2">
      <c r="B775" s="1140"/>
      <c r="C775" s="828"/>
      <c r="D775" s="114" t="s">
        <v>162</v>
      </c>
      <c r="E775" s="829"/>
      <c r="F775" s="830">
        <v>954.43</v>
      </c>
    </row>
    <row r="776" spans="2:6" ht="24" outlineLevel="1" x14ac:dyDescent="0.2">
      <c r="B776" s="1140"/>
      <c r="C776" s="828"/>
      <c r="D776" s="114" t="s">
        <v>172</v>
      </c>
      <c r="E776" s="829"/>
      <c r="F776" s="830" t="s">
        <v>1620</v>
      </c>
    </row>
    <row r="777" spans="2:6" outlineLevel="1" x14ac:dyDescent="0.2">
      <c r="B777" s="1140"/>
      <c r="C777" s="828"/>
      <c r="D777" s="114" t="s">
        <v>152</v>
      </c>
      <c r="E777" s="829"/>
      <c r="F777" s="830">
        <v>954.43</v>
      </c>
    </row>
    <row r="778" spans="2:6" ht="24" outlineLevel="1" x14ac:dyDescent="0.2">
      <c r="B778" s="1140"/>
      <c r="C778" s="828"/>
      <c r="D778" s="114" t="s">
        <v>163</v>
      </c>
      <c r="E778" s="829"/>
      <c r="F778" s="830">
        <v>477.21</v>
      </c>
    </row>
    <row r="779" spans="2:6" outlineLevel="1" x14ac:dyDescent="0.2">
      <c r="B779" s="1140"/>
      <c r="C779" s="828"/>
      <c r="D779" s="114" t="s">
        <v>164</v>
      </c>
      <c r="E779" s="829"/>
      <c r="F779" s="830" t="s">
        <v>1621</v>
      </c>
    </row>
    <row r="780" spans="2:6" ht="24" outlineLevel="1" x14ac:dyDescent="0.2">
      <c r="B780" s="1140"/>
      <c r="C780" s="828"/>
      <c r="D780" s="114" t="s">
        <v>165</v>
      </c>
      <c r="E780" s="829"/>
      <c r="F780" s="830" t="s">
        <v>1622</v>
      </c>
    </row>
    <row r="781" spans="2:6" outlineLevel="1" x14ac:dyDescent="0.2">
      <c r="B781" s="1140"/>
      <c r="C781" s="828"/>
      <c r="D781" s="114" t="s">
        <v>224</v>
      </c>
      <c r="E781" s="829"/>
      <c r="F781" s="830" t="s">
        <v>1623</v>
      </c>
    </row>
    <row r="782" spans="2:6" ht="48" outlineLevel="1" x14ac:dyDescent="0.2">
      <c r="B782" s="1140"/>
      <c r="C782" s="828"/>
      <c r="D782" s="114" t="s">
        <v>173</v>
      </c>
      <c r="E782" s="829"/>
      <c r="F782" s="830" t="s">
        <v>1624</v>
      </c>
    </row>
    <row r="783" spans="2:6" ht="48" outlineLevel="1" x14ac:dyDescent="0.2">
      <c r="B783" s="1140"/>
      <c r="C783" s="828"/>
      <c r="D783" s="114" t="s">
        <v>174</v>
      </c>
      <c r="E783" s="829"/>
      <c r="F783" s="830" t="s">
        <v>1625</v>
      </c>
    </row>
    <row r="784" spans="2:6" ht="48" outlineLevel="1" x14ac:dyDescent="0.2">
      <c r="B784" s="1140"/>
      <c r="C784" s="828"/>
      <c r="D784" s="114" t="s">
        <v>175</v>
      </c>
      <c r="E784" s="829"/>
      <c r="F784" s="830">
        <v>715.82</v>
      </c>
    </row>
    <row r="785" spans="2:6" ht="48" outlineLevel="1" x14ac:dyDescent="0.2">
      <c r="B785" s="1140"/>
      <c r="C785" s="828"/>
      <c r="D785" s="114" t="s">
        <v>171</v>
      </c>
      <c r="E785" s="829"/>
      <c r="F785" s="830" t="s">
        <v>1626</v>
      </c>
    </row>
    <row r="786" spans="2:6" ht="48" outlineLevel="1" x14ac:dyDescent="0.2">
      <c r="B786" s="1140"/>
      <c r="C786" s="828"/>
      <c r="D786" s="114" t="s">
        <v>225</v>
      </c>
      <c r="E786" s="829"/>
      <c r="F786" s="830" t="s">
        <v>1627</v>
      </c>
    </row>
    <row r="787" spans="2:6" ht="48" outlineLevel="1" x14ac:dyDescent="0.2">
      <c r="B787" s="1140"/>
      <c r="C787" s="828"/>
      <c r="D787" s="114" t="s">
        <v>226</v>
      </c>
      <c r="E787" s="829"/>
      <c r="F787" s="830" t="s">
        <v>1626</v>
      </c>
    </row>
    <row r="788" spans="2:6" ht="48" outlineLevel="1" x14ac:dyDescent="0.2">
      <c r="B788" s="1140"/>
      <c r="C788" s="828"/>
      <c r="D788" s="114" t="s">
        <v>227</v>
      </c>
      <c r="E788" s="829"/>
      <c r="F788" s="830">
        <v>715.82</v>
      </c>
    </row>
    <row r="789" spans="2:6" outlineLevel="1" x14ac:dyDescent="0.2">
      <c r="B789" s="1141"/>
      <c r="C789" s="828"/>
      <c r="D789" s="114" t="s">
        <v>149</v>
      </c>
      <c r="E789" s="829"/>
      <c r="F789" s="830"/>
    </row>
    <row r="790" spans="2:6" ht="27.95" customHeight="1" x14ac:dyDescent="0.2">
      <c r="B790" s="1142" t="s">
        <v>1628</v>
      </c>
      <c r="C790" s="1143"/>
      <c r="D790" s="1143"/>
      <c r="E790" s="1143"/>
      <c r="F790" s="1143"/>
    </row>
    <row r="791" spans="2:6" ht="38.25" x14ac:dyDescent="0.2">
      <c r="B791" s="1139">
        <v>33</v>
      </c>
      <c r="C791" s="825" t="s">
        <v>363</v>
      </c>
      <c r="D791" s="113" t="s">
        <v>364</v>
      </c>
      <c r="E791" s="826" t="s">
        <v>1629</v>
      </c>
      <c r="F791" s="827" t="s">
        <v>1630</v>
      </c>
    </row>
    <row r="792" spans="2:6" ht="36" outlineLevel="1" x14ac:dyDescent="0.2">
      <c r="B792" s="1140"/>
      <c r="C792" s="828"/>
      <c r="D792" s="114" t="s">
        <v>365</v>
      </c>
      <c r="E792" s="829"/>
      <c r="F792" s="830" t="s">
        <v>2</v>
      </c>
    </row>
    <row r="793" spans="2:6" ht="48" outlineLevel="1" x14ac:dyDescent="0.2">
      <c r="B793" s="1140"/>
      <c r="C793" s="828"/>
      <c r="D793" s="114" t="s">
        <v>346</v>
      </c>
      <c r="E793" s="829"/>
      <c r="F793" s="830" t="s">
        <v>2</v>
      </c>
    </row>
    <row r="794" spans="2:6" outlineLevel="1" x14ac:dyDescent="0.2">
      <c r="B794" s="1140"/>
      <c r="C794" s="828"/>
      <c r="D794" s="114" t="s">
        <v>147</v>
      </c>
      <c r="E794" s="829"/>
      <c r="F794" s="830" t="s">
        <v>2</v>
      </c>
    </row>
    <row r="795" spans="2:6" ht="48" outlineLevel="1" x14ac:dyDescent="0.2">
      <c r="B795" s="1140"/>
      <c r="C795" s="828"/>
      <c r="D795" s="114" t="s">
        <v>1319</v>
      </c>
      <c r="E795" s="829"/>
      <c r="F795" s="830" t="s">
        <v>2</v>
      </c>
    </row>
    <row r="796" spans="2:6" outlineLevel="1" x14ac:dyDescent="0.2">
      <c r="B796" s="1140"/>
      <c r="C796" s="828"/>
      <c r="D796" s="114" t="s">
        <v>148</v>
      </c>
      <c r="E796" s="829"/>
      <c r="F796" s="830">
        <v>757.57</v>
      </c>
    </row>
    <row r="797" spans="2:6" outlineLevel="1" x14ac:dyDescent="0.2">
      <c r="B797" s="1140"/>
      <c r="C797" s="828"/>
      <c r="D797" s="114" t="s">
        <v>162</v>
      </c>
      <c r="E797" s="829"/>
      <c r="F797" s="830">
        <v>757.57</v>
      </c>
    </row>
    <row r="798" spans="2:6" ht="24" outlineLevel="1" x14ac:dyDescent="0.2">
      <c r="B798" s="1140"/>
      <c r="C798" s="828"/>
      <c r="D798" s="114" t="s">
        <v>172</v>
      </c>
      <c r="E798" s="829"/>
      <c r="F798" s="830" t="s">
        <v>1631</v>
      </c>
    </row>
    <row r="799" spans="2:6" outlineLevel="1" x14ac:dyDescent="0.2">
      <c r="B799" s="1140"/>
      <c r="C799" s="828"/>
      <c r="D799" s="114" t="s">
        <v>152</v>
      </c>
      <c r="E799" s="829"/>
      <c r="F799" s="830">
        <v>757.57</v>
      </c>
    </row>
    <row r="800" spans="2:6" ht="24" outlineLevel="1" x14ac:dyDescent="0.2">
      <c r="B800" s="1140"/>
      <c r="C800" s="828"/>
      <c r="D800" s="114" t="s">
        <v>163</v>
      </c>
      <c r="E800" s="829"/>
      <c r="F800" s="830">
        <v>378.79</v>
      </c>
    </row>
    <row r="801" spans="2:6" outlineLevel="1" x14ac:dyDescent="0.2">
      <c r="B801" s="1140"/>
      <c r="C801" s="828"/>
      <c r="D801" s="114" t="s">
        <v>164</v>
      </c>
      <c r="E801" s="829"/>
      <c r="F801" s="830" t="s">
        <v>1632</v>
      </c>
    </row>
    <row r="802" spans="2:6" ht="24" outlineLevel="1" x14ac:dyDescent="0.2">
      <c r="B802" s="1140"/>
      <c r="C802" s="828"/>
      <c r="D802" s="114" t="s">
        <v>165</v>
      </c>
      <c r="E802" s="829"/>
      <c r="F802" s="830" t="s">
        <v>1633</v>
      </c>
    </row>
    <row r="803" spans="2:6" outlineLevel="1" x14ac:dyDescent="0.2">
      <c r="B803" s="1140"/>
      <c r="C803" s="828"/>
      <c r="D803" s="114" t="s">
        <v>224</v>
      </c>
      <c r="E803" s="829"/>
      <c r="F803" s="830" t="s">
        <v>1634</v>
      </c>
    </row>
    <row r="804" spans="2:6" ht="48" outlineLevel="1" x14ac:dyDescent="0.2">
      <c r="B804" s="1140"/>
      <c r="C804" s="828"/>
      <c r="D804" s="114" t="s">
        <v>173</v>
      </c>
      <c r="E804" s="829"/>
      <c r="F804" s="830" t="s">
        <v>1635</v>
      </c>
    </row>
    <row r="805" spans="2:6" ht="48" outlineLevel="1" x14ac:dyDescent="0.2">
      <c r="B805" s="1140"/>
      <c r="C805" s="828"/>
      <c r="D805" s="114" t="s">
        <v>174</v>
      </c>
      <c r="E805" s="829"/>
      <c r="F805" s="830" t="s">
        <v>1636</v>
      </c>
    </row>
    <row r="806" spans="2:6" ht="48" outlineLevel="1" x14ac:dyDescent="0.2">
      <c r="B806" s="1140"/>
      <c r="C806" s="828"/>
      <c r="D806" s="114" t="s">
        <v>175</v>
      </c>
      <c r="E806" s="829"/>
      <c r="F806" s="830">
        <v>568.17999999999995</v>
      </c>
    </row>
    <row r="807" spans="2:6" ht="48" outlineLevel="1" x14ac:dyDescent="0.2">
      <c r="B807" s="1140"/>
      <c r="C807" s="828"/>
      <c r="D807" s="114" t="s">
        <v>171</v>
      </c>
      <c r="E807" s="829"/>
      <c r="F807" s="830">
        <v>946.96</v>
      </c>
    </row>
    <row r="808" spans="2:6" ht="48" outlineLevel="1" x14ac:dyDescent="0.2">
      <c r="B808" s="1140"/>
      <c r="C808" s="828"/>
      <c r="D808" s="114" t="s">
        <v>225</v>
      </c>
      <c r="E808" s="829"/>
      <c r="F808" s="830" t="s">
        <v>1637</v>
      </c>
    </row>
    <row r="809" spans="2:6" ht="48" outlineLevel="1" x14ac:dyDescent="0.2">
      <c r="B809" s="1140"/>
      <c r="C809" s="828"/>
      <c r="D809" s="114" t="s">
        <v>226</v>
      </c>
      <c r="E809" s="829"/>
      <c r="F809" s="830">
        <v>946.96</v>
      </c>
    </row>
    <row r="810" spans="2:6" ht="48" outlineLevel="1" x14ac:dyDescent="0.2">
      <c r="B810" s="1140"/>
      <c r="C810" s="828"/>
      <c r="D810" s="114" t="s">
        <v>227</v>
      </c>
      <c r="E810" s="829"/>
      <c r="F810" s="830">
        <v>568.17999999999995</v>
      </c>
    </row>
    <row r="811" spans="2:6" outlineLevel="1" x14ac:dyDescent="0.2">
      <c r="B811" s="1141"/>
      <c r="C811" s="828"/>
      <c r="D811" s="114" t="s">
        <v>149</v>
      </c>
      <c r="E811" s="829"/>
      <c r="F811" s="830"/>
    </row>
    <row r="812" spans="2:6" ht="21" customHeight="1" x14ac:dyDescent="0.2">
      <c r="B812" s="1142" t="s">
        <v>370</v>
      </c>
      <c r="C812" s="1143"/>
      <c r="D812" s="1143"/>
      <c r="E812" s="1143"/>
      <c r="F812" s="1143"/>
    </row>
    <row r="813" spans="2:6" ht="38.25" x14ac:dyDescent="0.2">
      <c r="B813" s="1139">
        <v>34</v>
      </c>
      <c r="C813" s="825" t="s">
        <v>1638</v>
      </c>
      <c r="D813" s="113" t="s">
        <v>371</v>
      </c>
      <c r="E813" s="826" t="s">
        <v>1639</v>
      </c>
      <c r="F813" s="827" t="s">
        <v>1640</v>
      </c>
    </row>
    <row r="814" spans="2:6" ht="36" outlineLevel="1" x14ac:dyDescent="0.2">
      <c r="B814" s="1140"/>
      <c r="C814" s="828"/>
      <c r="D814" s="114" t="s">
        <v>365</v>
      </c>
      <c r="E814" s="829"/>
      <c r="F814" s="830" t="s">
        <v>2</v>
      </c>
    </row>
    <row r="815" spans="2:6" outlineLevel="1" x14ac:dyDescent="0.2">
      <c r="B815" s="1140"/>
      <c r="C815" s="828"/>
      <c r="D815" s="114" t="s">
        <v>372</v>
      </c>
      <c r="E815" s="829"/>
      <c r="F815" s="830" t="s">
        <v>2</v>
      </c>
    </row>
    <row r="816" spans="2:6" ht="48" outlineLevel="1" x14ac:dyDescent="0.2">
      <c r="B816" s="1140"/>
      <c r="C816" s="828"/>
      <c r="D816" s="114" t="s">
        <v>346</v>
      </c>
      <c r="E816" s="829"/>
      <c r="F816" s="830" t="s">
        <v>2</v>
      </c>
    </row>
    <row r="817" spans="2:6" ht="36" outlineLevel="1" x14ac:dyDescent="0.2">
      <c r="B817" s="1140"/>
      <c r="C817" s="828"/>
      <c r="D817" s="114" t="s">
        <v>373</v>
      </c>
      <c r="E817" s="829"/>
      <c r="F817" s="830" t="s">
        <v>2</v>
      </c>
    </row>
    <row r="818" spans="2:6" ht="48" outlineLevel="1" x14ac:dyDescent="0.2">
      <c r="B818" s="1140"/>
      <c r="C818" s="828"/>
      <c r="D818" s="114" t="s">
        <v>1319</v>
      </c>
      <c r="E818" s="829"/>
      <c r="F818" s="830" t="s">
        <v>2</v>
      </c>
    </row>
    <row r="819" spans="2:6" outlineLevel="1" x14ac:dyDescent="0.2">
      <c r="B819" s="1140"/>
      <c r="C819" s="828"/>
      <c r="D819" s="114" t="s">
        <v>148</v>
      </c>
      <c r="E819" s="829"/>
      <c r="F819" s="830">
        <v>734.94</v>
      </c>
    </row>
    <row r="820" spans="2:6" outlineLevel="1" x14ac:dyDescent="0.2">
      <c r="B820" s="1140"/>
      <c r="C820" s="828"/>
      <c r="D820" s="114" t="s">
        <v>162</v>
      </c>
      <c r="E820" s="829"/>
      <c r="F820" s="830">
        <v>734.94</v>
      </c>
    </row>
    <row r="821" spans="2:6" ht="24" outlineLevel="1" x14ac:dyDescent="0.2">
      <c r="B821" s="1140"/>
      <c r="C821" s="828"/>
      <c r="D821" s="114" t="s">
        <v>172</v>
      </c>
      <c r="E821" s="829"/>
      <c r="F821" s="830" t="s">
        <v>1641</v>
      </c>
    </row>
    <row r="822" spans="2:6" outlineLevel="1" x14ac:dyDescent="0.2">
      <c r="B822" s="1140"/>
      <c r="C822" s="828"/>
      <c r="D822" s="114" t="s">
        <v>152</v>
      </c>
      <c r="E822" s="829"/>
      <c r="F822" s="830">
        <v>734.94</v>
      </c>
    </row>
    <row r="823" spans="2:6" ht="24" outlineLevel="1" x14ac:dyDescent="0.2">
      <c r="B823" s="1140"/>
      <c r="C823" s="828"/>
      <c r="D823" s="114" t="s">
        <v>163</v>
      </c>
      <c r="E823" s="829"/>
      <c r="F823" s="830">
        <v>367.47</v>
      </c>
    </row>
    <row r="824" spans="2:6" outlineLevel="1" x14ac:dyDescent="0.2">
      <c r="B824" s="1140"/>
      <c r="C824" s="828"/>
      <c r="D824" s="114" t="s">
        <v>164</v>
      </c>
      <c r="E824" s="829"/>
      <c r="F824" s="830" t="s">
        <v>1642</v>
      </c>
    </row>
    <row r="825" spans="2:6" ht="24" outlineLevel="1" x14ac:dyDescent="0.2">
      <c r="B825" s="1140"/>
      <c r="C825" s="828"/>
      <c r="D825" s="114" t="s">
        <v>165</v>
      </c>
      <c r="E825" s="829"/>
      <c r="F825" s="830" t="s">
        <v>1643</v>
      </c>
    </row>
    <row r="826" spans="2:6" outlineLevel="1" x14ac:dyDescent="0.2">
      <c r="B826" s="1140"/>
      <c r="C826" s="828"/>
      <c r="D826" s="114" t="s">
        <v>224</v>
      </c>
      <c r="E826" s="829"/>
      <c r="F826" s="830" t="s">
        <v>1644</v>
      </c>
    </row>
    <row r="827" spans="2:6" ht="48" outlineLevel="1" x14ac:dyDescent="0.2">
      <c r="B827" s="1140"/>
      <c r="C827" s="828"/>
      <c r="D827" s="114" t="s">
        <v>173</v>
      </c>
      <c r="E827" s="829"/>
      <c r="F827" s="830" t="s">
        <v>1645</v>
      </c>
    </row>
    <row r="828" spans="2:6" ht="48" outlineLevel="1" x14ac:dyDescent="0.2">
      <c r="B828" s="1140"/>
      <c r="C828" s="828"/>
      <c r="D828" s="114" t="s">
        <v>174</v>
      </c>
      <c r="E828" s="829"/>
      <c r="F828" s="830" t="s">
        <v>1646</v>
      </c>
    </row>
    <row r="829" spans="2:6" ht="48" outlineLevel="1" x14ac:dyDescent="0.2">
      <c r="B829" s="1140"/>
      <c r="C829" s="828"/>
      <c r="D829" s="114" t="s">
        <v>175</v>
      </c>
      <c r="E829" s="829"/>
      <c r="F829" s="830">
        <v>551.21</v>
      </c>
    </row>
    <row r="830" spans="2:6" ht="48" outlineLevel="1" x14ac:dyDescent="0.2">
      <c r="B830" s="1140"/>
      <c r="C830" s="828"/>
      <c r="D830" s="114" t="s">
        <v>171</v>
      </c>
      <c r="E830" s="829"/>
      <c r="F830" s="830">
        <v>918.68</v>
      </c>
    </row>
    <row r="831" spans="2:6" ht="48" outlineLevel="1" x14ac:dyDescent="0.2">
      <c r="B831" s="1140"/>
      <c r="C831" s="828"/>
      <c r="D831" s="114" t="s">
        <v>225</v>
      </c>
      <c r="E831" s="829"/>
      <c r="F831" s="830" t="s">
        <v>1647</v>
      </c>
    </row>
    <row r="832" spans="2:6" ht="48" outlineLevel="1" x14ac:dyDescent="0.2">
      <c r="B832" s="1140"/>
      <c r="C832" s="828"/>
      <c r="D832" s="114" t="s">
        <v>226</v>
      </c>
      <c r="E832" s="829"/>
      <c r="F832" s="830">
        <v>918.68</v>
      </c>
    </row>
    <row r="833" spans="2:6" ht="48" outlineLevel="1" x14ac:dyDescent="0.2">
      <c r="B833" s="1140"/>
      <c r="C833" s="828"/>
      <c r="D833" s="114" t="s">
        <v>227</v>
      </c>
      <c r="E833" s="829"/>
      <c r="F833" s="830">
        <v>551.21</v>
      </c>
    </row>
    <row r="834" spans="2:6" outlineLevel="1" x14ac:dyDescent="0.2">
      <c r="B834" s="1141"/>
      <c r="C834" s="828"/>
      <c r="D834" s="114" t="s">
        <v>149</v>
      </c>
      <c r="E834" s="829"/>
      <c r="F834" s="830"/>
    </row>
    <row r="835" spans="2:6" ht="15" x14ac:dyDescent="0.2">
      <c r="B835" s="831"/>
      <c r="C835" s="1133" t="s">
        <v>376</v>
      </c>
      <c r="D835" s="1134"/>
      <c r="E835" s="1134"/>
      <c r="F835" s="832"/>
    </row>
    <row r="836" spans="2:6" ht="15" x14ac:dyDescent="0.2">
      <c r="B836" s="831"/>
      <c r="C836" s="1135" t="s">
        <v>1648</v>
      </c>
      <c r="D836" s="1136"/>
      <c r="E836" s="1136"/>
      <c r="F836" s="827" t="s">
        <v>1649</v>
      </c>
    </row>
    <row r="837" spans="2:6" ht="15" x14ac:dyDescent="0.2">
      <c r="B837" s="831"/>
      <c r="C837" s="1133" t="s">
        <v>377</v>
      </c>
      <c r="D837" s="1134"/>
      <c r="E837" s="1134"/>
      <c r="F837" s="832" t="s">
        <v>1649</v>
      </c>
    </row>
    <row r="838" spans="2:6" ht="21" customHeight="1" x14ac:dyDescent="0.2">
      <c r="B838" s="1144" t="s">
        <v>378</v>
      </c>
      <c r="C838" s="1145"/>
      <c r="D838" s="1145"/>
      <c r="E838" s="1145"/>
      <c r="F838" s="1145"/>
    </row>
    <row r="839" spans="2:6" ht="21" customHeight="1" x14ac:dyDescent="0.2">
      <c r="B839" s="1142" t="s">
        <v>1131</v>
      </c>
      <c r="C839" s="1143"/>
      <c r="D839" s="1143"/>
      <c r="E839" s="1143"/>
      <c r="F839" s="1143"/>
    </row>
    <row r="840" spans="2:6" ht="27.95" customHeight="1" x14ac:dyDescent="0.2">
      <c r="B840" s="831"/>
      <c r="C840" s="1135" t="s">
        <v>1650</v>
      </c>
      <c r="D840" s="1146"/>
      <c r="E840" s="1146"/>
      <c r="F840" s="1146"/>
    </row>
    <row r="841" spans="2:6" ht="27.95" customHeight="1" x14ac:dyDescent="0.2">
      <c r="B841" s="831"/>
      <c r="C841" s="1135" t="s">
        <v>1651</v>
      </c>
      <c r="D841" s="1146"/>
      <c r="E841" s="1146"/>
      <c r="F841" s="1146"/>
    </row>
    <row r="842" spans="2:6" ht="27.95" customHeight="1" x14ac:dyDescent="0.2">
      <c r="B842" s="831"/>
      <c r="C842" s="1135" t="s">
        <v>1652</v>
      </c>
      <c r="D842" s="1146"/>
      <c r="E842" s="1146"/>
      <c r="F842" s="1146"/>
    </row>
    <row r="843" spans="2:6" ht="21" customHeight="1" x14ac:dyDescent="0.2">
      <c r="B843" s="831"/>
      <c r="C843" s="1135" t="s">
        <v>1653</v>
      </c>
      <c r="D843" s="1146"/>
      <c r="E843" s="1146"/>
      <c r="F843" s="1146"/>
    </row>
    <row r="844" spans="2:6" ht="27.95" customHeight="1" x14ac:dyDescent="0.2">
      <c r="B844" s="831"/>
      <c r="C844" s="1135" t="s">
        <v>1654</v>
      </c>
      <c r="D844" s="1146"/>
      <c r="E844" s="1146"/>
      <c r="F844" s="1146"/>
    </row>
    <row r="845" spans="2:6" ht="27.95" customHeight="1" x14ac:dyDescent="0.2">
      <c r="B845" s="831"/>
      <c r="C845" s="1135" t="s">
        <v>1655</v>
      </c>
      <c r="D845" s="1146"/>
      <c r="E845" s="1146"/>
      <c r="F845" s="1146"/>
    </row>
    <row r="846" spans="2:6" ht="63.75" x14ac:dyDescent="0.2">
      <c r="B846" s="1139">
        <v>35</v>
      </c>
      <c r="C846" s="825" t="s">
        <v>1656</v>
      </c>
      <c r="D846" s="113" t="s">
        <v>1657</v>
      </c>
      <c r="E846" s="826" t="s">
        <v>1658</v>
      </c>
      <c r="F846" s="827" t="s">
        <v>1659</v>
      </c>
    </row>
    <row r="847" spans="2:6" ht="48" outlineLevel="1" x14ac:dyDescent="0.2">
      <c r="B847" s="1140"/>
      <c r="C847" s="828"/>
      <c r="D847" s="114" t="s">
        <v>346</v>
      </c>
      <c r="E847" s="829"/>
      <c r="F847" s="830" t="s">
        <v>2</v>
      </c>
    </row>
    <row r="848" spans="2:6" ht="36" outlineLevel="1" x14ac:dyDescent="0.2">
      <c r="B848" s="1140"/>
      <c r="C848" s="828"/>
      <c r="D848" s="114" t="s">
        <v>392</v>
      </c>
      <c r="E848" s="829"/>
      <c r="F848" s="830" t="s">
        <v>2</v>
      </c>
    </row>
    <row r="849" spans="2:6" outlineLevel="1" x14ac:dyDescent="0.2">
      <c r="B849" s="1140"/>
      <c r="C849" s="828"/>
      <c r="D849" s="114" t="s">
        <v>147</v>
      </c>
      <c r="E849" s="829"/>
      <c r="F849" s="830" t="s">
        <v>2</v>
      </c>
    </row>
    <row r="850" spans="2:6" ht="48" outlineLevel="1" x14ac:dyDescent="0.2">
      <c r="B850" s="1140"/>
      <c r="C850" s="828"/>
      <c r="D850" s="114" t="s">
        <v>1319</v>
      </c>
      <c r="E850" s="829"/>
      <c r="F850" s="830" t="s">
        <v>2</v>
      </c>
    </row>
    <row r="851" spans="2:6" outlineLevel="1" x14ac:dyDescent="0.2">
      <c r="B851" s="1140"/>
      <c r="C851" s="828"/>
      <c r="D851" s="114" t="s">
        <v>148</v>
      </c>
      <c r="E851" s="829"/>
      <c r="F851" s="830" t="s">
        <v>1660</v>
      </c>
    </row>
    <row r="852" spans="2:6" outlineLevel="1" x14ac:dyDescent="0.2">
      <c r="B852" s="1140"/>
      <c r="C852" s="828"/>
      <c r="D852" s="114" t="s">
        <v>162</v>
      </c>
      <c r="E852" s="829"/>
      <c r="F852" s="830" t="s">
        <v>1660</v>
      </c>
    </row>
    <row r="853" spans="2:6" ht="24" outlineLevel="1" x14ac:dyDescent="0.2">
      <c r="B853" s="1140"/>
      <c r="C853" s="828"/>
      <c r="D853" s="114" t="s">
        <v>172</v>
      </c>
      <c r="E853" s="829"/>
      <c r="F853" s="830" t="s">
        <v>1661</v>
      </c>
    </row>
    <row r="854" spans="2:6" outlineLevel="1" x14ac:dyDescent="0.2">
      <c r="B854" s="1140"/>
      <c r="C854" s="828"/>
      <c r="D854" s="114" t="s">
        <v>152</v>
      </c>
      <c r="E854" s="829"/>
      <c r="F854" s="830" t="s">
        <v>1660</v>
      </c>
    </row>
    <row r="855" spans="2:6" ht="24" outlineLevel="1" x14ac:dyDescent="0.2">
      <c r="B855" s="1140"/>
      <c r="C855" s="828"/>
      <c r="D855" s="114" t="s">
        <v>163</v>
      </c>
      <c r="E855" s="829"/>
      <c r="F855" s="830" t="s">
        <v>1662</v>
      </c>
    </row>
    <row r="856" spans="2:6" outlineLevel="1" x14ac:dyDescent="0.2">
      <c r="B856" s="1140"/>
      <c r="C856" s="828"/>
      <c r="D856" s="114" t="s">
        <v>164</v>
      </c>
      <c r="E856" s="829"/>
      <c r="F856" s="830" t="s">
        <v>1663</v>
      </c>
    </row>
    <row r="857" spans="2:6" ht="24" outlineLevel="1" x14ac:dyDescent="0.2">
      <c r="B857" s="1140"/>
      <c r="C857" s="828"/>
      <c r="D857" s="114" t="s">
        <v>165</v>
      </c>
      <c r="E857" s="829"/>
      <c r="F857" s="830" t="s">
        <v>1664</v>
      </c>
    </row>
    <row r="858" spans="2:6" outlineLevel="1" x14ac:dyDescent="0.2">
      <c r="B858" s="1140"/>
      <c r="C858" s="828"/>
      <c r="D858" s="114" t="s">
        <v>224</v>
      </c>
      <c r="E858" s="829"/>
      <c r="F858" s="830" t="s">
        <v>1665</v>
      </c>
    </row>
    <row r="859" spans="2:6" ht="48" outlineLevel="1" x14ac:dyDescent="0.2">
      <c r="B859" s="1140"/>
      <c r="C859" s="828"/>
      <c r="D859" s="114" t="s">
        <v>173</v>
      </c>
      <c r="E859" s="829"/>
      <c r="F859" s="830" t="s">
        <v>1666</v>
      </c>
    </row>
    <row r="860" spans="2:6" ht="48" outlineLevel="1" x14ac:dyDescent="0.2">
      <c r="B860" s="1140"/>
      <c r="C860" s="828"/>
      <c r="D860" s="114" t="s">
        <v>174</v>
      </c>
      <c r="E860" s="829"/>
      <c r="F860" s="830" t="s">
        <v>1667</v>
      </c>
    </row>
    <row r="861" spans="2:6" ht="48" outlineLevel="1" x14ac:dyDescent="0.2">
      <c r="B861" s="1140"/>
      <c r="C861" s="828"/>
      <c r="D861" s="114" t="s">
        <v>175</v>
      </c>
      <c r="E861" s="829"/>
      <c r="F861" s="830" t="s">
        <v>1668</v>
      </c>
    </row>
    <row r="862" spans="2:6" ht="48" outlineLevel="1" x14ac:dyDescent="0.2">
      <c r="B862" s="1140"/>
      <c r="C862" s="828"/>
      <c r="D862" s="114" t="s">
        <v>171</v>
      </c>
      <c r="E862" s="829"/>
      <c r="F862" s="830" t="s">
        <v>1669</v>
      </c>
    </row>
    <row r="863" spans="2:6" ht="48" outlineLevel="1" x14ac:dyDescent="0.2">
      <c r="B863" s="1140"/>
      <c r="C863" s="828"/>
      <c r="D863" s="114" t="s">
        <v>225</v>
      </c>
      <c r="E863" s="829"/>
      <c r="F863" s="830" t="s">
        <v>1670</v>
      </c>
    </row>
    <row r="864" spans="2:6" ht="48" outlineLevel="1" x14ac:dyDescent="0.2">
      <c r="B864" s="1140"/>
      <c r="C864" s="828"/>
      <c r="D864" s="114" t="s">
        <v>226</v>
      </c>
      <c r="E864" s="829"/>
      <c r="F864" s="830" t="s">
        <v>1669</v>
      </c>
    </row>
    <row r="865" spans="2:6" ht="48" outlineLevel="1" x14ac:dyDescent="0.2">
      <c r="B865" s="1140"/>
      <c r="C865" s="828"/>
      <c r="D865" s="114" t="s">
        <v>227</v>
      </c>
      <c r="E865" s="829"/>
      <c r="F865" s="830" t="s">
        <v>1668</v>
      </c>
    </row>
    <row r="866" spans="2:6" outlineLevel="1" x14ac:dyDescent="0.2">
      <c r="B866" s="1141"/>
      <c r="C866" s="828"/>
      <c r="D866" s="114" t="s">
        <v>149</v>
      </c>
      <c r="E866" s="829"/>
      <c r="F866" s="830"/>
    </row>
    <row r="867" spans="2:6" ht="21" customHeight="1" x14ac:dyDescent="0.2">
      <c r="B867" s="1142" t="s">
        <v>379</v>
      </c>
      <c r="C867" s="1143"/>
      <c r="D867" s="1143"/>
      <c r="E867" s="1143"/>
      <c r="F867" s="1143"/>
    </row>
    <row r="868" spans="2:6" ht="25.5" x14ac:dyDescent="0.2">
      <c r="B868" s="1139">
        <v>36</v>
      </c>
      <c r="C868" s="825" t="s">
        <v>265</v>
      </c>
      <c r="D868" s="113" t="s">
        <v>266</v>
      </c>
      <c r="E868" s="826" t="s">
        <v>1671</v>
      </c>
      <c r="F868" s="827" t="s">
        <v>1672</v>
      </c>
    </row>
    <row r="869" spans="2:6" outlineLevel="1" x14ac:dyDescent="0.2">
      <c r="B869" s="1140"/>
      <c r="C869" s="828"/>
      <c r="D869" s="114" t="s">
        <v>161</v>
      </c>
      <c r="E869" s="829"/>
      <c r="F869" s="830" t="s">
        <v>2</v>
      </c>
    </row>
    <row r="870" spans="2:6" ht="48" outlineLevel="1" x14ac:dyDescent="0.2">
      <c r="B870" s="1140"/>
      <c r="C870" s="828"/>
      <c r="D870" s="114" t="s">
        <v>380</v>
      </c>
      <c r="E870" s="829"/>
      <c r="F870" s="830" t="s">
        <v>2</v>
      </c>
    </row>
    <row r="871" spans="2:6" ht="48" outlineLevel="1" x14ac:dyDescent="0.2">
      <c r="B871" s="1141"/>
      <c r="C871" s="828"/>
      <c r="D871" s="114" t="s">
        <v>1673</v>
      </c>
      <c r="E871" s="829"/>
      <c r="F871" s="830" t="s">
        <v>2</v>
      </c>
    </row>
    <row r="872" spans="2:6" ht="27.95" customHeight="1" x14ac:dyDescent="0.2">
      <c r="B872" s="1142" t="s">
        <v>1674</v>
      </c>
      <c r="C872" s="1143"/>
      <c r="D872" s="1143"/>
      <c r="E872" s="1143"/>
      <c r="F872" s="1143"/>
    </row>
    <row r="873" spans="2:6" ht="25.5" x14ac:dyDescent="0.2">
      <c r="B873" s="1139">
        <v>37</v>
      </c>
      <c r="C873" s="825" t="s">
        <v>381</v>
      </c>
      <c r="D873" s="113" t="s">
        <v>255</v>
      </c>
      <c r="E873" s="826" t="s">
        <v>1675</v>
      </c>
      <c r="F873" s="827" t="s">
        <v>1676</v>
      </c>
    </row>
    <row r="874" spans="2:6" ht="36" outlineLevel="1" x14ac:dyDescent="0.2">
      <c r="B874" s="1140"/>
      <c r="C874" s="828"/>
      <c r="D874" s="114" t="s">
        <v>367</v>
      </c>
      <c r="E874" s="829"/>
      <c r="F874" s="830" t="s">
        <v>2</v>
      </c>
    </row>
    <row r="875" spans="2:6" ht="48" outlineLevel="1" x14ac:dyDescent="0.2">
      <c r="B875" s="1140"/>
      <c r="C875" s="828"/>
      <c r="D875" s="114" t="s">
        <v>1380</v>
      </c>
      <c r="E875" s="829"/>
      <c r="F875" s="830" t="s">
        <v>2</v>
      </c>
    </row>
    <row r="876" spans="2:6" outlineLevel="1" x14ac:dyDescent="0.2">
      <c r="B876" s="1140"/>
      <c r="C876" s="828"/>
      <c r="D876" s="114" t="s">
        <v>147</v>
      </c>
      <c r="E876" s="829"/>
      <c r="F876" s="830" t="s">
        <v>2</v>
      </c>
    </row>
    <row r="877" spans="2:6" ht="48" outlineLevel="1" x14ac:dyDescent="0.2">
      <c r="B877" s="1141"/>
      <c r="C877" s="828"/>
      <c r="D877" s="114" t="s">
        <v>1673</v>
      </c>
      <c r="E877" s="829"/>
      <c r="F877" s="830" t="s">
        <v>2</v>
      </c>
    </row>
    <row r="878" spans="2:6" ht="15" x14ac:dyDescent="0.2">
      <c r="B878" s="831"/>
      <c r="C878" s="1133" t="s">
        <v>382</v>
      </c>
      <c r="D878" s="1134"/>
      <c r="E878" s="1134"/>
      <c r="F878" s="832"/>
    </row>
    <row r="879" spans="2:6" ht="15" x14ac:dyDescent="0.2">
      <c r="B879" s="831"/>
      <c r="C879" s="1135" t="s">
        <v>1677</v>
      </c>
      <c r="D879" s="1136"/>
      <c r="E879" s="1136"/>
      <c r="F879" s="827" t="s">
        <v>1678</v>
      </c>
    </row>
    <row r="880" spans="2:6" ht="15" x14ac:dyDescent="0.2">
      <c r="B880" s="831"/>
      <c r="C880" s="1133" t="s">
        <v>383</v>
      </c>
      <c r="D880" s="1134"/>
      <c r="E880" s="1134"/>
      <c r="F880" s="832" t="s">
        <v>1678</v>
      </c>
    </row>
    <row r="881" spans="2:6" ht="21" customHeight="1" x14ac:dyDescent="0.2">
      <c r="B881" s="1144" t="s">
        <v>254</v>
      </c>
      <c r="C881" s="1145"/>
      <c r="D881" s="1145"/>
      <c r="E881" s="1145"/>
      <c r="F881" s="1145"/>
    </row>
    <row r="882" spans="2:6" ht="21" customHeight="1" x14ac:dyDescent="0.2">
      <c r="B882" s="1142" t="s">
        <v>1132</v>
      </c>
      <c r="C882" s="1143"/>
      <c r="D882" s="1143"/>
      <c r="E882" s="1143"/>
      <c r="F882" s="1143"/>
    </row>
    <row r="883" spans="2:6" ht="27.95" customHeight="1" x14ac:dyDescent="0.2">
      <c r="B883" s="831"/>
      <c r="C883" s="1135" t="s">
        <v>1679</v>
      </c>
      <c r="D883" s="1146"/>
      <c r="E883" s="1146"/>
      <c r="F883" s="1146"/>
    </row>
    <row r="884" spans="2:6" ht="27.95" customHeight="1" x14ac:dyDescent="0.2">
      <c r="B884" s="831"/>
      <c r="C884" s="1135" t="s">
        <v>1680</v>
      </c>
      <c r="D884" s="1146"/>
      <c r="E884" s="1146"/>
      <c r="F884" s="1146"/>
    </row>
    <row r="885" spans="2:6" ht="27.95" customHeight="1" x14ac:dyDescent="0.2">
      <c r="B885" s="831"/>
      <c r="C885" s="1135" t="s">
        <v>1681</v>
      </c>
      <c r="D885" s="1146"/>
      <c r="E885" s="1146"/>
      <c r="F885" s="1146"/>
    </row>
    <row r="886" spans="2:6" ht="21" customHeight="1" x14ac:dyDescent="0.2">
      <c r="B886" s="831"/>
      <c r="C886" s="1135" t="s">
        <v>1682</v>
      </c>
      <c r="D886" s="1146"/>
      <c r="E886" s="1146"/>
      <c r="F886" s="1146"/>
    </row>
    <row r="887" spans="2:6" ht="27.95" customHeight="1" x14ac:dyDescent="0.2">
      <c r="B887" s="831"/>
      <c r="C887" s="1135" t="s">
        <v>1963</v>
      </c>
      <c r="D887" s="1146"/>
      <c r="E887" s="1146"/>
      <c r="F887" s="1146"/>
    </row>
    <row r="888" spans="2:6" ht="51" x14ac:dyDescent="0.2">
      <c r="B888" s="1139">
        <v>38</v>
      </c>
      <c r="C888" s="825" t="s">
        <v>1964</v>
      </c>
      <c r="D888" s="113" t="s">
        <v>1683</v>
      </c>
      <c r="E888" s="826" t="s">
        <v>1965</v>
      </c>
      <c r="F888" s="827" t="s">
        <v>1966</v>
      </c>
    </row>
    <row r="889" spans="2:6" ht="48" outlineLevel="1" x14ac:dyDescent="0.2">
      <c r="B889" s="1140"/>
      <c r="C889" s="828"/>
      <c r="D889" s="114" t="s">
        <v>346</v>
      </c>
      <c r="E889" s="829"/>
      <c r="F889" s="830" t="s">
        <v>2</v>
      </c>
    </row>
    <row r="890" spans="2:6" ht="36" outlineLevel="1" x14ac:dyDescent="0.2">
      <c r="B890" s="1140"/>
      <c r="C890" s="828"/>
      <c r="D890" s="114" t="s">
        <v>392</v>
      </c>
      <c r="E890" s="829"/>
      <c r="F890" s="830" t="s">
        <v>2</v>
      </c>
    </row>
    <row r="891" spans="2:6" outlineLevel="1" x14ac:dyDescent="0.2">
      <c r="B891" s="1140"/>
      <c r="C891" s="828"/>
      <c r="D891" s="114" t="s">
        <v>147</v>
      </c>
      <c r="E891" s="829"/>
      <c r="F891" s="830" t="s">
        <v>2</v>
      </c>
    </row>
    <row r="892" spans="2:6" ht="48" outlineLevel="1" x14ac:dyDescent="0.2">
      <c r="B892" s="1140"/>
      <c r="C892" s="828"/>
      <c r="D892" s="114" t="s">
        <v>1319</v>
      </c>
      <c r="E892" s="829"/>
      <c r="F892" s="830" t="s">
        <v>2</v>
      </c>
    </row>
    <row r="893" spans="2:6" outlineLevel="1" x14ac:dyDescent="0.2">
      <c r="B893" s="1140"/>
      <c r="C893" s="828"/>
      <c r="D893" s="114" t="s">
        <v>148</v>
      </c>
      <c r="E893" s="829"/>
      <c r="F893" s="830" t="s">
        <v>1967</v>
      </c>
    </row>
    <row r="894" spans="2:6" outlineLevel="1" x14ac:dyDescent="0.2">
      <c r="B894" s="1140"/>
      <c r="C894" s="828"/>
      <c r="D894" s="114" t="s">
        <v>162</v>
      </c>
      <c r="E894" s="829"/>
      <c r="F894" s="830" t="s">
        <v>1967</v>
      </c>
    </row>
    <row r="895" spans="2:6" ht="24" outlineLevel="1" x14ac:dyDescent="0.2">
      <c r="B895" s="1140"/>
      <c r="C895" s="828"/>
      <c r="D895" s="114" t="s">
        <v>172</v>
      </c>
      <c r="E895" s="829"/>
      <c r="F895" s="830" t="s">
        <v>1968</v>
      </c>
    </row>
    <row r="896" spans="2:6" outlineLevel="1" x14ac:dyDescent="0.2">
      <c r="B896" s="1140"/>
      <c r="C896" s="828"/>
      <c r="D896" s="114" t="s">
        <v>152</v>
      </c>
      <c r="E896" s="829"/>
      <c r="F896" s="830" t="s">
        <v>1967</v>
      </c>
    </row>
    <row r="897" spans="2:6" ht="24" outlineLevel="1" x14ac:dyDescent="0.2">
      <c r="B897" s="1140"/>
      <c r="C897" s="828"/>
      <c r="D897" s="114" t="s">
        <v>163</v>
      </c>
      <c r="E897" s="829"/>
      <c r="F897" s="830" t="s">
        <v>1969</v>
      </c>
    </row>
    <row r="898" spans="2:6" outlineLevel="1" x14ac:dyDescent="0.2">
      <c r="B898" s="1140"/>
      <c r="C898" s="828"/>
      <c r="D898" s="114" t="s">
        <v>164</v>
      </c>
      <c r="E898" s="829"/>
      <c r="F898" s="830" t="s">
        <v>1970</v>
      </c>
    </row>
    <row r="899" spans="2:6" ht="24" outlineLevel="1" x14ac:dyDescent="0.2">
      <c r="B899" s="1140"/>
      <c r="C899" s="828"/>
      <c r="D899" s="114" t="s">
        <v>165</v>
      </c>
      <c r="E899" s="829"/>
      <c r="F899" s="830" t="s">
        <v>1971</v>
      </c>
    </row>
    <row r="900" spans="2:6" outlineLevel="1" x14ac:dyDescent="0.2">
      <c r="B900" s="1140"/>
      <c r="C900" s="828"/>
      <c r="D900" s="114" t="s">
        <v>224</v>
      </c>
      <c r="E900" s="829"/>
      <c r="F900" s="830" t="s">
        <v>1972</v>
      </c>
    </row>
    <row r="901" spans="2:6" ht="48" outlineLevel="1" x14ac:dyDescent="0.2">
      <c r="B901" s="1140"/>
      <c r="C901" s="828"/>
      <c r="D901" s="114" t="s">
        <v>173</v>
      </c>
      <c r="E901" s="829"/>
      <c r="F901" s="830" t="s">
        <v>1973</v>
      </c>
    </row>
    <row r="902" spans="2:6" ht="48" outlineLevel="1" x14ac:dyDescent="0.2">
      <c r="B902" s="1140"/>
      <c r="C902" s="828"/>
      <c r="D902" s="114" t="s">
        <v>174</v>
      </c>
      <c r="E902" s="829"/>
      <c r="F902" s="830" t="s">
        <v>1974</v>
      </c>
    </row>
    <row r="903" spans="2:6" ht="48" outlineLevel="1" x14ac:dyDescent="0.2">
      <c r="B903" s="1140"/>
      <c r="C903" s="828"/>
      <c r="D903" s="114" t="s">
        <v>175</v>
      </c>
      <c r="E903" s="829"/>
      <c r="F903" s="830" t="s">
        <v>1975</v>
      </c>
    </row>
    <row r="904" spans="2:6" ht="48" outlineLevel="1" x14ac:dyDescent="0.2">
      <c r="B904" s="1140"/>
      <c r="C904" s="828"/>
      <c r="D904" s="114" t="s">
        <v>171</v>
      </c>
      <c r="E904" s="829"/>
      <c r="F904" s="830" t="s">
        <v>1976</v>
      </c>
    </row>
    <row r="905" spans="2:6" ht="48" outlineLevel="1" x14ac:dyDescent="0.2">
      <c r="B905" s="1140"/>
      <c r="C905" s="828"/>
      <c r="D905" s="114" t="s">
        <v>225</v>
      </c>
      <c r="E905" s="829"/>
      <c r="F905" s="830" t="s">
        <v>1977</v>
      </c>
    </row>
    <row r="906" spans="2:6" ht="48" outlineLevel="1" x14ac:dyDescent="0.2">
      <c r="B906" s="1140"/>
      <c r="C906" s="828"/>
      <c r="D906" s="114" t="s">
        <v>226</v>
      </c>
      <c r="E906" s="829"/>
      <c r="F906" s="830" t="s">
        <v>1976</v>
      </c>
    </row>
    <row r="907" spans="2:6" ht="48" outlineLevel="1" x14ac:dyDescent="0.2">
      <c r="B907" s="1140"/>
      <c r="C907" s="828"/>
      <c r="D907" s="114" t="s">
        <v>227</v>
      </c>
      <c r="E907" s="829"/>
      <c r="F907" s="830" t="s">
        <v>1975</v>
      </c>
    </row>
    <row r="908" spans="2:6" outlineLevel="1" x14ac:dyDescent="0.2">
      <c r="B908" s="1141"/>
      <c r="C908" s="828"/>
      <c r="D908" s="114" t="s">
        <v>149</v>
      </c>
      <c r="E908" s="829"/>
      <c r="F908" s="830"/>
    </row>
    <row r="909" spans="2:6" ht="21" customHeight="1" x14ac:dyDescent="0.2">
      <c r="B909" s="1142" t="s">
        <v>1684</v>
      </c>
      <c r="C909" s="1143"/>
      <c r="D909" s="1143"/>
      <c r="E909" s="1143"/>
      <c r="F909" s="1143"/>
    </row>
    <row r="910" spans="2:6" ht="21" customHeight="1" x14ac:dyDescent="0.2">
      <c r="B910" s="831"/>
      <c r="C910" s="1135" t="s">
        <v>1685</v>
      </c>
      <c r="D910" s="1146"/>
      <c r="E910" s="1146"/>
      <c r="F910" s="1146"/>
    </row>
    <row r="911" spans="2:6" ht="27.95" customHeight="1" x14ac:dyDescent="0.2">
      <c r="B911" s="831"/>
      <c r="C911" s="1135" t="s">
        <v>1686</v>
      </c>
      <c r="D911" s="1146"/>
      <c r="E911" s="1146"/>
      <c r="F911" s="1146"/>
    </row>
    <row r="912" spans="2:6" ht="21" customHeight="1" x14ac:dyDescent="0.2">
      <c r="B912" s="831"/>
      <c r="C912" s="1135" t="s">
        <v>1687</v>
      </c>
      <c r="D912" s="1146"/>
      <c r="E912" s="1146"/>
      <c r="F912" s="1146"/>
    </row>
    <row r="913" spans="2:6" ht="38.25" x14ac:dyDescent="0.2">
      <c r="B913" s="1139">
        <v>39</v>
      </c>
      <c r="C913" s="825" t="s">
        <v>1688</v>
      </c>
      <c r="D913" s="113" t="s">
        <v>384</v>
      </c>
      <c r="E913" s="826" t="s">
        <v>1689</v>
      </c>
      <c r="F913" s="827" t="s">
        <v>1690</v>
      </c>
    </row>
    <row r="914" spans="2:6" outlineLevel="1" x14ac:dyDescent="0.2">
      <c r="B914" s="1140"/>
      <c r="C914" s="828"/>
      <c r="D914" s="114" t="s">
        <v>385</v>
      </c>
      <c r="E914" s="829"/>
      <c r="F914" s="830" t="s">
        <v>2</v>
      </c>
    </row>
    <row r="915" spans="2:6" ht="48" outlineLevel="1" x14ac:dyDescent="0.2">
      <c r="B915" s="1140"/>
      <c r="C915" s="828"/>
      <c r="D915" s="114" t="s">
        <v>1691</v>
      </c>
      <c r="E915" s="829"/>
      <c r="F915" s="830" t="s">
        <v>2</v>
      </c>
    </row>
    <row r="916" spans="2:6" ht="24" outlineLevel="1" x14ac:dyDescent="0.2">
      <c r="B916" s="1140"/>
      <c r="C916" s="828"/>
      <c r="D916" s="114" t="s">
        <v>386</v>
      </c>
      <c r="E916" s="829"/>
      <c r="F916" s="830" t="s">
        <v>1692</v>
      </c>
    </row>
    <row r="917" spans="2:6" outlineLevel="1" x14ac:dyDescent="0.2">
      <c r="B917" s="1140"/>
      <c r="C917" s="828"/>
      <c r="D917" s="114" t="s">
        <v>387</v>
      </c>
      <c r="E917" s="829"/>
      <c r="F917" s="830" t="s">
        <v>1693</v>
      </c>
    </row>
    <row r="918" spans="2:6" outlineLevel="1" x14ac:dyDescent="0.2">
      <c r="B918" s="1140"/>
      <c r="C918" s="828"/>
      <c r="D918" s="114" t="s">
        <v>388</v>
      </c>
      <c r="E918" s="829"/>
      <c r="F918" s="830" t="s">
        <v>1694</v>
      </c>
    </row>
    <row r="919" spans="2:6" outlineLevel="1" x14ac:dyDescent="0.2">
      <c r="B919" s="1141"/>
      <c r="C919" s="828"/>
      <c r="D919" s="114" t="s">
        <v>149</v>
      </c>
      <c r="E919" s="829"/>
      <c r="F919" s="830"/>
    </row>
    <row r="920" spans="2:6" ht="21" customHeight="1" x14ac:dyDescent="0.2">
      <c r="B920" s="1142" t="s">
        <v>318</v>
      </c>
      <c r="C920" s="1143"/>
      <c r="D920" s="1143"/>
      <c r="E920" s="1143"/>
      <c r="F920" s="1143"/>
    </row>
    <row r="921" spans="2:6" ht="21" customHeight="1" x14ac:dyDescent="0.2">
      <c r="B921" s="831"/>
      <c r="C921" s="1135" t="s">
        <v>1172</v>
      </c>
      <c r="D921" s="1146"/>
      <c r="E921" s="1146"/>
      <c r="F921" s="1146"/>
    </row>
    <row r="922" spans="2:6" ht="38.25" x14ac:dyDescent="0.2">
      <c r="B922" s="1139">
        <v>40</v>
      </c>
      <c r="C922" s="825" t="s">
        <v>1695</v>
      </c>
      <c r="D922" s="113" t="s">
        <v>181</v>
      </c>
      <c r="E922" s="826" t="s">
        <v>1696</v>
      </c>
      <c r="F922" s="827" t="s">
        <v>1697</v>
      </c>
    </row>
    <row r="923" spans="2:6" ht="36" outlineLevel="1" x14ac:dyDescent="0.2">
      <c r="B923" s="1140"/>
      <c r="C923" s="828"/>
      <c r="D923" s="114" t="s">
        <v>182</v>
      </c>
      <c r="E923" s="829"/>
      <c r="F923" s="830" t="s">
        <v>2</v>
      </c>
    </row>
    <row r="924" spans="2:6" ht="36" outlineLevel="1" x14ac:dyDescent="0.2">
      <c r="B924" s="1140"/>
      <c r="C924" s="828"/>
      <c r="D924" s="114" t="s">
        <v>389</v>
      </c>
      <c r="E924" s="829"/>
      <c r="F924" s="830" t="s">
        <v>2</v>
      </c>
    </row>
    <row r="925" spans="2:6" outlineLevel="1" x14ac:dyDescent="0.2">
      <c r="B925" s="1140"/>
      <c r="C925" s="828"/>
      <c r="D925" s="114" t="s">
        <v>161</v>
      </c>
      <c r="E925" s="829"/>
      <c r="F925" s="830" t="s">
        <v>2</v>
      </c>
    </row>
    <row r="926" spans="2:6" ht="48" outlineLevel="1" x14ac:dyDescent="0.2">
      <c r="B926" s="1140"/>
      <c r="C926" s="828"/>
      <c r="D926" s="114" t="s">
        <v>380</v>
      </c>
      <c r="E926" s="829"/>
      <c r="F926" s="830" t="s">
        <v>2</v>
      </c>
    </row>
    <row r="927" spans="2:6" ht="48" outlineLevel="1" x14ac:dyDescent="0.2">
      <c r="B927" s="1140"/>
      <c r="C927" s="828"/>
      <c r="D927" s="114" t="s">
        <v>1319</v>
      </c>
      <c r="E927" s="829"/>
      <c r="F927" s="830" t="s">
        <v>2</v>
      </c>
    </row>
    <row r="928" spans="2:6" outlineLevel="1" x14ac:dyDescent="0.2">
      <c r="B928" s="1140"/>
      <c r="C928" s="828"/>
      <c r="D928" s="114" t="s">
        <v>148</v>
      </c>
      <c r="E928" s="829"/>
      <c r="F928" s="830" t="s">
        <v>1698</v>
      </c>
    </row>
    <row r="929" spans="2:6" ht="24" outlineLevel="1" x14ac:dyDescent="0.2">
      <c r="B929" s="1140"/>
      <c r="C929" s="828"/>
      <c r="D929" s="114" t="s">
        <v>153</v>
      </c>
      <c r="E929" s="829"/>
      <c r="F929" s="830" t="s">
        <v>1698</v>
      </c>
    </row>
    <row r="930" spans="2:6" outlineLevel="1" x14ac:dyDescent="0.2">
      <c r="B930" s="1140"/>
      <c r="C930" s="828"/>
      <c r="D930" s="114" t="s">
        <v>256</v>
      </c>
      <c r="E930" s="829"/>
      <c r="F930" s="830" t="s">
        <v>1699</v>
      </c>
    </row>
    <row r="931" spans="2:6" ht="24" outlineLevel="1" x14ac:dyDescent="0.2">
      <c r="B931" s="1140"/>
      <c r="C931" s="828"/>
      <c r="D931" s="114" t="s">
        <v>257</v>
      </c>
      <c r="E931" s="829"/>
      <c r="F931" s="830" t="s">
        <v>1700</v>
      </c>
    </row>
    <row r="932" spans="2:6" outlineLevel="1" x14ac:dyDescent="0.2">
      <c r="B932" s="1140"/>
      <c r="C932" s="828"/>
      <c r="D932" s="114" t="s">
        <v>178</v>
      </c>
      <c r="E932" s="829"/>
      <c r="F932" s="830" t="s">
        <v>1701</v>
      </c>
    </row>
    <row r="933" spans="2:6" outlineLevel="1" x14ac:dyDescent="0.2">
      <c r="B933" s="1140"/>
      <c r="C933" s="828"/>
      <c r="D933" s="114" t="s">
        <v>258</v>
      </c>
      <c r="E933" s="829"/>
      <c r="F933" s="830" t="s">
        <v>1698</v>
      </c>
    </row>
    <row r="934" spans="2:6" outlineLevel="1" x14ac:dyDescent="0.2">
      <c r="B934" s="1140"/>
      <c r="C934" s="828"/>
      <c r="D934" s="114" t="s">
        <v>259</v>
      </c>
      <c r="E934" s="829"/>
      <c r="F934" s="830" t="s">
        <v>1698</v>
      </c>
    </row>
    <row r="935" spans="2:6" ht="24" outlineLevel="1" x14ac:dyDescent="0.2">
      <c r="B935" s="1140"/>
      <c r="C935" s="828"/>
      <c r="D935" s="114" t="s">
        <v>260</v>
      </c>
      <c r="E935" s="829"/>
      <c r="F935" s="830" t="s">
        <v>1702</v>
      </c>
    </row>
    <row r="936" spans="2:6" outlineLevel="1" x14ac:dyDescent="0.2">
      <c r="B936" s="1140"/>
      <c r="C936" s="828"/>
      <c r="D936" s="114" t="s">
        <v>261</v>
      </c>
      <c r="E936" s="829"/>
      <c r="F936" s="830" t="s">
        <v>1698</v>
      </c>
    </row>
    <row r="937" spans="2:6" outlineLevel="1" x14ac:dyDescent="0.2">
      <c r="B937" s="1140"/>
      <c r="C937" s="828"/>
      <c r="D937" s="114" t="s">
        <v>262</v>
      </c>
      <c r="E937" s="829"/>
      <c r="F937" s="830" t="s">
        <v>1703</v>
      </c>
    </row>
    <row r="938" spans="2:6" outlineLevel="1" x14ac:dyDescent="0.2">
      <c r="B938" s="1140"/>
      <c r="C938" s="828"/>
      <c r="D938" s="114" t="s">
        <v>263</v>
      </c>
      <c r="E938" s="829"/>
      <c r="F938" s="830" t="s">
        <v>1704</v>
      </c>
    </row>
    <row r="939" spans="2:6" outlineLevel="1" x14ac:dyDescent="0.2">
      <c r="B939" s="1140"/>
      <c r="C939" s="828"/>
      <c r="D939" s="114" t="s">
        <v>179</v>
      </c>
      <c r="E939" s="829"/>
      <c r="F939" s="830" t="s">
        <v>1705</v>
      </c>
    </row>
    <row r="940" spans="2:6" outlineLevel="1" x14ac:dyDescent="0.2">
      <c r="B940" s="1140"/>
      <c r="C940" s="828"/>
      <c r="D940" s="114" t="s">
        <v>180</v>
      </c>
      <c r="E940" s="829"/>
      <c r="F940" s="830" t="s">
        <v>1706</v>
      </c>
    </row>
    <row r="941" spans="2:6" ht="24" outlineLevel="1" x14ac:dyDescent="0.2">
      <c r="B941" s="1140"/>
      <c r="C941" s="828"/>
      <c r="D941" s="114" t="s">
        <v>169</v>
      </c>
      <c r="E941" s="829"/>
      <c r="F941" s="830" t="s">
        <v>1699</v>
      </c>
    </row>
    <row r="942" spans="2:6" ht="24" outlineLevel="1" x14ac:dyDescent="0.2">
      <c r="B942" s="1140"/>
      <c r="C942" s="828"/>
      <c r="D942" s="114" t="s">
        <v>151</v>
      </c>
      <c r="E942" s="829"/>
      <c r="F942" s="830" t="s">
        <v>1703</v>
      </c>
    </row>
    <row r="943" spans="2:6" outlineLevel="1" x14ac:dyDescent="0.2">
      <c r="B943" s="1140"/>
      <c r="C943" s="828"/>
      <c r="D943" s="114" t="s">
        <v>264</v>
      </c>
      <c r="E943" s="829"/>
      <c r="F943" s="830" t="s">
        <v>1707</v>
      </c>
    </row>
    <row r="944" spans="2:6" outlineLevel="1" x14ac:dyDescent="0.2">
      <c r="B944" s="1141"/>
      <c r="C944" s="828"/>
      <c r="D944" s="114" t="s">
        <v>149</v>
      </c>
      <c r="E944" s="829"/>
      <c r="F944" s="830"/>
    </row>
    <row r="945" spans="2:6" ht="21" customHeight="1" x14ac:dyDescent="0.2">
      <c r="B945" s="1142" t="s">
        <v>390</v>
      </c>
      <c r="C945" s="1143"/>
      <c r="D945" s="1143"/>
      <c r="E945" s="1143"/>
      <c r="F945" s="1143"/>
    </row>
    <row r="946" spans="2:6" ht="76.5" x14ac:dyDescent="0.2">
      <c r="B946" s="1139">
        <v>41</v>
      </c>
      <c r="C946" s="825" t="s">
        <v>1708</v>
      </c>
      <c r="D946" s="113" t="s">
        <v>391</v>
      </c>
      <c r="E946" s="826" t="s">
        <v>1709</v>
      </c>
      <c r="F946" s="827" t="s">
        <v>1710</v>
      </c>
    </row>
    <row r="947" spans="2:6" ht="36" outlineLevel="1" x14ac:dyDescent="0.2">
      <c r="B947" s="1140"/>
      <c r="C947" s="828"/>
      <c r="D947" s="114" t="s">
        <v>392</v>
      </c>
      <c r="E947" s="829"/>
      <c r="F947" s="830" t="s">
        <v>2</v>
      </c>
    </row>
    <row r="948" spans="2:6" ht="48" outlineLevel="1" x14ac:dyDescent="0.2">
      <c r="B948" s="1140"/>
      <c r="C948" s="828"/>
      <c r="D948" s="114" t="s">
        <v>346</v>
      </c>
      <c r="E948" s="829"/>
      <c r="F948" s="830" t="s">
        <v>2</v>
      </c>
    </row>
    <row r="949" spans="2:6" outlineLevel="1" x14ac:dyDescent="0.2">
      <c r="B949" s="1140"/>
      <c r="C949" s="828"/>
      <c r="D949" s="114" t="s">
        <v>147</v>
      </c>
      <c r="E949" s="829"/>
      <c r="F949" s="830" t="s">
        <v>2</v>
      </c>
    </row>
    <row r="950" spans="2:6" ht="48" outlineLevel="1" x14ac:dyDescent="0.2">
      <c r="B950" s="1140"/>
      <c r="C950" s="828"/>
      <c r="D950" s="114" t="s">
        <v>1319</v>
      </c>
      <c r="E950" s="829"/>
      <c r="F950" s="830" t="s">
        <v>2</v>
      </c>
    </row>
    <row r="951" spans="2:6" outlineLevel="1" x14ac:dyDescent="0.2">
      <c r="B951" s="1140"/>
      <c r="C951" s="828"/>
      <c r="D951" s="114" t="s">
        <v>148</v>
      </c>
      <c r="E951" s="829"/>
      <c r="F951" s="830" t="s">
        <v>1711</v>
      </c>
    </row>
    <row r="952" spans="2:6" outlineLevel="1" x14ac:dyDescent="0.2">
      <c r="B952" s="1140"/>
      <c r="C952" s="828"/>
      <c r="D952" s="114" t="s">
        <v>162</v>
      </c>
      <c r="E952" s="829"/>
      <c r="F952" s="830" t="s">
        <v>1711</v>
      </c>
    </row>
    <row r="953" spans="2:6" ht="24" outlineLevel="1" x14ac:dyDescent="0.2">
      <c r="B953" s="1140"/>
      <c r="C953" s="828"/>
      <c r="D953" s="114" t="s">
        <v>172</v>
      </c>
      <c r="E953" s="829"/>
      <c r="F953" s="830" t="s">
        <v>1712</v>
      </c>
    </row>
    <row r="954" spans="2:6" outlineLevel="1" x14ac:dyDescent="0.2">
      <c r="B954" s="1140"/>
      <c r="C954" s="828"/>
      <c r="D954" s="114" t="s">
        <v>152</v>
      </c>
      <c r="E954" s="829"/>
      <c r="F954" s="830" t="s">
        <v>1711</v>
      </c>
    </row>
    <row r="955" spans="2:6" ht="24" outlineLevel="1" x14ac:dyDescent="0.2">
      <c r="B955" s="1140"/>
      <c r="C955" s="828"/>
      <c r="D955" s="114" t="s">
        <v>163</v>
      </c>
      <c r="E955" s="829"/>
      <c r="F955" s="830" t="s">
        <v>1713</v>
      </c>
    </row>
    <row r="956" spans="2:6" outlineLevel="1" x14ac:dyDescent="0.2">
      <c r="B956" s="1140"/>
      <c r="C956" s="828"/>
      <c r="D956" s="114" t="s">
        <v>164</v>
      </c>
      <c r="E956" s="829"/>
      <c r="F956" s="830" t="s">
        <v>1714</v>
      </c>
    </row>
    <row r="957" spans="2:6" ht="24" outlineLevel="1" x14ac:dyDescent="0.2">
      <c r="B957" s="1140"/>
      <c r="C957" s="828"/>
      <c r="D957" s="114" t="s">
        <v>165</v>
      </c>
      <c r="E957" s="829"/>
      <c r="F957" s="830" t="s">
        <v>1715</v>
      </c>
    </row>
    <row r="958" spans="2:6" outlineLevel="1" x14ac:dyDescent="0.2">
      <c r="B958" s="1140"/>
      <c r="C958" s="828"/>
      <c r="D958" s="114" t="s">
        <v>224</v>
      </c>
      <c r="E958" s="829"/>
      <c r="F958" s="830" t="s">
        <v>1716</v>
      </c>
    </row>
    <row r="959" spans="2:6" ht="48" outlineLevel="1" x14ac:dyDescent="0.2">
      <c r="B959" s="1140"/>
      <c r="C959" s="828"/>
      <c r="D959" s="114" t="s">
        <v>173</v>
      </c>
      <c r="E959" s="829"/>
      <c r="F959" s="830" t="s">
        <v>1717</v>
      </c>
    </row>
    <row r="960" spans="2:6" ht="48" outlineLevel="1" x14ac:dyDescent="0.2">
      <c r="B960" s="1140"/>
      <c r="C960" s="828"/>
      <c r="D960" s="114" t="s">
        <v>174</v>
      </c>
      <c r="E960" s="829"/>
      <c r="F960" s="830" t="s">
        <v>1718</v>
      </c>
    </row>
    <row r="961" spans="2:6" ht="48" outlineLevel="1" x14ac:dyDescent="0.2">
      <c r="B961" s="1140"/>
      <c r="C961" s="828"/>
      <c r="D961" s="114" t="s">
        <v>175</v>
      </c>
      <c r="E961" s="829"/>
      <c r="F961" s="830" t="s">
        <v>1719</v>
      </c>
    </row>
    <row r="962" spans="2:6" ht="48" outlineLevel="1" x14ac:dyDescent="0.2">
      <c r="B962" s="1140"/>
      <c r="C962" s="828"/>
      <c r="D962" s="114" t="s">
        <v>171</v>
      </c>
      <c r="E962" s="829"/>
      <c r="F962" s="830" t="s">
        <v>1720</v>
      </c>
    </row>
    <row r="963" spans="2:6" ht="48" outlineLevel="1" x14ac:dyDescent="0.2">
      <c r="B963" s="1140"/>
      <c r="C963" s="828"/>
      <c r="D963" s="114" t="s">
        <v>225</v>
      </c>
      <c r="E963" s="829"/>
      <c r="F963" s="830" t="s">
        <v>1721</v>
      </c>
    </row>
    <row r="964" spans="2:6" ht="48" outlineLevel="1" x14ac:dyDescent="0.2">
      <c r="B964" s="1140"/>
      <c r="C964" s="828"/>
      <c r="D964" s="114" t="s">
        <v>226</v>
      </c>
      <c r="E964" s="829"/>
      <c r="F964" s="830" t="s">
        <v>1720</v>
      </c>
    </row>
    <row r="965" spans="2:6" ht="48" outlineLevel="1" x14ac:dyDescent="0.2">
      <c r="B965" s="1140"/>
      <c r="C965" s="828"/>
      <c r="D965" s="114" t="s">
        <v>227</v>
      </c>
      <c r="E965" s="829"/>
      <c r="F965" s="830" t="s">
        <v>1719</v>
      </c>
    </row>
    <row r="966" spans="2:6" outlineLevel="1" x14ac:dyDescent="0.2">
      <c r="B966" s="1141"/>
      <c r="C966" s="828"/>
      <c r="D966" s="114" t="s">
        <v>149</v>
      </c>
      <c r="E966" s="829"/>
      <c r="F966" s="830"/>
    </row>
    <row r="967" spans="2:6" ht="21" customHeight="1" x14ac:dyDescent="0.2">
      <c r="B967" s="1142" t="s">
        <v>393</v>
      </c>
      <c r="C967" s="1143"/>
      <c r="D967" s="1143"/>
      <c r="E967" s="1143"/>
      <c r="F967" s="1143"/>
    </row>
    <row r="968" spans="2:6" ht="63.75" x14ac:dyDescent="0.2">
      <c r="B968" s="1139">
        <v>42</v>
      </c>
      <c r="C968" s="825" t="s">
        <v>1722</v>
      </c>
      <c r="D968" s="113" t="s">
        <v>176</v>
      </c>
      <c r="E968" s="826" t="s">
        <v>1723</v>
      </c>
      <c r="F968" s="827" t="s">
        <v>1724</v>
      </c>
    </row>
    <row r="969" spans="2:6" ht="36" outlineLevel="1" x14ac:dyDescent="0.2">
      <c r="B969" s="1140"/>
      <c r="C969" s="828"/>
      <c r="D969" s="114" t="s">
        <v>389</v>
      </c>
      <c r="E969" s="829"/>
      <c r="F969" s="830" t="s">
        <v>2</v>
      </c>
    </row>
    <row r="970" spans="2:6" outlineLevel="1" x14ac:dyDescent="0.2">
      <c r="B970" s="1140"/>
      <c r="C970" s="828"/>
      <c r="D970" s="114" t="s">
        <v>177</v>
      </c>
      <c r="E970" s="829"/>
      <c r="F970" s="830" t="s">
        <v>2</v>
      </c>
    </row>
    <row r="971" spans="2:6" ht="48" outlineLevel="1" x14ac:dyDescent="0.2">
      <c r="B971" s="1140"/>
      <c r="C971" s="828"/>
      <c r="D971" s="114" t="s">
        <v>380</v>
      </c>
      <c r="E971" s="829"/>
      <c r="F971" s="830" t="s">
        <v>2</v>
      </c>
    </row>
    <row r="972" spans="2:6" ht="48" outlineLevel="1" x14ac:dyDescent="0.2">
      <c r="B972" s="1140"/>
      <c r="C972" s="828"/>
      <c r="D972" s="114" t="s">
        <v>1319</v>
      </c>
      <c r="E972" s="829"/>
      <c r="F972" s="830" t="s">
        <v>2</v>
      </c>
    </row>
    <row r="973" spans="2:6" outlineLevel="1" x14ac:dyDescent="0.2">
      <c r="B973" s="1140"/>
      <c r="C973" s="828"/>
      <c r="D973" s="114" t="s">
        <v>148</v>
      </c>
      <c r="E973" s="829"/>
      <c r="F973" s="830" t="s">
        <v>1725</v>
      </c>
    </row>
    <row r="974" spans="2:6" ht="24" outlineLevel="1" x14ac:dyDescent="0.2">
      <c r="B974" s="1140"/>
      <c r="C974" s="828"/>
      <c r="D974" s="114" t="s">
        <v>153</v>
      </c>
      <c r="E974" s="829"/>
      <c r="F974" s="830" t="s">
        <v>1725</v>
      </c>
    </row>
    <row r="975" spans="2:6" outlineLevel="1" x14ac:dyDescent="0.2">
      <c r="B975" s="1140"/>
      <c r="C975" s="828"/>
      <c r="D975" s="114" t="s">
        <v>256</v>
      </c>
      <c r="E975" s="829"/>
      <c r="F975" s="830" t="s">
        <v>1726</v>
      </c>
    </row>
    <row r="976" spans="2:6" ht="24" outlineLevel="1" x14ac:dyDescent="0.2">
      <c r="B976" s="1140"/>
      <c r="C976" s="828"/>
      <c r="D976" s="114" t="s">
        <v>257</v>
      </c>
      <c r="E976" s="829"/>
      <c r="F976" s="830" t="s">
        <v>1727</v>
      </c>
    </row>
    <row r="977" spans="2:6" outlineLevel="1" x14ac:dyDescent="0.2">
      <c r="B977" s="1140"/>
      <c r="C977" s="828"/>
      <c r="D977" s="114" t="s">
        <v>178</v>
      </c>
      <c r="E977" s="829"/>
      <c r="F977" s="830" t="s">
        <v>1728</v>
      </c>
    </row>
    <row r="978" spans="2:6" outlineLevel="1" x14ac:dyDescent="0.2">
      <c r="B978" s="1140"/>
      <c r="C978" s="828"/>
      <c r="D978" s="114" t="s">
        <v>258</v>
      </c>
      <c r="E978" s="829"/>
      <c r="F978" s="830" t="s">
        <v>1725</v>
      </c>
    </row>
    <row r="979" spans="2:6" outlineLevel="1" x14ac:dyDescent="0.2">
      <c r="B979" s="1140"/>
      <c r="C979" s="828"/>
      <c r="D979" s="114" t="s">
        <v>259</v>
      </c>
      <c r="E979" s="829"/>
      <c r="F979" s="830" t="s">
        <v>1725</v>
      </c>
    </row>
    <row r="980" spans="2:6" ht="24" outlineLevel="1" x14ac:dyDescent="0.2">
      <c r="B980" s="1140"/>
      <c r="C980" s="828"/>
      <c r="D980" s="114" t="s">
        <v>260</v>
      </c>
      <c r="E980" s="829"/>
      <c r="F980" s="830" t="s">
        <v>1729</v>
      </c>
    </row>
    <row r="981" spans="2:6" outlineLevel="1" x14ac:dyDescent="0.2">
      <c r="B981" s="1140"/>
      <c r="C981" s="828"/>
      <c r="D981" s="114" t="s">
        <v>261</v>
      </c>
      <c r="E981" s="829"/>
      <c r="F981" s="830" t="s">
        <v>1725</v>
      </c>
    </row>
    <row r="982" spans="2:6" outlineLevel="1" x14ac:dyDescent="0.2">
      <c r="B982" s="1140"/>
      <c r="C982" s="828"/>
      <c r="D982" s="114" t="s">
        <v>262</v>
      </c>
      <c r="E982" s="829"/>
      <c r="F982" s="830" t="s">
        <v>1730</v>
      </c>
    </row>
    <row r="983" spans="2:6" outlineLevel="1" x14ac:dyDescent="0.2">
      <c r="B983" s="1140"/>
      <c r="C983" s="828"/>
      <c r="D983" s="114" t="s">
        <v>263</v>
      </c>
      <c r="E983" s="829"/>
      <c r="F983" s="830" t="s">
        <v>1731</v>
      </c>
    </row>
    <row r="984" spans="2:6" outlineLevel="1" x14ac:dyDescent="0.2">
      <c r="B984" s="1140"/>
      <c r="C984" s="828"/>
      <c r="D984" s="114" t="s">
        <v>179</v>
      </c>
      <c r="E984" s="829"/>
      <c r="F984" s="830" t="s">
        <v>1732</v>
      </c>
    </row>
    <row r="985" spans="2:6" outlineLevel="1" x14ac:dyDescent="0.2">
      <c r="B985" s="1140"/>
      <c r="C985" s="828"/>
      <c r="D985" s="114" t="s">
        <v>180</v>
      </c>
      <c r="E985" s="829"/>
      <c r="F985" s="830" t="s">
        <v>1733</v>
      </c>
    </row>
    <row r="986" spans="2:6" ht="24" outlineLevel="1" x14ac:dyDescent="0.2">
      <c r="B986" s="1140"/>
      <c r="C986" s="828"/>
      <c r="D986" s="114" t="s">
        <v>169</v>
      </c>
      <c r="E986" s="829"/>
      <c r="F986" s="830" t="s">
        <v>1726</v>
      </c>
    </row>
    <row r="987" spans="2:6" ht="24" outlineLevel="1" x14ac:dyDescent="0.2">
      <c r="B987" s="1140"/>
      <c r="C987" s="828"/>
      <c r="D987" s="114" t="s">
        <v>151</v>
      </c>
      <c r="E987" s="829"/>
      <c r="F987" s="830" t="s">
        <v>1730</v>
      </c>
    </row>
    <row r="988" spans="2:6" outlineLevel="1" x14ac:dyDescent="0.2">
      <c r="B988" s="1140"/>
      <c r="C988" s="828"/>
      <c r="D988" s="114" t="s">
        <v>264</v>
      </c>
      <c r="E988" s="829"/>
      <c r="F988" s="830" t="s">
        <v>1734</v>
      </c>
    </row>
    <row r="989" spans="2:6" outlineLevel="1" x14ac:dyDescent="0.2">
      <c r="B989" s="1141"/>
      <c r="C989" s="828"/>
      <c r="D989" s="114" t="s">
        <v>149</v>
      </c>
      <c r="E989" s="829"/>
      <c r="F989" s="830"/>
    </row>
    <row r="990" spans="2:6" ht="21" customHeight="1" x14ac:dyDescent="0.2">
      <c r="B990" s="1142" t="s">
        <v>394</v>
      </c>
      <c r="C990" s="1143"/>
      <c r="D990" s="1143"/>
      <c r="E990" s="1143"/>
      <c r="F990" s="1143"/>
    </row>
    <row r="991" spans="2:6" ht="63.75" x14ac:dyDescent="0.2">
      <c r="B991" s="1139">
        <v>43</v>
      </c>
      <c r="C991" s="825" t="s">
        <v>395</v>
      </c>
      <c r="D991" s="113" t="s">
        <v>176</v>
      </c>
      <c r="E991" s="826" t="s">
        <v>1735</v>
      </c>
      <c r="F991" s="827" t="s">
        <v>1736</v>
      </c>
    </row>
    <row r="992" spans="2:6" ht="36" outlineLevel="1" x14ac:dyDescent="0.2">
      <c r="B992" s="1140"/>
      <c r="C992" s="828"/>
      <c r="D992" s="114" t="s">
        <v>389</v>
      </c>
      <c r="E992" s="829"/>
      <c r="F992" s="830" t="s">
        <v>2</v>
      </c>
    </row>
    <row r="993" spans="2:6" outlineLevel="1" x14ac:dyDescent="0.2">
      <c r="B993" s="1140"/>
      <c r="C993" s="828"/>
      <c r="D993" s="114" t="s">
        <v>177</v>
      </c>
      <c r="E993" s="829"/>
      <c r="F993" s="830" t="s">
        <v>2</v>
      </c>
    </row>
    <row r="994" spans="2:6" ht="48" outlineLevel="1" x14ac:dyDescent="0.2">
      <c r="B994" s="1140"/>
      <c r="C994" s="828"/>
      <c r="D994" s="114" t="s">
        <v>380</v>
      </c>
      <c r="E994" s="829"/>
      <c r="F994" s="830" t="s">
        <v>2</v>
      </c>
    </row>
    <row r="995" spans="2:6" ht="48" outlineLevel="1" x14ac:dyDescent="0.2">
      <c r="B995" s="1140"/>
      <c r="C995" s="828"/>
      <c r="D995" s="114" t="s">
        <v>1319</v>
      </c>
      <c r="E995" s="829"/>
      <c r="F995" s="830" t="s">
        <v>2</v>
      </c>
    </row>
    <row r="996" spans="2:6" outlineLevel="1" x14ac:dyDescent="0.2">
      <c r="B996" s="1140"/>
      <c r="C996" s="828"/>
      <c r="D996" s="114" t="s">
        <v>148</v>
      </c>
      <c r="E996" s="829"/>
      <c r="F996" s="830" t="s">
        <v>1737</v>
      </c>
    </row>
    <row r="997" spans="2:6" ht="24" outlineLevel="1" x14ac:dyDescent="0.2">
      <c r="B997" s="1140"/>
      <c r="C997" s="828"/>
      <c r="D997" s="114" t="s">
        <v>153</v>
      </c>
      <c r="E997" s="829"/>
      <c r="F997" s="830" t="s">
        <v>1737</v>
      </c>
    </row>
    <row r="998" spans="2:6" outlineLevel="1" x14ac:dyDescent="0.2">
      <c r="B998" s="1140"/>
      <c r="C998" s="828"/>
      <c r="D998" s="114" t="s">
        <v>256</v>
      </c>
      <c r="E998" s="829"/>
      <c r="F998" s="830" t="s">
        <v>1738</v>
      </c>
    </row>
    <row r="999" spans="2:6" ht="24" outlineLevel="1" x14ac:dyDescent="0.2">
      <c r="B999" s="1140"/>
      <c r="C999" s="828"/>
      <c r="D999" s="114" t="s">
        <v>257</v>
      </c>
      <c r="E999" s="829"/>
      <c r="F999" s="830" t="s">
        <v>1739</v>
      </c>
    </row>
    <row r="1000" spans="2:6" outlineLevel="1" x14ac:dyDescent="0.2">
      <c r="B1000" s="1140"/>
      <c r="C1000" s="828"/>
      <c r="D1000" s="114" t="s">
        <v>178</v>
      </c>
      <c r="E1000" s="829"/>
      <c r="F1000" s="830" t="s">
        <v>1740</v>
      </c>
    </row>
    <row r="1001" spans="2:6" outlineLevel="1" x14ac:dyDescent="0.2">
      <c r="B1001" s="1140"/>
      <c r="C1001" s="828"/>
      <c r="D1001" s="114" t="s">
        <v>258</v>
      </c>
      <c r="E1001" s="829"/>
      <c r="F1001" s="830" t="s">
        <v>1737</v>
      </c>
    </row>
    <row r="1002" spans="2:6" outlineLevel="1" x14ac:dyDescent="0.2">
      <c r="B1002" s="1140"/>
      <c r="C1002" s="828"/>
      <c r="D1002" s="114" t="s">
        <v>259</v>
      </c>
      <c r="E1002" s="829"/>
      <c r="F1002" s="830" t="s">
        <v>1737</v>
      </c>
    </row>
    <row r="1003" spans="2:6" ht="24" outlineLevel="1" x14ac:dyDescent="0.2">
      <c r="B1003" s="1140"/>
      <c r="C1003" s="828"/>
      <c r="D1003" s="114" t="s">
        <v>260</v>
      </c>
      <c r="E1003" s="829"/>
      <c r="F1003" s="830" t="s">
        <v>1741</v>
      </c>
    </row>
    <row r="1004" spans="2:6" outlineLevel="1" x14ac:dyDescent="0.2">
      <c r="B1004" s="1140"/>
      <c r="C1004" s="828"/>
      <c r="D1004" s="114" t="s">
        <v>261</v>
      </c>
      <c r="E1004" s="829"/>
      <c r="F1004" s="830" t="s">
        <v>1737</v>
      </c>
    </row>
    <row r="1005" spans="2:6" outlineLevel="1" x14ac:dyDescent="0.2">
      <c r="B1005" s="1140"/>
      <c r="C1005" s="828"/>
      <c r="D1005" s="114" t="s">
        <v>262</v>
      </c>
      <c r="E1005" s="829"/>
      <c r="F1005" s="830" t="s">
        <v>1742</v>
      </c>
    </row>
    <row r="1006" spans="2:6" outlineLevel="1" x14ac:dyDescent="0.2">
      <c r="B1006" s="1140"/>
      <c r="C1006" s="828"/>
      <c r="D1006" s="114" t="s">
        <v>263</v>
      </c>
      <c r="E1006" s="829"/>
      <c r="F1006" s="830" t="s">
        <v>1743</v>
      </c>
    </row>
    <row r="1007" spans="2:6" outlineLevel="1" x14ac:dyDescent="0.2">
      <c r="B1007" s="1140"/>
      <c r="C1007" s="828"/>
      <c r="D1007" s="114" t="s">
        <v>179</v>
      </c>
      <c r="E1007" s="829"/>
      <c r="F1007" s="830" t="s">
        <v>1744</v>
      </c>
    </row>
    <row r="1008" spans="2:6" outlineLevel="1" x14ac:dyDescent="0.2">
      <c r="B1008" s="1140"/>
      <c r="C1008" s="828"/>
      <c r="D1008" s="114" t="s">
        <v>180</v>
      </c>
      <c r="E1008" s="829"/>
      <c r="F1008" s="830" t="s">
        <v>1745</v>
      </c>
    </row>
    <row r="1009" spans="2:6" ht="24" outlineLevel="1" x14ac:dyDescent="0.2">
      <c r="B1009" s="1140"/>
      <c r="C1009" s="828"/>
      <c r="D1009" s="114" t="s">
        <v>169</v>
      </c>
      <c r="E1009" s="829"/>
      <c r="F1009" s="830" t="s">
        <v>1738</v>
      </c>
    </row>
    <row r="1010" spans="2:6" ht="24" outlineLevel="1" x14ac:dyDescent="0.2">
      <c r="B1010" s="1140"/>
      <c r="C1010" s="828"/>
      <c r="D1010" s="114" t="s">
        <v>151</v>
      </c>
      <c r="E1010" s="829"/>
      <c r="F1010" s="830" t="s">
        <v>1742</v>
      </c>
    </row>
    <row r="1011" spans="2:6" outlineLevel="1" x14ac:dyDescent="0.2">
      <c r="B1011" s="1140"/>
      <c r="C1011" s="828"/>
      <c r="D1011" s="114" t="s">
        <v>264</v>
      </c>
      <c r="E1011" s="829"/>
      <c r="F1011" s="830" t="s">
        <v>1746</v>
      </c>
    </row>
    <row r="1012" spans="2:6" outlineLevel="1" x14ac:dyDescent="0.2">
      <c r="B1012" s="1141"/>
      <c r="C1012" s="828"/>
      <c r="D1012" s="114" t="s">
        <v>149</v>
      </c>
      <c r="E1012" s="829"/>
      <c r="F1012" s="830"/>
    </row>
    <row r="1013" spans="2:6" ht="21" customHeight="1" x14ac:dyDescent="0.2">
      <c r="B1013" s="1142" t="s">
        <v>321</v>
      </c>
      <c r="C1013" s="1143"/>
      <c r="D1013" s="1143"/>
      <c r="E1013" s="1143"/>
      <c r="F1013" s="1143"/>
    </row>
    <row r="1014" spans="2:6" ht="25.5" x14ac:dyDescent="0.2">
      <c r="B1014" s="1139">
        <v>44</v>
      </c>
      <c r="C1014" s="825" t="s">
        <v>396</v>
      </c>
      <c r="D1014" s="113" t="s">
        <v>397</v>
      </c>
      <c r="E1014" s="826" t="s">
        <v>1747</v>
      </c>
      <c r="F1014" s="827" t="s">
        <v>1748</v>
      </c>
    </row>
    <row r="1015" spans="2:6" ht="36" outlineLevel="1" x14ac:dyDescent="0.2">
      <c r="B1015" s="1140"/>
      <c r="C1015" s="828"/>
      <c r="D1015" s="114" t="s">
        <v>389</v>
      </c>
      <c r="E1015" s="829"/>
      <c r="F1015" s="830" t="s">
        <v>2</v>
      </c>
    </row>
    <row r="1016" spans="2:6" outlineLevel="1" x14ac:dyDescent="0.2">
      <c r="B1016" s="1140"/>
      <c r="C1016" s="828"/>
      <c r="D1016" s="114" t="s">
        <v>161</v>
      </c>
      <c r="E1016" s="829"/>
      <c r="F1016" s="830" t="s">
        <v>2</v>
      </c>
    </row>
    <row r="1017" spans="2:6" ht="48" outlineLevel="1" x14ac:dyDescent="0.2">
      <c r="B1017" s="1140"/>
      <c r="C1017" s="828"/>
      <c r="D1017" s="114" t="s">
        <v>380</v>
      </c>
      <c r="E1017" s="829"/>
      <c r="F1017" s="830" t="s">
        <v>2</v>
      </c>
    </row>
    <row r="1018" spans="2:6" ht="48" outlineLevel="1" x14ac:dyDescent="0.2">
      <c r="B1018" s="1140"/>
      <c r="C1018" s="828"/>
      <c r="D1018" s="114" t="s">
        <v>1319</v>
      </c>
      <c r="E1018" s="829"/>
      <c r="F1018" s="830" t="s">
        <v>2</v>
      </c>
    </row>
    <row r="1019" spans="2:6" outlineLevel="1" x14ac:dyDescent="0.2">
      <c r="B1019" s="1140"/>
      <c r="C1019" s="828"/>
      <c r="D1019" s="114" t="s">
        <v>148</v>
      </c>
      <c r="E1019" s="829"/>
      <c r="F1019" s="830">
        <v>762.37</v>
      </c>
    </row>
    <row r="1020" spans="2:6" ht="24" outlineLevel="1" x14ac:dyDescent="0.2">
      <c r="B1020" s="1140"/>
      <c r="C1020" s="828"/>
      <c r="D1020" s="114" t="s">
        <v>153</v>
      </c>
      <c r="E1020" s="829"/>
      <c r="F1020" s="830">
        <v>762.37</v>
      </c>
    </row>
    <row r="1021" spans="2:6" outlineLevel="1" x14ac:dyDescent="0.2">
      <c r="B1021" s="1140"/>
      <c r="C1021" s="828"/>
      <c r="D1021" s="114" t="s">
        <v>256</v>
      </c>
      <c r="E1021" s="829"/>
      <c r="F1021" s="830" t="s">
        <v>1749</v>
      </c>
    </row>
    <row r="1022" spans="2:6" ht="24" outlineLevel="1" x14ac:dyDescent="0.2">
      <c r="B1022" s="1140"/>
      <c r="C1022" s="828"/>
      <c r="D1022" s="114" t="s">
        <v>257</v>
      </c>
      <c r="E1022" s="829"/>
      <c r="F1022" s="830" t="s">
        <v>1750</v>
      </c>
    </row>
    <row r="1023" spans="2:6" outlineLevel="1" x14ac:dyDescent="0.2">
      <c r="B1023" s="1140"/>
      <c r="C1023" s="828"/>
      <c r="D1023" s="114" t="s">
        <v>178</v>
      </c>
      <c r="E1023" s="829"/>
      <c r="F1023" s="830" t="s">
        <v>1751</v>
      </c>
    </row>
    <row r="1024" spans="2:6" outlineLevel="1" x14ac:dyDescent="0.2">
      <c r="B1024" s="1140"/>
      <c r="C1024" s="828"/>
      <c r="D1024" s="114" t="s">
        <v>258</v>
      </c>
      <c r="E1024" s="829"/>
      <c r="F1024" s="830">
        <v>762.37</v>
      </c>
    </row>
    <row r="1025" spans="2:6" outlineLevel="1" x14ac:dyDescent="0.2">
      <c r="B1025" s="1140"/>
      <c r="C1025" s="828"/>
      <c r="D1025" s="114" t="s">
        <v>259</v>
      </c>
      <c r="E1025" s="829"/>
      <c r="F1025" s="830">
        <v>762.37</v>
      </c>
    </row>
    <row r="1026" spans="2:6" ht="24" outlineLevel="1" x14ac:dyDescent="0.2">
      <c r="B1026" s="1140"/>
      <c r="C1026" s="828"/>
      <c r="D1026" s="114" t="s">
        <v>260</v>
      </c>
      <c r="E1026" s="829"/>
      <c r="F1026" s="830" t="s">
        <v>1752</v>
      </c>
    </row>
    <row r="1027" spans="2:6" outlineLevel="1" x14ac:dyDescent="0.2">
      <c r="B1027" s="1140"/>
      <c r="C1027" s="828"/>
      <c r="D1027" s="114" t="s">
        <v>261</v>
      </c>
      <c r="E1027" s="829"/>
      <c r="F1027" s="830">
        <v>762.37</v>
      </c>
    </row>
    <row r="1028" spans="2:6" outlineLevel="1" x14ac:dyDescent="0.2">
      <c r="B1028" s="1140"/>
      <c r="C1028" s="828"/>
      <c r="D1028" s="114" t="s">
        <v>262</v>
      </c>
      <c r="E1028" s="829"/>
      <c r="F1028" s="830">
        <v>381.18</v>
      </c>
    </row>
    <row r="1029" spans="2:6" outlineLevel="1" x14ac:dyDescent="0.2">
      <c r="B1029" s="1140"/>
      <c r="C1029" s="828"/>
      <c r="D1029" s="114" t="s">
        <v>263</v>
      </c>
      <c r="E1029" s="829"/>
      <c r="F1029" s="830" t="s">
        <v>1753</v>
      </c>
    </row>
    <row r="1030" spans="2:6" outlineLevel="1" x14ac:dyDescent="0.2">
      <c r="B1030" s="1140"/>
      <c r="C1030" s="828"/>
      <c r="D1030" s="114" t="s">
        <v>179</v>
      </c>
      <c r="E1030" s="829"/>
      <c r="F1030" s="830" t="s">
        <v>1754</v>
      </c>
    </row>
    <row r="1031" spans="2:6" outlineLevel="1" x14ac:dyDescent="0.2">
      <c r="B1031" s="1140"/>
      <c r="C1031" s="828"/>
      <c r="D1031" s="114" t="s">
        <v>180</v>
      </c>
      <c r="E1031" s="829"/>
      <c r="F1031" s="830" t="s">
        <v>1755</v>
      </c>
    </row>
    <row r="1032" spans="2:6" ht="24" outlineLevel="1" x14ac:dyDescent="0.2">
      <c r="B1032" s="1140"/>
      <c r="C1032" s="828"/>
      <c r="D1032" s="114" t="s">
        <v>169</v>
      </c>
      <c r="E1032" s="829"/>
      <c r="F1032" s="830" t="s">
        <v>1749</v>
      </c>
    </row>
    <row r="1033" spans="2:6" ht="24" outlineLevel="1" x14ac:dyDescent="0.2">
      <c r="B1033" s="1140"/>
      <c r="C1033" s="828"/>
      <c r="D1033" s="114" t="s">
        <v>151</v>
      </c>
      <c r="E1033" s="829"/>
      <c r="F1033" s="830">
        <v>381.18</v>
      </c>
    </row>
    <row r="1034" spans="2:6" outlineLevel="1" x14ac:dyDescent="0.2">
      <c r="B1034" s="1140"/>
      <c r="C1034" s="828"/>
      <c r="D1034" s="114" t="s">
        <v>264</v>
      </c>
      <c r="E1034" s="829"/>
      <c r="F1034" s="830" t="s">
        <v>1756</v>
      </c>
    </row>
    <row r="1035" spans="2:6" outlineLevel="1" x14ac:dyDescent="0.2">
      <c r="B1035" s="1141"/>
      <c r="C1035" s="828"/>
      <c r="D1035" s="114" t="s">
        <v>149</v>
      </c>
      <c r="E1035" s="829"/>
      <c r="F1035" s="830"/>
    </row>
    <row r="1036" spans="2:6" ht="21" customHeight="1" x14ac:dyDescent="0.2">
      <c r="B1036" s="1142" t="s">
        <v>1978</v>
      </c>
      <c r="C1036" s="1143"/>
      <c r="D1036" s="1143"/>
      <c r="E1036" s="1143"/>
      <c r="F1036" s="1143"/>
    </row>
    <row r="1037" spans="2:6" ht="27.95" customHeight="1" x14ac:dyDescent="0.2">
      <c r="B1037" s="831"/>
      <c r="C1037" s="1135" t="s">
        <v>1979</v>
      </c>
      <c r="D1037" s="1146"/>
      <c r="E1037" s="1146"/>
      <c r="F1037" s="1146"/>
    </row>
    <row r="1038" spans="2:6" ht="27.95" customHeight="1" x14ac:dyDescent="0.2">
      <c r="B1038" s="831"/>
      <c r="C1038" s="1135" t="s">
        <v>1980</v>
      </c>
      <c r="D1038" s="1146"/>
      <c r="E1038" s="1146"/>
      <c r="F1038" s="1146"/>
    </row>
    <row r="1039" spans="2:6" ht="27.95" customHeight="1" x14ac:dyDescent="0.2">
      <c r="B1039" s="831"/>
      <c r="C1039" s="1135" t="s">
        <v>1981</v>
      </c>
      <c r="D1039" s="1146"/>
      <c r="E1039" s="1146"/>
      <c r="F1039" s="1146"/>
    </row>
    <row r="1040" spans="2:6" ht="27.95" customHeight="1" x14ac:dyDescent="0.2">
      <c r="B1040" s="831"/>
      <c r="C1040" s="1135" t="s">
        <v>1982</v>
      </c>
      <c r="D1040" s="1146"/>
      <c r="E1040" s="1146"/>
      <c r="F1040" s="1146"/>
    </row>
    <row r="1041" spans="2:6" ht="51" x14ac:dyDescent="0.2">
      <c r="B1041" s="1139">
        <v>45</v>
      </c>
      <c r="C1041" s="825" t="s">
        <v>1983</v>
      </c>
      <c r="D1041" s="113" t="s">
        <v>1683</v>
      </c>
      <c r="E1041" s="826" t="s">
        <v>1984</v>
      </c>
      <c r="F1041" s="827" t="s">
        <v>1985</v>
      </c>
    </row>
    <row r="1042" spans="2:6" ht="48" outlineLevel="1" x14ac:dyDescent="0.2">
      <c r="B1042" s="1140"/>
      <c r="C1042" s="828"/>
      <c r="D1042" s="114" t="s">
        <v>346</v>
      </c>
      <c r="E1042" s="829"/>
      <c r="F1042" s="830" t="s">
        <v>2</v>
      </c>
    </row>
    <row r="1043" spans="2:6" ht="36" outlineLevel="1" x14ac:dyDescent="0.2">
      <c r="B1043" s="1140"/>
      <c r="C1043" s="828"/>
      <c r="D1043" s="114" t="s">
        <v>398</v>
      </c>
      <c r="E1043" s="829"/>
      <c r="F1043" s="830" t="s">
        <v>2</v>
      </c>
    </row>
    <row r="1044" spans="2:6" ht="36" outlineLevel="1" x14ac:dyDescent="0.2">
      <c r="B1044" s="1140"/>
      <c r="C1044" s="828"/>
      <c r="D1044" s="114" t="s">
        <v>392</v>
      </c>
      <c r="E1044" s="829"/>
      <c r="F1044" s="830" t="s">
        <v>2</v>
      </c>
    </row>
    <row r="1045" spans="2:6" outlineLevel="1" x14ac:dyDescent="0.2">
      <c r="B1045" s="1140"/>
      <c r="C1045" s="828"/>
      <c r="D1045" s="114" t="s">
        <v>147</v>
      </c>
      <c r="E1045" s="829"/>
      <c r="F1045" s="830" t="s">
        <v>2</v>
      </c>
    </row>
    <row r="1046" spans="2:6" ht="48" outlineLevel="1" x14ac:dyDescent="0.2">
      <c r="B1046" s="1140"/>
      <c r="C1046" s="828"/>
      <c r="D1046" s="114" t="s">
        <v>1319</v>
      </c>
      <c r="E1046" s="829"/>
      <c r="F1046" s="830" t="s">
        <v>2</v>
      </c>
    </row>
    <row r="1047" spans="2:6" outlineLevel="1" x14ac:dyDescent="0.2">
      <c r="B1047" s="1140"/>
      <c r="C1047" s="828"/>
      <c r="D1047" s="114" t="s">
        <v>148</v>
      </c>
      <c r="E1047" s="829"/>
      <c r="F1047" s="830" t="s">
        <v>1986</v>
      </c>
    </row>
    <row r="1048" spans="2:6" outlineLevel="1" x14ac:dyDescent="0.2">
      <c r="B1048" s="1140"/>
      <c r="C1048" s="828"/>
      <c r="D1048" s="114" t="s">
        <v>162</v>
      </c>
      <c r="E1048" s="829"/>
      <c r="F1048" s="830" t="s">
        <v>1986</v>
      </c>
    </row>
    <row r="1049" spans="2:6" ht="24" outlineLevel="1" x14ac:dyDescent="0.2">
      <c r="B1049" s="1140"/>
      <c r="C1049" s="828"/>
      <c r="D1049" s="114" t="s">
        <v>172</v>
      </c>
      <c r="E1049" s="829"/>
      <c r="F1049" s="830" t="s">
        <v>1987</v>
      </c>
    </row>
    <row r="1050" spans="2:6" outlineLevel="1" x14ac:dyDescent="0.2">
      <c r="B1050" s="1140"/>
      <c r="C1050" s="828"/>
      <c r="D1050" s="114" t="s">
        <v>152</v>
      </c>
      <c r="E1050" s="829"/>
      <c r="F1050" s="830" t="s">
        <v>1986</v>
      </c>
    </row>
    <row r="1051" spans="2:6" ht="24" outlineLevel="1" x14ac:dyDescent="0.2">
      <c r="B1051" s="1140"/>
      <c r="C1051" s="828"/>
      <c r="D1051" s="114" t="s">
        <v>163</v>
      </c>
      <c r="E1051" s="829"/>
      <c r="F1051" s="830" t="s">
        <v>1988</v>
      </c>
    </row>
    <row r="1052" spans="2:6" outlineLevel="1" x14ac:dyDescent="0.2">
      <c r="B1052" s="1140"/>
      <c r="C1052" s="828"/>
      <c r="D1052" s="114" t="s">
        <v>164</v>
      </c>
      <c r="E1052" s="829"/>
      <c r="F1052" s="830" t="s">
        <v>1989</v>
      </c>
    </row>
    <row r="1053" spans="2:6" ht="24" outlineLevel="1" x14ac:dyDescent="0.2">
      <c r="B1053" s="1140"/>
      <c r="C1053" s="828"/>
      <c r="D1053" s="114" t="s">
        <v>165</v>
      </c>
      <c r="E1053" s="829"/>
      <c r="F1053" s="830" t="s">
        <v>1990</v>
      </c>
    </row>
    <row r="1054" spans="2:6" outlineLevel="1" x14ac:dyDescent="0.2">
      <c r="B1054" s="1140"/>
      <c r="C1054" s="828"/>
      <c r="D1054" s="114" t="s">
        <v>224</v>
      </c>
      <c r="E1054" s="829"/>
      <c r="F1054" s="830" t="s">
        <v>1991</v>
      </c>
    </row>
    <row r="1055" spans="2:6" ht="48" outlineLevel="1" x14ac:dyDescent="0.2">
      <c r="B1055" s="1140"/>
      <c r="C1055" s="828"/>
      <c r="D1055" s="114" t="s">
        <v>173</v>
      </c>
      <c r="E1055" s="829"/>
      <c r="F1055" s="830" t="s">
        <v>1992</v>
      </c>
    </row>
    <row r="1056" spans="2:6" ht="48" outlineLevel="1" x14ac:dyDescent="0.2">
      <c r="B1056" s="1140"/>
      <c r="C1056" s="828"/>
      <c r="D1056" s="114" t="s">
        <v>174</v>
      </c>
      <c r="E1056" s="829"/>
      <c r="F1056" s="830" t="s">
        <v>1993</v>
      </c>
    </row>
    <row r="1057" spans="2:6" ht="48" outlineLevel="1" x14ac:dyDescent="0.2">
      <c r="B1057" s="1140"/>
      <c r="C1057" s="828"/>
      <c r="D1057" s="114" t="s">
        <v>175</v>
      </c>
      <c r="E1057" s="829"/>
      <c r="F1057" s="830" t="s">
        <v>1994</v>
      </c>
    </row>
    <row r="1058" spans="2:6" ht="48" outlineLevel="1" x14ac:dyDescent="0.2">
      <c r="B1058" s="1140"/>
      <c r="C1058" s="828"/>
      <c r="D1058" s="114" t="s">
        <v>171</v>
      </c>
      <c r="E1058" s="829"/>
      <c r="F1058" s="830" t="s">
        <v>1995</v>
      </c>
    </row>
    <row r="1059" spans="2:6" ht="48" outlineLevel="1" x14ac:dyDescent="0.2">
      <c r="B1059" s="1140"/>
      <c r="C1059" s="828"/>
      <c r="D1059" s="114" t="s">
        <v>225</v>
      </c>
      <c r="E1059" s="829"/>
      <c r="F1059" s="830" t="s">
        <v>1996</v>
      </c>
    </row>
    <row r="1060" spans="2:6" ht="48" outlineLevel="1" x14ac:dyDescent="0.2">
      <c r="B1060" s="1140"/>
      <c r="C1060" s="828"/>
      <c r="D1060" s="114" t="s">
        <v>226</v>
      </c>
      <c r="E1060" s="829"/>
      <c r="F1060" s="830" t="s">
        <v>1995</v>
      </c>
    </row>
    <row r="1061" spans="2:6" ht="48" outlineLevel="1" x14ac:dyDescent="0.2">
      <c r="B1061" s="1140"/>
      <c r="C1061" s="828"/>
      <c r="D1061" s="114" t="s">
        <v>227</v>
      </c>
      <c r="E1061" s="829"/>
      <c r="F1061" s="830" t="s">
        <v>1994</v>
      </c>
    </row>
    <row r="1062" spans="2:6" outlineLevel="1" x14ac:dyDescent="0.2">
      <c r="B1062" s="1141"/>
      <c r="C1062" s="828"/>
      <c r="D1062" s="114" t="s">
        <v>149</v>
      </c>
      <c r="E1062" s="829"/>
      <c r="F1062" s="830"/>
    </row>
    <row r="1063" spans="2:6" ht="21" customHeight="1" x14ac:dyDescent="0.2">
      <c r="B1063" s="1142" t="s">
        <v>399</v>
      </c>
      <c r="C1063" s="1143"/>
      <c r="D1063" s="1143"/>
      <c r="E1063" s="1143"/>
      <c r="F1063" s="1143"/>
    </row>
    <row r="1064" spans="2:6" ht="63.75" x14ac:dyDescent="0.2">
      <c r="B1064" s="1139">
        <v>46</v>
      </c>
      <c r="C1064" s="825" t="s">
        <v>400</v>
      </c>
      <c r="D1064" s="113" t="s">
        <v>176</v>
      </c>
      <c r="E1064" s="826" t="s">
        <v>1757</v>
      </c>
      <c r="F1064" s="827" t="s">
        <v>1758</v>
      </c>
    </row>
    <row r="1065" spans="2:6" ht="36" outlineLevel="1" x14ac:dyDescent="0.2">
      <c r="B1065" s="1140"/>
      <c r="C1065" s="828"/>
      <c r="D1065" s="114" t="s">
        <v>389</v>
      </c>
      <c r="E1065" s="829"/>
      <c r="F1065" s="830" t="s">
        <v>2</v>
      </c>
    </row>
    <row r="1066" spans="2:6" outlineLevel="1" x14ac:dyDescent="0.2">
      <c r="B1066" s="1140"/>
      <c r="C1066" s="828"/>
      <c r="D1066" s="114" t="s">
        <v>177</v>
      </c>
      <c r="E1066" s="829"/>
      <c r="F1066" s="830" t="s">
        <v>2</v>
      </c>
    </row>
    <row r="1067" spans="2:6" ht="48" outlineLevel="1" x14ac:dyDescent="0.2">
      <c r="B1067" s="1140"/>
      <c r="C1067" s="828"/>
      <c r="D1067" s="114" t="s">
        <v>380</v>
      </c>
      <c r="E1067" s="829"/>
      <c r="F1067" s="830" t="s">
        <v>2</v>
      </c>
    </row>
    <row r="1068" spans="2:6" ht="48" outlineLevel="1" x14ac:dyDescent="0.2">
      <c r="B1068" s="1140"/>
      <c r="C1068" s="828"/>
      <c r="D1068" s="114" t="s">
        <v>1319</v>
      </c>
      <c r="E1068" s="829"/>
      <c r="F1068" s="830" t="s">
        <v>2</v>
      </c>
    </row>
    <row r="1069" spans="2:6" outlineLevel="1" x14ac:dyDescent="0.2">
      <c r="B1069" s="1140"/>
      <c r="C1069" s="828"/>
      <c r="D1069" s="114" t="s">
        <v>148</v>
      </c>
      <c r="E1069" s="829"/>
      <c r="F1069" s="830" t="s">
        <v>1759</v>
      </c>
    </row>
    <row r="1070" spans="2:6" ht="24" outlineLevel="1" x14ac:dyDescent="0.2">
      <c r="B1070" s="1140"/>
      <c r="C1070" s="828"/>
      <c r="D1070" s="114" t="s">
        <v>153</v>
      </c>
      <c r="E1070" s="829"/>
      <c r="F1070" s="830" t="s">
        <v>1759</v>
      </c>
    </row>
    <row r="1071" spans="2:6" outlineLevel="1" x14ac:dyDescent="0.2">
      <c r="B1071" s="1140"/>
      <c r="C1071" s="828"/>
      <c r="D1071" s="114" t="s">
        <v>256</v>
      </c>
      <c r="E1071" s="829"/>
      <c r="F1071" s="830" t="s">
        <v>1760</v>
      </c>
    </row>
    <row r="1072" spans="2:6" ht="24" outlineLevel="1" x14ac:dyDescent="0.2">
      <c r="B1072" s="1140"/>
      <c r="C1072" s="828"/>
      <c r="D1072" s="114" t="s">
        <v>257</v>
      </c>
      <c r="E1072" s="829"/>
      <c r="F1072" s="830" t="s">
        <v>1761</v>
      </c>
    </row>
    <row r="1073" spans="2:6" outlineLevel="1" x14ac:dyDescent="0.2">
      <c r="B1073" s="1140"/>
      <c r="C1073" s="828"/>
      <c r="D1073" s="114" t="s">
        <v>178</v>
      </c>
      <c r="E1073" s="829"/>
      <c r="F1073" s="830" t="s">
        <v>1762</v>
      </c>
    </row>
    <row r="1074" spans="2:6" outlineLevel="1" x14ac:dyDescent="0.2">
      <c r="B1074" s="1140"/>
      <c r="C1074" s="828"/>
      <c r="D1074" s="114" t="s">
        <v>258</v>
      </c>
      <c r="E1074" s="829"/>
      <c r="F1074" s="830" t="s">
        <v>1759</v>
      </c>
    </row>
    <row r="1075" spans="2:6" outlineLevel="1" x14ac:dyDescent="0.2">
      <c r="B1075" s="1140"/>
      <c r="C1075" s="828"/>
      <c r="D1075" s="114" t="s">
        <v>259</v>
      </c>
      <c r="E1075" s="829"/>
      <c r="F1075" s="830" t="s">
        <v>1759</v>
      </c>
    </row>
    <row r="1076" spans="2:6" ht="24" outlineLevel="1" x14ac:dyDescent="0.2">
      <c r="B1076" s="1140"/>
      <c r="C1076" s="828"/>
      <c r="D1076" s="114" t="s">
        <v>260</v>
      </c>
      <c r="E1076" s="829"/>
      <c r="F1076" s="830" t="s">
        <v>1763</v>
      </c>
    </row>
    <row r="1077" spans="2:6" outlineLevel="1" x14ac:dyDescent="0.2">
      <c r="B1077" s="1140"/>
      <c r="C1077" s="828"/>
      <c r="D1077" s="114" t="s">
        <v>261</v>
      </c>
      <c r="E1077" s="829"/>
      <c r="F1077" s="830" t="s">
        <v>1759</v>
      </c>
    </row>
    <row r="1078" spans="2:6" outlineLevel="1" x14ac:dyDescent="0.2">
      <c r="B1078" s="1140"/>
      <c r="C1078" s="828"/>
      <c r="D1078" s="114" t="s">
        <v>262</v>
      </c>
      <c r="E1078" s="829"/>
      <c r="F1078" s="830" t="s">
        <v>1764</v>
      </c>
    </row>
    <row r="1079" spans="2:6" outlineLevel="1" x14ac:dyDescent="0.2">
      <c r="B1079" s="1140"/>
      <c r="C1079" s="828"/>
      <c r="D1079" s="114" t="s">
        <v>263</v>
      </c>
      <c r="E1079" s="829"/>
      <c r="F1079" s="830" t="s">
        <v>1765</v>
      </c>
    </row>
    <row r="1080" spans="2:6" outlineLevel="1" x14ac:dyDescent="0.2">
      <c r="B1080" s="1140"/>
      <c r="C1080" s="828"/>
      <c r="D1080" s="114" t="s">
        <v>179</v>
      </c>
      <c r="E1080" s="829"/>
      <c r="F1080" s="830" t="s">
        <v>1766</v>
      </c>
    </row>
    <row r="1081" spans="2:6" outlineLevel="1" x14ac:dyDescent="0.2">
      <c r="B1081" s="1140"/>
      <c r="C1081" s="828"/>
      <c r="D1081" s="114" t="s">
        <v>180</v>
      </c>
      <c r="E1081" s="829"/>
      <c r="F1081" s="830" t="s">
        <v>1767</v>
      </c>
    </row>
    <row r="1082" spans="2:6" ht="24" outlineLevel="1" x14ac:dyDescent="0.2">
      <c r="B1082" s="1140"/>
      <c r="C1082" s="828"/>
      <c r="D1082" s="114" t="s">
        <v>169</v>
      </c>
      <c r="E1082" s="829"/>
      <c r="F1082" s="830" t="s">
        <v>1760</v>
      </c>
    </row>
    <row r="1083" spans="2:6" ht="24" outlineLevel="1" x14ac:dyDescent="0.2">
      <c r="B1083" s="1140"/>
      <c r="C1083" s="828"/>
      <c r="D1083" s="114" t="s">
        <v>151</v>
      </c>
      <c r="E1083" s="829"/>
      <c r="F1083" s="830" t="s">
        <v>1764</v>
      </c>
    </row>
    <row r="1084" spans="2:6" outlineLevel="1" x14ac:dyDescent="0.2">
      <c r="B1084" s="1140"/>
      <c r="C1084" s="828"/>
      <c r="D1084" s="114" t="s">
        <v>264</v>
      </c>
      <c r="E1084" s="829"/>
      <c r="F1084" s="830" t="s">
        <v>1768</v>
      </c>
    </row>
    <row r="1085" spans="2:6" outlineLevel="1" x14ac:dyDescent="0.2">
      <c r="B1085" s="1141"/>
      <c r="C1085" s="828"/>
      <c r="D1085" s="114" t="s">
        <v>149</v>
      </c>
      <c r="E1085" s="829"/>
      <c r="F1085" s="830"/>
    </row>
    <row r="1086" spans="2:6" ht="15" x14ac:dyDescent="0.2">
      <c r="B1086" s="831"/>
      <c r="C1086" s="1133" t="s">
        <v>267</v>
      </c>
      <c r="D1086" s="1134"/>
      <c r="E1086" s="1134"/>
      <c r="F1086" s="832"/>
    </row>
    <row r="1087" spans="2:6" ht="15" x14ac:dyDescent="0.2">
      <c r="B1087" s="831"/>
      <c r="C1087" s="1135" t="s">
        <v>1769</v>
      </c>
      <c r="D1087" s="1136"/>
      <c r="E1087" s="1136"/>
      <c r="F1087" s="827" t="s">
        <v>1997</v>
      </c>
    </row>
    <row r="1088" spans="2:6" ht="15" x14ac:dyDescent="0.2">
      <c r="B1088" s="831"/>
      <c r="C1088" s="1133" t="s">
        <v>268</v>
      </c>
      <c r="D1088" s="1134"/>
      <c r="E1088" s="1134"/>
      <c r="F1088" s="832" t="s">
        <v>1997</v>
      </c>
    </row>
    <row r="1089" spans="2:6" ht="21" customHeight="1" x14ac:dyDescent="0.2">
      <c r="B1089" s="1144" t="s">
        <v>1770</v>
      </c>
      <c r="C1089" s="1145"/>
      <c r="D1089" s="1145"/>
      <c r="E1089" s="1145"/>
      <c r="F1089" s="1145"/>
    </row>
    <row r="1090" spans="2:6" ht="21" customHeight="1" x14ac:dyDescent="0.2">
      <c r="B1090" s="1142" t="s">
        <v>1771</v>
      </c>
      <c r="C1090" s="1143"/>
      <c r="D1090" s="1143"/>
      <c r="E1090" s="1143"/>
      <c r="F1090" s="1143"/>
    </row>
    <row r="1091" spans="2:6" ht="76.5" x14ac:dyDescent="0.2">
      <c r="B1091" s="1139">
        <v>47</v>
      </c>
      <c r="C1091" s="825" t="s">
        <v>401</v>
      </c>
      <c r="D1091" s="113" t="s">
        <v>402</v>
      </c>
      <c r="E1091" s="826" t="s">
        <v>1772</v>
      </c>
      <c r="F1091" s="827" t="s">
        <v>1773</v>
      </c>
    </row>
    <row r="1092" spans="2:6" ht="84" outlineLevel="1" x14ac:dyDescent="0.2">
      <c r="B1092" s="1140"/>
      <c r="C1092" s="828"/>
      <c r="D1092" s="114" t="s">
        <v>269</v>
      </c>
      <c r="E1092" s="829"/>
      <c r="F1092" s="830" t="s">
        <v>2</v>
      </c>
    </row>
    <row r="1093" spans="2:6" ht="36" outlineLevel="1" x14ac:dyDescent="0.2">
      <c r="B1093" s="1140"/>
      <c r="C1093" s="828"/>
      <c r="D1093" s="114" t="s">
        <v>403</v>
      </c>
      <c r="E1093" s="829"/>
      <c r="F1093" s="830" t="s">
        <v>2</v>
      </c>
    </row>
    <row r="1094" spans="2:6" outlineLevel="1" x14ac:dyDescent="0.2">
      <c r="B1094" s="1140"/>
      <c r="C1094" s="828"/>
      <c r="D1094" s="114" t="s">
        <v>270</v>
      </c>
      <c r="E1094" s="829"/>
      <c r="F1094" s="830" t="s">
        <v>2</v>
      </c>
    </row>
    <row r="1095" spans="2:6" ht="36" outlineLevel="1" x14ac:dyDescent="0.2">
      <c r="B1095" s="1140"/>
      <c r="C1095" s="828"/>
      <c r="D1095" s="114" t="s">
        <v>404</v>
      </c>
      <c r="E1095" s="829"/>
      <c r="F1095" s="830" t="s">
        <v>2</v>
      </c>
    </row>
    <row r="1096" spans="2:6" ht="48" outlineLevel="1" x14ac:dyDescent="0.2">
      <c r="B1096" s="1140"/>
      <c r="C1096" s="828"/>
      <c r="D1096" s="114" t="s">
        <v>1319</v>
      </c>
      <c r="E1096" s="829"/>
      <c r="F1096" s="830" t="s">
        <v>2</v>
      </c>
    </row>
    <row r="1097" spans="2:6" outlineLevel="1" x14ac:dyDescent="0.2">
      <c r="B1097" s="1140"/>
      <c r="C1097" s="828"/>
      <c r="D1097" s="114" t="s">
        <v>148</v>
      </c>
      <c r="E1097" s="829"/>
      <c r="F1097" s="830" t="s">
        <v>1774</v>
      </c>
    </row>
    <row r="1098" spans="2:6" ht="24" outlineLevel="1" x14ac:dyDescent="0.2">
      <c r="B1098" s="1140"/>
      <c r="C1098" s="828"/>
      <c r="D1098" s="114" t="s">
        <v>271</v>
      </c>
      <c r="E1098" s="829"/>
      <c r="F1098" s="830" t="s">
        <v>1775</v>
      </c>
    </row>
    <row r="1099" spans="2:6" outlineLevel="1" x14ac:dyDescent="0.2">
      <c r="B1099" s="1140"/>
      <c r="C1099" s="828"/>
      <c r="D1099" s="114" t="s">
        <v>272</v>
      </c>
      <c r="E1099" s="829"/>
      <c r="F1099" s="830" t="s">
        <v>1776</v>
      </c>
    </row>
    <row r="1100" spans="2:6" ht="24" outlineLevel="1" x14ac:dyDescent="0.2">
      <c r="B1100" s="1140"/>
      <c r="C1100" s="828"/>
      <c r="D1100" s="114" t="s">
        <v>273</v>
      </c>
      <c r="E1100" s="829"/>
      <c r="F1100" s="830" t="s">
        <v>1776</v>
      </c>
    </row>
    <row r="1101" spans="2:6" ht="36" outlineLevel="1" x14ac:dyDescent="0.2">
      <c r="B1101" s="1140"/>
      <c r="C1101" s="828"/>
      <c r="D1101" s="114" t="s">
        <v>274</v>
      </c>
      <c r="E1101" s="829"/>
      <c r="F1101" s="830" t="s">
        <v>1777</v>
      </c>
    </row>
    <row r="1102" spans="2:6" ht="48" outlineLevel="1" x14ac:dyDescent="0.2">
      <c r="B1102" s="1140"/>
      <c r="C1102" s="828"/>
      <c r="D1102" s="114" t="s">
        <v>275</v>
      </c>
      <c r="E1102" s="829"/>
      <c r="F1102" s="830" t="s">
        <v>1778</v>
      </c>
    </row>
    <row r="1103" spans="2:6" outlineLevel="1" x14ac:dyDescent="0.2">
      <c r="B1103" s="1140"/>
      <c r="C1103" s="828"/>
      <c r="D1103" s="114" t="s">
        <v>276</v>
      </c>
      <c r="E1103" s="829"/>
      <c r="F1103" s="830" t="s">
        <v>1775</v>
      </c>
    </row>
    <row r="1104" spans="2:6" outlineLevel="1" x14ac:dyDescent="0.2">
      <c r="B1104" s="1140"/>
      <c r="C1104" s="828"/>
      <c r="D1104" s="114" t="s">
        <v>277</v>
      </c>
      <c r="E1104" s="829"/>
      <c r="F1104" s="830" t="s">
        <v>1779</v>
      </c>
    </row>
    <row r="1105" spans="2:6" ht="24" outlineLevel="1" x14ac:dyDescent="0.2">
      <c r="B1105" s="1140"/>
      <c r="C1105" s="828"/>
      <c r="D1105" s="114" t="s">
        <v>278</v>
      </c>
      <c r="E1105" s="829"/>
      <c r="F1105" s="830" t="s">
        <v>1774</v>
      </c>
    </row>
    <row r="1106" spans="2:6" outlineLevel="1" x14ac:dyDescent="0.2">
      <c r="B1106" s="1140"/>
      <c r="C1106" s="828"/>
      <c r="D1106" s="114" t="s">
        <v>224</v>
      </c>
      <c r="E1106" s="829"/>
      <c r="F1106" s="830" t="s">
        <v>1780</v>
      </c>
    </row>
    <row r="1107" spans="2:6" outlineLevel="1" x14ac:dyDescent="0.2">
      <c r="B1107" s="1141"/>
      <c r="C1107" s="828"/>
      <c r="D1107" s="114" t="s">
        <v>149</v>
      </c>
      <c r="E1107" s="829"/>
      <c r="F1107" s="830"/>
    </row>
    <row r="1108" spans="2:6" ht="27.95" customHeight="1" x14ac:dyDescent="0.2">
      <c r="B1108" s="1142" t="s">
        <v>1781</v>
      </c>
      <c r="C1108" s="1143"/>
      <c r="D1108" s="1143"/>
      <c r="E1108" s="1143"/>
      <c r="F1108" s="1143"/>
    </row>
    <row r="1109" spans="2:6" ht="38.25" x14ac:dyDescent="0.2">
      <c r="B1109" s="1139">
        <v>48</v>
      </c>
      <c r="C1109" s="825" t="s">
        <v>358</v>
      </c>
      <c r="D1109" s="113" t="s">
        <v>285</v>
      </c>
      <c r="E1109" s="826" t="s">
        <v>1782</v>
      </c>
      <c r="F1109" s="827" t="s">
        <v>1783</v>
      </c>
    </row>
    <row r="1110" spans="2:6" ht="24" outlineLevel="1" x14ac:dyDescent="0.2">
      <c r="B1110" s="1140"/>
      <c r="C1110" s="828"/>
      <c r="D1110" s="114" t="s">
        <v>286</v>
      </c>
      <c r="E1110" s="829"/>
      <c r="F1110" s="830" t="s">
        <v>2</v>
      </c>
    </row>
    <row r="1111" spans="2:6" ht="36" outlineLevel="1" x14ac:dyDescent="0.2">
      <c r="B1111" s="1140"/>
      <c r="C1111" s="828"/>
      <c r="D1111" s="114" t="s">
        <v>353</v>
      </c>
      <c r="E1111" s="829"/>
      <c r="F1111" s="830" t="s">
        <v>2</v>
      </c>
    </row>
    <row r="1112" spans="2:6" outlineLevel="1" x14ac:dyDescent="0.2">
      <c r="B1112" s="1140"/>
      <c r="C1112" s="828"/>
      <c r="D1112" s="114" t="s">
        <v>307</v>
      </c>
      <c r="E1112" s="829"/>
      <c r="F1112" s="830" t="s">
        <v>2</v>
      </c>
    </row>
    <row r="1113" spans="2:6" ht="36" outlineLevel="1" x14ac:dyDescent="0.2">
      <c r="B1113" s="1140"/>
      <c r="C1113" s="828"/>
      <c r="D1113" s="114" t="s">
        <v>354</v>
      </c>
      <c r="E1113" s="829"/>
      <c r="F1113" s="830" t="s">
        <v>2</v>
      </c>
    </row>
    <row r="1114" spans="2:6" ht="48" outlineLevel="1" x14ac:dyDescent="0.2">
      <c r="B1114" s="1140"/>
      <c r="C1114" s="828"/>
      <c r="D1114" s="114" t="s">
        <v>1319</v>
      </c>
      <c r="E1114" s="829"/>
      <c r="F1114" s="830" t="s">
        <v>2</v>
      </c>
    </row>
    <row r="1115" spans="2:6" outlineLevel="1" x14ac:dyDescent="0.2">
      <c r="B1115" s="1140"/>
      <c r="C1115" s="828"/>
      <c r="D1115" s="114" t="s">
        <v>306</v>
      </c>
      <c r="E1115" s="829"/>
      <c r="F1115" s="830" t="s">
        <v>1784</v>
      </c>
    </row>
    <row r="1116" spans="2:6" outlineLevel="1" x14ac:dyDescent="0.2">
      <c r="B1116" s="1140"/>
      <c r="C1116" s="828"/>
      <c r="D1116" s="114" t="s">
        <v>305</v>
      </c>
      <c r="E1116" s="829"/>
      <c r="F1116" s="830" t="s">
        <v>1785</v>
      </c>
    </row>
    <row r="1117" spans="2:6" outlineLevel="1" x14ac:dyDescent="0.2">
      <c r="B1117" s="1140"/>
      <c r="C1117" s="828"/>
      <c r="D1117" s="114" t="s">
        <v>304</v>
      </c>
      <c r="E1117" s="829"/>
      <c r="F1117" s="830" t="s">
        <v>1786</v>
      </c>
    </row>
    <row r="1118" spans="2:6" outlineLevel="1" x14ac:dyDescent="0.2">
      <c r="B1118" s="1141"/>
      <c r="C1118" s="828"/>
      <c r="D1118" s="114" t="s">
        <v>149</v>
      </c>
      <c r="E1118" s="829"/>
      <c r="F1118" s="830"/>
    </row>
    <row r="1119" spans="2:6" ht="27.95" customHeight="1" x14ac:dyDescent="0.2">
      <c r="B1119" s="1142" t="s">
        <v>1117</v>
      </c>
      <c r="C1119" s="1143"/>
      <c r="D1119" s="1143"/>
      <c r="E1119" s="1143"/>
      <c r="F1119" s="1143"/>
    </row>
    <row r="1120" spans="2:6" ht="38.25" x14ac:dyDescent="0.2">
      <c r="B1120" s="1139">
        <v>49</v>
      </c>
      <c r="C1120" s="825" t="s">
        <v>284</v>
      </c>
      <c r="D1120" s="113" t="s">
        <v>285</v>
      </c>
      <c r="E1120" s="826" t="s">
        <v>1787</v>
      </c>
      <c r="F1120" s="827" t="s">
        <v>1788</v>
      </c>
    </row>
    <row r="1121" spans="2:6" ht="24" outlineLevel="1" x14ac:dyDescent="0.2">
      <c r="B1121" s="1140"/>
      <c r="C1121" s="828"/>
      <c r="D1121" s="114" t="s">
        <v>286</v>
      </c>
      <c r="E1121" s="829"/>
      <c r="F1121" s="830" t="s">
        <v>2</v>
      </c>
    </row>
    <row r="1122" spans="2:6" ht="36" outlineLevel="1" x14ac:dyDescent="0.2">
      <c r="B1122" s="1140"/>
      <c r="C1122" s="828"/>
      <c r="D1122" s="114" t="s">
        <v>353</v>
      </c>
      <c r="E1122" s="829"/>
      <c r="F1122" s="830" t="s">
        <v>2</v>
      </c>
    </row>
    <row r="1123" spans="2:6" outlineLevel="1" x14ac:dyDescent="0.2">
      <c r="B1123" s="1140"/>
      <c r="C1123" s="828"/>
      <c r="D1123" s="114" t="s">
        <v>307</v>
      </c>
      <c r="E1123" s="829"/>
      <c r="F1123" s="830" t="s">
        <v>2</v>
      </c>
    </row>
    <row r="1124" spans="2:6" ht="36" outlineLevel="1" x14ac:dyDescent="0.2">
      <c r="B1124" s="1140"/>
      <c r="C1124" s="828"/>
      <c r="D1124" s="114" t="s">
        <v>354</v>
      </c>
      <c r="E1124" s="829"/>
      <c r="F1124" s="830" t="s">
        <v>2</v>
      </c>
    </row>
    <row r="1125" spans="2:6" ht="48" outlineLevel="1" x14ac:dyDescent="0.2">
      <c r="B1125" s="1140"/>
      <c r="C1125" s="828"/>
      <c r="D1125" s="114" t="s">
        <v>1319</v>
      </c>
      <c r="E1125" s="829"/>
      <c r="F1125" s="830" t="s">
        <v>2</v>
      </c>
    </row>
    <row r="1126" spans="2:6" outlineLevel="1" x14ac:dyDescent="0.2">
      <c r="B1126" s="1140"/>
      <c r="C1126" s="828"/>
      <c r="D1126" s="114" t="s">
        <v>306</v>
      </c>
      <c r="E1126" s="829"/>
      <c r="F1126" s="830" t="s">
        <v>1789</v>
      </c>
    </row>
    <row r="1127" spans="2:6" outlineLevel="1" x14ac:dyDescent="0.2">
      <c r="B1127" s="1140"/>
      <c r="C1127" s="828"/>
      <c r="D1127" s="114" t="s">
        <v>305</v>
      </c>
      <c r="E1127" s="829"/>
      <c r="F1127" s="830" t="s">
        <v>1790</v>
      </c>
    </row>
    <row r="1128" spans="2:6" outlineLevel="1" x14ac:dyDescent="0.2">
      <c r="B1128" s="1140"/>
      <c r="C1128" s="828"/>
      <c r="D1128" s="114" t="s">
        <v>304</v>
      </c>
      <c r="E1128" s="829"/>
      <c r="F1128" s="830" t="s">
        <v>1791</v>
      </c>
    </row>
    <row r="1129" spans="2:6" outlineLevel="1" x14ac:dyDescent="0.2">
      <c r="B1129" s="1141"/>
      <c r="C1129" s="828"/>
      <c r="D1129" s="114" t="s">
        <v>149</v>
      </c>
      <c r="E1129" s="829"/>
      <c r="F1129" s="830"/>
    </row>
    <row r="1130" spans="2:6" ht="15" x14ac:dyDescent="0.2">
      <c r="B1130" s="831"/>
      <c r="C1130" s="1133" t="s">
        <v>1792</v>
      </c>
      <c r="D1130" s="1134"/>
      <c r="E1130" s="1134"/>
      <c r="F1130" s="832"/>
    </row>
    <row r="1131" spans="2:6" ht="15" x14ac:dyDescent="0.2">
      <c r="B1131" s="831"/>
      <c r="C1131" s="1135" t="s">
        <v>1793</v>
      </c>
      <c r="D1131" s="1136"/>
      <c r="E1131" s="1136"/>
      <c r="F1131" s="827" t="s">
        <v>1794</v>
      </c>
    </row>
    <row r="1132" spans="2:6" ht="15" x14ac:dyDescent="0.2">
      <c r="B1132" s="831"/>
      <c r="C1132" s="1133" t="s">
        <v>1795</v>
      </c>
      <c r="D1132" s="1134"/>
      <c r="E1132" s="1134"/>
      <c r="F1132" s="832" t="s">
        <v>1794</v>
      </c>
    </row>
    <row r="1133" spans="2:6" ht="30" customHeight="1" x14ac:dyDescent="0.2">
      <c r="B1133" s="1144" t="s">
        <v>405</v>
      </c>
      <c r="C1133" s="1145"/>
      <c r="D1133" s="1145"/>
      <c r="E1133" s="1145"/>
      <c r="F1133" s="1145"/>
    </row>
    <row r="1134" spans="2:6" ht="21" customHeight="1" x14ac:dyDescent="0.2">
      <c r="B1134" s="1142" t="s">
        <v>406</v>
      </c>
      <c r="C1134" s="1143"/>
      <c r="D1134" s="1143"/>
      <c r="E1134" s="1143"/>
      <c r="F1134" s="1143"/>
    </row>
    <row r="1135" spans="2:6" ht="38.25" x14ac:dyDescent="0.2">
      <c r="B1135" s="1139">
        <v>50</v>
      </c>
      <c r="C1135" s="825" t="s">
        <v>407</v>
      </c>
      <c r="D1135" s="113" t="s">
        <v>229</v>
      </c>
      <c r="E1135" s="826" t="s">
        <v>1796</v>
      </c>
      <c r="F1135" s="827" t="s">
        <v>1797</v>
      </c>
    </row>
    <row r="1136" spans="2:6" ht="60" outlineLevel="1" x14ac:dyDescent="0.2">
      <c r="B1136" s="1140"/>
      <c r="C1136" s="828"/>
      <c r="D1136" s="114" t="s">
        <v>408</v>
      </c>
      <c r="E1136" s="829"/>
      <c r="F1136" s="830"/>
    </row>
    <row r="1137" spans="2:6" ht="48" outlineLevel="1" x14ac:dyDescent="0.2">
      <c r="B1137" s="1140"/>
      <c r="C1137" s="828"/>
      <c r="D1137" s="114" t="s">
        <v>1319</v>
      </c>
      <c r="E1137" s="829"/>
      <c r="F1137" s="830" t="s">
        <v>2</v>
      </c>
    </row>
    <row r="1138" spans="2:6" outlineLevel="1" x14ac:dyDescent="0.2">
      <c r="B1138" s="1140"/>
      <c r="C1138" s="828"/>
      <c r="D1138" s="114" t="s">
        <v>148</v>
      </c>
      <c r="E1138" s="829"/>
      <c r="F1138" s="830" t="s">
        <v>2</v>
      </c>
    </row>
    <row r="1139" spans="2:6" outlineLevel="1" x14ac:dyDescent="0.2">
      <c r="B1139" s="1140"/>
      <c r="C1139" s="828"/>
      <c r="D1139" s="114" t="s">
        <v>162</v>
      </c>
      <c r="E1139" s="829"/>
      <c r="F1139" s="830" t="s">
        <v>1798</v>
      </c>
    </row>
    <row r="1140" spans="2:6" ht="24" outlineLevel="1" x14ac:dyDescent="0.2">
      <c r="B1140" s="1140"/>
      <c r="C1140" s="828"/>
      <c r="D1140" s="114" t="s">
        <v>172</v>
      </c>
      <c r="E1140" s="829"/>
      <c r="F1140" s="830" t="s">
        <v>1798</v>
      </c>
    </row>
    <row r="1141" spans="2:6" outlineLevel="1" x14ac:dyDescent="0.2">
      <c r="B1141" s="1140"/>
      <c r="C1141" s="828"/>
      <c r="D1141" s="114" t="s">
        <v>152</v>
      </c>
      <c r="E1141" s="829"/>
      <c r="F1141" s="830" t="s">
        <v>1799</v>
      </c>
    </row>
    <row r="1142" spans="2:6" ht="24" outlineLevel="1" x14ac:dyDescent="0.2">
      <c r="B1142" s="1140"/>
      <c r="C1142" s="828"/>
      <c r="D1142" s="114" t="s">
        <v>163</v>
      </c>
      <c r="E1142" s="829"/>
      <c r="F1142" s="830" t="s">
        <v>1798</v>
      </c>
    </row>
    <row r="1143" spans="2:6" outlineLevel="1" x14ac:dyDescent="0.2">
      <c r="B1143" s="1140"/>
      <c r="C1143" s="828"/>
      <c r="D1143" s="114" t="s">
        <v>164</v>
      </c>
      <c r="E1143" s="829"/>
      <c r="F1143" s="830" t="s">
        <v>1800</v>
      </c>
    </row>
    <row r="1144" spans="2:6" ht="24" outlineLevel="1" x14ac:dyDescent="0.2">
      <c r="B1144" s="1140"/>
      <c r="C1144" s="828"/>
      <c r="D1144" s="114" t="s">
        <v>165</v>
      </c>
      <c r="E1144" s="829"/>
      <c r="F1144" s="830" t="s">
        <v>1801</v>
      </c>
    </row>
    <row r="1145" spans="2:6" outlineLevel="1" x14ac:dyDescent="0.2">
      <c r="B1145" s="1140"/>
      <c r="C1145" s="828"/>
      <c r="D1145" s="114" t="s">
        <v>224</v>
      </c>
      <c r="E1145" s="829"/>
      <c r="F1145" s="830" t="s">
        <v>1802</v>
      </c>
    </row>
    <row r="1146" spans="2:6" ht="48" outlineLevel="1" x14ac:dyDescent="0.2">
      <c r="B1146" s="1140"/>
      <c r="C1146" s="828"/>
      <c r="D1146" s="114" t="s">
        <v>173</v>
      </c>
      <c r="E1146" s="829"/>
      <c r="F1146" s="830" t="s">
        <v>1803</v>
      </c>
    </row>
    <row r="1147" spans="2:6" ht="48" outlineLevel="1" x14ac:dyDescent="0.2">
      <c r="B1147" s="1140"/>
      <c r="C1147" s="828"/>
      <c r="D1147" s="114" t="s">
        <v>174</v>
      </c>
      <c r="E1147" s="829"/>
      <c r="F1147" s="830" t="s">
        <v>1804</v>
      </c>
    </row>
    <row r="1148" spans="2:6" ht="48" outlineLevel="1" x14ac:dyDescent="0.2">
      <c r="B1148" s="1140"/>
      <c r="C1148" s="828"/>
      <c r="D1148" s="114" t="s">
        <v>175</v>
      </c>
      <c r="E1148" s="829"/>
      <c r="F1148" s="830" t="s">
        <v>1805</v>
      </c>
    </row>
    <row r="1149" spans="2:6" ht="48" outlineLevel="1" x14ac:dyDescent="0.2">
      <c r="B1149" s="1140"/>
      <c r="C1149" s="828"/>
      <c r="D1149" s="114" t="s">
        <v>171</v>
      </c>
      <c r="E1149" s="829"/>
      <c r="F1149" s="830" t="s">
        <v>1806</v>
      </c>
    </row>
    <row r="1150" spans="2:6" ht="48" outlineLevel="1" x14ac:dyDescent="0.2">
      <c r="B1150" s="1140"/>
      <c r="C1150" s="828"/>
      <c r="D1150" s="114" t="s">
        <v>225</v>
      </c>
      <c r="E1150" s="829"/>
      <c r="F1150" s="830" t="s">
        <v>1807</v>
      </c>
    </row>
    <row r="1151" spans="2:6" ht="48" outlineLevel="1" x14ac:dyDescent="0.2">
      <c r="B1151" s="1140"/>
      <c r="C1151" s="828"/>
      <c r="D1151" s="114" t="s">
        <v>226</v>
      </c>
      <c r="E1151" s="829"/>
      <c r="F1151" s="830" t="s">
        <v>1808</v>
      </c>
    </row>
    <row r="1152" spans="2:6" ht="48" outlineLevel="1" x14ac:dyDescent="0.2">
      <c r="B1152" s="1140"/>
      <c r="C1152" s="828"/>
      <c r="D1152" s="114" t="s">
        <v>227</v>
      </c>
      <c r="E1152" s="829"/>
      <c r="F1152" s="830" t="s">
        <v>1807</v>
      </c>
    </row>
    <row r="1153" spans="2:6" outlineLevel="1" x14ac:dyDescent="0.2">
      <c r="B1153" s="1141"/>
      <c r="C1153" s="828"/>
      <c r="D1153" s="114" t="s">
        <v>149</v>
      </c>
      <c r="E1153" s="829"/>
      <c r="F1153" s="830" t="s">
        <v>1806</v>
      </c>
    </row>
    <row r="1154" spans="2:6" ht="21" customHeight="1" x14ac:dyDescent="0.2">
      <c r="B1154" s="1142" t="s">
        <v>409</v>
      </c>
      <c r="C1154" s="1143"/>
      <c r="D1154" s="1143"/>
      <c r="E1154" s="1143"/>
      <c r="F1154" s="1143"/>
    </row>
    <row r="1155" spans="2:6" ht="38.25" x14ac:dyDescent="0.2">
      <c r="B1155" s="1139">
        <v>51</v>
      </c>
      <c r="C1155" s="825" t="s">
        <v>410</v>
      </c>
      <c r="D1155" s="113" t="s">
        <v>166</v>
      </c>
      <c r="E1155" s="826" t="s">
        <v>1809</v>
      </c>
      <c r="F1155" s="827" t="s">
        <v>1810</v>
      </c>
    </row>
    <row r="1156" spans="2:6" ht="36" outlineLevel="1" x14ac:dyDescent="0.2">
      <c r="B1156" s="1140"/>
      <c r="C1156" s="828"/>
      <c r="D1156" s="114" t="s">
        <v>230</v>
      </c>
      <c r="E1156" s="829"/>
      <c r="F1156" s="830"/>
    </row>
    <row r="1157" spans="2:6" ht="60" outlineLevel="1" x14ac:dyDescent="0.2">
      <c r="B1157" s="1140"/>
      <c r="C1157" s="828"/>
      <c r="D1157" s="114" t="s">
        <v>411</v>
      </c>
      <c r="E1157" s="829"/>
      <c r="F1157" s="830" t="s">
        <v>2</v>
      </c>
    </row>
    <row r="1158" spans="2:6" ht="48" outlineLevel="1" x14ac:dyDescent="0.2">
      <c r="B1158" s="1140"/>
      <c r="C1158" s="828"/>
      <c r="D1158" s="114" t="s">
        <v>1319</v>
      </c>
      <c r="E1158" s="829"/>
      <c r="F1158" s="830" t="s">
        <v>2</v>
      </c>
    </row>
    <row r="1159" spans="2:6" ht="24" outlineLevel="1" x14ac:dyDescent="0.2">
      <c r="B1159" s="1140"/>
      <c r="C1159" s="828"/>
      <c r="D1159" s="114" t="s">
        <v>231</v>
      </c>
      <c r="E1159" s="829"/>
      <c r="F1159" s="830" t="s">
        <v>2</v>
      </c>
    </row>
    <row r="1160" spans="2:6" outlineLevel="1" x14ac:dyDescent="0.2">
      <c r="B1160" s="1140"/>
      <c r="C1160" s="828"/>
      <c r="D1160" s="114" t="s">
        <v>232</v>
      </c>
      <c r="E1160" s="829"/>
      <c r="F1160" s="830" t="s">
        <v>2</v>
      </c>
    </row>
    <row r="1161" spans="2:6" ht="24" outlineLevel="1" x14ac:dyDescent="0.2">
      <c r="B1161" s="1140"/>
      <c r="C1161" s="828"/>
      <c r="D1161" s="114" t="s">
        <v>233</v>
      </c>
      <c r="E1161" s="829"/>
      <c r="F1161" s="830" t="s">
        <v>2</v>
      </c>
    </row>
    <row r="1162" spans="2:6" ht="48" outlineLevel="1" x14ac:dyDescent="0.2">
      <c r="B1162" s="1140"/>
      <c r="C1162" s="828"/>
      <c r="D1162" s="114" t="s">
        <v>234</v>
      </c>
      <c r="E1162" s="829"/>
      <c r="F1162" s="830" t="s">
        <v>2</v>
      </c>
    </row>
    <row r="1163" spans="2:6" ht="48" outlineLevel="1" x14ac:dyDescent="0.2">
      <c r="B1163" s="1140"/>
      <c r="C1163" s="828"/>
      <c r="D1163" s="114" t="s">
        <v>235</v>
      </c>
      <c r="E1163" s="829"/>
      <c r="F1163" s="830" t="s">
        <v>2</v>
      </c>
    </row>
    <row r="1164" spans="2:6" ht="48" outlineLevel="1" x14ac:dyDescent="0.2">
      <c r="B1164" s="1140"/>
      <c r="C1164" s="828"/>
      <c r="D1164" s="114" t="s">
        <v>236</v>
      </c>
      <c r="E1164" s="829"/>
      <c r="F1164" s="830" t="s">
        <v>2</v>
      </c>
    </row>
    <row r="1165" spans="2:6" ht="48" outlineLevel="1" x14ac:dyDescent="0.2">
      <c r="B1165" s="1140"/>
      <c r="C1165" s="828"/>
      <c r="D1165" s="114" t="s">
        <v>237</v>
      </c>
      <c r="E1165" s="829"/>
      <c r="F1165" s="830" t="s">
        <v>2</v>
      </c>
    </row>
    <row r="1166" spans="2:6" ht="36" outlineLevel="1" x14ac:dyDescent="0.2">
      <c r="B1166" s="1140"/>
      <c r="C1166" s="828"/>
      <c r="D1166" s="114" t="s">
        <v>238</v>
      </c>
      <c r="E1166" s="829"/>
      <c r="F1166" s="830" t="s">
        <v>2</v>
      </c>
    </row>
    <row r="1167" spans="2:6" ht="48" outlineLevel="1" x14ac:dyDescent="0.2">
      <c r="B1167" s="1140"/>
      <c r="C1167" s="828"/>
      <c r="D1167" s="114" t="s">
        <v>239</v>
      </c>
      <c r="E1167" s="829"/>
      <c r="F1167" s="830" t="s">
        <v>2</v>
      </c>
    </row>
    <row r="1168" spans="2:6" ht="48" outlineLevel="1" x14ac:dyDescent="0.2">
      <c r="B1168" s="1140"/>
      <c r="C1168" s="828"/>
      <c r="D1168" s="114" t="s">
        <v>240</v>
      </c>
      <c r="E1168" s="829"/>
      <c r="F1168" s="830" t="s">
        <v>2</v>
      </c>
    </row>
    <row r="1169" spans="2:6" outlineLevel="1" x14ac:dyDescent="0.2">
      <c r="B1169" s="1140"/>
      <c r="C1169" s="828"/>
      <c r="D1169" s="114" t="s">
        <v>152</v>
      </c>
      <c r="E1169" s="829"/>
      <c r="F1169" s="830" t="s">
        <v>2</v>
      </c>
    </row>
    <row r="1170" spans="2:6" ht="24" outlineLevel="1" x14ac:dyDescent="0.2">
      <c r="B1170" s="1140"/>
      <c r="C1170" s="828"/>
      <c r="D1170" s="114" t="s">
        <v>163</v>
      </c>
      <c r="E1170" s="829"/>
      <c r="F1170" s="830" t="s">
        <v>1811</v>
      </c>
    </row>
    <row r="1171" spans="2:6" outlineLevel="1" x14ac:dyDescent="0.2">
      <c r="B1171" s="1140"/>
      <c r="C1171" s="828"/>
      <c r="D1171" s="114" t="s">
        <v>164</v>
      </c>
      <c r="E1171" s="829"/>
      <c r="F1171" s="830" t="s">
        <v>1812</v>
      </c>
    </row>
    <row r="1172" spans="2:6" ht="24" outlineLevel="1" x14ac:dyDescent="0.2">
      <c r="B1172" s="1140"/>
      <c r="C1172" s="828"/>
      <c r="D1172" s="114" t="s">
        <v>165</v>
      </c>
      <c r="E1172" s="829"/>
      <c r="F1172" s="830" t="s">
        <v>1813</v>
      </c>
    </row>
    <row r="1173" spans="2:6" outlineLevel="1" x14ac:dyDescent="0.2">
      <c r="B1173" s="1140"/>
      <c r="C1173" s="828"/>
      <c r="D1173" s="114" t="s">
        <v>241</v>
      </c>
      <c r="E1173" s="829"/>
      <c r="F1173" s="830" t="s">
        <v>1814</v>
      </c>
    </row>
    <row r="1174" spans="2:6" ht="60" outlineLevel="1" x14ac:dyDescent="0.2">
      <c r="B1174" s="1140"/>
      <c r="C1174" s="828"/>
      <c r="D1174" s="114" t="s">
        <v>242</v>
      </c>
      <c r="E1174" s="829"/>
      <c r="F1174" s="830" t="s">
        <v>2</v>
      </c>
    </row>
    <row r="1175" spans="2:6" outlineLevel="1" x14ac:dyDescent="0.2">
      <c r="B1175" s="1140"/>
      <c r="C1175" s="828"/>
      <c r="D1175" s="114" t="s">
        <v>224</v>
      </c>
      <c r="E1175" s="829"/>
      <c r="F1175" s="830" t="s">
        <v>2</v>
      </c>
    </row>
    <row r="1176" spans="2:6" outlineLevel="1" x14ac:dyDescent="0.2">
      <c r="B1176" s="1140"/>
      <c r="C1176" s="828"/>
      <c r="D1176" s="114" t="s">
        <v>148</v>
      </c>
      <c r="E1176" s="829"/>
      <c r="F1176" s="830" t="s">
        <v>1815</v>
      </c>
    </row>
    <row r="1177" spans="2:6" outlineLevel="1" x14ac:dyDescent="0.2">
      <c r="B1177" s="1140"/>
      <c r="C1177" s="828"/>
      <c r="D1177" s="114" t="s">
        <v>162</v>
      </c>
      <c r="E1177" s="829"/>
      <c r="F1177" s="830" t="s">
        <v>1811</v>
      </c>
    </row>
    <row r="1178" spans="2:6" ht="24" outlineLevel="1" x14ac:dyDescent="0.2">
      <c r="B1178" s="1140"/>
      <c r="C1178" s="828"/>
      <c r="D1178" s="114" t="s">
        <v>172</v>
      </c>
      <c r="E1178" s="829"/>
      <c r="F1178" s="830" t="s">
        <v>1811</v>
      </c>
    </row>
    <row r="1179" spans="2:6" ht="48" outlineLevel="1" x14ac:dyDescent="0.2">
      <c r="B1179" s="1140"/>
      <c r="C1179" s="828"/>
      <c r="D1179" s="114" t="s">
        <v>173</v>
      </c>
      <c r="E1179" s="829"/>
      <c r="F1179" s="830" t="s">
        <v>1816</v>
      </c>
    </row>
    <row r="1180" spans="2:6" ht="48" outlineLevel="1" x14ac:dyDescent="0.2">
      <c r="B1180" s="1140"/>
      <c r="C1180" s="828"/>
      <c r="D1180" s="114" t="s">
        <v>174</v>
      </c>
      <c r="E1180" s="829"/>
      <c r="F1180" s="830" t="s">
        <v>1817</v>
      </c>
    </row>
    <row r="1181" spans="2:6" ht="48" outlineLevel="1" x14ac:dyDescent="0.2">
      <c r="B1181" s="1140"/>
      <c r="C1181" s="828"/>
      <c r="D1181" s="114" t="s">
        <v>175</v>
      </c>
      <c r="E1181" s="829"/>
      <c r="F1181" s="830" t="s">
        <v>1818</v>
      </c>
    </row>
    <row r="1182" spans="2:6" ht="48" outlineLevel="1" x14ac:dyDescent="0.2">
      <c r="B1182" s="1140"/>
      <c r="C1182" s="828"/>
      <c r="D1182" s="114" t="s">
        <v>171</v>
      </c>
      <c r="E1182" s="829"/>
      <c r="F1182" s="830" t="s">
        <v>1819</v>
      </c>
    </row>
    <row r="1183" spans="2:6" ht="48" outlineLevel="1" x14ac:dyDescent="0.2">
      <c r="B1183" s="1140"/>
      <c r="C1183" s="828"/>
      <c r="D1183" s="114" t="s">
        <v>225</v>
      </c>
      <c r="E1183" s="829"/>
      <c r="F1183" s="830" t="s">
        <v>1820</v>
      </c>
    </row>
    <row r="1184" spans="2:6" ht="48" outlineLevel="1" x14ac:dyDescent="0.2">
      <c r="B1184" s="1140"/>
      <c r="C1184" s="828"/>
      <c r="D1184" s="114" t="s">
        <v>226</v>
      </c>
      <c r="E1184" s="829"/>
      <c r="F1184" s="830" t="s">
        <v>1821</v>
      </c>
    </row>
    <row r="1185" spans="2:6" ht="48" outlineLevel="1" x14ac:dyDescent="0.2">
      <c r="B1185" s="1140"/>
      <c r="C1185" s="828"/>
      <c r="D1185" s="114" t="s">
        <v>227</v>
      </c>
      <c r="E1185" s="829"/>
      <c r="F1185" s="830" t="s">
        <v>1820</v>
      </c>
    </row>
    <row r="1186" spans="2:6" outlineLevel="1" x14ac:dyDescent="0.2">
      <c r="B1186" s="1141"/>
      <c r="C1186" s="828"/>
      <c r="D1186" s="114" t="s">
        <v>149</v>
      </c>
      <c r="E1186" s="829"/>
      <c r="F1186" s="830" t="s">
        <v>1819</v>
      </c>
    </row>
    <row r="1187" spans="2:6" ht="21" customHeight="1" x14ac:dyDescent="0.2">
      <c r="B1187" s="1142" t="s">
        <v>412</v>
      </c>
      <c r="C1187" s="1143"/>
      <c r="D1187" s="1143"/>
      <c r="E1187" s="1143"/>
      <c r="F1187" s="1143"/>
    </row>
    <row r="1188" spans="2:6" ht="38.25" x14ac:dyDescent="0.2">
      <c r="B1188" s="1139">
        <v>52</v>
      </c>
      <c r="C1188" s="825" t="s">
        <v>413</v>
      </c>
      <c r="D1188" s="113" t="s">
        <v>243</v>
      </c>
      <c r="E1188" s="826" t="s">
        <v>1822</v>
      </c>
      <c r="F1188" s="827" t="s">
        <v>1823</v>
      </c>
    </row>
    <row r="1189" spans="2:6" ht="60" outlineLevel="1" x14ac:dyDescent="0.2">
      <c r="B1189" s="1140"/>
      <c r="C1189" s="828"/>
      <c r="D1189" s="114" t="s">
        <v>408</v>
      </c>
      <c r="E1189" s="829"/>
      <c r="F1189" s="830"/>
    </row>
    <row r="1190" spans="2:6" ht="48" outlineLevel="1" x14ac:dyDescent="0.2">
      <c r="B1190" s="1140"/>
      <c r="C1190" s="828"/>
      <c r="D1190" s="114" t="s">
        <v>1319</v>
      </c>
      <c r="E1190" s="829"/>
      <c r="F1190" s="830" t="s">
        <v>2</v>
      </c>
    </row>
    <row r="1191" spans="2:6" outlineLevel="1" x14ac:dyDescent="0.2">
      <c r="B1191" s="1140"/>
      <c r="C1191" s="828"/>
      <c r="D1191" s="114" t="s">
        <v>148</v>
      </c>
      <c r="E1191" s="829"/>
      <c r="F1191" s="830" t="s">
        <v>2</v>
      </c>
    </row>
    <row r="1192" spans="2:6" outlineLevel="1" x14ac:dyDescent="0.2">
      <c r="B1192" s="1140"/>
      <c r="C1192" s="828"/>
      <c r="D1192" s="114" t="s">
        <v>162</v>
      </c>
      <c r="E1192" s="829"/>
      <c r="F1192" s="830" t="s">
        <v>1824</v>
      </c>
    </row>
    <row r="1193" spans="2:6" ht="24" outlineLevel="1" x14ac:dyDescent="0.2">
      <c r="B1193" s="1140"/>
      <c r="C1193" s="828"/>
      <c r="D1193" s="114" t="s">
        <v>172</v>
      </c>
      <c r="E1193" s="829"/>
      <c r="F1193" s="830" t="s">
        <v>1824</v>
      </c>
    </row>
    <row r="1194" spans="2:6" outlineLevel="1" x14ac:dyDescent="0.2">
      <c r="B1194" s="1140"/>
      <c r="C1194" s="828"/>
      <c r="D1194" s="114" t="s">
        <v>152</v>
      </c>
      <c r="E1194" s="829"/>
      <c r="F1194" s="830" t="s">
        <v>1825</v>
      </c>
    </row>
    <row r="1195" spans="2:6" ht="24" outlineLevel="1" x14ac:dyDescent="0.2">
      <c r="B1195" s="1140"/>
      <c r="C1195" s="828"/>
      <c r="D1195" s="114" t="s">
        <v>163</v>
      </c>
      <c r="E1195" s="829"/>
      <c r="F1195" s="830" t="s">
        <v>1824</v>
      </c>
    </row>
    <row r="1196" spans="2:6" outlineLevel="1" x14ac:dyDescent="0.2">
      <c r="B1196" s="1140"/>
      <c r="C1196" s="828"/>
      <c r="D1196" s="114" t="s">
        <v>164</v>
      </c>
      <c r="E1196" s="829"/>
      <c r="F1196" s="830" t="s">
        <v>1826</v>
      </c>
    </row>
    <row r="1197" spans="2:6" ht="24" outlineLevel="1" x14ac:dyDescent="0.2">
      <c r="B1197" s="1140"/>
      <c r="C1197" s="828"/>
      <c r="D1197" s="114" t="s">
        <v>165</v>
      </c>
      <c r="E1197" s="829"/>
      <c r="F1197" s="830" t="s">
        <v>1827</v>
      </c>
    </row>
    <row r="1198" spans="2:6" outlineLevel="1" x14ac:dyDescent="0.2">
      <c r="B1198" s="1140"/>
      <c r="C1198" s="828"/>
      <c r="D1198" s="114" t="s">
        <v>224</v>
      </c>
      <c r="E1198" s="829"/>
      <c r="F1198" s="830" t="s">
        <v>1828</v>
      </c>
    </row>
    <row r="1199" spans="2:6" ht="48" outlineLevel="1" x14ac:dyDescent="0.2">
      <c r="B1199" s="1140"/>
      <c r="C1199" s="828"/>
      <c r="D1199" s="114" t="s">
        <v>173</v>
      </c>
      <c r="E1199" s="829"/>
      <c r="F1199" s="830" t="s">
        <v>1829</v>
      </c>
    </row>
    <row r="1200" spans="2:6" ht="48" outlineLevel="1" x14ac:dyDescent="0.2">
      <c r="B1200" s="1140"/>
      <c r="C1200" s="828"/>
      <c r="D1200" s="114" t="s">
        <v>174</v>
      </c>
      <c r="E1200" s="829"/>
      <c r="F1200" s="830" t="s">
        <v>1830</v>
      </c>
    </row>
    <row r="1201" spans="2:6" ht="48" outlineLevel="1" x14ac:dyDescent="0.2">
      <c r="B1201" s="1140"/>
      <c r="C1201" s="828"/>
      <c r="D1201" s="114" t="s">
        <v>175</v>
      </c>
      <c r="E1201" s="829"/>
      <c r="F1201" s="830" t="s">
        <v>1831</v>
      </c>
    </row>
    <row r="1202" spans="2:6" ht="48" outlineLevel="1" x14ac:dyDescent="0.2">
      <c r="B1202" s="1140"/>
      <c r="C1202" s="828"/>
      <c r="D1202" s="114" t="s">
        <v>171</v>
      </c>
      <c r="E1202" s="829"/>
      <c r="F1202" s="830" t="s">
        <v>1832</v>
      </c>
    </row>
    <row r="1203" spans="2:6" ht="48" outlineLevel="1" x14ac:dyDescent="0.2">
      <c r="B1203" s="1140"/>
      <c r="C1203" s="828"/>
      <c r="D1203" s="114" t="s">
        <v>225</v>
      </c>
      <c r="E1203" s="829"/>
      <c r="F1203" s="830" t="s">
        <v>1833</v>
      </c>
    </row>
    <row r="1204" spans="2:6" ht="48" outlineLevel="1" x14ac:dyDescent="0.2">
      <c r="B1204" s="1140"/>
      <c r="C1204" s="828"/>
      <c r="D1204" s="114" t="s">
        <v>226</v>
      </c>
      <c r="E1204" s="829"/>
      <c r="F1204" s="830" t="s">
        <v>1834</v>
      </c>
    </row>
    <row r="1205" spans="2:6" ht="48" outlineLevel="1" x14ac:dyDescent="0.2">
      <c r="B1205" s="1140"/>
      <c r="C1205" s="828"/>
      <c r="D1205" s="114" t="s">
        <v>227</v>
      </c>
      <c r="E1205" s="829"/>
      <c r="F1205" s="830" t="s">
        <v>1833</v>
      </c>
    </row>
    <row r="1206" spans="2:6" outlineLevel="1" x14ac:dyDescent="0.2">
      <c r="B1206" s="1141"/>
      <c r="C1206" s="828"/>
      <c r="D1206" s="114" t="s">
        <v>149</v>
      </c>
      <c r="E1206" s="829"/>
      <c r="F1206" s="830" t="s">
        <v>1832</v>
      </c>
    </row>
    <row r="1207" spans="2:6" ht="21" customHeight="1" x14ac:dyDescent="0.2">
      <c r="B1207" s="1142" t="s">
        <v>414</v>
      </c>
      <c r="C1207" s="1143"/>
      <c r="D1207" s="1143"/>
      <c r="E1207" s="1143"/>
      <c r="F1207" s="1143"/>
    </row>
    <row r="1208" spans="2:6" ht="51" x14ac:dyDescent="0.2">
      <c r="B1208" s="1139">
        <v>53</v>
      </c>
      <c r="C1208" s="825" t="s">
        <v>415</v>
      </c>
      <c r="D1208" s="113" t="s">
        <v>416</v>
      </c>
      <c r="E1208" s="826" t="s">
        <v>1835</v>
      </c>
      <c r="F1208" s="827" t="s">
        <v>1836</v>
      </c>
    </row>
    <row r="1209" spans="2:6" ht="60" outlineLevel="1" x14ac:dyDescent="0.2">
      <c r="B1209" s="1140"/>
      <c r="C1209" s="828"/>
      <c r="D1209" s="114" t="s">
        <v>408</v>
      </c>
      <c r="E1209" s="829"/>
      <c r="F1209" s="830"/>
    </row>
    <row r="1210" spans="2:6" ht="48" outlineLevel="1" x14ac:dyDescent="0.2">
      <c r="B1210" s="1140"/>
      <c r="C1210" s="828"/>
      <c r="D1210" s="114" t="s">
        <v>1319</v>
      </c>
      <c r="E1210" s="829"/>
      <c r="F1210" s="830" t="s">
        <v>2</v>
      </c>
    </row>
    <row r="1211" spans="2:6" outlineLevel="1" x14ac:dyDescent="0.2">
      <c r="B1211" s="1140"/>
      <c r="C1211" s="828"/>
      <c r="D1211" s="114" t="s">
        <v>148</v>
      </c>
      <c r="E1211" s="829"/>
      <c r="F1211" s="830" t="s">
        <v>2</v>
      </c>
    </row>
    <row r="1212" spans="2:6" outlineLevel="1" x14ac:dyDescent="0.2">
      <c r="B1212" s="1140"/>
      <c r="C1212" s="828"/>
      <c r="D1212" s="114" t="s">
        <v>162</v>
      </c>
      <c r="E1212" s="829"/>
      <c r="F1212" s="830">
        <v>480.46</v>
      </c>
    </row>
    <row r="1213" spans="2:6" ht="24" outlineLevel="1" x14ac:dyDescent="0.2">
      <c r="B1213" s="1140"/>
      <c r="C1213" s="828"/>
      <c r="D1213" s="114" t="s">
        <v>172</v>
      </c>
      <c r="E1213" s="829"/>
      <c r="F1213" s="830">
        <v>480.46</v>
      </c>
    </row>
    <row r="1214" spans="2:6" outlineLevel="1" x14ac:dyDescent="0.2">
      <c r="B1214" s="1140"/>
      <c r="C1214" s="828"/>
      <c r="D1214" s="114" t="s">
        <v>152</v>
      </c>
      <c r="E1214" s="829"/>
      <c r="F1214" s="830" t="s">
        <v>1837</v>
      </c>
    </row>
    <row r="1215" spans="2:6" ht="24" outlineLevel="1" x14ac:dyDescent="0.2">
      <c r="B1215" s="1140"/>
      <c r="C1215" s="828"/>
      <c r="D1215" s="114" t="s">
        <v>163</v>
      </c>
      <c r="E1215" s="829"/>
      <c r="F1215" s="830">
        <v>480.46</v>
      </c>
    </row>
    <row r="1216" spans="2:6" outlineLevel="1" x14ac:dyDescent="0.2">
      <c r="B1216" s="1140"/>
      <c r="C1216" s="828"/>
      <c r="D1216" s="114" t="s">
        <v>164</v>
      </c>
      <c r="E1216" s="829"/>
      <c r="F1216" s="830">
        <v>240.23</v>
      </c>
    </row>
    <row r="1217" spans="2:6" ht="24" outlineLevel="1" x14ac:dyDescent="0.2">
      <c r="B1217" s="1140"/>
      <c r="C1217" s="828"/>
      <c r="D1217" s="114" t="s">
        <v>165</v>
      </c>
      <c r="E1217" s="829"/>
      <c r="F1217" s="830" t="s">
        <v>1838</v>
      </c>
    </row>
    <row r="1218" spans="2:6" outlineLevel="1" x14ac:dyDescent="0.2">
      <c r="B1218" s="1140"/>
      <c r="C1218" s="828"/>
      <c r="D1218" s="114" t="s">
        <v>224</v>
      </c>
      <c r="E1218" s="829"/>
      <c r="F1218" s="830">
        <v>720.69</v>
      </c>
    </row>
    <row r="1219" spans="2:6" ht="48" outlineLevel="1" x14ac:dyDescent="0.2">
      <c r="B1219" s="1140"/>
      <c r="C1219" s="828"/>
      <c r="D1219" s="114" t="s">
        <v>173</v>
      </c>
      <c r="E1219" s="829"/>
      <c r="F1219" s="830" t="s">
        <v>1839</v>
      </c>
    </row>
    <row r="1220" spans="2:6" ht="48" outlineLevel="1" x14ac:dyDescent="0.2">
      <c r="B1220" s="1140"/>
      <c r="C1220" s="828"/>
      <c r="D1220" s="114" t="s">
        <v>174</v>
      </c>
      <c r="E1220" s="829"/>
      <c r="F1220" s="830" t="s">
        <v>1840</v>
      </c>
    </row>
    <row r="1221" spans="2:6" ht="48" outlineLevel="1" x14ac:dyDescent="0.2">
      <c r="B1221" s="1140"/>
      <c r="C1221" s="828"/>
      <c r="D1221" s="114" t="s">
        <v>175</v>
      </c>
      <c r="E1221" s="829"/>
      <c r="F1221" s="830" t="s">
        <v>1841</v>
      </c>
    </row>
    <row r="1222" spans="2:6" ht="48" outlineLevel="1" x14ac:dyDescent="0.2">
      <c r="B1222" s="1140"/>
      <c r="C1222" s="828"/>
      <c r="D1222" s="114" t="s">
        <v>171</v>
      </c>
      <c r="E1222" s="829"/>
      <c r="F1222" s="830">
        <v>360.35</v>
      </c>
    </row>
    <row r="1223" spans="2:6" ht="48" outlineLevel="1" x14ac:dyDescent="0.2">
      <c r="B1223" s="1140"/>
      <c r="C1223" s="828"/>
      <c r="D1223" s="114" t="s">
        <v>225</v>
      </c>
      <c r="E1223" s="829"/>
      <c r="F1223" s="830">
        <v>600.58000000000004</v>
      </c>
    </row>
    <row r="1224" spans="2:6" ht="48" outlineLevel="1" x14ac:dyDescent="0.2">
      <c r="B1224" s="1140"/>
      <c r="C1224" s="828"/>
      <c r="D1224" s="114" t="s">
        <v>226</v>
      </c>
      <c r="E1224" s="829"/>
      <c r="F1224" s="830" t="s">
        <v>1842</v>
      </c>
    </row>
    <row r="1225" spans="2:6" ht="48" outlineLevel="1" x14ac:dyDescent="0.2">
      <c r="B1225" s="1140"/>
      <c r="C1225" s="828"/>
      <c r="D1225" s="114" t="s">
        <v>227</v>
      </c>
      <c r="E1225" s="829"/>
      <c r="F1225" s="830">
        <v>600.58000000000004</v>
      </c>
    </row>
    <row r="1226" spans="2:6" outlineLevel="1" x14ac:dyDescent="0.2">
      <c r="B1226" s="1141"/>
      <c r="C1226" s="828"/>
      <c r="D1226" s="114" t="s">
        <v>149</v>
      </c>
      <c r="E1226" s="829"/>
      <c r="F1226" s="830">
        <v>360.35</v>
      </c>
    </row>
    <row r="1227" spans="2:6" ht="21" customHeight="1" x14ac:dyDescent="0.2">
      <c r="B1227" s="1142" t="s">
        <v>417</v>
      </c>
      <c r="C1227" s="1143"/>
      <c r="D1227" s="1143"/>
      <c r="E1227" s="1143"/>
      <c r="F1227" s="1143"/>
    </row>
    <row r="1228" spans="2:6" ht="51" x14ac:dyDescent="0.2">
      <c r="B1228" s="1139">
        <v>54</v>
      </c>
      <c r="C1228" s="825" t="s">
        <v>1096</v>
      </c>
      <c r="D1228" s="113" t="s">
        <v>228</v>
      </c>
      <c r="E1228" s="826" t="s">
        <v>1843</v>
      </c>
      <c r="F1228" s="827" t="s">
        <v>1844</v>
      </c>
    </row>
    <row r="1229" spans="2:6" ht="60" outlineLevel="1" x14ac:dyDescent="0.2">
      <c r="B1229" s="1140"/>
      <c r="C1229" s="828"/>
      <c r="D1229" s="114" t="s">
        <v>1097</v>
      </c>
      <c r="E1229" s="829"/>
      <c r="F1229" s="830"/>
    </row>
    <row r="1230" spans="2:6" ht="48" outlineLevel="1" x14ac:dyDescent="0.2">
      <c r="B1230" s="1140"/>
      <c r="C1230" s="828"/>
      <c r="D1230" s="114" t="s">
        <v>1319</v>
      </c>
      <c r="E1230" s="829"/>
      <c r="F1230" s="830" t="s">
        <v>2</v>
      </c>
    </row>
    <row r="1231" spans="2:6" outlineLevel="1" x14ac:dyDescent="0.2">
      <c r="B1231" s="1140"/>
      <c r="C1231" s="828"/>
      <c r="D1231" s="114" t="s">
        <v>148</v>
      </c>
      <c r="E1231" s="829"/>
      <c r="F1231" s="830" t="s">
        <v>2</v>
      </c>
    </row>
    <row r="1232" spans="2:6" ht="24" outlineLevel="1" x14ac:dyDescent="0.2">
      <c r="B1232" s="1140"/>
      <c r="C1232" s="828"/>
      <c r="D1232" s="114" t="s">
        <v>153</v>
      </c>
      <c r="E1232" s="829"/>
      <c r="F1232" s="830" t="s">
        <v>1845</v>
      </c>
    </row>
    <row r="1233" spans="2:6" outlineLevel="1" x14ac:dyDescent="0.2">
      <c r="B1233" s="1140"/>
      <c r="C1233" s="828"/>
      <c r="D1233" s="114" t="s">
        <v>154</v>
      </c>
      <c r="E1233" s="829"/>
      <c r="F1233" s="830" t="s">
        <v>1845</v>
      </c>
    </row>
    <row r="1234" spans="2:6" ht="24" outlineLevel="1" x14ac:dyDescent="0.2">
      <c r="B1234" s="1140"/>
      <c r="C1234" s="828"/>
      <c r="D1234" s="114" t="s">
        <v>217</v>
      </c>
      <c r="E1234" s="829"/>
      <c r="F1234" s="830" t="s">
        <v>1846</v>
      </c>
    </row>
    <row r="1235" spans="2:6" ht="36" outlineLevel="1" x14ac:dyDescent="0.2">
      <c r="B1235" s="1140"/>
      <c r="C1235" s="828"/>
      <c r="D1235" s="114" t="s">
        <v>218</v>
      </c>
      <c r="E1235" s="829"/>
      <c r="F1235" s="830" t="s">
        <v>1847</v>
      </c>
    </row>
    <row r="1236" spans="2:6" ht="36" outlineLevel="1" x14ac:dyDescent="0.2">
      <c r="B1236" s="1140"/>
      <c r="C1236" s="828"/>
      <c r="D1236" s="114" t="s">
        <v>219</v>
      </c>
      <c r="E1236" s="829"/>
      <c r="F1236" s="830" t="s">
        <v>1848</v>
      </c>
    </row>
    <row r="1237" spans="2:6" ht="36" outlineLevel="1" x14ac:dyDescent="0.2">
      <c r="B1237" s="1140"/>
      <c r="C1237" s="828"/>
      <c r="D1237" s="114" t="s">
        <v>220</v>
      </c>
      <c r="E1237" s="829"/>
      <c r="F1237" s="830" t="s">
        <v>1845</v>
      </c>
    </row>
    <row r="1238" spans="2:6" ht="36" outlineLevel="1" x14ac:dyDescent="0.2">
      <c r="B1238" s="1140"/>
      <c r="C1238" s="828"/>
      <c r="D1238" s="114" t="s">
        <v>221</v>
      </c>
      <c r="E1238" s="829"/>
      <c r="F1238" s="830" t="s">
        <v>1845</v>
      </c>
    </row>
    <row r="1239" spans="2:6" ht="48" outlineLevel="1" x14ac:dyDescent="0.2">
      <c r="B1239" s="1140"/>
      <c r="C1239" s="828"/>
      <c r="D1239" s="114" t="s">
        <v>222</v>
      </c>
      <c r="E1239" s="829"/>
      <c r="F1239" s="830" t="s">
        <v>1849</v>
      </c>
    </row>
    <row r="1240" spans="2:6" ht="36" outlineLevel="1" x14ac:dyDescent="0.2">
      <c r="B1240" s="1140"/>
      <c r="C1240" s="828"/>
      <c r="D1240" s="114" t="s">
        <v>223</v>
      </c>
      <c r="E1240" s="829"/>
      <c r="F1240" s="830" t="s">
        <v>1845</v>
      </c>
    </row>
    <row r="1241" spans="2:6" outlineLevel="1" x14ac:dyDescent="0.2">
      <c r="B1241" s="1140"/>
      <c r="C1241" s="828"/>
      <c r="D1241" s="114" t="s">
        <v>155</v>
      </c>
      <c r="E1241" s="829"/>
      <c r="F1241" s="830" t="s">
        <v>1850</v>
      </c>
    </row>
    <row r="1242" spans="2:6" ht="24" outlineLevel="1" x14ac:dyDescent="0.2">
      <c r="B1242" s="1140"/>
      <c r="C1242" s="828"/>
      <c r="D1242" s="114" t="s">
        <v>156</v>
      </c>
      <c r="E1242" s="829"/>
      <c r="F1242" s="830" t="s">
        <v>1849</v>
      </c>
    </row>
    <row r="1243" spans="2:6" ht="24" outlineLevel="1" x14ac:dyDescent="0.2">
      <c r="B1243" s="1140"/>
      <c r="C1243" s="828"/>
      <c r="D1243" s="114" t="s">
        <v>157</v>
      </c>
      <c r="E1243" s="829"/>
      <c r="F1243" s="830" t="s">
        <v>1848</v>
      </c>
    </row>
    <row r="1244" spans="2:6" ht="36" outlineLevel="1" x14ac:dyDescent="0.2">
      <c r="B1244" s="1140"/>
      <c r="C1244" s="828"/>
      <c r="D1244" s="114" t="s">
        <v>158</v>
      </c>
      <c r="E1244" s="829"/>
      <c r="F1244" s="830" t="s">
        <v>1851</v>
      </c>
    </row>
    <row r="1245" spans="2:6" ht="60" outlineLevel="1" x14ac:dyDescent="0.2">
      <c r="B1245" s="1140"/>
      <c r="C1245" s="828"/>
      <c r="D1245" s="114" t="s">
        <v>159</v>
      </c>
      <c r="E1245" s="829"/>
      <c r="F1245" s="830" t="s">
        <v>1852</v>
      </c>
    </row>
    <row r="1246" spans="2:6" outlineLevel="1" x14ac:dyDescent="0.2">
      <c r="B1246" s="1140"/>
      <c r="C1246" s="828"/>
      <c r="D1246" s="114" t="s">
        <v>160</v>
      </c>
      <c r="E1246" s="829"/>
      <c r="F1246" s="830" t="s">
        <v>1845</v>
      </c>
    </row>
    <row r="1247" spans="2:6" outlineLevel="1" x14ac:dyDescent="0.2">
      <c r="B1247" s="1141"/>
      <c r="C1247" s="828"/>
      <c r="D1247" s="114" t="s">
        <v>149</v>
      </c>
      <c r="E1247" s="829"/>
      <c r="F1247" s="830" t="s">
        <v>1853</v>
      </c>
    </row>
    <row r="1248" spans="2:6" ht="21" customHeight="1" x14ac:dyDescent="0.2">
      <c r="B1248" s="1142" t="s">
        <v>418</v>
      </c>
      <c r="C1248" s="1143"/>
      <c r="D1248" s="1143"/>
      <c r="E1248" s="1143"/>
      <c r="F1248" s="1143"/>
    </row>
    <row r="1249" spans="2:6" ht="51" x14ac:dyDescent="0.2">
      <c r="B1249" s="1139">
        <v>55</v>
      </c>
      <c r="C1249" s="825" t="s">
        <v>1098</v>
      </c>
      <c r="D1249" s="113" t="s">
        <v>228</v>
      </c>
      <c r="E1249" s="826" t="s">
        <v>1854</v>
      </c>
      <c r="F1249" s="827" t="s">
        <v>1855</v>
      </c>
    </row>
    <row r="1250" spans="2:6" ht="60" outlineLevel="1" x14ac:dyDescent="0.2">
      <c r="B1250" s="1140"/>
      <c r="C1250" s="828"/>
      <c r="D1250" s="114" t="s">
        <v>1097</v>
      </c>
      <c r="E1250" s="829"/>
      <c r="F1250" s="830"/>
    </row>
    <row r="1251" spans="2:6" ht="48" outlineLevel="1" x14ac:dyDescent="0.2">
      <c r="B1251" s="1140"/>
      <c r="C1251" s="828"/>
      <c r="D1251" s="114" t="s">
        <v>1319</v>
      </c>
      <c r="E1251" s="829"/>
      <c r="F1251" s="830" t="s">
        <v>2</v>
      </c>
    </row>
    <row r="1252" spans="2:6" outlineLevel="1" x14ac:dyDescent="0.2">
      <c r="B1252" s="1140"/>
      <c r="C1252" s="828"/>
      <c r="D1252" s="114" t="s">
        <v>148</v>
      </c>
      <c r="E1252" s="829"/>
      <c r="F1252" s="830" t="s">
        <v>2</v>
      </c>
    </row>
    <row r="1253" spans="2:6" ht="24" outlineLevel="1" x14ac:dyDescent="0.2">
      <c r="B1253" s="1140"/>
      <c r="C1253" s="828"/>
      <c r="D1253" s="114" t="s">
        <v>153</v>
      </c>
      <c r="E1253" s="829"/>
      <c r="F1253" s="830" t="s">
        <v>1856</v>
      </c>
    </row>
    <row r="1254" spans="2:6" outlineLevel="1" x14ac:dyDescent="0.2">
      <c r="B1254" s="1140"/>
      <c r="C1254" s="828"/>
      <c r="D1254" s="114" t="s">
        <v>154</v>
      </c>
      <c r="E1254" s="829"/>
      <c r="F1254" s="830" t="s">
        <v>1856</v>
      </c>
    </row>
    <row r="1255" spans="2:6" ht="24" outlineLevel="1" x14ac:dyDescent="0.2">
      <c r="B1255" s="1140"/>
      <c r="C1255" s="828"/>
      <c r="D1255" s="114" t="s">
        <v>217</v>
      </c>
      <c r="E1255" s="829"/>
      <c r="F1255" s="830" t="s">
        <v>1857</v>
      </c>
    </row>
    <row r="1256" spans="2:6" ht="36" outlineLevel="1" x14ac:dyDescent="0.2">
      <c r="B1256" s="1140"/>
      <c r="C1256" s="828"/>
      <c r="D1256" s="114" t="s">
        <v>218</v>
      </c>
      <c r="E1256" s="829"/>
      <c r="F1256" s="830" t="s">
        <v>1858</v>
      </c>
    </row>
    <row r="1257" spans="2:6" ht="36" outlineLevel="1" x14ac:dyDescent="0.2">
      <c r="B1257" s="1140"/>
      <c r="C1257" s="828"/>
      <c r="D1257" s="114" t="s">
        <v>219</v>
      </c>
      <c r="E1257" s="829"/>
      <c r="F1257" s="830" t="s">
        <v>1859</v>
      </c>
    </row>
    <row r="1258" spans="2:6" ht="36" outlineLevel="1" x14ac:dyDescent="0.2">
      <c r="B1258" s="1140"/>
      <c r="C1258" s="828"/>
      <c r="D1258" s="114" t="s">
        <v>220</v>
      </c>
      <c r="E1258" s="829"/>
      <c r="F1258" s="830" t="s">
        <v>1856</v>
      </c>
    </row>
    <row r="1259" spans="2:6" ht="36" outlineLevel="1" x14ac:dyDescent="0.2">
      <c r="B1259" s="1140"/>
      <c r="C1259" s="828"/>
      <c r="D1259" s="114" t="s">
        <v>221</v>
      </c>
      <c r="E1259" s="829"/>
      <c r="F1259" s="830" t="s">
        <v>1856</v>
      </c>
    </row>
    <row r="1260" spans="2:6" ht="48" outlineLevel="1" x14ac:dyDescent="0.2">
      <c r="B1260" s="1140"/>
      <c r="C1260" s="828"/>
      <c r="D1260" s="114" t="s">
        <v>222</v>
      </c>
      <c r="E1260" s="829"/>
      <c r="F1260" s="830" t="s">
        <v>1860</v>
      </c>
    </row>
    <row r="1261" spans="2:6" ht="36" outlineLevel="1" x14ac:dyDescent="0.2">
      <c r="B1261" s="1140"/>
      <c r="C1261" s="828"/>
      <c r="D1261" s="114" t="s">
        <v>223</v>
      </c>
      <c r="E1261" s="829"/>
      <c r="F1261" s="830" t="s">
        <v>1856</v>
      </c>
    </row>
    <row r="1262" spans="2:6" outlineLevel="1" x14ac:dyDescent="0.2">
      <c r="B1262" s="1140"/>
      <c r="C1262" s="828"/>
      <c r="D1262" s="114" t="s">
        <v>155</v>
      </c>
      <c r="E1262" s="829"/>
      <c r="F1262" s="830" t="s">
        <v>1861</v>
      </c>
    </row>
    <row r="1263" spans="2:6" ht="24" outlineLevel="1" x14ac:dyDescent="0.2">
      <c r="B1263" s="1140"/>
      <c r="C1263" s="828"/>
      <c r="D1263" s="114" t="s">
        <v>156</v>
      </c>
      <c r="E1263" s="829"/>
      <c r="F1263" s="830" t="s">
        <v>1860</v>
      </c>
    </row>
    <row r="1264" spans="2:6" ht="24" outlineLevel="1" x14ac:dyDescent="0.2">
      <c r="B1264" s="1140"/>
      <c r="C1264" s="828"/>
      <c r="D1264" s="114" t="s">
        <v>157</v>
      </c>
      <c r="E1264" s="829"/>
      <c r="F1264" s="830" t="s">
        <v>1859</v>
      </c>
    </row>
    <row r="1265" spans="2:6" ht="36" outlineLevel="1" x14ac:dyDescent="0.2">
      <c r="B1265" s="1140"/>
      <c r="C1265" s="828"/>
      <c r="D1265" s="114" t="s">
        <v>158</v>
      </c>
      <c r="E1265" s="829"/>
      <c r="F1265" s="830" t="s">
        <v>1862</v>
      </c>
    </row>
    <row r="1266" spans="2:6" ht="60" outlineLevel="1" x14ac:dyDescent="0.2">
      <c r="B1266" s="1140"/>
      <c r="C1266" s="828"/>
      <c r="D1266" s="114" t="s">
        <v>159</v>
      </c>
      <c r="E1266" s="829"/>
      <c r="F1266" s="830" t="s">
        <v>1863</v>
      </c>
    </row>
    <row r="1267" spans="2:6" outlineLevel="1" x14ac:dyDescent="0.2">
      <c r="B1267" s="1140"/>
      <c r="C1267" s="828"/>
      <c r="D1267" s="114" t="s">
        <v>160</v>
      </c>
      <c r="E1267" s="829"/>
      <c r="F1267" s="830" t="s">
        <v>1856</v>
      </c>
    </row>
    <row r="1268" spans="2:6" outlineLevel="1" x14ac:dyDescent="0.2">
      <c r="B1268" s="1141"/>
      <c r="C1268" s="828"/>
      <c r="D1268" s="114" t="s">
        <v>149</v>
      </c>
      <c r="E1268" s="829"/>
      <c r="F1268" s="830" t="s">
        <v>1864</v>
      </c>
    </row>
    <row r="1269" spans="2:6" ht="27.95" customHeight="1" x14ac:dyDescent="0.2">
      <c r="B1269" s="831"/>
      <c r="C1269" s="1133" t="s">
        <v>419</v>
      </c>
      <c r="D1269" s="1134"/>
      <c r="E1269" s="1134"/>
      <c r="F1269" s="832"/>
    </row>
    <row r="1270" spans="2:6" ht="15" x14ac:dyDescent="0.2">
      <c r="B1270" s="831"/>
      <c r="C1270" s="1135" t="s">
        <v>1865</v>
      </c>
      <c r="D1270" s="1136"/>
      <c r="E1270" s="1136"/>
      <c r="F1270" s="827" t="s">
        <v>1866</v>
      </c>
    </row>
    <row r="1271" spans="2:6" ht="27.95" customHeight="1" x14ac:dyDescent="0.2">
      <c r="B1271" s="831"/>
      <c r="C1271" s="1133" t="s">
        <v>420</v>
      </c>
      <c r="D1271" s="1134"/>
      <c r="E1271" s="1134"/>
      <c r="F1271" s="832" t="s">
        <v>1866</v>
      </c>
    </row>
    <row r="1272" spans="2:6" ht="15" x14ac:dyDescent="0.2">
      <c r="B1272" s="831"/>
      <c r="C1272" s="1133"/>
      <c r="D1272" s="1134"/>
      <c r="E1272" s="1134"/>
      <c r="F1272" s="832"/>
    </row>
    <row r="1273" spans="2:6" ht="15" x14ac:dyDescent="0.2">
      <c r="B1273" s="831"/>
      <c r="C1273" s="1133" t="s">
        <v>421</v>
      </c>
      <c r="D1273" s="1134"/>
      <c r="E1273" s="1134"/>
      <c r="F1273" s="832"/>
    </row>
    <row r="1274" spans="2:6" ht="15" x14ac:dyDescent="0.2">
      <c r="B1274" s="831"/>
      <c r="C1274" s="1135" t="s">
        <v>1867</v>
      </c>
      <c r="D1274" s="1136"/>
      <c r="E1274" s="1136"/>
      <c r="F1274" s="827" t="s">
        <v>1998</v>
      </c>
    </row>
    <row r="1275" spans="2:6" ht="15" x14ac:dyDescent="0.2">
      <c r="B1275" s="833"/>
      <c r="C1275" s="1137" t="s">
        <v>422</v>
      </c>
      <c r="D1275" s="1138"/>
      <c r="E1275" s="1138"/>
      <c r="F1275" s="834">
        <v>20998439.48</v>
      </c>
    </row>
    <row r="1276" spans="2:6" x14ac:dyDescent="0.2">
      <c r="B1276" s="835"/>
      <c r="C1276" s="836"/>
      <c r="D1276" s="137"/>
      <c r="E1276" s="837"/>
      <c r="F1276" s="838"/>
    </row>
    <row r="1277" spans="2:6" x14ac:dyDescent="0.2">
      <c r="B1277" s="820"/>
      <c r="C1277" s="820"/>
      <c r="D1277" s="820"/>
      <c r="E1277" s="820"/>
      <c r="F1277" s="820"/>
    </row>
    <row r="1278" spans="2:6" x14ac:dyDescent="0.2">
      <c r="B1278" s="820"/>
      <c r="C1278" s="820"/>
      <c r="D1278" s="820"/>
      <c r="E1278" s="820"/>
      <c r="F1278" s="820"/>
    </row>
    <row r="1279" spans="2:6" x14ac:dyDescent="0.2">
      <c r="B1279" s="117" t="s">
        <v>183</v>
      </c>
      <c r="D1279" s="117"/>
    </row>
    <row r="1280" spans="2:6" x14ac:dyDescent="0.2">
      <c r="B1280" s="117" t="s">
        <v>184</v>
      </c>
      <c r="D1280" s="117"/>
    </row>
    <row r="1281" spans="2:4" x14ac:dyDescent="0.2">
      <c r="B1281" s="117" t="s">
        <v>185</v>
      </c>
      <c r="D1281" s="117"/>
    </row>
    <row r="1282" spans="2:4" x14ac:dyDescent="0.2">
      <c r="B1282" s="117" t="s">
        <v>186</v>
      </c>
      <c r="D1282" s="117"/>
    </row>
    <row r="1284" spans="2:4" x14ac:dyDescent="0.2">
      <c r="B1284" s="115"/>
    </row>
  </sheetData>
  <mergeCells count="172">
    <mergeCell ref="B2:C2"/>
    <mergeCell ref="D3:F3"/>
    <mergeCell ref="B4:F4"/>
    <mergeCell ref="B5:E5"/>
    <mergeCell ref="B7:F7"/>
    <mergeCell ref="B8:E8"/>
    <mergeCell ref="B46:B68"/>
    <mergeCell ref="B69:F69"/>
    <mergeCell ref="B70:B91"/>
    <mergeCell ref="B92:B114"/>
    <mergeCell ref="B115:F115"/>
    <mergeCell ref="B116:B137"/>
    <mergeCell ref="C11:F11"/>
    <mergeCell ref="C13:F13"/>
    <mergeCell ref="B19:F19"/>
    <mergeCell ref="B20:F20"/>
    <mergeCell ref="B21:B44"/>
    <mergeCell ref="B45:F45"/>
    <mergeCell ref="B189:F189"/>
    <mergeCell ref="B190:B211"/>
    <mergeCell ref="B212:F212"/>
    <mergeCell ref="B213:B233"/>
    <mergeCell ref="B234:F234"/>
    <mergeCell ref="B235:B255"/>
    <mergeCell ref="B138:F138"/>
    <mergeCell ref="B139:B162"/>
    <mergeCell ref="B163:F163"/>
    <mergeCell ref="C164:F164"/>
    <mergeCell ref="C165:F165"/>
    <mergeCell ref="B166:B188"/>
    <mergeCell ref="B322:F322"/>
    <mergeCell ref="B323:B346"/>
    <mergeCell ref="B347:F347"/>
    <mergeCell ref="B348:B371"/>
    <mergeCell ref="B372:F372"/>
    <mergeCell ref="B373:B396"/>
    <mergeCell ref="B256:F256"/>
    <mergeCell ref="B257:B277"/>
    <mergeCell ref="B278:F278"/>
    <mergeCell ref="B279:B299"/>
    <mergeCell ref="B300:F300"/>
    <mergeCell ref="B301:B321"/>
    <mergeCell ref="C455:F455"/>
    <mergeCell ref="B456:B488"/>
    <mergeCell ref="B489:F489"/>
    <mergeCell ref="B490:B509"/>
    <mergeCell ref="B510:F510"/>
    <mergeCell ref="B511:B530"/>
    <mergeCell ref="B397:F397"/>
    <mergeCell ref="B398:B418"/>
    <mergeCell ref="B419:F419"/>
    <mergeCell ref="C420:F420"/>
    <mergeCell ref="B421:B453"/>
    <mergeCell ref="B454:F454"/>
    <mergeCell ref="C575:E575"/>
    <mergeCell ref="C576:E576"/>
    <mergeCell ref="B577:F577"/>
    <mergeCell ref="B578:F578"/>
    <mergeCell ref="C579:F579"/>
    <mergeCell ref="B580:B603"/>
    <mergeCell ref="B531:F531"/>
    <mergeCell ref="B532:B551"/>
    <mergeCell ref="B552:F552"/>
    <mergeCell ref="C553:F553"/>
    <mergeCell ref="B554:B573"/>
    <mergeCell ref="C574:E574"/>
    <mergeCell ref="B658:F658"/>
    <mergeCell ref="B659:B679"/>
    <mergeCell ref="B680:F680"/>
    <mergeCell ref="B681:B701"/>
    <mergeCell ref="B702:F702"/>
    <mergeCell ref="B703:B723"/>
    <mergeCell ref="B604:F604"/>
    <mergeCell ref="C605:F605"/>
    <mergeCell ref="B606:B630"/>
    <mergeCell ref="B631:F631"/>
    <mergeCell ref="C632:F632"/>
    <mergeCell ref="B633:B657"/>
    <mergeCell ref="B790:F790"/>
    <mergeCell ref="B791:B811"/>
    <mergeCell ref="B812:F812"/>
    <mergeCell ref="B813:B834"/>
    <mergeCell ref="C835:E835"/>
    <mergeCell ref="C836:E836"/>
    <mergeCell ref="B724:F724"/>
    <mergeCell ref="B725:B745"/>
    <mergeCell ref="B746:F746"/>
    <mergeCell ref="B747:B767"/>
    <mergeCell ref="B768:F768"/>
    <mergeCell ref="B769:B789"/>
    <mergeCell ref="C843:F843"/>
    <mergeCell ref="C844:F844"/>
    <mergeCell ref="C845:F845"/>
    <mergeCell ref="B846:B866"/>
    <mergeCell ref="B867:F867"/>
    <mergeCell ref="B868:B871"/>
    <mergeCell ref="C837:E837"/>
    <mergeCell ref="B838:F838"/>
    <mergeCell ref="B839:F839"/>
    <mergeCell ref="C840:F840"/>
    <mergeCell ref="C841:F841"/>
    <mergeCell ref="C842:F842"/>
    <mergeCell ref="B882:F882"/>
    <mergeCell ref="C883:F883"/>
    <mergeCell ref="C884:F884"/>
    <mergeCell ref="C885:F885"/>
    <mergeCell ref="C886:F886"/>
    <mergeCell ref="C887:F887"/>
    <mergeCell ref="B872:F872"/>
    <mergeCell ref="B873:B877"/>
    <mergeCell ref="C878:E878"/>
    <mergeCell ref="C879:E879"/>
    <mergeCell ref="C880:E880"/>
    <mergeCell ref="B881:F881"/>
    <mergeCell ref="B920:F920"/>
    <mergeCell ref="C921:F921"/>
    <mergeCell ref="B922:B944"/>
    <mergeCell ref="B945:F945"/>
    <mergeCell ref="B946:B966"/>
    <mergeCell ref="B967:F967"/>
    <mergeCell ref="B888:B908"/>
    <mergeCell ref="B909:F909"/>
    <mergeCell ref="C910:F910"/>
    <mergeCell ref="C911:F911"/>
    <mergeCell ref="C912:F912"/>
    <mergeCell ref="B913:B919"/>
    <mergeCell ref="C1037:F1037"/>
    <mergeCell ref="C1038:F1038"/>
    <mergeCell ref="C1039:F1039"/>
    <mergeCell ref="C1040:F1040"/>
    <mergeCell ref="B1041:B1062"/>
    <mergeCell ref="B1063:F1063"/>
    <mergeCell ref="B968:B989"/>
    <mergeCell ref="B990:F990"/>
    <mergeCell ref="B991:B1012"/>
    <mergeCell ref="B1013:F1013"/>
    <mergeCell ref="B1014:B1035"/>
    <mergeCell ref="B1036:F1036"/>
    <mergeCell ref="B1091:B1107"/>
    <mergeCell ref="B1108:F1108"/>
    <mergeCell ref="B1109:B1118"/>
    <mergeCell ref="B1119:F1119"/>
    <mergeCell ref="B1120:B1129"/>
    <mergeCell ref="C1130:E1130"/>
    <mergeCell ref="B1064:B1085"/>
    <mergeCell ref="C1086:E1086"/>
    <mergeCell ref="C1087:E1087"/>
    <mergeCell ref="C1088:E1088"/>
    <mergeCell ref="B1089:F1089"/>
    <mergeCell ref="B1090:F1090"/>
    <mergeCell ref="B1155:B1186"/>
    <mergeCell ref="B1187:F1187"/>
    <mergeCell ref="B1188:B1206"/>
    <mergeCell ref="B1207:F1207"/>
    <mergeCell ref="B1208:B1226"/>
    <mergeCell ref="B1227:F1227"/>
    <mergeCell ref="C1131:E1131"/>
    <mergeCell ref="C1132:E1132"/>
    <mergeCell ref="B1133:F1133"/>
    <mergeCell ref="B1134:F1134"/>
    <mergeCell ref="B1135:B1153"/>
    <mergeCell ref="B1154:F1154"/>
    <mergeCell ref="C1272:E1272"/>
    <mergeCell ref="C1273:E1273"/>
    <mergeCell ref="C1274:E1274"/>
    <mergeCell ref="C1275:E1275"/>
    <mergeCell ref="B1228:B1247"/>
    <mergeCell ref="B1248:F1248"/>
    <mergeCell ref="B1249:B1268"/>
    <mergeCell ref="C1269:E1269"/>
    <mergeCell ref="C1270:E1270"/>
    <mergeCell ref="C1271:E1271"/>
  </mergeCells>
  <pageMargins left="0.35433070866141736" right="0.23622047244094491" top="0.74803149606299213" bottom="0.74803149606299213" header="0.31496062992125984" footer="0.31496062992125984"/>
  <pageSetup paperSize="9" scale="99" fitToHeight="0" orientation="landscape" r:id="rId1"/>
  <headerFooter>
    <oddHeader>&amp;LГранд-СМЕТА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16" zoomScaleNormal="100" zoomScaleSheetLayoutView="100" workbookViewId="0">
      <selection activeCell="F24" sqref="F24"/>
    </sheetView>
  </sheetViews>
  <sheetFormatPr defaultRowHeight="15" x14ac:dyDescent="0.25"/>
  <cols>
    <col min="1" max="1" width="9.28515625" bestFit="1" customWidth="1"/>
    <col min="2" max="2" width="35.7109375" customWidth="1"/>
    <col min="3" max="3" width="25" customWidth="1"/>
    <col min="4" max="4" width="11.85546875" customWidth="1"/>
    <col min="6" max="6" width="13" customWidth="1"/>
    <col min="7" max="7" width="17.5703125" customWidth="1"/>
    <col min="8" max="8" width="18.140625" customWidth="1"/>
  </cols>
  <sheetData>
    <row r="1" spans="1:8" ht="15.75" x14ac:dyDescent="0.25">
      <c r="A1" s="73"/>
      <c r="B1" s="74"/>
      <c r="C1" s="75"/>
      <c r="D1" s="75"/>
      <c r="E1" s="75"/>
      <c r="F1" s="74"/>
      <c r="G1" s="74"/>
      <c r="H1" s="76"/>
    </row>
    <row r="2" spans="1:8" ht="15.75" x14ac:dyDescent="0.25">
      <c r="A2" s="1161" t="s">
        <v>60</v>
      </c>
      <c r="B2" s="1162"/>
      <c r="C2" s="1162"/>
      <c r="D2" s="1162"/>
      <c r="E2" s="1162"/>
      <c r="F2" s="1162"/>
      <c r="G2" s="1162"/>
      <c r="H2" s="1162"/>
    </row>
    <row r="3" spans="1:8" ht="15.75" x14ac:dyDescent="0.25">
      <c r="A3" s="1163"/>
      <c r="B3" s="1162"/>
      <c r="C3" s="1162"/>
      <c r="D3" s="1162"/>
      <c r="E3" s="1162"/>
      <c r="F3" s="1162"/>
      <c r="G3" s="1162"/>
      <c r="H3" s="1162"/>
    </row>
    <row r="4" spans="1:8" ht="59.25" customHeight="1" x14ac:dyDescent="0.25">
      <c r="A4" s="1164" t="s">
        <v>20</v>
      </c>
      <c r="B4" s="1162"/>
      <c r="C4" s="1165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D4" s="1165"/>
      <c r="E4" s="1165"/>
      <c r="F4" s="1166"/>
      <c r="G4" s="1166"/>
      <c r="H4" s="1166"/>
    </row>
    <row r="5" spans="1:8" ht="22.5" customHeight="1" x14ac:dyDescent="0.25">
      <c r="A5" s="1164" t="s">
        <v>21</v>
      </c>
      <c r="B5" s="1162"/>
      <c r="C5" s="1167"/>
      <c r="D5" s="1167"/>
      <c r="E5" s="1167"/>
      <c r="F5" s="1162"/>
      <c r="G5" s="1162"/>
      <c r="H5" s="1162"/>
    </row>
    <row r="6" spans="1:8" ht="33.75" customHeight="1" x14ac:dyDescent="0.25">
      <c r="A6" s="1172" t="s">
        <v>37</v>
      </c>
      <c r="B6" s="1162"/>
      <c r="C6" s="1167" t="s">
        <v>38</v>
      </c>
      <c r="D6" s="1167"/>
      <c r="E6" s="1167"/>
      <c r="F6" s="1162"/>
      <c r="G6" s="1162"/>
      <c r="H6" s="1162"/>
    </row>
    <row r="7" spans="1:8" ht="15.75" x14ac:dyDescent="0.25">
      <c r="A7" s="1164" t="s">
        <v>23</v>
      </c>
      <c r="B7" s="1162"/>
      <c r="C7" s="1173"/>
      <c r="D7" s="1173"/>
      <c r="E7" s="1173"/>
      <c r="F7" s="1162"/>
      <c r="G7" s="1162"/>
      <c r="H7" s="1162"/>
    </row>
    <row r="8" spans="1:8" ht="15.75" x14ac:dyDescent="0.25">
      <c r="A8" s="1164" t="s">
        <v>24</v>
      </c>
      <c r="B8" s="1162"/>
      <c r="C8" s="1173" t="s">
        <v>1314</v>
      </c>
      <c r="D8" s="1173"/>
      <c r="E8" s="1173"/>
      <c r="F8" s="1162"/>
      <c r="G8" s="1162"/>
      <c r="H8" s="1162"/>
    </row>
    <row r="9" spans="1:8" ht="15.75" x14ac:dyDescent="0.25">
      <c r="A9" s="73"/>
      <c r="B9" s="74"/>
      <c r="C9" s="75"/>
      <c r="D9" s="75"/>
      <c r="E9" s="75"/>
      <c r="F9" s="74"/>
      <c r="G9" s="74"/>
      <c r="H9" s="76"/>
    </row>
    <row r="10" spans="1:8" ht="168.75" customHeight="1" x14ac:dyDescent="0.25">
      <c r="A10" s="77" t="s">
        <v>0</v>
      </c>
      <c r="B10" s="77" t="s">
        <v>25</v>
      </c>
      <c r="C10" s="1168" t="s">
        <v>26</v>
      </c>
      <c r="D10" s="1055"/>
      <c r="E10" s="1055"/>
      <c r="F10" s="77" t="s">
        <v>27</v>
      </c>
      <c r="G10" s="77" t="s">
        <v>28</v>
      </c>
      <c r="H10" s="78" t="s">
        <v>29</v>
      </c>
    </row>
    <row r="11" spans="1:8" ht="49.5" customHeight="1" x14ac:dyDescent="0.25">
      <c r="A11" s="1169">
        <v>1</v>
      </c>
      <c r="B11" s="1023" t="s">
        <v>30</v>
      </c>
      <c r="C11" s="79" t="s">
        <v>1881</v>
      </c>
      <c r="D11" s="80">
        <f>'Сводная ПИР'!G20-'Сводная ПИР'!G18</f>
        <v>28742272</v>
      </c>
      <c r="E11" s="81" t="s">
        <v>40</v>
      </c>
      <c r="F11" s="82"/>
      <c r="G11" s="1155"/>
      <c r="H11" s="1157"/>
    </row>
    <row r="12" spans="1:8" ht="15.75" x14ac:dyDescent="0.25">
      <c r="A12" s="1170"/>
      <c r="B12" s="1023"/>
      <c r="C12" s="79" t="s">
        <v>1880</v>
      </c>
      <c r="D12" s="83">
        <v>4.82</v>
      </c>
      <c r="E12" s="84"/>
      <c r="F12" s="82"/>
      <c r="G12" s="1155"/>
      <c r="H12" s="1157"/>
    </row>
    <row r="13" spans="1:8" ht="35.25" customHeight="1" x14ac:dyDescent="0.25">
      <c r="A13" s="1171"/>
      <c r="B13" s="1023"/>
      <c r="C13" s="79" t="s">
        <v>41</v>
      </c>
      <c r="D13" s="80">
        <f>D11/D12</f>
        <v>5963127</v>
      </c>
      <c r="E13" s="81" t="s">
        <v>40</v>
      </c>
      <c r="F13" s="82"/>
      <c r="G13" s="1155"/>
      <c r="H13" s="1157"/>
    </row>
    <row r="14" spans="1:8" ht="51.75" customHeight="1" x14ac:dyDescent="0.25">
      <c r="A14" s="1006">
        <v>2</v>
      </c>
      <c r="B14" s="1023" t="s">
        <v>22</v>
      </c>
      <c r="C14" s="79" t="s">
        <v>1882</v>
      </c>
      <c r="D14" s="80">
        <f>'Сводная ПИР'!G22</f>
        <v>20998439</v>
      </c>
      <c r="E14" s="81" t="s">
        <v>40</v>
      </c>
      <c r="F14" s="82"/>
      <c r="G14" s="1155"/>
      <c r="H14" s="1157"/>
    </row>
    <row r="15" spans="1:8" ht="15.75" x14ac:dyDescent="0.25">
      <c r="A15" s="1159"/>
      <c r="B15" s="1023"/>
      <c r="C15" s="79" t="s">
        <v>1880</v>
      </c>
      <c r="D15" s="83">
        <v>4.75</v>
      </c>
      <c r="E15" s="84"/>
      <c r="F15" s="82"/>
      <c r="G15" s="1155"/>
      <c r="H15" s="1157"/>
    </row>
    <row r="16" spans="1:8" ht="53.25" customHeight="1" x14ac:dyDescent="0.25">
      <c r="A16" s="1007"/>
      <c r="B16" s="1023"/>
      <c r="C16" s="79" t="s">
        <v>42</v>
      </c>
      <c r="D16" s="80">
        <f>D14/D15</f>
        <v>4420724</v>
      </c>
      <c r="E16" s="81" t="s">
        <v>40</v>
      </c>
      <c r="F16" s="82"/>
      <c r="G16" s="1156"/>
      <c r="H16" s="1158"/>
    </row>
    <row r="17" spans="1:8" ht="30.75" customHeight="1" x14ac:dyDescent="0.25">
      <c r="A17" s="85"/>
      <c r="B17" s="86"/>
      <c r="C17" s="87" t="s">
        <v>43</v>
      </c>
      <c r="D17" s="88">
        <f>D13+D16</f>
        <v>10383851</v>
      </c>
      <c r="E17" s="89" t="s">
        <v>40</v>
      </c>
      <c r="F17" s="90"/>
      <c r="G17" s="91" t="s">
        <v>2204</v>
      </c>
      <c r="H17" s="92"/>
    </row>
    <row r="18" spans="1:8" ht="39" customHeight="1" x14ac:dyDescent="0.25">
      <c r="A18" s="93"/>
      <c r="B18" s="94" t="s">
        <v>44</v>
      </c>
      <c r="C18" s="95" t="s">
        <v>45</v>
      </c>
      <c r="D18" s="96">
        <v>6.1499999999999999E-2</v>
      </c>
      <c r="E18" s="97"/>
      <c r="F18" s="98"/>
      <c r="G18" s="99"/>
      <c r="H18" s="100">
        <f>D17*D18</f>
        <v>638607</v>
      </c>
    </row>
    <row r="19" spans="1:8" ht="45.75" customHeight="1" x14ac:dyDescent="0.25">
      <c r="A19" s="93"/>
      <c r="B19" s="101"/>
      <c r="C19" s="102" t="s">
        <v>123</v>
      </c>
      <c r="D19" s="103">
        <v>5.71</v>
      </c>
      <c r="E19" s="97"/>
      <c r="F19" s="98"/>
      <c r="G19" s="30"/>
      <c r="H19" s="104">
        <f>H18*D19</f>
        <v>3646446</v>
      </c>
    </row>
    <row r="20" spans="1:8" ht="32.25" customHeight="1" x14ac:dyDescent="0.25">
      <c r="A20" s="105"/>
      <c r="B20" s="105"/>
      <c r="C20" s="640" t="s">
        <v>1099</v>
      </c>
      <c r="D20" s="609">
        <v>1.0349999999999999</v>
      </c>
      <c r="E20" s="105"/>
      <c r="F20" s="105"/>
      <c r="G20" s="105"/>
      <c r="H20" s="641">
        <f>H19*1.035</f>
        <v>3774071.61</v>
      </c>
    </row>
    <row r="21" spans="1:8" ht="22.5" customHeight="1" x14ac:dyDescent="0.25">
      <c r="A21" s="6"/>
      <c r="B21" s="6"/>
      <c r="C21" s="610" t="s">
        <v>1100</v>
      </c>
      <c r="D21" s="609"/>
      <c r="E21" s="6"/>
      <c r="F21" s="6"/>
      <c r="G21" s="6"/>
      <c r="H21" s="641">
        <f>H20*1.2</f>
        <v>4528885.93</v>
      </c>
    </row>
    <row r="22" spans="1:8" x14ac:dyDescent="0.25">
      <c r="C22" s="1160" t="s">
        <v>429</v>
      </c>
      <c r="D22" s="1160"/>
    </row>
    <row r="23" spans="1:8" x14ac:dyDescent="0.25">
      <c r="C23" s="139"/>
      <c r="D23" s="139"/>
    </row>
    <row r="24" spans="1:8" ht="60" x14ac:dyDescent="0.25">
      <c r="C24" s="140" t="s">
        <v>430</v>
      </c>
      <c r="D24" s="140" t="s">
        <v>431</v>
      </c>
    </row>
    <row r="25" spans="1:8" x14ac:dyDescent="0.25">
      <c r="C25" s="140" t="s">
        <v>432</v>
      </c>
      <c r="D25" s="140" t="s">
        <v>433</v>
      </c>
    </row>
    <row r="26" spans="1:8" x14ac:dyDescent="0.25">
      <c r="C26" s="140" t="s">
        <v>434</v>
      </c>
      <c r="D26" s="140">
        <v>33.75</v>
      </c>
    </row>
    <row r="27" spans="1:8" x14ac:dyDescent="0.25">
      <c r="C27" s="140" t="s">
        <v>435</v>
      </c>
      <c r="D27" s="140">
        <v>29.25</v>
      </c>
    </row>
    <row r="28" spans="1:8" x14ac:dyDescent="0.25">
      <c r="C28" s="140" t="s">
        <v>436</v>
      </c>
      <c r="D28" s="140">
        <v>27.3</v>
      </c>
    </row>
    <row r="29" spans="1:8" x14ac:dyDescent="0.25">
      <c r="C29" s="140" t="s">
        <v>437</v>
      </c>
      <c r="D29" s="140">
        <v>20.22</v>
      </c>
    </row>
    <row r="30" spans="1:8" x14ac:dyDescent="0.25">
      <c r="C30" s="140" t="s">
        <v>438</v>
      </c>
      <c r="D30" s="140">
        <v>16.649999999999999</v>
      </c>
    </row>
    <row r="31" spans="1:8" x14ac:dyDescent="0.25">
      <c r="C31" s="140" t="s">
        <v>439</v>
      </c>
      <c r="D31" s="140">
        <v>12.69</v>
      </c>
    </row>
    <row r="32" spans="1:8" x14ac:dyDescent="0.25">
      <c r="C32" s="140" t="s">
        <v>440</v>
      </c>
      <c r="D32" s="140">
        <v>11.88</v>
      </c>
    </row>
    <row r="33" spans="3:4" x14ac:dyDescent="0.25">
      <c r="C33" s="140" t="s">
        <v>441</v>
      </c>
      <c r="D33" s="140">
        <v>10.98</v>
      </c>
    </row>
    <row r="34" spans="3:4" x14ac:dyDescent="0.25">
      <c r="C34" s="140" t="s">
        <v>442</v>
      </c>
      <c r="D34" s="140">
        <v>8.77</v>
      </c>
    </row>
    <row r="35" spans="3:4" x14ac:dyDescent="0.25">
      <c r="C35" s="140" t="s">
        <v>443</v>
      </c>
      <c r="D35" s="140">
        <v>7.07</v>
      </c>
    </row>
    <row r="36" spans="3:4" x14ac:dyDescent="0.25">
      <c r="C36" s="140" t="s">
        <v>444</v>
      </c>
      <c r="D36" s="140">
        <v>6.15</v>
      </c>
    </row>
    <row r="37" spans="3:4" x14ac:dyDescent="0.25">
      <c r="C37" s="140" t="s">
        <v>445</v>
      </c>
      <c r="D37" s="140">
        <v>4.76</v>
      </c>
    </row>
    <row r="38" spans="3:4" x14ac:dyDescent="0.25">
      <c r="C38" s="140" t="s">
        <v>446</v>
      </c>
      <c r="D38" s="140">
        <v>4.13</v>
      </c>
    </row>
    <row r="39" spans="3:4" x14ac:dyDescent="0.25">
      <c r="C39" s="140" t="s">
        <v>447</v>
      </c>
      <c r="D39" s="140">
        <v>3.52</v>
      </c>
    </row>
    <row r="40" spans="3:4" x14ac:dyDescent="0.25">
      <c r="C40" s="140" t="s">
        <v>448</v>
      </c>
      <c r="D40" s="140">
        <v>3.06</v>
      </c>
    </row>
    <row r="41" spans="3:4" x14ac:dyDescent="0.25">
      <c r="C41" s="140" t="s">
        <v>449</v>
      </c>
      <c r="D41" s="140">
        <v>2.62</v>
      </c>
    </row>
    <row r="42" spans="3:4" x14ac:dyDescent="0.25">
      <c r="C42" s="140" t="s">
        <v>450</v>
      </c>
      <c r="D42" s="140">
        <v>2.33</v>
      </c>
    </row>
    <row r="43" spans="3:4" x14ac:dyDescent="0.25">
      <c r="C43" s="140" t="s">
        <v>451</v>
      </c>
      <c r="D43" s="140">
        <v>2.0099999999999998</v>
      </c>
    </row>
    <row r="44" spans="3:4" x14ac:dyDescent="0.25">
      <c r="C44" s="140" t="s">
        <v>452</v>
      </c>
      <c r="D44" s="140">
        <v>1.68</v>
      </c>
    </row>
    <row r="45" spans="3:4" x14ac:dyDescent="0.25">
      <c r="C45" s="140" t="s">
        <v>453</v>
      </c>
      <c r="D45" s="140">
        <v>1.56</v>
      </c>
    </row>
    <row r="46" spans="3:4" x14ac:dyDescent="0.25">
      <c r="C46" s="140" t="s">
        <v>454</v>
      </c>
      <c r="D46" s="140">
        <v>1.22</v>
      </c>
    </row>
    <row r="47" spans="3:4" x14ac:dyDescent="0.25">
      <c r="C47" s="140" t="s">
        <v>455</v>
      </c>
      <c r="D47" s="140">
        <v>1.04</v>
      </c>
    </row>
    <row r="48" spans="3:4" x14ac:dyDescent="0.25">
      <c r="C48" s="140" t="s">
        <v>456</v>
      </c>
      <c r="D48" s="140">
        <v>0.9</v>
      </c>
    </row>
    <row r="49" spans="3:4" x14ac:dyDescent="0.25">
      <c r="C49" s="140" t="s">
        <v>457</v>
      </c>
      <c r="D49" s="140">
        <v>0.8</v>
      </c>
    </row>
    <row r="50" spans="3:4" x14ac:dyDescent="0.25">
      <c r="C50" s="140" t="s">
        <v>458</v>
      </c>
      <c r="D50" s="140">
        <v>0.73</v>
      </c>
    </row>
    <row r="51" spans="3:4" x14ac:dyDescent="0.25">
      <c r="C51" s="140" t="s">
        <v>459</v>
      </c>
      <c r="D51" s="140">
        <v>0.66</v>
      </c>
    </row>
    <row r="52" spans="3:4" x14ac:dyDescent="0.25">
      <c r="C52" s="140" t="s">
        <v>460</v>
      </c>
      <c r="D52" s="140">
        <v>0.61</v>
      </c>
    </row>
    <row r="53" spans="3:4" x14ac:dyDescent="0.25">
      <c r="C53" s="140" t="s">
        <v>461</v>
      </c>
      <c r="D53" s="140">
        <v>0.57999999999999996</v>
      </c>
    </row>
  </sheetData>
  <mergeCells count="20">
    <mergeCell ref="C10:E10"/>
    <mergeCell ref="A11:A13"/>
    <mergeCell ref="B11:B13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  <mergeCell ref="G11:G16"/>
    <mergeCell ref="H11:H16"/>
    <mergeCell ref="A14:A16"/>
    <mergeCell ref="B14:B16"/>
    <mergeCell ref="C22:D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209"/>
  <sheetViews>
    <sheetView view="pageBreakPreview" zoomScaleNormal="100" zoomScaleSheetLayoutView="100" workbookViewId="0">
      <selection activeCell="E20" sqref="E20:E22"/>
    </sheetView>
  </sheetViews>
  <sheetFormatPr defaultColWidth="11" defaultRowHeight="12.75" x14ac:dyDescent="0.2"/>
  <cols>
    <col min="1" max="1" width="7" style="245" customWidth="1"/>
    <col min="2" max="2" width="47.42578125" style="246" bestFit="1" customWidth="1"/>
    <col min="3" max="3" width="20.140625" style="246" bestFit="1" customWidth="1"/>
    <col min="4" max="4" width="6.42578125" style="245" customWidth="1"/>
    <col min="5" max="5" width="8.42578125" style="247" customWidth="1"/>
    <col min="6" max="6" width="2.42578125" style="247" customWidth="1"/>
    <col min="7" max="7" width="6.7109375" style="248" bestFit="1" customWidth="1"/>
    <col min="8" max="8" width="1.7109375" style="247" bestFit="1" customWidth="1"/>
    <col min="9" max="9" width="6.42578125" style="248" bestFit="1" customWidth="1"/>
    <col min="10" max="10" width="5.28515625" style="259" bestFit="1" customWidth="1"/>
    <col min="11" max="11" width="6.42578125" style="247" bestFit="1" customWidth="1"/>
    <col min="12" max="12" width="4" style="247" bestFit="1" customWidth="1"/>
    <col min="13" max="13" width="4" style="245" bestFit="1" customWidth="1"/>
    <col min="14" max="14" width="16.7109375" style="245" bestFit="1" customWidth="1"/>
    <col min="15" max="256" width="11" style="245"/>
    <col min="257" max="257" width="7" style="245" customWidth="1"/>
    <col min="258" max="258" width="47.42578125" style="245" bestFit="1" customWidth="1"/>
    <col min="259" max="259" width="20.140625" style="245" bestFit="1" customWidth="1"/>
    <col min="260" max="260" width="6.42578125" style="245" customWidth="1"/>
    <col min="261" max="261" width="8.42578125" style="245" customWidth="1"/>
    <col min="262" max="262" width="2.42578125" style="245" customWidth="1"/>
    <col min="263" max="263" width="6.7109375" style="245" bestFit="1" customWidth="1"/>
    <col min="264" max="264" width="1.7109375" style="245" bestFit="1" customWidth="1"/>
    <col min="265" max="265" width="6.42578125" style="245" bestFit="1" customWidth="1"/>
    <col min="266" max="266" width="5.28515625" style="245" bestFit="1" customWidth="1"/>
    <col min="267" max="269" width="4" style="245" bestFit="1" customWidth="1"/>
    <col min="270" max="270" width="16.7109375" style="245" bestFit="1" customWidth="1"/>
    <col min="271" max="512" width="11" style="245"/>
    <col min="513" max="513" width="7" style="245" customWidth="1"/>
    <col min="514" max="514" width="47.42578125" style="245" bestFit="1" customWidth="1"/>
    <col min="515" max="515" width="20.140625" style="245" bestFit="1" customWidth="1"/>
    <col min="516" max="516" width="6.42578125" style="245" customWidth="1"/>
    <col min="517" max="517" width="8.42578125" style="245" customWidth="1"/>
    <col min="518" max="518" width="2.42578125" style="245" customWidth="1"/>
    <col min="519" max="519" width="6.7109375" style="245" bestFit="1" customWidth="1"/>
    <col min="520" max="520" width="1.7109375" style="245" bestFit="1" customWidth="1"/>
    <col min="521" max="521" width="6.42578125" style="245" bestFit="1" customWidth="1"/>
    <col min="522" max="522" width="5.28515625" style="245" bestFit="1" customWidth="1"/>
    <col min="523" max="525" width="4" style="245" bestFit="1" customWidth="1"/>
    <col min="526" max="526" width="16.7109375" style="245" bestFit="1" customWidth="1"/>
    <col min="527" max="768" width="11" style="245"/>
    <col min="769" max="769" width="7" style="245" customWidth="1"/>
    <col min="770" max="770" width="47.42578125" style="245" bestFit="1" customWidth="1"/>
    <col min="771" max="771" width="20.140625" style="245" bestFit="1" customWidth="1"/>
    <col min="772" max="772" width="6.42578125" style="245" customWidth="1"/>
    <col min="773" max="773" width="8.42578125" style="245" customWidth="1"/>
    <col min="774" max="774" width="2.42578125" style="245" customWidth="1"/>
    <col min="775" max="775" width="6.7109375" style="245" bestFit="1" customWidth="1"/>
    <col min="776" max="776" width="1.7109375" style="245" bestFit="1" customWidth="1"/>
    <col min="777" max="777" width="6.42578125" style="245" bestFit="1" customWidth="1"/>
    <col min="778" max="778" width="5.28515625" style="245" bestFit="1" customWidth="1"/>
    <col min="779" max="781" width="4" style="245" bestFit="1" customWidth="1"/>
    <col min="782" max="782" width="16.7109375" style="245" bestFit="1" customWidth="1"/>
    <col min="783" max="1024" width="11" style="245"/>
    <col min="1025" max="1025" width="7" style="245" customWidth="1"/>
    <col min="1026" max="1026" width="47.42578125" style="245" bestFit="1" customWidth="1"/>
    <col min="1027" max="1027" width="20.140625" style="245" bestFit="1" customWidth="1"/>
    <col min="1028" max="1028" width="6.42578125" style="245" customWidth="1"/>
    <col min="1029" max="1029" width="8.42578125" style="245" customWidth="1"/>
    <col min="1030" max="1030" width="2.42578125" style="245" customWidth="1"/>
    <col min="1031" max="1031" width="6.7109375" style="245" bestFit="1" customWidth="1"/>
    <col min="1032" max="1032" width="1.7109375" style="245" bestFit="1" customWidth="1"/>
    <col min="1033" max="1033" width="6.42578125" style="245" bestFit="1" customWidth="1"/>
    <col min="1034" max="1034" width="5.28515625" style="245" bestFit="1" customWidth="1"/>
    <col min="1035" max="1037" width="4" style="245" bestFit="1" customWidth="1"/>
    <col min="1038" max="1038" width="16.7109375" style="245" bestFit="1" customWidth="1"/>
    <col min="1039" max="1280" width="11" style="245"/>
    <col min="1281" max="1281" width="7" style="245" customWidth="1"/>
    <col min="1282" max="1282" width="47.42578125" style="245" bestFit="1" customWidth="1"/>
    <col min="1283" max="1283" width="20.140625" style="245" bestFit="1" customWidth="1"/>
    <col min="1284" max="1284" width="6.42578125" style="245" customWidth="1"/>
    <col min="1285" max="1285" width="8.42578125" style="245" customWidth="1"/>
    <col min="1286" max="1286" width="2.42578125" style="245" customWidth="1"/>
    <col min="1287" max="1287" width="6.7109375" style="245" bestFit="1" customWidth="1"/>
    <col min="1288" max="1288" width="1.7109375" style="245" bestFit="1" customWidth="1"/>
    <col min="1289" max="1289" width="6.42578125" style="245" bestFit="1" customWidth="1"/>
    <col min="1290" max="1290" width="5.28515625" style="245" bestFit="1" customWidth="1"/>
    <col min="1291" max="1293" width="4" style="245" bestFit="1" customWidth="1"/>
    <col min="1294" max="1294" width="16.7109375" style="245" bestFit="1" customWidth="1"/>
    <col min="1295" max="1536" width="11" style="245"/>
    <col min="1537" max="1537" width="7" style="245" customWidth="1"/>
    <col min="1538" max="1538" width="47.42578125" style="245" bestFit="1" customWidth="1"/>
    <col min="1539" max="1539" width="20.140625" style="245" bestFit="1" customWidth="1"/>
    <col min="1540" max="1540" width="6.42578125" style="245" customWidth="1"/>
    <col min="1541" max="1541" width="8.42578125" style="245" customWidth="1"/>
    <col min="1542" max="1542" width="2.42578125" style="245" customWidth="1"/>
    <col min="1543" max="1543" width="6.7109375" style="245" bestFit="1" customWidth="1"/>
    <col min="1544" max="1544" width="1.7109375" style="245" bestFit="1" customWidth="1"/>
    <col min="1545" max="1545" width="6.42578125" style="245" bestFit="1" customWidth="1"/>
    <col min="1546" max="1546" width="5.28515625" style="245" bestFit="1" customWidth="1"/>
    <col min="1547" max="1549" width="4" style="245" bestFit="1" customWidth="1"/>
    <col min="1550" max="1550" width="16.7109375" style="245" bestFit="1" customWidth="1"/>
    <col min="1551" max="1792" width="11" style="245"/>
    <col min="1793" max="1793" width="7" style="245" customWidth="1"/>
    <col min="1794" max="1794" width="47.42578125" style="245" bestFit="1" customWidth="1"/>
    <col min="1795" max="1795" width="20.140625" style="245" bestFit="1" customWidth="1"/>
    <col min="1796" max="1796" width="6.42578125" style="245" customWidth="1"/>
    <col min="1797" max="1797" width="8.42578125" style="245" customWidth="1"/>
    <col min="1798" max="1798" width="2.42578125" style="245" customWidth="1"/>
    <col min="1799" max="1799" width="6.7109375" style="245" bestFit="1" customWidth="1"/>
    <col min="1800" max="1800" width="1.7109375" style="245" bestFit="1" customWidth="1"/>
    <col min="1801" max="1801" width="6.42578125" style="245" bestFit="1" customWidth="1"/>
    <col min="1802" max="1802" width="5.28515625" style="245" bestFit="1" customWidth="1"/>
    <col min="1803" max="1805" width="4" style="245" bestFit="1" customWidth="1"/>
    <col min="1806" max="1806" width="16.7109375" style="245" bestFit="1" customWidth="1"/>
    <col min="1807" max="2048" width="11" style="245"/>
    <col min="2049" max="2049" width="7" style="245" customWidth="1"/>
    <col min="2050" max="2050" width="47.42578125" style="245" bestFit="1" customWidth="1"/>
    <col min="2051" max="2051" width="20.140625" style="245" bestFit="1" customWidth="1"/>
    <col min="2052" max="2052" width="6.42578125" style="245" customWidth="1"/>
    <col min="2053" max="2053" width="8.42578125" style="245" customWidth="1"/>
    <col min="2054" max="2054" width="2.42578125" style="245" customWidth="1"/>
    <col min="2055" max="2055" width="6.7109375" style="245" bestFit="1" customWidth="1"/>
    <col min="2056" max="2056" width="1.7109375" style="245" bestFit="1" customWidth="1"/>
    <col min="2057" max="2057" width="6.42578125" style="245" bestFit="1" customWidth="1"/>
    <col min="2058" max="2058" width="5.28515625" style="245" bestFit="1" customWidth="1"/>
    <col min="2059" max="2061" width="4" style="245" bestFit="1" customWidth="1"/>
    <col min="2062" max="2062" width="16.7109375" style="245" bestFit="1" customWidth="1"/>
    <col min="2063" max="2304" width="11" style="245"/>
    <col min="2305" max="2305" width="7" style="245" customWidth="1"/>
    <col min="2306" max="2306" width="47.42578125" style="245" bestFit="1" customWidth="1"/>
    <col min="2307" max="2307" width="20.140625" style="245" bestFit="1" customWidth="1"/>
    <col min="2308" max="2308" width="6.42578125" style="245" customWidth="1"/>
    <col min="2309" max="2309" width="8.42578125" style="245" customWidth="1"/>
    <col min="2310" max="2310" width="2.42578125" style="245" customWidth="1"/>
    <col min="2311" max="2311" width="6.7109375" style="245" bestFit="1" customWidth="1"/>
    <col min="2312" max="2312" width="1.7109375" style="245" bestFit="1" customWidth="1"/>
    <col min="2313" max="2313" width="6.42578125" style="245" bestFit="1" customWidth="1"/>
    <col min="2314" max="2314" width="5.28515625" style="245" bestFit="1" customWidth="1"/>
    <col min="2315" max="2317" width="4" style="245" bestFit="1" customWidth="1"/>
    <col min="2318" max="2318" width="16.7109375" style="245" bestFit="1" customWidth="1"/>
    <col min="2319" max="2560" width="11" style="245"/>
    <col min="2561" max="2561" width="7" style="245" customWidth="1"/>
    <col min="2562" max="2562" width="47.42578125" style="245" bestFit="1" customWidth="1"/>
    <col min="2563" max="2563" width="20.140625" style="245" bestFit="1" customWidth="1"/>
    <col min="2564" max="2564" width="6.42578125" style="245" customWidth="1"/>
    <col min="2565" max="2565" width="8.42578125" style="245" customWidth="1"/>
    <col min="2566" max="2566" width="2.42578125" style="245" customWidth="1"/>
    <col min="2567" max="2567" width="6.7109375" style="245" bestFit="1" customWidth="1"/>
    <col min="2568" max="2568" width="1.7109375" style="245" bestFit="1" customWidth="1"/>
    <col min="2569" max="2569" width="6.42578125" style="245" bestFit="1" customWidth="1"/>
    <col min="2570" max="2570" width="5.28515625" style="245" bestFit="1" customWidth="1"/>
    <col min="2571" max="2573" width="4" style="245" bestFit="1" customWidth="1"/>
    <col min="2574" max="2574" width="16.7109375" style="245" bestFit="1" customWidth="1"/>
    <col min="2575" max="2816" width="11" style="245"/>
    <col min="2817" max="2817" width="7" style="245" customWidth="1"/>
    <col min="2818" max="2818" width="47.42578125" style="245" bestFit="1" customWidth="1"/>
    <col min="2819" max="2819" width="20.140625" style="245" bestFit="1" customWidth="1"/>
    <col min="2820" max="2820" width="6.42578125" style="245" customWidth="1"/>
    <col min="2821" max="2821" width="8.42578125" style="245" customWidth="1"/>
    <col min="2822" max="2822" width="2.42578125" style="245" customWidth="1"/>
    <col min="2823" max="2823" width="6.7109375" style="245" bestFit="1" customWidth="1"/>
    <col min="2824" max="2824" width="1.7109375" style="245" bestFit="1" customWidth="1"/>
    <col min="2825" max="2825" width="6.42578125" style="245" bestFit="1" customWidth="1"/>
    <col min="2826" max="2826" width="5.28515625" style="245" bestFit="1" customWidth="1"/>
    <col min="2827" max="2829" width="4" style="245" bestFit="1" customWidth="1"/>
    <col min="2830" max="2830" width="16.7109375" style="245" bestFit="1" customWidth="1"/>
    <col min="2831" max="3072" width="11" style="245"/>
    <col min="3073" max="3073" width="7" style="245" customWidth="1"/>
    <col min="3074" max="3074" width="47.42578125" style="245" bestFit="1" customWidth="1"/>
    <col min="3075" max="3075" width="20.140625" style="245" bestFit="1" customWidth="1"/>
    <col min="3076" max="3076" width="6.42578125" style="245" customWidth="1"/>
    <col min="3077" max="3077" width="8.42578125" style="245" customWidth="1"/>
    <col min="3078" max="3078" width="2.42578125" style="245" customWidth="1"/>
    <col min="3079" max="3079" width="6.7109375" style="245" bestFit="1" customWidth="1"/>
    <col min="3080" max="3080" width="1.7109375" style="245" bestFit="1" customWidth="1"/>
    <col min="3081" max="3081" width="6.42578125" style="245" bestFit="1" customWidth="1"/>
    <col min="3082" max="3082" width="5.28515625" style="245" bestFit="1" customWidth="1"/>
    <col min="3083" max="3085" width="4" style="245" bestFit="1" customWidth="1"/>
    <col min="3086" max="3086" width="16.7109375" style="245" bestFit="1" customWidth="1"/>
    <col min="3087" max="3328" width="11" style="245"/>
    <col min="3329" max="3329" width="7" style="245" customWidth="1"/>
    <col min="3330" max="3330" width="47.42578125" style="245" bestFit="1" customWidth="1"/>
    <col min="3331" max="3331" width="20.140625" style="245" bestFit="1" customWidth="1"/>
    <col min="3332" max="3332" width="6.42578125" style="245" customWidth="1"/>
    <col min="3333" max="3333" width="8.42578125" style="245" customWidth="1"/>
    <col min="3334" max="3334" width="2.42578125" style="245" customWidth="1"/>
    <col min="3335" max="3335" width="6.7109375" style="245" bestFit="1" customWidth="1"/>
    <col min="3336" max="3336" width="1.7109375" style="245" bestFit="1" customWidth="1"/>
    <col min="3337" max="3337" width="6.42578125" style="245" bestFit="1" customWidth="1"/>
    <col min="3338" max="3338" width="5.28515625" style="245" bestFit="1" customWidth="1"/>
    <col min="3339" max="3341" width="4" style="245" bestFit="1" customWidth="1"/>
    <col min="3342" max="3342" width="16.7109375" style="245" bestFit="1" customWidth="1"/>
    <col min="3343" max="3584" width="11" style="245"/>
    <col min="3585" max="3585" width="7" style="245" customWidth="1"/>
    <col min="3586" max="3586" width="47.42578125" style="245" bestFit="1" customWidth="1"/>
    <col min="3587" max="3587" width="20.140625" style="245" bestFit="1" customWidth="1"/>
    <col min="3588" max="3588" width="6.42578125" style="245" customWidth="1"/>
    <col min="3589" max="3589" width="8.42578125" style="245" customWidth="1"/>
    <col min="3590" max="3590" width="2.42578125" style="245" customWidth="1"/>
    <col min="3591" max="3591" width="6.7109375" style="245" bestFit="1" customWidth="1"/>
    <col min="3592" max="3592" width="1.7109375" style="245" bestFit="1" customWidth="1"/>
    <col min="3593" max="3593" width="6.42578125" style="245" bestFit="1" customWidth="1"/>
    <col min="3594" max="3594" width="5.28515625" style="245" bestFit="1" customWidth="1"/>
    <col min="3595" max="3597" width="4" style="245" bestFit="1" customWidth="1"/>
    <col min="3598" max="3598" width="16.7109375" style="245" bestFit="1" customWidth="1"/>
    <col min="3599" max="3840" width="11" style="245"/>
    <col min="3841" max="3841" width="7" style="245" customWidth="1"/>
    <col min="3842" max="3842" width="47.42578125" style="245" bestFit="1" customWidth="1"/>
    <col min="3843" max="3843" width="20.140625" style="245" bestFit="1" customWidth="1"/>
    <col min="3844" max="3844" width="6.42578125" style="245" customWidth="1"/>
    <col min="3845" max="3845" width="8.42578125" style="245" customWidth="1"/>
    <col min="3846" max="3846" width="2.42578125" style="245" customWidth="1"/>
    <col min="3847" max="3847" width="6.7109375" style="245" bestFit="1" customWidth="1"/>
    <col min="3848" max="3848" width="1.7109375" style="245" bestFit="1" customWidth="1"/>
    <col min="3849" max="3849" width="6.42578125" style="245" bestFit="1" customWidth="1"/>
    <col min="3850" max="3850" width="5.28515625" style="245" bestFit="1" customWidth="1"/>
    <col min="3851" max="3853" width="4" style="245" bestFit="1" customWidth="1"/>
    <col min="3854" max="3854" width="16.7109375" style="245" bestFit="1" customWidth="1"/>
    <col min="3855" max="4096" width="11" style="245"/>
    <col min="4097" max="4097" width="7" style="245" customWidth="1"/>
    <col min="4098" max="4098" width="47.42578125" style="245" bestFit="1" customWidth="1"/>
    <col min="4099" max="4099" width="20.140625" style="245" bestFit="1" customWidth="1"/>
    <col min="4100" max="4100" width="6.42578125" style="245" customWidth="1"/>
    <col min="4101" max="4101" width="8.42578125" style="245" customWidth="1"/>
    <col min="4102" max="4102" width="2.42578125" style="245" customWidth="1"/>
    <col min="4103" max="4103" width="6.7109375" style="245" bestFit="1" customWidth="1"/>
    <col min="4104" max="4104" width="1.7109375" style="245" bestFit="1" customWidth="1"/>
    <col min="4105" max="4105" width="6.42578125" style="245" bestFit="1" customWidth="1"/>
    <col min="4106" max="4106" width="5.28515625" style="245" bestFit="1" customWidth="1"/>
    <col min="4107" max="4109" width="4" style="245" bestFit="1" customWidth="1"/>
    <col min="4110" max="4110" width="16.7109375" style="245" bestFit="1" customWidth="1"/>
    <col min="4111" max="4352" width="11" style="245"/>
    <col min="4353" max="4353" width="7" style="245" customWidth="1"/>
    <col min="4354" max="4354" width="47.42578125" style="245" bestFit="1" customWidth="1"/>
    <col min="4355" max="4355" width="20.140625" style="245" bestFit="1" customWidth="1"/>
    <col min="4356" max="4356" width="6.42578125" style="245" customWidth="1"/>
    <col min="4357" max="4357" width="8.42578125" style="245" customWidth="1"/>
    <col min="4358" max="4358" width="2.42578125" style="245" customWidth="1"/>
    <col min="4359" max="4359" width="6.7109375" style="245" bestFit="1" customWidth="1"/>
    <col min="4360" max="4360" width="1.7109375" style="245" bestFit="1" customWidth="1"/>
    <col min="4361" max="4361" width="6.42578125" style="245" bestFit="1" customWidth="1"/>
    <col min="4362" max="4362" width="5.28515625" style="245" bestFit="1" customWidth="1"/>
    <col min="4363" max="4365" width="4" style="245" bestFit="1" customWidth="1"/>
    <col min="4366" max="4366" width="16.7109375" style="245" bestFit="1" customWidth="1"/>
    <col min="4367" max="4608" width="11" style="245"/>
    <col min="4609" max="4609" width="7" style="245" customWidth="1"/>
    <col min="4610" max="4610" width="47.42578125" style="245" bestFit="1" customWidth="1"/>
    <col min="4611" max="4611" width="20.140625" style="245" bestFit="1" customWidth="1"/>
    <col min="4612" max="4612" width="6.42578125" style="245" customWidth="1"/>
    <col min="4613" max="4613" width="8.42578125" style="245" customWidth="1"/>
    <col min="4614" max="4614" width="2.42578125" style="245" customWidth="1"/>
    <col min="4615" max="4615" width="6.7109375" style="245" bestFit="1" customWidth="1"/>
    <col min="4616" max="4616" width="1.7109375" style="245" bestFit="1" customWidth="1"/>
    <col min="4617" max="4617" width="6.42578125" style="245" bestFit="1" customWidth="1"/>
    <col min="4618" max="4618" width="5.28515625" style="245" bestFit="1" customWidth="1"/>
    <col min="4619" max="4621" width="4" style="245" bestFit="1" customWidth="1"/>
    <col min="4622" max="4622" width="16.7109375" style="245" bestFit="1" customWidth="1"/>
    <col min="4623" max="4864" width="11" style="245"/>
    <col min="4865" max="4865" width="7" style="245" customWidth="1"/>
    <col min="4866" max="4866" width="47.42578125" style="245" bestFit="1" customWidth="1"/>
    <col min="4867" max="4867" width="20.140625" style="245" bestFit="1" customWidth="1"/>
    <col min="4868" max="4868" width="6.42578125" style="245" customWidth="1"/>
    <col min="4869" max="4869" width="8.42578125" style="245" customWidth="1"/>
    <col min="4870" max="4870" width="2.42578125" style="245" customWidth="1"/>
    <col min="4871" max="4871" width="6.7109375" style="245" bestFit="1" customWidth="1"/>
    <col min="4872" max="4872" width="1.7109375" style="245" bestFit="1" customWidth="1"/>
    <col min="4873" max="4873" width="6.42578125" style="245" bestFit="1" customWidth="1"/>
    <col min="4874" max="4874" width="5.28515625" style="245" bestFit="1" customWidth="1"/>
    <col min="4875" max="4877" width="4" style="245" bestFit="1" customWidth="1"/>
    <col min="4878" max="4878" width="16.7109375" style="245" bestFit="1" customWidth="1"/>
    <col min="4879" max="5120" width="11" style="245"/>
    <col min="5121" max="5121" width="7" style="245" customWidth="1"/>
    <col min="5122" max="5122" width="47.42578125" style="245" bestFit="1" customWidth="1"/>
    <col min="5123" max="5123" width="20.140625" style="245" bestFit="1" customWidth="1"/>
    <col min="5124" max="5124" width="6.42578125" style="245" customWidth="1"/>
    <col min="5125" max="5125" width="8.42578125" style="245" customWidth="1"/>
    <col min="5126" max="5126" width="2.42578125" style="245" customWidth="1"/>
    <col min="5127" max="5127" width="6.7109375" style="245" bestFit="1" customWidth="1"/>
    <col min="5128" max="5128" width="1.7109375" style="245" bestFit="1" customWidth="1"/>
    <col min="5129" max="5129" width="6.42578125" style="245" bestFit="1" customWidth="1"/>
    <col min="5130" max="5130" width="5.28515625" style="245" bestFit="1" customWidth="1"/>
    <col min="5131" max="5133" width="4" style="245" bestFit="1" customWidth="1"/>
    <col min="5134" max="5134" width="16.7109375" style="245" bestFit="1" customWidth="1"/>
    <col min="5135" max="5376" width="11" style="245"/>
    <col min="5377" max="5377" width="7" style="245" customWidth="1"/>
    <col min="5378" max="5378" width="47.42578125" style="245" bestFit="1" customWidth="1"/>
    <col min="5379" max="5379" width="20.140625" style="245" bestFit="1" customWidth="1"/>
    <col min="5380" max="5380" width="6.42578125" style="245" customWidth="1"/>
    <col min="5381" max="5381" width="8.42578125" style="245" customWidth="1"/>
    <col min="5382" max="5382" width="2.42578125" style="245" customWidth="1"/>
    <col min="5383" max="5383" width="6.7109375" style="245" bestFit="1" customWidth="1"/>
    <col min="5384" max="5384" width="1.7109375" style="245" bestFit="1" customWidth="1"/>
    <col min="5385" max="5385" width="6.42578125" style="245" bestFit="1" customWidth="1"/>
    <col min="5386" max="5386" width="5.28515625" style="245" bestFit="1" customWidth="1"/>
    <col min="5387" max="5389" width="4" style="245" bestFit="1" customWidth="1"/>
    <col min="5390" max="5390" width="16.7109375" style="245" bestFit="1" customWidth="1"/>
    <col min="5391" max="5632" width="11" style="245"/>
    <col min="5633" max="5633" width="7" style="245" customWidth="1"/>
    <col min="5634" max="5634" width="47.42578125" style="245" bestFit="1" customWidth="1"/>
    <col min="5635" max="5635" width="20.140625" style="245" bestFit="1" customWidth="1"/>
    <col min="5636" max="5636" width="6.42578125" style="245" customWidth="1"/>
    <col min="5637" max="5637" width="8.42578125" style="245" customWidth="1"/>
    <col min="5638" max="5638" width="2.42578125" style="245" customWidth="1"/>
    <col min="5639" max="5639" width="6.7109375" style="245" bestFit="1" customWidth="1"/>
    <col min="5640" max="5640" width="1.7109375" style="245" bestFit="1" customWidth="1"/>
    <col min="5641" max="5641" width="6.42578125" style="245" bestFit="1" customWidth="1"/>
    <col min="5642" max="5642" width="5.28515625" style="245" bestFit="1" customWidth="1"/>
    <col min="5643" max="5645" width="4" style="245" bestFit="1" customWidth="1"/>
    <col min="5646" max="5646" width="16.7109375" style="245" bestFit="1" customWidth="1"/>
    <col min="5647" max="5888" width="11" style="245"/>
    <col min="5889" max="5889" width="7" style="245" customWidth="1"/>
    <col min="5890" max="5890" width="47.42578125" style="245" bestFit="1" customWidth="1"/>
    <col min="5891" max="5891" width="20.140625" style="245" bestFit="1" customWidth="1"/>
    <col min="5892" max="5892" width="6.42578125" style="245" customWidth="1"/>
    <col min="5893" max="5893" width="8.42578125" style="245" customWidth="1"/>
    <col min="5894" max="5894" width="2.42578125" style="245" customWidth="1"/>
    <col min="5895" max="5895" width="6.7109375" style="245" bestFit="1" customWidth="1"/>
    <col min="5896" max="5896" width="1.7109375" style="245" bestFit="1" customWidth="1"/>
    <col min="5897" max="5897" width="6.42578125" style="245" bestFit="1" customWidth="1"/>
    <col min="5898" max="5898" width="5.28515625" style="245" bestFit="1" customWidth="1"/>
    <col min="5899" max="5901" width="4" style="245" bestFit="1" customWidth="1"/>
    <col min="5902" max="5902" width="16.7109375" style="245" bestFit="1" customWidth="1"/>
    <col min="5903" max="6144" width="11" style="245"/>
    <col min="6145" max="6145" width="7" style="245" customWidth="1"/>
    <col min="6146" max="6146" width="47.42578125" style="245" bestFit="1" customWidth="1"/>
    <col min="6147" max="6147" width="20.140625" style="245" bestFit="1" customWidth="1"/>
    <col min="6148" max="6148" width="6.42578125" style="245" customWidth="1"/>
    <col min="6149" max="6149" width="8.42578125" style="245" customWidth="1"/>
    <col min="6150" max="6150" width="2.42578125" style="245" customWidth="1"/>
    <col min="6151" max="6151" width="6.7109375" style="245" bestFit="1" customWidth="1"/>
    <col min="6152" max="6152" width="1.7109375" style="245" bestFit="1" customWidth="1"/>
    <col min="6153" max="6153" width="6.42578125" style="245" bestFit="1" customWidth="1"/>
    <col min="6154" max="6154" width="5.28515625" style="245" bestFit="1" customWidth="1"/>
    <col min="6155" max="6157" width="4" style="245" bestFit="1" customWidth="1"/>
    <col min="6158" max="6158" width="16.7109375" style="245" bestFit="1" customWidth="1"/>
    <col min="6159" max="6400" width="11" style="245"/>
    <col min="6401" max="6401" width="7" style="245" customWidth="1"/>
    <col min="6402" max="6402" width="47.42578125" style="245" bestFit="1" customWidth="1"/>
    <col min="6403" max="6403" width="20.140625" style="245" bestFit="1" customWidth="1"/>
    <col min="6404" max="6404" width="6.42578125" style="245" customWidth="1"/>
    <col min="6405" max="6405" width="8.42578125" style="245" customWidth="1"/>
    <col min="6406" max="6406" width="2.42578125" style="245" customWidth="1"/>
    <col min="6407" max="6407" width="6.7109375" style="245" bestFit="1" customWidth="1"/>
    <col min="6408" max="6408" width="1.7109375" style="245" bestFit="1" customWidth="1"/>
    <col min="6409" max="6409" width="6.42578125" style="245" bestFit="1" customWidth="1"/>
    <col min="6410" max="6410" width="5.28515625" style="245" bestFit="1" customWidth="1"/>
    <col min="6411" max="6413" width="4" style="245" bestFit="1" customWidth="1"/>
    <col min="6414" max="6414" width="16.7109375" style="245" bestFit="1" customWidth="1"/>
    <col min="6415" max="6656" width="11" style="245"/>
    <col min="6657" max="6657" width="7" style="245" customWidth="1"/>
    <col min="6658" max="6658" width="47.42578125" style="245" bestFit="1" customWidth="1"/>
    <col min="6659" max="6659" width="20.140625" style="245" bestFit="1" customWidth="1"/>
    <col min="6660" max="6660" width="6.42578125" style="245" customWidth="1"/>
    <col min="6661" max="6661" width="8.42578125" style="245" customWidth="1"/>
    <col min="6662" max="6662" width="2.42578125" style="245" customWidth="1"/>
    <col min="6663" max="6663" width="6.7109375" style="245" bestFit="1" customWidth="1"/>
    <col min="6664" max="6664" width="1.7109375" style="245" bestFit="1" customWidth="1"/>
    <col min="6665" max="6665" width="6.42578125" style="245" bestFit="1" customWidth="1"/>
    <col min="6666" max="6666" width="5.28515625" style="245" bestFit="1" customWidth="1"/>
    <col min="6667" max="6669" width="4" style="245" bestFit="1" customWidth="1"/>
    <col min="6670" max="6670" width="16.7109375" style="245" bestFit="1" customWidth="1"/>
    <col min="6671" max="6912" width="11" style="245"/>
    <col min="6913" max="6913" width="7" style="245" customWidth="1"/>
    <col min="6914" max="6914" width="47.42578125" style="245" bestFit="1" customWidth="1"/>
    <col min="6915" max="6915" width="20.140625" style="245" bestFit="1" customWidth="1"/>
    <col min="6916" max="6916" width="6.42578125" style="245" customWidth="1"/>
    <col min="6917" max="6917" width="8.42578125" style="245" customWidth="1"/>
    <col min="6918" max="6918" width="2.42578125" style="245" customWidth="1"/>
    <col min="6919" max="6919" width="6.7109375" style="245" bestFit="1" customWidth="1"/>
    <col min="6920" max="6920" width="1.7109375" style="245" bestFit="1" customWidth="1"/>
    <col min="6921" max="6921" width="6.42578125" style="245" bestFit="1" customWidth="1"/>
    <col min="6922" max="6922" width="5.28515625" style="245" bestFit="1" customWidth="1"/>
    <col min="6923" max="6925" width="4" style="245" bestFit="1" customWidth="1"/>
    <col min="6926" max="6926" width="16.7109375" style="245" bestFit="1" customWidth="1"/>
    <col min="6927" max="7168" width="11" style="245"/>
    <col min="7169" max="7169" width="7" style="245" customWidth="1"/>
    <col min="7170" max="7170" width="47.42578125" style="245" bestFit="1" customWidth="1"/>
    <col min="7171" max="7171" width="20.140625" style="245" bestFit="1" customWidth="1"/>
    <col min="7172" max="7172" width="6.42578125" style="245" customWidth="1"/>
    <col min="7173" max="7173" width="8.42578125" style="245" customWidth="1"/>
    <col min="7174" max="7174" width="2.42578125" style="245" customWidth="1"/>
    <col min="7175" max="7175" width="6.7109375" style="245" bestFit="1" customWidth="1"/>
    <col min="7176" max="7176" width="1.7109375" style="245" bestFit="1" customWidth="1"/>
    <col min="7177" max="7177" width="6.42578125" style="245" bestFit="1" customWidth="1"/>
    <col min="7178" max="7178" width="5.28515625" style="245" bestFit="1" customWidth="1"/>
    <col min="7179" max="7181" width="4" style="245" bestFit="1" customWidth="1"/>
    <col min="7182" max="7182" width="16.7109375" style="245" bestFit="1" customWidth="1"/>
    <col min="7183" max="7424" width="11" style="245"/>
    <col min="7425" max="7425" width="7" style="245" customWidth="1"/>
    <col min="7426" max="7426" width="47.42578125" style="245" bestFit="1" customWidth="1"/>
    <col min="7427" max="7427" width="20.140625" style="245" bestFit="1" customWidth="1"/>
    <col min="7428" max="7428" width="6.42578125" style="245" customWidth="1"/>
    <col min="7429" max="7429" width="8.42578125" style="245" customWidth="1"/>
    <col min="7430" max="7430" width="2.42578125" style="245" customWidth="1"/>
    <col min="7431" max="7431" width="6.7109375" style="245" bestFit="1" customWidth="1"/>
    <col min="7432" max="7432" width="1.7109375" style="245" bestFit="1" customWidth="1"/>
    <col min="7433" max="7433" width="6.42578125" style="245" bestFit="1" customWidth="1"/>
    <col min="7434" max="7434" width="5.28515625" style="245" bestFit="1" customWidth="1"/>
    <col min="7435" max="7437" width="4" style="245" bestFit="1" customWidth="1"/>
    <col min="7438" max="7438" width="16.7109375" style="245" bestFit="1" customWidth="1"/>
    <col min="7439" max="7680" width="11" style="245"/>
    <col min="7681" max="7681" width="7" style="245" customWidth="1"/>
    <col min="7682" max="7682" width="47.42578125" style="245" bestFit="1" customWidth="1"/>
    <col min="7683" max="7683" width="20.140625" style="245" bestFit="1" customWidth="1"/>
    <col min="7684" max="7684" width="6.42578125" style="245" customWidth="1"/>
    <col min="7685" max="7685" width="8.42578125" style="245" customWidth="1"/>
    <col min="7686" max="7686" width="2.42578125" style="245" customWidth="1"/>
    <col min="7687" max="7687" width="6.7109375" style="245" bestFit="1" customWidth="1"/>
    <col min="7688" max="7688" width="1.7109375" style="245" bestFit="1" customWidth="1"/>
    <col min="7689" max="7689" width="6.42578125" style="245" bestFit="1" customWidth="1"/>
    <col min="7690" max="7690" width="5.28515625" style="245" bestFit="1" customWidth="1"/>
    <col min="7691" max="7693" width="4" style="245" bestFit="1" customWidth="1"/>
    <col min="7694" max="7694" width="16.7109375" style="245" bestFit="1" customWidth="1"/>
    <col min="7695" max="7936" width="11" style="245"/>
    <col min="7937" max="7937" width="7" style="245" customWidth="1"/>
    <col min="7938" max="7938" width="47.42578125" style="245" bestFit="1" customWidth="1"/>
    <col min="7939" max="7939" width="20.140625" style="245" bestFit="1" customWidth="1"/>
    <col min="7940" max="7940" width="6.42578125" style="245" customWidth="1"/>
    <col min="7941" max="7941" width="8.42578125" style="245" customWidth="1"/>
    <col min="7942" max="7942" width="2.42578125" style="245" customWidth="1"/>
    <col min="7943" max="7943" width="6.7109375" style="245" bestFit="1" customWidth="1"/>
    <col min="7944" max="7944" width="1.7109375" style="245" bestFit="1" customWidth="1"/>
    <col min="7945" max="7945" width="6.42578125" style="245" bestFit="1" customWidth="1"/>
    <col min="7946" max="7946" width="5.28515625" style="245" bestFit="1" customWidth="1"/>
    <col min="7947" max="7949" width="4" style="245" bestFit="1" customWidth="1"/>
    <col min="7950" max="7950" width="16.7109375" style="245" bestFit="1" customWidth="1"/>
    <col min="7951" max="8192" width="11" style="245"/>
    <col min="8193" max="8193" width="7" style="245" customWidth="1"/>
    <col min="8194" max="8194" width="47.42578125" style="245" bestFit="1" customWidth="1"/>
    <col min="8195" max="8195" width="20.140625" style="245" bestFit="1" customWidth="1"/>
    <col min="8196" max="8196" width="6.42578125" style="245" customWidth="1"/>
    <col min="8197" max="8197" width="8.42578125" style="245" customWidth="1"/>
    <col min="8198" max="8198" width="2.42578125" style="245" customWidth="1"/>
    <col min="8199" max="8199" width="6.7109375" style="245" bestFit="1" customWidth="1"/>
    <col min="8200" max="8200" width="1.7109375" style="245" bestFit="1" customWidth="1"/>
    <col min="8201" max="8201" width="6.42578125" style="245" bestFit="1" customWidth="1"/>
    <col min="8202" max="8202" width="5.28515625" style="245" bestFit="1" customWidth="1"/>
    <col min="8203" max="8205" width="4" style="245" bestFit="1" customWidth="1"/>
    <col min="8206" max="8206" width="16.7109375" style="245" bestFit="1" customWidth="1"/>
    <col min="8207" max="8448" width="11" style="245"/>
    <col min="8449" max="8449" width="7" style="245" customWidth="1"/>
    <col min="8450" max="8450" width="47.42578125" style="245" bestFit="1" customWidth="1"/>
    <col min="8451" max="8451" width="20.140625" style="245" bestFit="1" customWidth="1"/>
    <col min="8452" max="8452" width="6.42578125" style="245" customWidth="1"/>
    <col min="8453" max="8453" width="8.42578125" style="245" customWidth="1"/>
    <col min="8454" max="8454" width="2.42578125" style="245" customWidth="1"/>
    <col min="8455" max="8455" width="6.7109375" style="245" bestFit="1" customWidth="1"/>
    <col min="8456" max="8456" width="1.7109375" style="245" bestFit="1" customWidth="1"/>
    <col min="8457" max="8457" width="6.42578125" style="245" bestFit="1" customWidth="1"/>
    <col min="8458" max="8458" width="5.28515625" style="245" bestFit="1" customWidth="1"/>
    <col min="8459" max="8461" width="4" style="245" bestFit="1" customWidth="1"/>
    <col min="8462" max="8462" width="16.7109375" style="245" bestFit="1" customWidth="1"/>
    <col min="8463" max="8704" width="11" style="245"/>
    <col min="8705" max="8705" width="7" style="245" customWidth="1"/>
    <col min="8706" max="8706" width="47.42578125" style="245" bestFit="1" customWidth="1"/>
    <col min="8707" max="8707" width="20.140625" style="245" bestFit="1" customWidth="1"/>
    <col min="8708" max="8708" width="6.42578125" style="245" customWidth="1"/>
    <col min="8709" max="8709" width="8.42578125" style="245" customWidth="1"/>
    <col min="8710" max="8710" width="2.42578125" style="245" customWidth="1"/>
    <col min="8711" max="8711" width="6.7109375" style="245" bestFit="1" customWidth="1"/>
    <col min="8712" max="8712" width="1.7109375" style="245" bestFit="1" customWidth="1"/>
    <col min="8713" max="8713" width="6.42578125" style="245" bestFit="1" customWidth="1"/>
    <col min="8714" max="8714" width="5.28515625" style="245" bestFit="1" customWidth="1"/>
    <col min="8715" max="8717" width="4" style="245" bestFit="1" customWidth="1"/>
    <col min="8718" max="8718" width="16.7109375" style="245" bestFit="1" customWidth="1"/>
    <col min="8719" max="8960" width="11" style="245"/>
    <col min="8961" max="8961" width="7" style="245" customWidth="1"/>
    <col min="8962" max="8962" width="47.42578125" style="245" bestFit="1" customWidth="1"/>
    <col min="8963" max="8963" width="20.140625" style="245" bestFit="1" customWidth="1"/>
    <col min="8964" max="8964" width="6.42578125" style="245" customWidth="1"/>
    <col min="8965" max="8965" width="8.42578125" style="245" customWidth="1"/>
    <col min="8966" max="8966" width="2.42578125" style="245" customWidth="1"/>
    <col min="8967" max="8967" width="6.7109375" style="245" bestFit="1" customWidth="1"/>
    <col min="8968" max="8968" width="1.7109375" style="245" bestFit="1" customWidth="1"/>
    <col min="8969" max="8969" width="6.42578125" style="245" bestFit="1" customWidth="1"/>
    <col min="8970" max="8970" width="5.28515625" style="245" bestFit="1" customWidth="1"/>
    <col min="8971" max="8973" width="4" style="245" bestFit="1" customWidth="1"/>
    <col min="8974" max="8974" width="16.7109375" style="245" bestFit="1" customWidth="1"/>
    <col min="8975" max="9216" width="11" style="245"/>
    <col min="9217" max="9217" width="7" style="245" customWidth="1"/>
    <col min="9218" max="9218" width="47.42578125" style="245" bestFit="1" customWidth="1"/>
    <col min="9219" max="9219" width="20.140625" style="245" bestFit="1" customWidth="1"/>
    <col min="9220" max="9220" width="6.42578125" style="245" customWidth="1"/>
    <col min="9221" max="9221" width="8.42578125" style="245" customWidth="1"/>
    <col min="9222" max="9222" width="2.42578125" style="245" customWidth="1"/>
    <col min="9223" max="9223" width="6.7109375" style="245" bestFit="1" customWidth="1"/>
    <col min="9224" max="9224" width="1.7109375" style="245" bestFit="1" customWidth="1"/>
    <col min="9225" max="9225" width="6.42578125" style="245" bestFit="1" customWidth="1"/>
    <col min="9226" max="9226" width="5.28515625" style="245" bestFit="1" customWidth="1"/>
    <col min="9227" max="9229" width="4" style="245" bestFit="1" customWidth="1"/>
    <col min="9230" max="9230" width="16.7109375" style="245" bestFit="1" customWidth="1"/>
    <col min="9231" max="9472" width="11" style="245"/>
    <col min="9473" max="9473" width="7" style="245" customWidth="1"/>
    <col min="9474" max="9474" width="47.42578125" style="245" bestFit="1" customWidth="1"/>
    <col min="9475" max="9475" width="20.140625" style="245" bestFit="1" customWidth="1"/>
    <col min="9476" max="9476" width="6.42578125" style="245" customWidth="1"/>
    <col min="9477" max="9477" width="8.42578125" style="245" customWidth="1"/>
    <col min="9478" max="9478" width="2.42578125" style="245" customWidth="1"/>
    <col min="9479" max="9479" width="6.7109375" style="245" bestFit="1" customWidth="1"/>
    <col min="9480" max="9480" width="1.7109375" style="245" bestFit="1" customWidth="1"/>
    <col min="9481" max="9481" width="6.42578125" style="245" bestFit="1" customWidth="1"/>
    <col min="9482" max="9482" width="5.28515625" style="245" bestFit="1" customWidth="1"/>
    <col min="9483" max="9485" width="4" style="245" bestFit="1" customWidth="1"/>
    <col min="9486" max="9486" width="16.7109375" style="245" bestFit="1" customWidth="1"/>
    <col min="9487" max="9728" width="11" style="245"/>
    <col min="9729" max="9729" width="7" style="245" customWidth="1"/>
    <col min="9730" max="9730" width="47.42578125" style="245" bestFit="1" customWidth="1"/>
    <col min="9731" max="9731" width="20.140625" style="245" bestFit="1" customWidth="1"/>
    <col min="9732" max="9732" width="6.42578125" style="245" customWidth="1"/>
    <col min="9733" max="9733" width="8.42578125" style="245" customWidth="1"/>
    <col min="9734" max="9734" width="2.42578125" style="245" customWidth="1"/>
    <col min="9735" max="9735" width="6.7109375" style="245" bestFit="1" customWidth="1"/>
    <col min="9736" max="9736" width="1.7109375" style="245" bestFit="1" customWidth="1"/>
    <col min="9737" max="9737" width="6.42578125" style="245" bestFit="1" customWidth="1"/>
    <col min="9738" max="9738" width="5.28515625" style="245" bestFit="1" customWidth="1"/>
    <col min="9739" max="9741" width="4" style="245" bestFit="1" customWidth="1"/>
    <col min="9742" max="9742" width="16.7109375" style="245" bestFit="1" customWidth="1"/>
    <col min="9743" max="9984" width="11" style="245"/>
    <col min="9985" max="9985" width="7" style="245" customWidth="1"/>
    <col min="9986" max="9986" width="47.42578125" style="245" bestFit="1" customWidth="1"/>
    <col min="9987" max="9987" width="20.140625" style="245" bestFit="1" customWidth="1"/>
    <col min="9988" max="9988" width="6.42578125" style="245" customWidth="1"/>
    <col min="9989" max="9989" width="8.42578125" style="245" customWidth="1"/>
    <col min="9990" max="9990" width="2.42578125" style="245" customWidth="1"/>
    <col min="9991" max="9991" width="6.7109375" style="245" bestFit="1" customWidth="1"/>
    <col min="9992" max="9992" width="1.7109375" style="245" bestFit="1" customWidth="1"/>
    <col min="9993" max="9993" width="6.42578125" style="245" bestFit="1" customWidth="1"/>
    <col min="9994" max="9994" width="5.28515625" style="245" bestFit="1" customWidth="1"/>
    <col min="9995" max="9997" width="4" style="245" bestFit="1" customWidth="1"/>
    <col min="9998" max="9998" width="16.7109375" style="245" bestFit="1" customWidth="1"/>
    <col min="9999" max="10240" width="11" style="245"/>
    <col min="10241" max="10241" width="7" style="245" customWidth="1"/>
    <col min="10242" max="10242" width="47.42578125" style="245" bestFit="1" customWidth="1"/>
    <col min="10243" max="10243" width="20.140625" style="245" bestFit="1" customWidth="1"/>
    <col min="10244" max="10244" width="6.42578125" style="245" customWidth="1"/>
    <col min="10245" max="10245" width="8.42578125" style="245" customWidth="1"/>
    <col min="10246" max="10246" width="2.42578125" style="245" customWidth="1"/>
    <col min="10247" max="10247" width="6.7109375" style="245" bestFit="1" customWidth="1"/>
    <col min="10248" max="10248" width="1.7109375" style="245" bestFit="1" customWidth="1"/>
    <col min="10249" max="10249" width="6.42578125" style="245" bestFit="1" customWidth="1"/>
    <col min="10250" max="10250" width="5.28515625" style="245" bestFit="1" customWidth="1"/>
    <col min="10251" max="10253" width="4" style="245" bestFit="1" customWidth="1"/>
    <col min="10254" max="10254" width="16.7109375" style="245" bestFit="1" customWidth="1"/>
    <col min="10255" max="10496" width="11" style="245"/>
    <col min="10497" max="10497" width="7" style="245" customWidth="1"/>
    <col min="10498" max="10498" width="47.42578125" style="245" bestFit="1" customWidth="1"/>
    <col min="10499" max="10499" width="20.140625" style="245" bestFit="1" customWidth="1"/>
    <col min="10500" max="10500" width="6.42578125" style="245" customWidth="1"/>
    <col min="10501" max="10501" width="8.42578125" style="245" customWidth="1"/>
    <col min="10502" max="10502" width="2.42578125" style="245" customWidth="1"/>
    <col min="10503" max="10503" width="6.7109375" style="245" bestFit="1" customWidth="1"/>
    <col min="10504" max="10504" width="1.7109375" style="245" bestFit="1" customWidth="1"/>
    <col min="10505" max="10505" width="6.42578125" style="245" bestFit="1" customWidth="1"/>
    <col min="10506" max="10506" width="5.28515625" style="245" bestFit="1" customWidth="1"/>
    <col min="10507" max="10509" width="4" style="245" bestFit="1" customWidth="1"/>
    <col min="10510" max="10510" width="16.7109375" style="245" bestFit="1" customWidth="1"/>
    <col min="10511" max="10752" width="11" style="245"/>
    <col min="10753" max="10753" width="7" style="245" customWidth="1"/>
    <col min="10754" max="10754" width="47.42578125" style="245" bestFit="1" customWidth="1"/>
    <col min="10755" max="10755" width="20.140625" style="245" bestFit="1" customWidth="1"/>
    <col min="10756" max="10756" width="6.42578125" style="245" customWidth="1"/>
    <col min="10757" max="10757" width="8.42578125" style="245" customWidth="1"/>
    <col min="10758" max="10758" width="2.42578125" style="245" customWidth="1"/>
    <col min="10759" max="10759" width="6.7109375" style="245" bestFit="1" customWidth="1"/>
    <col min="10760" max="10760" width="1.7109375" style="245" bestFit="1" customWidth="1"/>
    <col min="10761" max="10761" width="6.42578125" style="245" bestFit="1" customWidth="1"/>
    <col min="10762" max="10762" width="5.28515625" style="245" bestFit="1" customWidth="1"/>
    <col min="10763" max="10765" width="4" style="245" bestFit="1" customWidth="1"/>
    <col min="10766" max="10766" width="16.7109375" style="245" bestFit="1" customWidth="1"/>
    <col min="10767" max="11008" width="11" style="245"/>
    <col min="11009" max="11009" width="7" style="245" customWidth="1"/>
    <col min="11010" max="11010" width="47.42578125" style="245" bestFit="1" customWidth="1"/>
    <col min="11011" max="11011" width="20.140625" style="245" bestFit="1" customWidth="1"/>
    <col min="11012" max="11012" width="6.42578125" style="245" customWidth="1"/>
    <col min="11013" max="11013" width="8.42578125" style="245" customWidth="1"/>
    <col min="11014" max="11014" width="2.42578125" style="245" customWidth="1"/>
    <col min="11015" max="11015" width="6.7109375" style="245" bestFit="1" customWidth="1"/>
    <col min="11016" max="11016" width="1.7109375" style="245" bestFit="1" customWidth="1"/>
    <col min="11017" max="11017" width="6.42578125" style="245" bestFit="1" customWidth="1"/>
    <col min="11018" max="11018" width="5.28515625" style="245" bestFit="1" customWidth="1"/>
    <col min="11019" max="11021" width="4" style="245" bestFit="1" customWidth="1"/>
    <col min="11022" max="11022" width="16.7109375" style="245" bestFit="1" customWidth="1"/>
    <col min="11023" max="11264" width="11" style="245"/>
    <col min="11265" max="11265" width="7" style="245" customWidth="1"/>
    <col min="11266" max="11266" width="47.42578125" style="245" bestFit="1" customWidth="1"/>
    <col min="11267" max="11267" width="20.140625" style="245" bestFit="1" customWidth="1"/>
    <col min="11268" max="11268" width="6.42578125" style="245" customWidth="1"/>
    <col min="11269" max="11269" width="8.42578125" style="245" customWidth="1"/>
    <col min="11270" max="11270" width="2.42578125" style="245" customWidth="1"/>
    <col min="11271" max="11271" width="6.7109375" style="245" bestFit="1" customWidth="1"/>
    <col min="11272" max="11272" width="1.7109375" style="245" bestFit="1" customWidth="1"/>
    <col min="11273" max="11273" width="6.42578125" style="245" bestFit="1" customWidth="1"/>
    <col min="11274" max="11274" width="5.28515625" style="245" bestFit="1" customWidth="1"/>
    <col min="11275" max="11277" width="4" style="245" bestFit="1" customWidth="1"/>
    <col min="11278" max="11278" width="16.7109375" style="245" bestFit="1" customWidth="1"/>
    <col min="11279" max="11520" width="11" style="245"/>
    <col min="11521" max="11521" width="7" style="245" customWidth="1"/>
    <col min="11522" max="11522" width="47.42578125" style="245" bestFit="1" customWidth="1"/>
    <col min="11523" max="11523" width="20.140625" style="245" bestFit="1" customWidth="1"/>
    <col min="11524" max="11524" width="6.42578125" style="245" customWidth="1"/>
    <col min="11525" max="11525" width="8.42578125" style="245" customWidth="1"/>
    <col min="11526" max="11526" width="2.42578125" style="245" customWidth="1"/>
    <col min="11527" max="11527" width="6.7109375" style="245" bestFit="1" customWidth="1"/>
    <col min="11528" max="11528" width="1.7109375" style="245" bestFit="1" customWidth="1"/>
    <col min="11529" max="11529" width="6.42578125" style="245" bestFit="1" customWidth="1"/>
    <col min="11530" max="11530" width="5.28515625" style="245" bestFit="1" customWidth="1"/>
    <col min="11531" max="11533" width="4" style="245" bestFit="1" customWidth="1"/>
    <col min="11534" max="11534" width="16.7109375" style="245" bestFit="1" customWidth="1"/>
    <col min="11535" max="11776" width="11" style="245"/>
    <col min="11777" max="11777" width="7" style="245" customWidth="1"/>
    <col min="11778" max="11778" width="47.42578125" style="245" bestFit="1" customWidth="1"/>
    <col min="11779" max="11779" width="20.140625" style="245" bestFit="1" customWidth="1"/>
    <col min="11780" max="11780" width="6.42578125" style="245" customWidth="1"/>
    <col min="11781" max="11781" width="8.42578125" style="245" customWidth="1"/>
    <col min="11782" max="11782" width="2.42578125" style="245" customWidth="1"/>
    <col min="11783" max="11783" width="6.7109375" style="245" bestFit="1" customWidth="1"/>
    <col min="11784" max="11784" width="1.7109375" style="245" bestFit="1" customWidth="1"/>
    <col min="11785" max="11785" width="6.42578125" style="245" bestFit="1" customWidth="1"/>
    <col min="11786" max="11786" width="5.28515625" style="245" bestFit="1" customWidth="1"/>
    <col min="11787" max="11789" width="4" style="245" bestFit="1" customWidth="1"/>
    <col min="11790" max="11790" width="16.7109375" style="245" bestFit="1" customWidth="1"/>
    <col min="11791" max="12032" width="11" style="245"/>
    <col min="12033" max="12033" width="7" style="245" customWidth="1"/>
    <col min="12034" max="12034" width="47.42578125" style="245" bestFit="1" customWidth="1"/>
    <col min="12035" max="12035" width="20.140625" style="245" bestFit="1" customWidth="1"/>
    <col min="12036" max="12036" width="6.42578125" style="245" customWidth="1"/>
    <col min="12037" max="12037" width="8.42578125" style="245" customWidth="1"/>
    <col min="12038" max="12038" width="2.42578125" style="245" customWidth="1"/>
    <col min="12039" max="12039" width="6.7109375" style="245" bestFit="1" customWidth="1"/>
    <col min="12040" max="12040" width="1.7109375" style="245" bestFit="1" customWidth="1"/>
    <col min="12041" max="12041" width="6.42578125" style="245" bestFit="1" customWidth="1"/>
    <col min="12042" max="12042" width="5.28515625" style="245" bestFit="1" customWidth="1"/>
    <col min="12043" max="12045" width="4" style="245" bestFit="1" customWidth="1"/>
    <col min="12046" max="12046" width="16.7109375" style="245" bestFit="1" customWidth="1"/>
    <col min="12047" max="12288" width="11" style="245"/>
    <col min="12289" max="12289" width="7" style="245" customWidth="1"/>
    <col min="12290" max="12290" width="47.42578125" style="245" bestFit="1" customWidth="1"/>
    <col min="12291" max="12291" width="20.140625" style="245" bestFit="1" customWidth="1"/>
    <col min="12292" max="12292" width="6.42578125" style="245" customWidth="1"/>
    <col min="12293" max="12293" width="8.42578125" style="245" customWidth="1"/>
    <col min="12294" max="12294" width="2.42578125" style="245" customWidth="1"/>
    <col min="12295" max="12295" width="6.7109375" style="245" bestFit="1" customWidth="1"/>
    <col min="12296" max="12296" width="1.7109375" style="245" bestFit="1" customWidth="1"/>
    <col min="12297" max="12297" width="6.42578125" style="245" bestFit="1" customWidth="1"/>
    <col min="12298" max="12298" width="5.28515625" style="245" bestFit="1" customWidth="1"/>
    <col min="12299" max="12301" width="4" style="245" bestFit="1" customWidth="1"/>
    <col min="12302" max="12302" width="16.7109375" style="245" bestFit="1" customWidth="1"/>
    <col min="12303" max="12544" width="11" style="245"/>
    <col min="12545" max="12545" width="7" style="245" customWidth="1"/>
    <col min="12546" max="12546" width="47.42578125" style="245" bestFit="1" customWidth="1"/>
    <col min="12547" max="12547" width="20.140625" style="245" bestFit="1" customWidth="1"/>
    <col min="12548" max="12548" width="6.42578125" style="245" customWidth="1"/>
    <col min="12549" max="12549" width="8.42578125" style="245" customWidth="1"/>
    <col min="12550" max="12550" width="2.42578125" style="245" customWidth="1"/>
    <col min="12551" max="12551" width="6.7109375" style="245" bestFit="1" customWidth="1"/>
    <col min="12552" max="12552" width="1.7109375" style="245" bestFit="1" customWidth="1"/>
    <col min="12553" max="12553" width="6.42578125" style="245" bestFit="1" customWidth="1"/>
    <col min="12554" max="12554" width="5.28515625" style="245" bestFit="1" customWidth="1"/>
    <col min="12555" max="12557" width="4" style="245" bestFit="1" customWidth="1"/>
    <col min="12558" max="12558" width="16.7109375" style="245" bestFit="1" customWidth="1"/>
    <col min="12559" max="12800" width="11" style="245"/>
    <col min="12801" max="12801" width="7" style="245" customWidth="1"/>
    <col min="12802" max="12802" width="47.42578125" style="245" bestFit="1" customWidth="1"/>
    <col min="12803" max="12803" width="20.140625" style="245" bestFit="1" customWidth="1"/>
    <col min="12804" max="12804" width="6.42578125" style="245" customWidth="1"/>
    <col min="12805" max="12805" width="8.42578125" style="245" customWidth="1"/>
    <col min="12806" max="12806" width="2.42578125" style="245" customWidth="1"/>
    <col min="12807" max="12807" width="6.7109375" style="245" bestFit="1" customWidth="1"/>
    <col min="12808" max="12808" width="1.7109375" style="245" bestFit="1" customWidth="1"/>
    <col min="12809" max="12809" width="6.42578125" style="245" bestFit="1" customWidth="1"/>
    <col min="12810" max="12810" width="5.28515625" style="245" bestFit="1" customWidth="1"/>
    <col min="12811" max="12813" width="4" style="245" bestFit="1" customWidth="1"/>
    <col min="12814" max="12814" width="16.7109375" style="245" bestFit="1" customWidth="1"/>
    <col min="12815" max="13056" width="11" style="245"/>
    <col min="13057" max="13057" width="7" style="245" customWidth="1"/>
    <col min="13058" max="13058" width="47.42578125" style="245" bestFit="1" customWidth="1"/>
    <col min="13059" max="13059" width="20.140625" style="245" bestFit="1" customWidth="1"/>
    <col min="13060" max="13060" width="6.42578125" style="245" customWidth="1"/>
    <col min="13061" max="13061" width="8.42578125" style="245" customWidth="1"/>
    <col min="13062" max="13062" width="2.42578125" style="245" customWidth="1"/>
    <col min="13063" max="13063" width="6.7109375" style="245" bestFit="1" customWidth="1"/>
    <col min="13064" max="13064" width="1.7109375" style="245" bestFit="1" customWidth="1"/>
    <col min="13065" max="13065" width="6.42578125" style="245" bestFit="1" customWidth="1"/>
    <col min="13066" max="13066" width="5.28515625" style="245" bestFit="1" customWidth="1"/>
    <col min="13067" max="13069" width="4" style="245" bestFit="1" customWidth="1"/>
    <col min="13070" max="13070" width="16.7109375" style="245" bestFit="1" customWidth="1"/>
    <col min="13071" max="13312" width="11" style="245"/>
    <col min="13313" max="13313" width="7" style="245" customWidth="1"/>
    <col min="13314" max="13314" width="47.42578125" style="245" bestFit="1" customWidth="1"/>
    <col min="13315" max="13315" width="20.140625" style="245" bestFit="1" customWidth="1"/>
    <col min="13316" max="13316" width="6.42578125" style="245" customWidth="1"/>
    <col min="13317" max="13317" width="8.42578125" style="245" customWidth="1"/>
    <col min="13318" max="13318" width="2.42578125" style="245" customWidth="1"/>
    <col min="13319" max="13319" width="6.7109375" style="245" bestFit="1" customWidth="1"/>
    <col min="13320" max="13320" width="1.7109375" style="245" bestFit="1" customWidth="1"/>
    <col min="13321" max="13321" width="6.42578125" style="245" bestFit="1" customWidth="1"/>
    <col min="13322" max="13322" width="5.28515625" style="245" bestFit="1" customWidth="1"/>
    <col min="13323" max="13325" width="4" style="245" bestFit="1" customWidth="1"/>
    <col min="13326" max="13326" width="16.7109375" style="245" bestFit="1" customWidth="1"/>
    <col min="13327" max="13568" width="11" style="245"/>
    <col min="13569" max="13569" width="7" style="245" customWidth="1"/>
    <col min="13570" max="13570" width="47.42578125" style="245" bestFit="1" customWidth="1"/>
    <col min="13571" max="13571" width="20.140625" style="245" bestFit="1" customWidth="1"/>
    <col min="13572" max="13572" width="6.42578125" style="245" customWidth="1"/>
    <col min="13573" max="13573" width="8.42578125" style="245" customWidth="1"/>
    <col min="13574" max="13574" width="2.42578125" style="245" customWidth="1"/>
    <col min="13575" max="13575" width="6.7109375" style="245" bestFit="1" customWidth="1"/>
    <col min="13576" max="13576" width="1.7109375" style="245" bestFit="1" customWidth="1"/>
    <col min="13577" max="13577" width="6.42578125" style="245" bestFit="1" customWidth="1"/>
    <col min="13578" max="13578" width="5.28515625" style="245" bestFit="1" customWidth="1"/>
    <col min="13579" max="13581" width="4" style="245" bestFit="1" customWidth="1"/>
    <col min="13582" max="13582" width="16.7109375" style="245" bestFit="1" customWidth="1"/>
    <col min="13583" max="13824" width="11" style="245"/>
    <col min="13825" max="13825" width="7" style="245" customWidth="1"/>
    <col min="13826" max="13826" width="47.42578125" style="245" bestFit="1" customWidth="1"/>
    <col min="13827" max="13827" width="20.140625" style="245" bestFit="1" customWidth="1"/>
    <col min="13828" max="13828" width="6.42578125" style="245" customWidth="1"/>
    <col min="13829" max="13829" width="8.42578125" style="245" customWidth="1"/>
    <col min="13830" max="13830" width="2.42578125" style="245" customWidth="1"/>
    <col min="13831" max="13831" width="6.7109375" style="245" bestFit="1" customWidth="1"/>
    <col min="13832" max="13832" width="1.7109375" style="245" bestFit="1" customWidth="1"/>
    <col min="13833" max="13833" width="6.42578125" style="245" bestFit="1" customWidth="1"/>
    <col min="13834" max="13834" width="5.28515625" style="245" bestFit="1" customWidth="1"/>
    <col min="13835" max="13837" width="4" style="245" bestFit="1" customWidth="1"/>
    <col min="13838" max="13838" width="16.7109375" style="245" bestFit="1" customWidth="1"/>
    <col min="13839" max="14080" width="11" style="245"/>
    <col min="14081" max="14081" width="7" style="245" customWidth="1"/>
    <col min="14082" max="14082" width="47.42578125" style="245" bestFit="1" customWidth="1"/>
    <col min="14083" max="14083" width="20.140625" style="245" bestFit="1" customWidth="1"/>
    <col min="14084" max="14084" width="6.42578125" style="245" customWidth="1"/>
    <col min="14085" max="14085" width="8.42578125" style="245" customWidth="1"/>
    <col min="14086" max="14086" width="2.42578125" style="245" customWidth="1"/>
    <col min="14087" max="14087" width="6.7109375" style="245" bestFit="1" customWidth="1"/>
    <col min="14088" max="14088" width="1.7109375" style="245" bestFit="1" customWidth="1"/>
    <col min="14089" max="14089" width="6.42578125" style="245" bestFit="1" customWidth="1"/>
    <col min="14090" max="14090" width="5.28515625" style="245" bestFit="1" customWidth="1"/>
    <col min="14091" max="14093" width="4" style="245" bestFit="1" customWidth="1"/>
    <col min="14094" max="14094" width="16.7109375" style="245" bestFit="1" customWidth="1"/>
    <col min="14095" max="14336" width="11" style="245"/>
    <col min="14337" max="14337" width="7" style="245" customWidth="1"/>
    <col min="14338" max="14338" width="47.42578125" style="245" bestFit="1" customWidth="1"/>
    <col min="14339" max="14339" width="20.140625" style="245" bestFit="1" customWidth="1"/>
    <col min="14340" max="14340" width="6.42578125" style="245" customWidth="1"/>
    <col min="14341" max="14341" width="8.42578125" style="245" customWidth="1"/>
    <col min="14342" max="14342" width="2.42578125" style="245" customWidth="1"/>
    <col min="14343" max="14343" width="6.7109375" style="245" bestFit="1" customWidth="1"/>
    <col min="14344" max="14344" width="1.7109375" style="245" bestFit="1" customWidth="1"/>
    <col min="14345" max="14345" width="6.42578125" style="245" bestFit="1" customWidth="1"/>
    <col min="14346" max="14346" width="5.28515625" style="245" bestFit="1" customWidth="1"/>
    <col min="14347" max="14349" width="4" style="245" bestFit="1" customWidth="1"/>
    <col min="14350" max="14350" width="16.7109375" style="245" bestFit="1" customWidth="1"/>
    <col min="14351" max="14592" width="11" style="245"/>
    <col min="14593" max="14593" width="7" style="245" customWidth="1"/>
    <col min="14594" max="14594" width="47.42578125" style="245" bestFit="1" customWidth="1"/>
    <col min="14595" max="14595" width="20.140625" style="245" bestFit="1" customWidth="1"/>
    <col min="14596" max="14596" width="6.42578125" style="245" customWidth="1"/>
    <col min="14597" max="14597" width="8.42578125" style="245" customWidth="1"/>
    <col min="14598" max="14598" width="2.42578125" style="245" customWidth="1"/>
    <col min="14599" max="14599" width="6.7109375" style="245" bestFit="1" customWidth="1"/>
    <col min="14600" max="14600" width="1.7109375" style="245" bestFit="1" customWidth="1"/>
    <col min="14601" max="14601" width="6.42578125" style="245" bestFit="1" customWidth="1"/>
    <col min="14602" max="14602" width="5.28515625" style="245" bestFit="1" customWidth="1"/>
    <col min="14603" max="14605" width="4" style="245" bestFit="1" customWidth="1"/>
    <col min="14606" max="14606" width="16.7109375" style="245" bestFit="1" customWidth="1"/>
    <col min="14607" max="14848" width="11" style="245"/>
    <col min="14849" max="14849" width="7" style="245" customWidth="1"/>
    <col min="14850" max="14850" width="47.42578125" style="245" bestFit="1" customWidth="1"/>
    <col min="14851" max="14851" width="20.140625" style="245" bestFit="1" customWidth="1"/>
    <col min="14852" max="14852" width="6.42578125" style="245" customWidth="1"/>
    <col min="14853" max="14853" width="8.42578125" style="245" customWidth="1"/>
    <col min="14854" max="14854" width="2.42578125" style="245" customWidth="1"/>
    <col min="14855" max="14855" width="6.7109375" style="245" bestFit="1" customWidth="1"/>
    <col min="14856" max="14856" width="1.7109375" style="245" bestFit="1" customWidth="1"/>
    <col min="14857" max="14857" width="6.42578125" style="245" bestFit="1" customWidth="1"/>
    <col min="14858" max="14858" width="5.28515625" style="245" bestFit="1" customWidth="1"/>
    <col min="14859" max="14861" width="4" style="245" bestFit="1" customWidth="1"/>
    <col min="14862" max="14862" width="16.7109375" style="245" bestFit="1" customWidth="1"/>
    <col min="14863" max="15104" width="11" style="245"/>
    <col min="15105" max="15105" width="7" style="245" customWidth="1"/>
    <col min="15106" max="15106" width="47.42578125" style="245" bestFit="1" customWidth="1"/>
    <col min="15107" max="15107" width="20.140625" style="245" bestFit="1" customWidth="1"/>
    <col min="15108" max="15108" width="6.42578125" style="245" customWidth="1"/>
    <col min="15109" max="15109" width="8.42578125" style="245" customWidth="1"/>
    <col min="15110" max="15110" width="2.42578125" style="245" customWidth="1"/>
    <col min="15111" max="15111" width="6.7109375" style="245" bestFit="1" customWidth="1"/>
    <col min="15112" max="15112" width="1.7109375" style="245" bestFit="1" customWidth="1"/>
    <col min="15113" max="15113" width="6.42578125" style="245" bestFit="1" customWidth="1"/>
    <col min="15114" max="15114" width="5.28515625" style="245" bestFit="1" customWidth="1"/>
    <col min="15115" max="15117" width="4" style="245" bestFit="1" customWidth="1"/>
    <col min="15118" max="15118" width="16.7109375" style="245" bestFit="1" customWidth="1"/>
    <col min="15119" max="15360" width="11" style="245"/>
    <col min="15361" max="15361" width="7" style="245" customWidth="1"/>
    <col min="15362" max="15362" width="47.42578125" style="245" bestFit="1" customWidth="1"/>
    <col min="15363" max="15363" width="20.140625" style="245" bestFit="1" customWidth="1"/>
    <col min="15364" max="15364" width="6.42578125" style="245" customWidth="1"/>
    <col min="15365" max="15365" width="8.42578125" style="245" customWidth="1"/>
    <col min="15366" max="15366" width="2.42578125" style="245" customWidth="1"/>
    <col min="15367" max="15367" width="6.7109375" style="245" bestFit="1" customWidth="1"/>
    <col min="15368" max="15368" width="1.7109375" style="245" bestFit="1" customWidth="1"/>
    <col min="15369" max="15369" width="6.42578125" style="245" bestFit="1" customWidth="1"/>
    <col min="15370" max="15370" width="5.28515625" style="245" bestFit="1" customWidth="1"/>
    <col min="15371" max="15373" width="4" style="245" bestFit="1" customWidth="1"/>
    <col min="15374" max="15374" width="16.7109375" style="245" bestFit="1" customWidth="1"/>
    <col min="15375" max="15616" width="11" style="245"/>
    <col min="15617" max="15617" width="7" style="245" customWidth="1"/>
    <col min="15618" max="15618" width="47.42578125" style="245" bestFit="1" customWidth="1"/>
    <col min="15619" max="15619" width="20.140625" style="245" bestFit="1" customWidth="1"/>
    <col min="15620" max="15620" width="6.42578125" style="245" customWidth="1"/>
    <col min="15621" max="15621" width="8.42578125" style="245" customWidth="1"/>
    <col min="15622" max="15622" width="2.42578125" style="245" customWidth="1"/>
    <col min="15623" max="15623" width="6.7109375" style="245" bestFit="1" customWidth="1"/>
    <col min="15624" max="15624" width="1.7109375" style="245" bestFit="1" customWidth="1"/>
    <col min="15625" max="15625" width="6.42578125" style="245" bestFit="1" customWidth="1"/>
    <col min="15626" max="15626" width="5.28515625" style="245" bestFit="1" customWidth="1"/>
    <col min="15627" max="15629" width="4" style="245" bestFit="1" customWidth="1"/>
    <col min="15630" max="15630" width="16.7109375" style="245" bestFit="1" customWidth="1"/>
    <col min="15631" max="15872" width="11" style="245"/>
    <col min="15873" max="15873" width="7" style="245" customWidth="1"/>
    <col min="15874" max="15874" width="47.42578125" style="245" bestFit="1" customWidth="1"/>
    <col min="15875" max="15875" width="20.140625" style="245" bestFit="1" customWidth="1"/>
    <col min="15876" max="15876" width="6.42578125" style="245" customWidth="1"/>
    <col min="15877" max="15877" width="8.42578125" style="245" customWidth="1"/>
    <col min="15878" max="15878" width="2.42578125" style="245" customWidth="1"/>
    <col min="15879" max="15879" width="6.7109375" style="245" bestFit="1" customWidth="1"/>
    <col min="15880" max="15880" width="1.7109375" style="245" bestFit="1" customWidth="1"/>
    <col min="15881" max="15881" width="6.42578125" style="245" bestFit="1" customWidth="1"/>
    <col min="15882" max="15882" width="5.28515625" style="245" bestFit="1" customWidth="1"/>
    <col min="15883" max="15885" width="4" style="245" bestFit="1" customWidth="1"/>
    <col min="15886" max="15886" width="16.7109375" style="245" bestFit="1" customWidth="1"/>
    <col min="15887" max="16128" width="11" style="245"/>
    <col min="16129" max="16129" width="7" style="245" customWidth="1"/>
    <col min="16130" max="16130" width="47.42578125" style="245" bestFit="1" customWidth="1"/>
    <col min="16131" max="16131" width="20.140625" style="245" bestFit="1" customWidth="1"/>
    <col min="16132" max="16132" width="6.42578125" style="245" customWidth="1"/>
    <col min="16133" max="16133" width="8.42578125" style="245" customWidth="1"/>
    <col min="16134" max="16134" width="2.42578125" style="245" customWidth="1"/>
    <col min="16135" max="16135" width="6.7109375" style="245" bestFit="1" customWidth="1"/>
    <col min="16136" max="16136" width="1.7109375" style="245" bestFit="1" customWidth="1"/>
    <col min="16137" max="16137" width="6.42578125" style="245" bestFit="1" customWidth="1"/>
    <col min="16138" max="16138" width="5.28515625" style="245" bestFit="1" customWidth="1"/>
    <col min="16139" max="16141" width="4" style="245" bestFit="1" customWidth="1"/>
    <col min="16142" max="16142" width="16.7109375" style="245" bestFit="1" customWidth="1"/>
    <col min="16143" max="16384" width="11" style="245"/>
  </cols>
  <sheetData>
    <row r="1" spans="1:14" ht="13.5" x14ac:dyDescent="0.2">
      <c r="B1" s="246" t="s">
        <v>587</v>
      </c>
      <c r="J1" s="249"/>
    </row>
    <row r="2" spans="1:14" x14ac:dyDescent="0.2">
      <c r="A2" s="1192" t="s">
        <v>1894</v>
      </c>
      <c r="B2" s="1192"/>
      <c r="C2" s="1192"/>
      <c r="D2" s="1192"/>
      <c r="E2" s="1192"/>
      <c r="F2" s="1192"/>
      <c r="G2" s="1192"/>
      <c r="H2" s="1192"/>
      <c r="I2" s="1192"/>
      <c r="J2" s="1192"/>
    </row>
    <row r="4" spans="1:14" x14ac:dyDescent="0.2">
      <c r="A4" s="1193" t="s">
        <v>588</v>
      </c>
      <c r="B4" s="1193"/>
      <c r="C4" s="1193"/>
      <c r="D4" s="1193"/>
      <c r="E4" s="1193"/>
      <c r="F4" s="1193"/>
      <c r="G4" s="1193"/>
      <c r="H4" s="1193"/>
      <c r="I4" s="1193"/>
      <c r="J4" s="1193"/>
    </row>
    <row r="6" spans="1:14" ht="49.5" customHeight="1" x14ac:dyDescent="0.2">
      <c r="A6" s="250"/>
      <c r="B6" s="251" t="s">
        <v>589</v>
      </c>
      <c r="C6" s="1194" t="s">
        <v>590</v>
      </c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252"/>
    </row>
    <row r="7" spans="1:14" x14ac:dyDescent="0.2">
      <c r="A7" s="253"/>
      <c r="B7" s="254" t="s">
        <v>591</v>
      </c>
      <c r="C7" s="255" t="s">
        <v>592</v>
      </c>
      <c r="F7" s="256"/>
      <c r="G7" s="256"/>
      <c r="H7" s="256"/>
      <c r="I7" s="256"/>
      <c r="J7" s="256"/>
    </row>
    <row r="8" spans="1:14" ht="13.5" x14ac:dyDescent="0.25">
      <c r="F8" s="257"/>
      <c r="G8" s="258"/>
    </row>
    <row r="9" spans="1:14" ht="13.5" x14ac:dyDescent="0.25">
      <c r="B9" s="260" t="s">
        <v>593</v>
      </c>
      <c r="C9" s="260"/>
      <c r="D9" s="261"/>
      <c r="G9" s="262"/>
      <c r="H9" s="263"/>
      <c r="I9" s="262"/>
    </row>
    <row r="10" spans="1:14" ht="13.5" x14ac:dyDescent="0.25">
      <c r="B10" s="260" t="s">
        <v>594</v>
      </c>
      <c r="C10" s="260"/>
      <c r="D10" s="261"/>
      <c r="F10" s="263"/>
      <c r="G10" s="262"/>
      <c r="H10" s="263"/>
      <c r="I10" s="262"/>
    </row>
    <row r="11" spans="1:14" ht="13.5" x14ac:dyDescent="0.25">
      <c r="B11" s="260"/>
      <c r="C11" s="260"/>
      <c r="D11" s="261"/>
      <c r="F11" s="263"/>
      <c r="G11" s="262"/>
      <c r="H11" s="263"/>
      <c r="I11" s="262"/>
    </row>
    <row r="12" spans="1:14" ht="14.25" thickBot="1" x14ac:dyDescent="0.3">
      <c r="B12" s="264" t="s">
        <v>532</v>
      </c>
      <c r="C12" s="260"/>
      <c r="D12" s="261"/>
      <c r="F12" s="257" t="s">
        <v>1314</v>
      </c>
      <c r="G12" s="262"/>
      <c r="H12" s="263"/>
      <c r="I12" s="262"/>
    </row>
    <row r="13" spans="1:14" ht="13.5" thickBot="1" x14ac:dyDescent="0.25">
      <c r="A13" s="1196" t="s">
        <v>595</v>
      </c>
      <c r="B13" s="1197"/>
      <c r="C13" s="1196" t="s">
        <v>596</v>
      </c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7"/>
    </row>
    <row r="14" spans="1:14" x14ac:dyDescent="0.2">
      <c r="A14" s="265" t="s">
        <v>67</v>
      </c>
      <c r="B14" s="266"/>
      <c r="C14" s="1174" t="s">
        <v>597</v>
      </c>
      <c r="D14" s="1175"/>
      <c r="E14" s="1180" t="s">
        <v>598</v>
      </c>
      <c r="F14" s="1181"/>
      <c r="G14" s="1181"/>
      <c r="H14" s="1181"/>
      <c r="I14" s="1181"/>
      <c r="J14" s="1181"/>
      <c r="K14" s="1181"/>
      <c r="L14" s="1181"/>
      <c r="M14" s="1181"/>
      <c r="N14" s="1186" t="s">
        <v>744</v>
      </c>
    </row>
    <row r="15" spans="1:14" x14ac:dyDescent="0.2">
      <c r="A15" s="267" t="s">
        <v>599</v>
      </c>
      <c r="B15" s="268"/>
      <c r="C15" s="1176"/>
      <c r="D15" s="1177"/>
      <c r="E15" s="1182"/>
      <c r="F15" s="1183"/>
      <c r="G15" s="1183"/>
      <c r="H15" s="1183"/>
      <c r="I15" s="1183"/>
      <c r="J15" s="1183"/>
      <c r="K15" s="1183"/>
      <c r="L15" s="1183"/>
      <c r="M15" s="1183"/>
      <c r="N15" s="1187"/>
    </row>
    <row r="16" spans="1:14" x14ac:dyDescent="0.2">
      <c r="A16" s="269"/>
      <c r="B16" s="268" t="s">
        <v>600</v>
      </c>
      <c r="C16" s="1176"/>
      <c r="D16" s="1177"/>
      <c r="E16" s="1182"/>
      <c r="F16" s="1183"/>
      <c r="G16" s="1183"/>
      <c r="H16" s="1183"/>
      <c r="I16" s="1183"/>
      <c r="J16" s="1183"/>
      <c r="K16" s="1183"/>
      <c r="L16" s="1183"/>
      <c r="M16" s="1183"/>
      <c r="N16" s="1187"/>
    </row>
    <row r="17" spans="1:15" ht="13.5" thickBot="1" x14ac:dyDescent="0.25">
      <c r="A17" s="270"/>
      <c r="B17" s="271"/>
      <c r="C17" s="1178"/>
      <c r="D17" s="1179"/>
      <c r="E17" s="1184"/>
      <c r="F17" s="1185"/>
      <c r="G17" s="1185"/>
      <c r="H17" s="1185"/>
      <c r="I17" s="1185"/>
      <c r="J17" s="1185"/>
      <c r="K17" s="1185"/>
      <c r="L17" s="1185"/>
      <c r="M17" s="1185"/>
      <c r="N17" s="1188"/>
    </row>
    <row r="18" spans="1:15" ht="16.5" customHeight="1" thickBot="1" x14ac:dyDescent="0.25">
      <c r="A18" s="272">
        <v>1</v>
      </c>
      <c r="B18" s="843">
        <v>2</v>
      </c>
      <c r="C18" s="1189">
        <v>3</v>
      </c>
      <c r="D18" s="1190"/>
      <c r="E18" s="1189">
        <v>4</v>
      </c>
      <c r="F18" s="1191"/>
      <c r="G18" s="1191"/>
      <c r="H18" s="1191"/>
      <c r="I18" s="1191"/>
      <c r="J18" s="1191"/>
      <c r="K18" s="1191"/>
      <c r="L18" s="1191"/>
      <c r="M18" s="1191"/>
      <c r="N18" s="273">
        <v>5</v>
      </c>
    </row>
    <row r="19" spans="1:15" ht="13.5" thickBot="1" x14ac:dyDescent="0.25">
      <c r="A19" s="1189" t="s">
        <v>539</v>
      </c>
      <c r="B19" s="1191"/>
      <c r="C19" s="1191"/>
      <c r="D19" s="1191"/>
      <c r="E19" s="1199"/>
      <c r="F19" s="1199"/>
      <c r="G19" s="1199"/>
      <c r="H19" s="1199"/>
      <c r="I19" s="1199"/>
      <c r="J19" s="1199"/>
      <c r="K19" s="1199"/>
      <c r="L19" s="1199"/>
      <c r="M19" s="1199"/>
      <c r="N19" s="1190"/>
      <c r="O19" s="245" t="s">
        <v>2</v>
      </c>
    </row>
    <row r="20" spans="1:15" ht="41.25" customHeight="1" x14ac:dyDescent="0.2">
      <c r="A20" s="1200">
        <v>1</v>
      </c>
      <c r="B20" s="1215" t="s">
        <v>2018</v>
      </c>
      <c r="C20" s="290" t="s">
        <v>2014</v>
      </c>
      <c r="D20" s="839">
        <v>1380</v>
      </c>
      <c r="E20" s="1203">
        <f>D20</f>
        <v>1380</v>
      </c>
      <c r="F20" s="1206" t="s">
        <v>603</v>
      </c>
      <c r="G20" s="1206">
        <f>D21</f>
        <v>123</v>
      </c>
      <c r="H20" s="1206" t="s">
        <v>603</v>
      </c>
      <c r="I20" s="1209">
        <f>D22</f>
        <v>1.2</v>
      </c>
      <c r="J20" s="1206"/>
      <c r="K20" s="1221"/>
      <c r="L20" s="1206"/>
      <c r="M20" s="1218"/>
      <c r="N20" s="1212">
        <f>E20*G20*I20</f>
        <v>203688</v>
      </c>
    </row>
    <row r="21" spans="1:15" ht="23.25" customHeight="1" x14ac:dyDescent="0.2">
      <c r="A21" s="1201"/>
      <c r="B21" s="1216"/>
      <c r="C21" s="286" t="s">
        <v>2015</v>
      </c>
      <c r="D21" s="840">
        <v>123</v>
      </c>
      <c r="E21" s="1204"/>
      <c r="F21" s="1207"/>
      <c r="G21" s="1207"/>
      <c r="H21" s="1207"/>
      <c r="I21" s="1210"/>
      <c r="J21" s="1207"/>
      <c r="K21" s="1222"/>
      <c r="L21" s="1207"/>
      <c r="M21" s="1219"/>
      <c r="N21" s="1213"/>
    </row>
    <row r="22" spans="1:15" ht="15.75" customHeight="1" thickBot="1" x14ac:dyDescent="0.25">
      <c r="A22" s="1202"/>
      <c r="B22" s="1217"/>
      <c r="C22" s="841" t="s">
        <v>607</v>
      </c>
      <c r="D22" s="842">
        <v>1.2</v>
      </c>
      <c r="E22" s="1205"/>
      <c r="F22" s="1208"/>
      <c r="G22" s="1208"/>
      <c r="H22" s="1208"/>
      <c r="I22" s="1211"/>
      <c r="J22" s="1208"/>
      <c r="K22" s="1223"/>
      <c r="L22" s="1208"/>
      <c r="M22" s="1220"/>
      <c r="N22" s="1214"/>
    </row>
    <row r="23" spans="1:15" ht="41.25" customHeight="1" x14ac:dyDescent="0.2">
      <c r="A23" s="1200">
        <v>2</v>
      </c>
      <c r="B23" s="1215" t="s">
        <v>2019</v>
      </c>
      <c r="C23" s="290" t="s">
        <v>2016</v>
      </c>
      <c r="D23" s="839">
        <v>3288</v>
      </c>
      <c r="E23" s="1203">
        <f>D23</f>
        <v>3288</v>
      </c>
      <c r="F23" s="1206" t="s">
        <v>603</v>
      </c>
      <c r="G23" s="1206">
        <f>D24</f>
        <v>3</v>
      </c>
      <c r="H23" s="1206" t="s">
        <v>603</v>
      </c>
      <c r="I23" s="1209">
        <f>D25</f>
        <v>1.2</v>
      </c>
      <c r="J23" s="1206"/>
      <c r="K23" s="1221"/>
      <c r="L23" s="1206"/>
      <c r="M23" s="1218"/>
      <c r="N23" s="1212">
        <f>E23*G23*I23</f>
        <v>11837</v>
      </c>
    </row>
    <row r="24" spans="1:15" ht="23.25" customHeight="1" x14ac:dyDescent="0.2">
      <c r="A24" s="1201"/>
      <c r="B24" s="1216"/>
      <c r="C24" s="286" t="s">
        <v>2015</v>
      </c>
      <c r="D24" s="840">
        <v>3</v>
      </c>
      <c r="E24" s="1204"/>
      <c r="F24" s="1207"/>
      <c r="G24" s="1207"/>
      <c r="H24" s="1207"/>
      <c r="I24" s="1210"/>
      <c r="J24" s="1207"/>
      <c r="K24" s="1222"/>
      <c r="L24" s="1207"/>
      <c r="M24" s="1219"/>
      <c r="N24" s="1213"/>
    </row>
    <row r="25" spans="1:15" ht="15.75" customHeight="1" thickBot="1" x14ac:dyDescent="0.25">
      <c r="A25" s="1202"/>
      <c r="B25" s="1217"/>
      <c r="C25" s="841" t="s">
        <v>607</v>
      </c>
      <c r="D25" s="842">
        <v>1.2</v>
      </c>
      <c r="E25" s="1205"/>
      <c r="F25" s="1208"/>
      <c r="G25" s="1208"/>
      <c r="H25" s="1208"/>
      <c r="I25" s="1211"/>
      <c r="J25" s="1208"/>
      <c r="K25" s="1223"/>
      <c r="L25" s="1208"/>
      <c r="M25" s="1220"/>
      <c r="N25" s="1214"/>
    </row>
    <row r="26" spans="1:15" ht="13.5" thickBot="1" x14ac:dyDescent="0.25">
      <c r="A26" s="1224" t="s">
        <v>2017</v>
      </c>
      <c r="B26" s="1225"/>
      <c r="C26" s="1225"/>
      <c r="D26" s="1225"/>
      <c r="E26" s="1225"/>
      <c r="F26" s="1225"/>
      <c r="G26" s="1225"/>
      <c r="H26" s="1225"/>
      <c r="I26" s="1225"/>
      <c r="J26" s="1225"/>
      <c r="K26" s="1225"/>
      <c r="L26" s="1225"/>
      <c r="M26" s="1226"/>
      <c r="N26" s="278">
        <f>SUM(N20:N25)</f>
        <v>215525</v>
      </c>
    </row>
    <row r="27" spans="1:15" ht="11.25" customHeight="1" thickBot="1" x14ac:dyDescent="0.25">
      <c r="A27" s="1227" t="s">
        <v>545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9"/>
    </row>
    <row r="28" spans="1:15" ht="3.75" hidden="1" customHeight="1" thickBot="1" x14ac:dyDescent="0.25">
      <c r="A28" s="1230">
        <v>6</v>
      </c>
      <c r="B28" s="274" t="s">
        <v>601</v>
      </c>
      <c r="C28" s="279" t="s">
        <v>602</v>
      </c>
      <c r="D28" s="280">
        <v>2705</v>
      </c>
      <c r="E28" s="1232">
        <f>D28</f>
        <v>2705</v>
      </c>
      <c r="F28" s="1235" t="s">
        <v>603</v>
      </c>
      <c r="G28" s="1235">
        <f>D29</f>
        <v>0</v>
      </c>
      <c r="H28" s="1235" t="s">
        <v>603</v>
      </c>
      <c r="I28" s="1238">
        <f>D30</f>
        <v>1</v>
      </c>
      <c r="J28" s="1235" t="s">
        <v>603</v>
      </c>
      <c r="K28" s="1238">
        <f>D31</f>
        <v>1.2</v>
      </c>
      <c r="L28" s="1235"/>
      <c r="M28" s="281"/>
      <c r="N28" s="1241">
        <f>D28*D29*D30*D31</f>
        <v>0</v>
      </c>
    </row>
    <row r="29" spans="1:15" ht="13.5" hidden="1" thickBot="1" x14ac:dyDescent="0.25">
      <c r="A29" s="1231"/>
      <c r="B29" s="275" t="s">
        <v>604</v>
      </c>
      <c r="C29" s="282" t="s">
        <v>605</v>
      </c>
      <c r="D29" s="283">
        <v>0</v>
      </c>
      <c r="E29" s="1233"/>
      <c r="F29" s="1236"/>
      <c r="G29" s="1236"/>
      <c r="H29" s="1236"/>
      <c r="I29" s="1239"/>
      <c r="J29" s="1236"/>
      <c r="K29" s="1239"/>
      <c r="L29" s="1236"/>
      <c r="M29" s="284"/>
      <c r="N29" s="1242"/>
    </row>
    <row r="30" spans="1:15" ht="39" hidden="1" thickBot="1" x14ac:dyDescent="0.25">
      <c r="A30" s="1231"/>
      <c r="B30" s="285" t="s">
        <v>606</v>
      </c>
      <c r="C30" s="286" t="s">
        <v>611</v>
      </c>
      <c r="D30" s="287">
        <v>1</v>
      </c>
      <c r="E30" s="1233"/>
      <c r="F30" s="1236"/>
      <c r="G30" s="1236"/>
      <c r="H30" s="1236"/>
      <c r="I30" s="1239"/>
      <c r="J30" s="1236"/>
      <c r="K30" s="1239"/>
      <c r="L30" s="1236"/>
      <c r="M30" s="284"/>
      <c r="N30" s="1242"/>
    </row>
    <row r="31" spans="1:15" ht="13.5" hidden="1" thickBot="1" x14ac:dyDescent="0.25">
      <c r="A31" s="1231"/>
      <c r="B31" s="276" t="s">
        <v>612</v>
      </c>
      <c r="C31" s="277" t="s">
        <v>613</v>
      </c>
      <c r="D31" s="288">
        <v>1.2</v>
      </c>
      <c r="E31" s="1234"/>
      <c r="F31" s="1237"/>
      <c r="G31" s="1237"/>
      <c r="H31" s="1237"/>
      <c r="I31" s="1240"/>
      <c r="J31" s="1237"/>
      <c r="K31" s="1240"/>
      <c r="L31" s="1237"/>
      <c r="M31" s="289"/>
      <c r="N31" s="1242"/>
    </row>
    <row r="32" spans="1:15" ht="13.5" hidden="1" thickBot="1" x14ac:dyDescent="0.25">
      <c r="A32" s="1243">
        <v>7</v>
      </c>
      <c r="B32" s="274" t="s">
        <v>608</v>
      </c>
      <c r="C32" s="290" t="s">
        <v>609</v>
      </c>
      <c r="D32" s="291">
        <v>485</v>
      </c>
      <c r="E32" s="1203">
        <f>D32</f>
        <v>485</v>
      </c>
      <c r="F32" s="1206" t="s">
        <v>603</v>
      </c>
      <c r="G32" s="1206">
        <f>D33</f>
        <v>0</v>
      </c>
      <c r="H32" s="1206" t="s">
        <v>603</v>
      </c>
      <c r="I32" s="1206">
        <f>D35</f>
        <v>1.2</v>
      </c>
      <c r="J32" s="1206"/>
      <c r="K32" s="1206"/>
      <c r="L32" s="1206"/>
      <c r="M32" s="292"/>
      <c r="N32" s="1212">
        <f>D32*D33*D35</f>
        <v>0</v>
      </c>
    </row>
    <row r="33" spans="1:14" ht="13.5" hidden="1" thickBot="1" x14ac:dyDescent="0.25">
      <c r="A33" s="1244"/>
      <c r="B33" s="275" t="s">
        <v>604</v>
      </c>
      <c r="C33" s="286" t="s">
        <v>610</v>
      </c>
      <c r="D33" s="293">
        <v>0</v>
      </c>
      <c r="E33" s="1204"/>
      <c r="F33" s="1207"/>
      <c r="G33" s="1207"/>
      <c r="H33" s="1207"/>
      <c r="I33" s="1207"/>
      <c r="J33" s="1207"/>
      <c r="K33" s="1207"/>
      <c r="L33" s="1207"/>
      <c r="M33" s="294"/>
      <c r="N33" s="1213"/>
    </row>
    <row r="34" spans="1:14" ht="13.5" hidden="1" thickBot="1" x14ac:dyDescent="0.25">
      <c r="A34" s="1244"/>
      <c r="B34" s="285" t="s">
        <v>614</v>
      </c>
      <c r="C34" s="295"/>
      <c r="D34" s="296"/>
      <c r="E34" s="1204"/>
      <c r="F34" s="1207"/>
      <c r="G34" s="1207"/>
      <c r="H34" s="1207"/>
      <c r="I34" s="1207"/>
      <c r="J34" s="1207"/>
      <c r="K34" s="1207"/>
      <c r="L34" s="1207"/>
      <c r="M34" s="294"/>
      <c r="N34" s="1213"/>
    </row>
    <row r="35" spans="1:14" ht="13.5" hidden="1" thickBot="1" x14ac:dyDescent="0.25">
      <c r="A35" s="1244"/>
      <c r="B35" s="276" t="s">
        <v>612</v>
      </c>
      <c r="C35" s="295" t="s">
        <v>613</v>
      </c>
      <c r="D35" s="296">
        <v>1.2</v>
      </c>
      <c r="E35" s="1205"/>
      <c r="F35" s="1208"/>
      <c r="G35" s="1208"/>
      <c r="H35" s="1208"/>
      <c r="I35" s="1208"/>
      <c r="J35" s="1208"/>
      <c r="K35" s="1208"/>
      <c r="L35" s="1208"/>
      <c r="M35" s="297"/>
      <c r="N35" s="1213"/>
    </row>
    <row r="36" spans="1:14" ht="41.25" customHeight="1" x14ac:dyDescent="0.2">
      <c r="A36" s="1200">
        <v>3</v>
      </c>
      <c r="B36" s="1215" t="s">
        <v>2018</v>
      </c>
      <c r="C36" s="290" t="s">
        <v>2014</v>
      </c>
      <c r="D36" s="839">
        <v>422</v>
      </c>
      <c r="E36" s="1203">
        <f>D36</f>
        <v>422</v>
      </c>
      <c r="F36" s="1206" t="s">
        <v>603</v>
      </c>
      <c r="G36" s="1206">
        <f>D37</f>
        <v>123</v>
      </c>
      <c r="H36" s="1206"/>
      <c r="I36" s="1209"/>
      <c r="J36" s="1206"/>
      <c r="K36" s="1221"/>
      <c r="L36" s="1206"/>
      <c r="M36" s="1218"/>
      <c r="N36" s="1212">
        <f>E36*G36</f>
        <v>51906</v>
      </c>
    </row>
    <row r="37" spans="1:14" ht="23.25" customHeight="1" thickBot="1" x14ac:dyDescent="0.25">
      <c r="A37" s="1201"/>
      <c r="B37" s="1216"/>
      <c r="C37" s="286" t="s">
        <v>2015</v>
      </c>
      <c r="D37" s="840">
        <f>D21</f>
        <v>123</v>
      </c>
      <c r="E37" s="1204"/>
      <c r="F37" s="1207"/>
      <c r="G37" s="1207"/>
      <c r="H37" s="1207"/>
      <c r="I37" s="1210"/>
      <c r="J37" s="1207"/>
      <c r="K37" s="1222"/>
      <c r="L37" s="1207"/>
      <c r="M37" s="1219"/>
      <c r="N37" s="1213"/>
    </row>
    <row r="38" spans="1:14" ht="41.25" customHeight="1" x14ac:dyDescent="0.2">
      <c r="A38" s="1200">
        <v>4</v>
      </c>
      <c r="B38" s="1215" t="s">
        <v>2019</v>
      </c>
      <c r="C38" s="290" t="s">
        <v>2016</v>
      </c>
      <c r="D38" s="839">
        <v>791</v>
      </c>
      <c r="E38" s="1203">
        <f>D38</f>
        <v>791</v>
      </c>
      <c r="F38" s="1206" t="s">
        <v>603</v>
      </c>
      <c r="G38" s="1206">
        <f>D39</f>
        <v>3</v>
      </c>
      <c r="H38" s="1206"/>
      <c r="I38" s="1209"/>
      <c r="J38" s="1206"/>
      <c r="K38" s="1221"/>
      <c r="L38" s="1206"/>
      <c r="M38" s="1218"/>
      <c r="N38" s="1212">
        <f>E38*G38</f>
        <v>2373</v>
      </c>
    </row>
    <row r="39" spans="1:14" ht="23.25" customHeight="1" thickBot="1" x14ac:dyDescent="0.25">
      <c r="A39" s="1201"/>
      <c r="B39" s="1216"/>
      <c r="C39" s="286" t="s">
        <v>2015</v>
      </c>
      <c r="D39" s="840">
        <f>D24</f>
        <v>3</v>
      </c>
      <c r="E39" s="1204"/>
      <c r="F39" s="1207"/>
      <c r="G39" s="1207"/>
      <c r="H39" s="1207"/>
      <c r="I39" s="1210"/>
      <c r="J39" s="1207"/>
      <c r="K39" s="1222"/>
      <c r="L39" s="1207"/>
      <c r="M39" s="1219"/>
      <c r="N39" s="1213"/>
    </row>
    <row r="40" spans="1:14" ht="15" thickBot="1" x14ac:dyDescent="0.25">
      <c r="A40" s="1271" t="s">
        <v>616</v>
      </c>
      <c r="B40" s="1272"/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3"/>
      <c r="N40" s="299">
        <f>SUM(N36:N39)</f>
        <v>54279</v>
      </c>
    </row>
    <row r="41" spans="1:14" ht="13.5" thickBot="1" x14ac:dyDescent="0.25">
      <c r="A41" s="1283" t="s">
        <v>617</v>
      </c>
      <c r="B41" s="1284"/>
      <c r="C41" s="1284"/>
      <c r="D41" s="1284"/>
      <c r="E41" s="1285"/>
      <c r="F41" s="1285"/>
      <c r="G41" s="1285"/>
      <c r="H41" s="1285"/>
      <c r="I41" s="1285"/>
      <c r="J41" s="1285"/>
      <c r="K41" s="1285"/>
      <c r="L41" s="1285"/>
      <c r="M41" s="1285"/>
      <c r="N41" s="1286"/>
    </row>
    <row r="42" spans="1:14" x14ac:dyDescent="0.2">
      <c r="A42" s="1200">
        <v>5</v>
      </c>
      <c r="B42" s="300" t="s">
        <v>618</v>
      </c>
      <c r="C42" s="301" t="s">
        <v>619</v>
      </c>
      <c r="D42" s="302">
        <v>8.7499999999999994E-2</v>
      </c>
      <c r="E42" s="1274">
        <f>N26</f>
        <v>215525</v>
      </c>
      <c r="F42" s="1280" t="s">
        <v>603</v>
      </c>
      <c r="G42" s="1277">
        <f>D42</f>
        <v>8.7499999999999994E-2</v>
      </c>
      <c r="H42" s="303"/>
      <c r="I42" s="303"/>
      <c r="J42" s="303"/>
      <c r="K42" s="303"/>
      <c r="L42" s="303"/>
      <c r="M42" s="304"/>
      <c r="N42" s="1257">
        <f>E42*G42</f>
        <v>18858</v>
      </c>
    </row>
    <row r="43" spans="1:14" ht="15" customHeight="1" x14ac:dyDescent="0.2">
      <c r="A43" s="1201"/>
      <c r="B43" s="305" t="s">
        <v>620</v>
      </c>
      <c r="C43" s="286"/>
      <c r="D43" s="287"/>
      <c r="E43" s="1275"/>
      <c r="F43" s="1281"/>
      <c r="G43" s="1278"/>
      <c r="H43" s="307"/>
      <c r="I43" s="307"/>
      <c r="J43" s="307"/>
      <c r="K43" s="307"/>
      <c r="L43" s="307"/>
      <c r="M43" s="308"/>
      <c r="N43" s="1258"/>
    </row>
    <row r="44" spans="1:14" ht="15.75" customHeight="1" thickBot="1" x14ac:dyDescent="0.25">
      <c r="A44" s="1202"/>
      <c r="B44" s="309" t="s">
        <v>2020</v>
      </c>
      <c r="C44" s="310"/>
      <c r="D44" s="311"/>
      <c r="E44" s="1276"/>
      <c r="F44" s="1282"/>
      <c r="G44" s="1279"/>
      <c r="H44" s="312"/>
      <c r="I44" s="312"/>
      <c r="J44" s="312"/>
      <c r="K44" s="312"/>
      <c r="L44" s="312"/>
      <c r="M44" s="313"/>
      <c r="N44" s="1259"/>
    </row>
    <row r="45" spans="1:14" x14ac:dyDescent="0.2">
      <c r="A45" s="1254">
        <v>6</v>
      </c>
      <c r="B45" s="314" t="s">
        <v>621</v>
      </c>
      <c r="C45" s="315" t="s">
        <v>2021</v>
      </c>
      <c r="D45" s="316">
        <v>0.19600000000000001</v>
      </c>
      <c r="E45" s="317">
        <f>N26</f>
        <v>215525</v>
      </c>
      <c r="F45" s="318" t="s">
        <v>603</v>
      </c>
      <c r="G45" s="319">
        <f>D45</f>
        <v>0.19600000000000001</v>
      </c>
      <c r="H45" s="245"/>
      <c r="I45" s="245"/>
      <c r="J45" s="245"/>
      <c r="K45" s="245"/>
      <c r="L45" s="318"/>
      <c r="M45" s="320"/>
      <c r="N45" s="1257">
        <f>(N26+N42)*D45</f>
        <v>45939</v>
      </c>
    </row>
    <row r="46" spans="1:14" x14ac:dyDescent="0.2">
      <c r="A46" s="1255"/>
      <c r="B46" s="321" t="s">
        <v>623</v>
      </c>
      <c r="C46" s="322"/>
      <c r="D46" s="323"/>
      <c r="E46" s="306" t="s">
        <v>622</v>
      </c>
      <c r="F46" s="307"/>
      <c r="G46" s="324"/>
      <c r="H46" s="307"/>
      <c r="I46" s="307"/>
      <c r="J46" s="307"/>
      <c r="K46" s="307"/>
      <c r="L46" s="307"/>
      <c r="M46" s="308"/>
      <c r="N46" s="1258"/>
    </row>
    <row r="47" spans="1:14" ht="13.5" thickBot="1" x14ac:dyDescent="0.25">
      <c r="A47" s="1255"/>
      <c r="B47" s="325" t="s">
        <v>2035</v>
      </c>
      <c r="C47" s="326"/>
      <c r="D47" s="327"/>
      <c r="E47" s="328">
        <f>N42</f>
        <v>18858</v>
      </c>
      <c r="F47" s="312"/>
      <c r="G47" s="312"/>
      <c r="H47" s="312"/>
      <c r="I47" s="312"/>
      <c r="J47" s="312"/>
      <c r="K47" s="312"/>
      <c r="L47" s="312"/>
      <c r="M47" s="313"/>
      <c r="N47" s="1259"/>
    </row>
    <row r="48" spans="1:14" s="333" customFormat="1" x14ac:dyDescent="0.2">
      <c r="A48" s="1254">
        <v>7</v>
      </c>
      <c r="B48" s="329" t="s">
        <v>624</v>
      </c>
      <c r="C48" s="330" t="s">
        <v>625</v>
      </c>
      <c r="D48" s="331">
        <v>0.06</v>
      </c>
      <c r="E48" s="317">
        <f>N26</f>
        <v>215525</v>
      </c>
      <c r="F48" s="318" t="s">
        <v>603</v>
      </c>
      <c r="G48" s="319">
        <f>D48</f>
        <v>0.06</v>
      </c>
      <c r="J48" s="318"/>
      <c r="K48" s="318"/>
      <c r="L48" s="332"/>
      <c r="M48" s="320"/>
      <c r="N48" s="1257">
        <f>(N26+N42)*D48</f>
        <v>14063</v>
      </c>
    </row>
    <row r="49" spans="1:14" x14ac:dyDescent="0.2">
      <c r="A49" s="1255"/>
      <c r="B49" s="334"/>
      <c r="C49" s="298"/>
      <c r="D49" s="335"/>
      <c r="E49" s="306" t="s">
        <v>622</v>
      </c>
      <c r="F49" s="336"/>
      <c r="G49" s="336"/>
      <c r="H49" s="307"/>
      <c r="I49" s="324"/>
      <c r="J49" s="307"/>
      <c r="K49" s="307"/>
      <c r="L49" s="307"/>
      <c r="M49" s="308"/>
      <c r="N49" s="1258"/>
    </row>
    <row r="50" spans="1:14" ht="13.5" thickBot="1" x14ac:dyDescent="0.25">
      <c r="A50" s="1256"/>
      <c r="B50" s="337"/>
      <c r="C50" s="326"/>
      <c r="D50" s="327"/>
      <c r="E50" s="328">
        <f>N42</f>
        <v>18858</v>
      </c>
      <c r="F50" s="312"/>
      <c r="G50" s="312"/>
      <c r="H50" s="312"/>
      <c r="I50" s="312"/>
      <c r="J50" s="312"/>
      <c r="K50" s="312"/>
      <c r="L50" s="312"/>
      <c r="M50" s="313"/>
      <c r="N50" s="1259"/>
    </row>
    <row r="51" spans="1:14" ht="15" thickBot="1" x14ac:dyDescent="0.25">
      <c r="A51" s="1251" t="s">
        <v>626</v>
      </c>
      <c r="B51" s="1252"/>
      <c r="C51" s="1252"/>
      <c r="D51" s="1252"/>
      <c r="E51" s="1252"/>
      <c r="F51" s="1252"/>
      <c r="G51" s="1252"/>
      <c r="H51" s="1252"/>
      <c r="I51" s="1252"/>
      <c r="J51" s="1252"/>
      <c r="K51" s="1252"/>
      <c r="L51" s="1252"/>
      <c r="M51" s="1253"/>
      <c r="N51" s="338">
        <f>SUM(N42:N50)</f>
        <v>78860</v>
      </c>
    </row>
    <row r="52" spans="1:14" ht="15.75" x14ac:dyDescent="0.25">
      <c r="A52" s="1260" t="s">
        <v>627</v>
      </c>
      <c r="B52" s="1261"/>
      <c r="C52" s="1261"/>
      <c r="D52" s="1261"/>
      <c r="E52" s="1261"/>
      <c r="F52" s="1261"/>
      <c r="G52" s="1261"/>
      <c r="H52" s="1261"/>
      <c r="I52" s="1261"/>
      <c r="J52" s="1261"/>
      <c r="K52" s="1261"/>
      <c r="L52" s="1261"/>
      <c r="M52" s="1261"/>
      <c r="N52" s="339">
        <f>N26+N40+N51</f>
        <v>348664</v>
      </c>
    </row>
    <row r="53" spans="1:14" x14ac:dyDescent="0.2">
      <c r="A53" s="340">
        <v>8</v>
      </c>
      <c r="B53" s="341" t="s">
        <v>628</v>
      </c>
      <c r="C53" s="342"/>
      <c r="D53" s="343">
        <v>0.1</v>
      </c>
      <c r="E53" s="344">
        <f>N52</f>
        <v>348664</v>
      </c>
      <c r="F53" s="345"/>
      <c r="G53" s="345"/>
      <c r="H53" s="345"/>
      <c r="I53" s="345"/>
      <c r="J53" s="346"/>
      <c r="K53" s="346"/>
      <c r="L53" s="346"/>
      <c r="M53" s="347"/>
      <c r="N53" s="348">
        <f>E53*D53</f>
        <v>34866</v>
      </c>
    </row>
    <row r="54" spans="1:14" ht="16.5" thickBot="1" x14ac:dyDescent="0.3">
      <c r="A54" s="349"/>
      <c r="B54" s="350" t="s">
        <v>629</v>
      </c>
      <c r="C54" s="350"/>
      <c r="D54" s="351"/>
      <c r="E54" s="352"/>
      <c r="F54" s="352"/>
      <c r="G54" s="352"/>
      <c r="H54" s="352"/>
      <c r="I54" s="1262" t="s">
        <v>615</v>
      </c>
      <c r="J54" s="1262"/>
      <c r="K54" s="1262"/>
      <c r="L54" s="1262"/>
      <c r="M54" s="1263"/>
      <c r="N54" s="353">
        <f>N52+N53</f>
        <v>383530</v>
      </c>
    </row>
    <row r="55" spans="1:14" ht="16.5" thickBot="1" x14ac:dyDescent="0.25">
      <c r="A55" s="354">
        <v>9</v>
      </c>
      <c r="B55" s="1264" t="s">
        <v>1883</v>
      </c>
      <c r="C55" s="1265"/>
      <c r="D55" s="355">
        <v>4.82</v>
      </c>
      <c r="E55" s="356"/>
      <c r="F55" s="356"/>
      <c r="G55" s="356"/>
      <c r="H55" s="356"/>
      <c r="I55" s="356"/>
      <c r="J55" s="356"/>
      <c r="K55" s="356"/>
      <c r="L55" s="356"/>
      <c r="M55" s="356"/>
      <c r="N55" s="357">
        <f>N54*D55</f>
        <v>1848615</v>
      </c>
    </row>
    <row r="56" spans="1:14" ht="16.5" thickBot="1" x14ac:dyDescent="0.3">
      <c r="A56" s="1266" t="s">
        <v>582</v>
      </c>
      <c r="B56" s="1267"/>
      <c r="C56" s="1267"/>
      <c r="D56" s="1267"/>
      <c r="E56" s="1267"/>
      <c r="F56" s="1267"/>
      <c r="G56" s="1267"/>
      <c r="H56" s="1267"/>
      <c r="I56" s="1267"/>
      <c r="J56" s="1268">
        <v>0.2</v>
      </c>
      <c r="K56" s="1269"/>
      <c r="L56" s="1269"/>
      <c r="M56" s="1270"/>
      <c r="N56" s="358">
        <f>N55*J56</f>
        <v>369723</v>
      </c>
    </row>
    <row r="57" spans="1:14" ht="16.5" thickBot="1" x14ac:dyDescent="0.3">
      <c r="A57" s="1245" t="s">
        <v>630</v>
      </c>
      <c r="B57" s="1246"/>
      <c r="C57" s="1246"/>
      <c r="D57" s="1246"/>
      <c r="E57" s="1246"/>
      <c r="F57" s="1246"/>
      <c r="G57" s="1246"/>
      <c r="H57" s="1246"/>
      <c r="I57" s="1246"/>
      <c r="J57" s="1246"/>
      <c r="K57" s="1247"/>
      <c r="L57" s="1248">
        <f>N55+N56</f>
        <v>2218338</v>
      </c>
      <c r="M57" s="1249" t="e">
        <f>#REF!+N56</f>
        <v>#REF!</v>
      </c>
      <c r="N57" s="1250"/>
    </row>
    <row r="121" spans="32:36" x14ac:dyDescent="0.2">
      <c r="AG121" s="359"/>
      <c r="AH121" s="359"/>
    </row>
    <row r="122" spans="32:36" x14ac:dyDescent="0.2">
      <c r="AF122" s="359"/>
      <c r="AG122" s="359"/>
      <c r="AH122" s="359"/>
    </row>
    <row r="123" spans="32:36" x14ac:dyDescent="0.2">
      <c r="AF123" s="360"/>
      <c r="AI123" s="359"/>
      <c r="AJ123" s="359"/>
    </row>
    <row r="124" spans="32:36" x14ac:dyDescent="0.2">
      <c r="AF124" s="360"/>
      <c r="AG124" s="359"/>
      <c r="AH124" s="359"/>
      <c r="AJ124" s="359"/>
    </row>
    <row r="125" spans="32:36" x14ac:dyDescent="0.2">
      <c r="AF125" s="360"/>
      <c r="AG125" s="359"/>
      <c r="AH125" s="359"/>
      <c r="AJ125" s="359"/>
    </row>
    <row r="126" spans="32:36" x14ac:dyDescent="0.2">
      <c r="AF126" s="360"/>
      <c r="AG126" s="359"/>
      <c r="AH126" s="359"/>
      <c r="AJ126" s="359"/>
    </row>
    <row r="127" spans="32:36" x14ac:dyDescent="0.2">
      <c r="AF127" s="360"/>
      <c r="AG127" s="359"/>
      <c r="AH127" s="359"/>
      <c r="AJ127" s="359"/>
    </row>
    <row r="128" spans="32:36" x14ac:dyDescent="0.2">
      <c r="AF128" s="360"/>
      <c r="AG128" s="359"/>
      <c r="AH128" s="359"/>
      <c r="AJ128" s="359"/>
    </row>
    <row r="129" spans="32:36" x14ac:dyDescent="0.2">
      <c r="AF129" s="360"/>
      <c r="AG129" s="359"/>
      <c r="AH129" s="359"/>
      <c r="AJ129" s="359"/>
    </row>
    <row r="130" spans="32:36" x14ac:dyDescent="0.2">
      <c r="AF130" s="360"/>
      <c r="AG130" s="359"/>
      <c r="AH130" s="359"/>
      <c r="AJ130" s="359"/>
    </row>
    <row r="131" spans="32:36" x14ac:dyDescent="0.2">
      <c r="AF131" s="360"/>
      <c r="AG131" s="359"/>
      <c r="AH131" s="359"/>
      <c r="AJ131" s="359"/>
    </row>
    <row r="132" spans="32:36" x14ac:dyDescent="0.2">
      <c r="AF132" s="360"/>
      <c r="AG132" s="359"/>
      <c r="AH132" s="359"/>
      <c r="AJ132" s="359"/>
    </row>
    <row r="133" spans="32:36" x14ac:dyDescent="0.2">
      <c r="AF133" s="359"/>
      <c r="AJ133" s="359"/>
    </row>
    <row r="134" spans="32:36" x14ac:dyDescent="0.2">
      <c r="AF134" s="360"/>
      <c r="AG134" s="359"/>
    </row>
    <row r="135" spans="32:36" x14ac:dyDescent="0.2">
      <c r="AF135" s="360"/>
      <c r="AG135" s="359"/>
      <c r="AH135" s="359"/>
    </row>
    <row r="136" spans="32:36" x14ac:dyDescent="0.2">
      <c r="AF136" s="360"/>
      <c r="AG136" s="359"/>
      <c r="AH136" s="359"/>
      <c r="AI136" s="359"/>
      <c r="AJ136" s="359"/>
    </row>
    <row r="137" spans="32:36" x14ac:dyDescent="0.2">
      <c r="AF137" s="360"/>
      <c r="AG137" s="359"/>
      <c r="AH137" s="359"/>
    </row>
    <row r="138" spans="32:36" x14ac:dyDescent="0.2">
      <c r="AF138" s="360"/>
      <c r="AG138" s="359"/>
      <c r="AH138" s="359"/>
      <c r="AI138" s="359"/>
      <c r="AJ138" s="359"/>
    </row>
    <row r="139" spans="32:36" x14ac:dyDescent="0.2">
      <c r="AF139" s="360"/>
      <c r="AG139" s="359"/>
      <c r="AH139" s="359"/>
      <c r="AJ139" s="359"/>
    </row>
    <row r="140" spans="32:36" x14ac:dyDescent="0.2">
      <c r="AF140" s="360"/>
      <c r="AG140" s="359"/>
      <c r="AH140" s="359"/>
      <c r="AJ140" s="359"/>
    </row>
    <row r="141" spans="32:36" x14ac:dyDescent="0.2">
      <c r="AF141" s="360"/>
      <c r="AG141" s="359"/>
      <c r="AH141" s="359"/>
      <c r="AJ141" s="359"/>
    </row>
    <row r="142" spans="32:36" x14ac:dyDescent="0.2">
      <c r="AF142" s="360"/>
      <c r="AG142" s="359"/>
      <c r="AH142" s="359"/>
      <c r="AJ142" s="359"/>
    </row>
    <row r="143" spans="32:36" x14ac:dyDescent="0.2">
      <c r="AF143" s="360"/>
      <c r="AG143" s="359"/>
      <c r="AH143" s="359"/>
      <c r="AJ143" s="359"/>
    </row>
    <row r="144" spans="32:36" x14ac:dyDescent="0.2">
      <c r="AF144" s="359"/>
      <c r="AJ144" s="359"/>
    </row>
    <row r="145" spans="32:34" x14ac:dyDescent="0.2">
      <c r="AF145" s="360"/>
    </row>
    <row r="146" spans="32:34" x14ac:dyDescent="0.2">
      <c r="AF146" s="360"/>
      <c r="AG146" s="359"/>
    </row>
    <row r="147" spans="32:34" x14ac:dyDescent="0.2">
      <c r="AF147" s="360"/>
      <c r="AG147" s="359"/>
      <c r="AH147" s="359"/>
    </row>
    <row r="148" spans="32:34" x14ac:dyDescent="0.2">
      <c r="AF148" s="360"/>
      <c r="AG148" s="359"/>
      <c r="AH148" s="359"/>
    </row>
    <row r="149" spans="32:34" x14ac:dyDescent="0.2">
      <c r="AF149" s="360"/>
      <c r="AG149" s="359"/>
    </row>
    <row r="150" spans="32:34" x14ac:dyDescent="0.2">
      <c r="AF150" s="360"/>
      <c r="AG150" s="359"/>
      <c r="AH150" s="359"/>
    </row>
    <row r="151" spans="32:34" x14ac:dyDescent="0.2">
      <c r="AF151" s="360"/>
      <c r="AG151" s="359"/>
      <c r="AH151" s="359"/>
    </row>
    <row r="152" spans="32:34" x14ac:dyDescent="0.2">
      <c r="AF152" s="360"/>
      <c r="AG152" s="359"/>
      <c r="AH152" s="359"/>
    </row>
    <row r="153" spans="32:34" x14ac:dyDescent="0.2">
      <c r="AF153" s="360"/>
      <c r="AG153" s="359"/>
      <c r="AH153" s="359"/>
    </row>
    <row r="154" spans="32:34" x14ac:dyDescent="0.2">
      <c r="AF154" s="360"/>
      <c r="AG154" s="359"/>
      <c r="AH154" s="359"/>
    </row>
    <row r="157" spans="32:34" x14ac:dyDescent="0.2">
      <c r="AF157" s="359"/>
    </row>
    <row r="158" spans="32:34" x14ac:dyDescent="0.2">
      <c r="AF158" s="360"/>
    </row>
    <row r="159" spans="32:34" x14ac:dyDescent="0.2">
      <c r="AF159" s="360"/>
      <c r="AH159" s="359"/>
    </row>
    <row r="160" spans="32:34" x14ac:dyDescent="0.2">
      <c r="AF160" s="360"/>
      <c r="AG160" s="359"/>
      <c r="AH160" s="359"/>
    </row>
    <row r="161" spans="32:34" x14ac:dyDescent="0.2">
      <c r="AF161" s="360"/>
      <c r="AG161" s="359"/>
      <c r="AH161" s="359"/>
    </row>
    <row r="162" spans="32:34" x14ac:dyDescent="0.2">
      <c r="AF162" s="360"/>
      <c r="AG162" s="359"/>
      <c r="AH162" s="359"/>
    </row>
    <row r="163" spans="32:34" x14ac:dyDescent="0.2">
      <c r="AF163" s="360"/>
      <c r="AG163" s="359"/>
      <c r="AH163" s="359"/>
    </row>
    <row r="164" spans="32:34" x14ac:dyDescent="0.2">
      <c r="AF164" s="360"/>
      <c r="AG164" s="359"/>
      <c r="AH164" s="359"/>
    </row>
    <row r="165" spans="32:34" x14ac:dyDescent="0.2">
      <c r="AF165" s="360"/>
      <c r="AG165" s="359"/>
      <c r="AH165" s="359"/>
    </row>
    <row r="166" spans="32:34" x14ac:dyDescent="0.2">
      <c r="AF166" s="360"/>
      <c r="AG166" s="359"/>
      <c r="AH166" s="359"/>
    </row>
    <row r="167" spans="32:34" x14ac:dyDescent="0.2">
      <c r="AF167" s="360"/>
      <c r="AG167" s="359"/>
      <c r="AH167" s="359"/>
    </row>
    <row r="170" spans="32:34" x14ac:dyDescent="0.2">
      <c r="AG170" s="359"/>
      <c r="AH170" s="359"/>
    </row>
    <row r="171" spans="32:34" x14ac:dyDescent="0.2">
      <c r="AH171" s="359"/>
    </row>
    <row r="172" spans="32:34" x14ac:dyDescent="0.2">
      <c r="AF172" s="360"/>
      <c r="AG172" s="359"/>
      <c r="AH172" s="359"/>
    </row>
    <row r="173" spans="32:34" x14ac:dyDescent="0.2">
      <c r="AF173" s="360"/>
      <c r="AG173" s="359"/>
    </row>
    <row r="174" spans="32:34" x14ac:dyDescent="0.2">
      <c r="AF174" s="360"/>
      <c r="AG174" s="359"/>
      <c r="AH174" s="359"/>
    </row>
    <row r="175" spans="32:34" x14ac:dyDescent="0.2">
      <c r="AF175" s="360"/>
      <c r="AG175" s="359"/>
      <c r="AH175" s="359"/>
    </row>
    <row r="176" spans="32:34" x14ac:dyDescent="0.2">
      <c r="AF176" s="360"/>
      <c r="AG176" s="359"/>
      <c r="AH176" s="359"/>
    </row>
    <row r="177" spans="32:39" x14ac:dyDescent="0.2">
      <c r="AF177" s="360"/>
      <c r="AG177" s="359"/>
      <c r="AH177" s="359"/>
    </row>
    <row r="178" spans="32:39" x14ac:dyDescent="0.2">
      <c r="AF178" s="360"/>
      <c r="AG178" s="359"/>
      <c r="AH178" s="359"/>
      <c r="AJ178" s="361"/>
    </row>
    <row r="179" spans="32:39" x14ac:dyDescent="0.2">
      <c r="AG179" s="359"/>
      <c r="AI179" s="359"/>
    </row>
    <row r="180" spans="32:39" x14ac:dyDescent="0.2">
      <c r="AF180" s="362"/>
      <c r="AG180" s="361"/>
      <c r="AI180" s="362"/>
      <c r="AJ180" s="359"/>
    </row>
    <row r="181" spans="32:39" x14ac:dyDescent="0.2">
      <c r="AH181" s="359"/>
      <c r="AJ181" s="359"/>
    </row>
    <row r="182" spans="32:39" x14ac:dyDescent="0.2">
      <c r="AH182" s="359"/>
      <c r="AJ182" s="359"/>
    </row>
    <row r="183" spans="32:39" x14ac:dyDescent="0.2">
      <c r="AF183" s="359"/>
      <c r="AG183" s="361"/>
      <c r="AH183" s="361"/>
      <c r="AI183" s="361"/>
      <c r="AK183" s="361"/>
      <c r="AL183" s="360"/>
      <c r="AM183" s="360"/>
    </row>
    <row r="184" spans="32:39" x14ac:dyDescent="0.2">
      <c r="AF184" s="360"/>
      <c r="AG184" s="360"/>
      <c r="AH184" s="360"/>
      <c r="AK184" s="361"/>
      <c r="AL184" s="360"/>
    </row>
    <row r="185" spans="32:39" x14ac:dyDescent="0.2">
      <c r="AF185" s="360"/>
      <c r="AG185" s="359"/>
      <c r="AH185" s="360"/>
      <c r="AI185" s="359"/>
      <c r="AK185" s="361"/>
      <c r="AL185" s="360"/>
    </row>
    <row r="186" spans="32:39" x14ac:dyDescent="0.2">
      <c r="AF186" s="360"/>
      <c r="AG186" s="359"/>
      <c r="AH186" s="359"/>
      <c r="AI186" s="359"/>
      <c r="AJ186" s="359"/>
      <c r="AK186" s="361"/>
      <c r="AL186" s="360"/>
    </row>
    <row r="187" spans="32:39" x14ac:dyDescent="0.2">
      <c r="AF187" s="359"/>
      <c r="AG187" s="359"/>
      <c r="AH187" s="361"/>
      <c r="AI187" s="361"/>
      <c r="AJ187" s="359"/>
      <c r="AK187" s="361"/>
      <c r="AL187" s="360"/>
    </row>
    <row r="188" spans="32:39" x14ac:dyDescent="0.2">
      <c r="AK188" s="361"/>
      <c r="AL188" s="360"/>
    </row>
    <row r="189" spans="32:39" x14ac:dyDescent="0.2">
      <c r="AK189" s="361"/>
      <c r="AL189" s="360"/>
    </row>
    <row r="190" spans="32:39" x14ac:dyDescent="0.2">
      <c r="AF190" s="359"/>
      <c r="AG190" s="361"/>
      <c r="AH190" s="361"/>
      <c r="AI190" s="361"/>
      <c r="AK190" s="361"/>
      <c r="AL190" s="360"/>
    </row>
    <row r="191" spans="32:39" x14ac:dyDescent="0.2">
      <c r="AF191" s="360"/>
      <c r="AG191" s="360"/>
      <c r="AH191" s="360"/>
      <c r="AK191" s="361"/>
      <c r="AL191" s="360"/>
    </row>
    <row r="192" spans="32:39" x14ac:dyDescent="0.2">
      <c r="AF192" s="360"/>
      <c r="AG192" s="359"/>
      <c r="AH192" s="360"/>
      <c r="AI192" s="359"/>
      <c r="AK192" s="361"/>
      <c r="AL192" s="360"/>
    </row>
    <row r="193" spans="32:38" x14ac:dyDescent="0.2">
      <c r="AF193" s="360"/>
      <c r="AG193" s="359"/>
      <c r="AH193" s="359"/>
      <c r="AI193" s="359"/>
      <c r="AJ193" s="359"/>
      <c r="AK193" s="361"/>
      <c r="AL193" s="360"/>
    </row>
    <row r="194" spans="32:38" x14ac:dyDescent="0.2">
      <c r="AF194" s="359"/>
      <c r="AG194" s="359"/>
      <c r="AH194" s="361"/>
      <c r="AI194" s="361"/>
      <c r="AJ194" s="359"/>
      <c r="AK194" s="361"/>
      <c r="AL194" s="360"/>
    </row>
    <row r="195" spans="32:38" x14ac:dyDescent="0.2">
      <c r="AK195" s="361"/>
      <c r="AL195" s="360"/>
    </row>
    <row r="196" spans="32:38" x14ac:dyDescent="0.2">
      <c r="AK196" s="361"/>
      <c r="AL196" s="360"/>
    </row>
    <row r="197" spans="32:38" x14ac:dyDescent="0.2">
      <c r="AF197" s="359"/>
      <c r="AG197" s="361"/>
      <c r="AH197" s="361"/>
      <c r="AI197" s="361"/>
      <c r="AK197" s="361"/>
      <c r="AL197" s="360"/>
    </row>
    <row r="198" spans="32:38" x14ac:dyDescent="0.2">
      <c r="AF198" s="360"/>
      <c r="AG198" s="360"/>
      <c r="AH198" s="360"/>
      <c r="AK198" s="361"/>
      <c r="AL198" s="360"/>
    </row>
    <row r="199" spans="32:38" x14ac:dyDescent="0.2">
      <c r="AF199" s="360"/>
      <c r="AG199" s="359"/>
      <c r="AH199" s="360"/>
      <c r="AI199" s="359"/>
      <c r="AK199" s="361"/>
      <c r="AL199" s="360"/>
    </row>
    <row r="200" spans="32:38" x14ac:dyDescent="0.2">
      <c r="AF200" s="360"/>
      <c r="AG200" s="359"/>
      <c r="AH200" s="359"/>
      <c r="AI200" s="359"/>
      <c r="AJ200" s="359"/>
    </row>
    <row r="201" spans="32:38" x14ac:dyDescent="0.2">
      <c r="AF201" s="359"/>
      <c r="AG201" s="359"/>
      <c r="AH201" s="359"/>
      <c r="AI201" s="359"/>
      <c r="AJ201" s="359"/>
    </row>
    <row r="205" spans="32:38" x14ac:dyDescent="0.2">
      <c r="AF205" s="359"/>
      <c r="AG205" s="361"/>
      <c r="AH205" s="361"/>
    </row>
    <row r="206" spans="32:38" x14ac:dyDescent="0.2">
      <c r="AF206" s="361"/>
      <c r="AG206" s="360"/>
      <c r="AH206" s="360"/>
    </row>
    <row r="207" spans="32:38" x14ac:dyDescent="0.2">
      <c r="AF207" s="359"/>
      <c r="AG207" s="359"/>
      <c r="AH207" s="359"/>
    </row>
    <row r="208" spans="32:38" x14ac:dyDescent="0.2">
      <c r="AF208" s="359"/>
      <c r="AG208" s="359"/>
      <c r="AH208" s="359"/>
      <c r="AJ208" s="359"/>
    </row>
    <row r="209" spans="32:36" x14ac:dyDescent="0.2">
      <c r="AF209" s="359"/>
      <c r="AG209" s="359"/>
      <c r="AH209" s="359"/>
      <c r="AJ209" s="359"/>
    </row>
  </sheetData>
  <mergeCells count="100">
    <mergeCell ref="L38:L39"/>
    <mergeCell ref="M38:M39"/>
    <mergeCell ref="N38:N39"/>
    <mergeCell ref="E42:E44"/>
    <mergeCell ref="G42:G44"/>
    <mergeCell ref="F42:F44"/>
    <mergeCell ref="H38:H39"/>
    <mergeCell ref="I38:I39"/>
    <mergeCell ref="J38:J39"/>
    <mergeCell ref="K38:K39"/>
    <mergeCell ref="A41:N41"/>
    <mergeCell ref="A42:A44"/>
    <mergeCell ref="N42:N44"/>
    <mergeCell ref="A38:A39"/>
    <mergeCell ref="B38:B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M36:M37"/>
    <mergeCell ref="N36:N37"/>
    <mergeCell ref="A23:A25"/>
    <mergeCell ref="B23:B25"/>
    <mergeCell ref="E23:E25"/>
    <mergeCell ref="F23:F25"/>
    <mergeCell ref="G23:G25"/>
    <mergeCell ref="N23:N25"/>
    <mergeCell ref="F36:F37"/>
    <mergeCell ref="A57:K57"/>
    <mergeCell ref="L57:N57"/>
    <mergeCell ref="A51:M51"/>
    <mergeCell ref="A48:A50"/>
    <mergeCell ref="N48:N50"/>
    <mergeCell ref="A52:M52"/>
    <mergeCell ref="I54:M54"/>
    <mergeCell ref="B55:C55"/>
    <mergeCell ref="A56:I56"/>
    <mergeCell ref="J56:M56"/>
    <mergeCell ref="A45:A47"/>
    <mergeCell ref="N45:N47"/>
    <mergeCell ref="A40:M40"/>
    <mergeCell ref="H23:H25"/>
    <mergeCell ref="I32:I35"/>
    <mergeCell ref="J32:J35"/>
    <mergeCell ref="K32:K35"/>
    <mergeCell ref="L32:L35"/>
    <mergeCell ref="M23:M25"/>
    <mergeCell ref="I23:I25"/>
    <mergeCell ref="J23:J25"/>
    <mergeCell ref="K23:K25"/>
    <mergeCell ref="L23:L25"/>
    <mergeCell ref="A32:A35"/>
    <mergeCell ref="E32:E35"/>
    <mergeCell ref="F32:F35"/>
    <mergeCell ref="G32:G35"/>
    <mergeCell ref="H32:H35"/>
    <mergeCell ref="B36:B37"/>
    <mergeCell ref="A36:A37"/>
    <mergeCell ref="E36:E37"/>
    <mergeCell ref="A26:M26"/>
    <mergeCell ref="A27:N27"/>
    <mergeCell ref="A28:A31"/>
    <mergeCell ref="E28:E31"/>
    <mergeCell ref="F28:F31"/>
    <mergeCell ref="G28:G31"/>
    <mergeCell ref="H28:H31"/>
    <mergeCell ref="I28:I31"/>
    <mergeCell ref="J28:J31"/>
    <mergeCell ref="K28:K31"/>
    <mergeCell ref="L28:L31"/>
    <mergeCell ref="N28:N31"/>
    <mergeCell ref="N32:N35"/>
    <mergeCell ref="A19:N19"/>
    <mergeCell ref="A20:A22"/>
    <mergeCell ref="E20:E22"/>
    <mergeCell ref="F20:F22"/>
    <mergeCell ref="G20:G22"/>
    <mergeCell ref="H20:H22"/>
    <mergeCell ref="J20:J22"/>
    <mergeCell ref="I20:I22"/>
    <mergeCell ref="L20:L22"/>
    <mergeCell ref="N20:N22"/>
    <mergeCell ref="B20:B22"/>
    <mergeCell ref="M20:M22"/>
    <mergeCell ref="K20:K22"/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4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BreakPreview" topLeftCell="A58" zoomScale="85" zoomScaleNormal="98" zoomScaleSheetLayoutView="85" workbookViewId="0">
      <selection activeCell="D35" sqref="D35"/>
    </sheetView>
  </sheetViews>
  <sheetFormatPr defaultColWidth="9.28515625" defaultRowHeight="15" x14ac:dyDescent="0.25"/>
  <cols>
    <col min="1" max="1" width="3.7109375" style="364" customWidth="1"/>
    <col min="2" max="2" width="38.28515625" style="364" customWidth="1"/>
    <col min="3" max="3" width="8.140625" style="364" customWidth="1"/>
    <col min="4" max="4" width="12.28515625" style="364" customWidth="1"/>
    <col min="5" max="5" width="19" style="364" customWidth="1"/>
    <col min="6" max="6" width="9.28515625" style="364"/>
    <col min="7" max="7" width="10" style="364" bestFit="1" customWidth="1"/>
    <col min="8" max="11" width="9.28515625" style="364"/>
    <col min="12" max="12" width="14" style="364" customWidth="1"/>
    <col min="13" max="13" width="46.28515625" style="364" customWidth="1"/>
    <col min="14" max="14" width="14.7109375" style="364" bestFit="1" customWidth="1"/>
    <col min="15" max="16" width="9.28515625" style="364"/>
    <col min="17" max="17" width="9.28515625" style="364" customWidth="1"/>
    <col min="18" max="18" width="9.28515625" style="364"/>
    <col min="19" max="19" width="9.28515625" style="364" customWidth="1"/>
    <col min="20" max="26" width="9.28515625" style="364"/>
    <col min="27" max="27" width="9.28515625" style="364" customWidth="1"/>
    <col min="28" max="16384" width="9.28515625" style="364"/>
  </cols>
  <sheetData>
    <row r="1" spans="1:13" x14ac:dyDescent="0.25">
      <c r="A1" s="1289" t="s">
        <v>1893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363"/>
    </row>
    <row r="2" spans="1:13" x14ac:dyDescent="0.25">
      <c r="A2" s="1289" t="s">
        <v>631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363"/>
    </row>
    <row r="3" spans="1:13" ht="26.25" customHeight="1" x14ac:dyDescent="0.25">
      <c r="A3" s="1290" t="s">
        <v>632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363"/>
    </row>
    <row r="4" spans="1:13" x14ac:dyDescent="0.25">
      <c r="A4" s="1287" t="s">
        <v>633</v>
      </c>
      <c r="B4" s="1288"/>
      <c r="C4" s="1288"/>
      <c r="D4" s="1287"/>
      <c r="E4" s="1288"/>
      <c r="F4" s="1288"/>
      <c r="G4" s="1288"/>
      <c r="H4" s="1288"/>
      <c r="I4" s="1288"/>
      <c r="J4" s="1288"/>
      <c r="K4" s="1288"/>
      <c r="L4" s="1288"/>
      <c r="M4" s="365"/>
    </row>
    <row r="5" spans="1:13" x14ac:dyDescent="0.25">
      <c r="A5" s="1287" t="s">
        <v>141</v>
      </c>
      <c r="B5" s="1288"/>
      <c r="C5" s="1288"/>
      <c r="D5" s="1287" t="s">
        <v>1314</v>
      </c>
      <c r="E5" s="1288"/>
      <c r="F5" s="1288"/>
      <c r="G5" s="1288"/>
      <c r="H5" s="1288"/>
      <c r="I5" s="1288"/>
      <c r="J5" s="1288"/>
      <c r="K5" s="1288"/>
      <c r="L5" s="1288"/>
      <c r="M5" s="366"/>
    </row>
    <row r="6" spans="1:13" x14ac:dyDescent="0.25">
      <c r="A6" s="367" t="s">
        <v>634</v>
      </c>
      <c r="B6" s="368"/>
      <c r="C6" s="368"/>
      <c r="D6" s="369"/>
      <c r="E6" s="368"/>
      <c r="F6" s="368"/>
      <c r="G6" s="368"/>
      <c r="H6" s="368"/>
      <c r="I6" s="368"/>
      <c r="J6" s="368"/>
      <c r="K6" s="368"/>
      <c r="L6" s="370"/>
      <c r="M6" s="1295"/>
    </row>
    <row r="7" spans="1:13" ht="21" customHeight="1" x14ac:dyDescent="0.25">
      <c r="A7" s="1298" t="s">
        <v>635</v>
      </c>
      <c r="B7" s="1298" t="s">
        <v>83</v>
      </c>
      <c r="C7" s="1298" t="s">
        <v>636</v>
      </c>
      <c r="D7" s="1298" t="s">
        <v>561</v>
      </c>
      <c r="E7" s="1298" t="s">
        <v>597</v>
      </c>
      <c r="F7" s="1298" t="s">
        <v>637</v>
      </c>
      <c r="G7" s="1298"/>
      <c r="H7" s="1298"/>
      <c r="I7" s="1298"/>
      <c r="J7" s="1298"/>
      <c r="K7" s="1299"/>
      <c r="L7" s="1298" t="s">
        <v>638</v>
      </c>
      <c r="M7" s="1296"/>
    </row>
    <row r="8" spans="1:13" ht="30.75" customHeight="1" x14ac:dyDescent="0.25">
      <c r="A8" s="1299"/>
      <c r="B8" s="1299"/>
      <c r="C8" s="1299"/>
      <c r="D8" s="1299"/>
      <c r="E8" s="1299"/>
      <c r="F8" s="371" t="s">
        <v>639</v>
      </c>
      <c r="G8" s="371" t="s">
        <v>640</v>
      </c>
      <c r="H8" s="371" t="s">
        <v>641</v>
      </c>
      <c r="I8" s="371" t="s">
        <v>642</v>
      </c>
      <c r="J8" s="371" t="s">
        <v>643</v>
      </c>
      <c r="K8" s="371" t="s">
        <v>644</v>
      </c>
      <c r="L8" s="1299"/>
      <c r="M8" s="1297"/>
    </row>
    <row r="9" spans="1:13" x14ac:dyDescent="0.25">
      <c r="A9" s="372">
        <v>1</v>
      </c>
      <c r="B9" s="372">
        <v>2</v>
      </c>
      <c r="C9" s="372">
        <v>3</v>
      </c>
      <c r="D9" s="372">
        <v>4</v>
      </c>
      <c r="E9" s="372">
        <v>5</v>
      </c>
      <c r="F9" s="372">
        <v>6</v>
      </c>
      <c r="G9" s="372">
        <v>7</v>
      </c>
      <c r="H9" s="372">
        <v>8</v>
      </c>
      <c r="I9" s="372">
        <v>9</v>
      </c>
      <c r="J9" s="372">
        <v>10</v>
      </c>
      <c r="K9" s="372">
        <v>11</v>
      </c>
      <c r="L9" s="372">
        <v>12</v>
      </c>
      <c r="M9" s="373"/>
    </row>
    <row r="10" spans="1:13" x14ac:dyDescent="0.25">
      <c r="A10" s="1300" t="s">
        <v>645</v>
      </c>
      <c r="B10" s="1301"/>
      <c r="C10" s="1301"/>
      <c r="D10" s="1301"/>
      <c r="E10" s="1301"/>
      <c r="F10" s="1301"/>
      <c r="G10" s="1301"/>
      <c r="H10" s="1301"/>
      <c r="I10" s="1301"/>
      <c r="J10" s="1301"/>
      <c r="K10" s="1301"/>
      <c r="L10" s="1302"/>
      <c r="M10" s="374"/>
    </row>
    <row r="11" spans="1:13" ht="51" x14ac:dyDescent="0.25">
      <c r="A11" s="881">
        <v>1</v>
      </c>
      <c r="B11" s="381" t="s">
        <v>2039</v>
      </c>
      <c r="C11" s="378" t="s">
        <v>646</v>
      </c>
      <c r="D11" s="375">
        <v>15</v>
      </c>
      <c r="E11" s="873" t="s">
        <v>1907</v>
      </c>
      <c r="F11" s="880">
        <v>47.2</v>
      </c>
      <c r="G11" s="874">
        <v>1.2</v>
      </c>
      <c r="H11" s="874"/>
      <c r="I11" s="881"/>
      <c r="J11" s="881"/>
      <c r="K11" s="382"/>
      <c r="L11" s="383">
        <f>D11*F11*G11</f>
        <v>849.6</v>
      </c>
      <c r="M11" s="377"/>
    </row>
    <row r="12" spans="1:13" ht="51" x14ac:dyDescent="0.25">
      <c r="A12" s="881">
        <v>2</v>
      </c>
      <c r="B12" s="381" t="s">
        <v>2040</v>
      </c>
      <c r="C12" s="378" t="s">
        <v>646</v>
      </c>
      <c r="D12" s="375">
        <v>3</v>
      </c>
      <c r="E12" s="873" t="s">
        <v>1908</v>
      </c>
      <c r="F12" s="880">
        <v>33.6</v>
      </c>
      <c r="G12" s="874"/>
      <c r="H12" s="881"/>
      <c r="I12" s="881"/>
      <c r="J12" s="881"/>
      <c r="K12" s="382"/>
      <c r="L12" s="383">
        <f>D12*F12</f>
        <v>100.8</v>
      </c>
      <c r="M12" s="377"/>
    </row>
    <row r="13" spans="1:13" ht="51" x14ac:dyDescent="0.25">
      <c r="A13" s="881">
        <v>3</v>
      </c>
      <c r="B13" s="381" t="s">
        <v>2041</v>
      </c>
      <c r="C13" s="378" t="s">
        <v>648</v>
      </c>
      <c r="D13" s="375">
        <v>150</v>
      </c>
      <c r="E13" s="873" t="s">
        <v>2042</v>
      </c>
      <c r="F13" s="880">
        <v>16.399999999999999</v>
      </c>
      <c r="G13" s="874">
        <v>1.5</v>
      </c>
      <c r="H13" s="881"/>
      <c r="I13" s="881"/>
      <c r="J13" s="881"/>
      <c r="K13" s="382"/>
      <c r="L13" s="383">
        <f>D13*F13*G13</f>
        <v>3690</v>
      </c>
      <c r="M13" s="377"/>
    </row>
    <row r="14" spans="1:13" ht="51" x14ac:dyDescent="0.25">
      <c r="A14" s="881">
        <v>4</v>
      </c>
      <c r="B14" s="381" t="s">
        <v>1900</v>
      </c>
      <c r="C14" s="378" t="s">
        <v>652</v>
      </c>
      <c r="D14" s="886">
        <v>38</v>
      </c>
      <c r="E14" s="873" t="s">
        <v>1910</v>
      </c>
      <c r="F14" s="880">
        <v>10.8</v>
      </c>
      <c r="G14" s="874">
        <v>0.5</v>
      </c>
      <c r="H14" s="874"/>
      <c r="I14" s="881"/>
      <c r="J14" s="881"/>
      <c r="K14" s="382"/>
      <c r="L14" s="383">
        <f>D14*F14*G14</f>
        <v>205.2</v>
      </c>
      <c r="M14" s="384"/>
    </row>
    <row r="15" spans="1:13" ht="51" x14ac:dyDescent="0.25">
      <c r="A15" s="881">
        <v>5</v>
      </c>
      <c r="B15" s="381" t="s">
        <v>1901</v>
      </c>
      <c r="C15" s="378" t="s">
        <v>652</v>
      </c>
      <c r="D15" s="886">
        <v>14</v>
      </c>
      <c r="E15" s="873" t="s">
        <v>1910</v>
      </c>
      <c r="F15" s="880">
        <v>13.6</v>
      </c>
      <c r="G15" s="874">
        <v>0.5</v>
      </c>
      <c r="H15" s="874"/>
      <c r="I15" s="881"/>
      <c r="J15" s="881"/>
      <c r="K15" s="382"/>
      <c r="L15" s="383">
        <f>D15*F15*G15</f>
        <v>95.2</v>
      </c>
      <c r="M15" s="384"/>
    </row>
    <row r="16" spans="1:13" ht="63.75" x14ac:dyDescent="0.25">
      <c r="A16" s="881">
        <v>6</v>
      </c>
      <c r="B16" s="381" t="s">
        <v>1902</v>
      </c>
      <c r="C16" s="378" t="s">
        <v>652</v>
      </c>
      <c r="D16" s="886">
        <v>53</v>
      </c>
      <c r="E16" s="873" t="s">
        <v>1911</v>
      </c>
      <c r="F16" s="880">
        <v>29.9</v>
      </c>
      <c r="G16" s="874"/>
      <c r="H16" s="881"/>
      <c r="I16" s="881"/>
      <c r="J16" s="881"/>
      <c r="K16" s="382"/>
      <c r="L16" s="383">
        <f>D16*F16</f>
        <v>1584.7</v>
      </c>
      <c r="M16" s="385"/>
    </row>
    <row r="17" spans="1:14" s="380" customFormat="1" ht="38.25" x14ac:dyDescent="0.25">
      <c r="A17" s="881">
        <v>7</v>
      </c>
      <c r="B17" s="381" t="s">
        <v>649</v>
      </c>
      <c r="C17" s="378" t="s">
        <v>650</v>
      </c>
      <c r="D17" s="378">
        <v>646</v>
      </c>
      <c r="E17" s="873" t="s">
        <v>1903</v>
      </c>
      <c r="F17" s="880">
        <v>99.7</v>
      </c>
      <c r="G17" s="880">
        <v>1.1000000000000001</v>
      </c>
      <c r="H17" s="874"/>
      <c r="I17" s="881"/>
      <c r="J17" s="881"/>
      <c r="K17" s="382"/>
      <c r="L17" s="383">
        <f>D17*F17*G17</f>
        <v>70846.820000000007</v>
      </c>
      <c r="M17" s="379"/>
    </row>
    <row r="18" spans="1:14" s="380" customFormat="1" ht="51" x14ac:dyDescent="0.25">
      <c r="A18" s="881">
        <v>8</v>
      </c>
      <c r="B18" s="381" t="s">
        <v>651</v>
      </c>
      <c r="C18" s="378" t="s">
        <v>650</v>
      </c>
      <c r="D18" s="378">
        <v>360</v>
      </c>
      <c r="E18" s="873" t="s">
        <v>1909</v>
      </c>
      <c r="F18" s="880">
        <v>95</v>
      </c>
      <c r="G18" s="880">
        <v>1.1000000000000001</v>
      </c>
      <c r="H18" s="874"/>
      <c r="I18" s="881"/>
      <c r="J18" s="881"/>
      <c r="K18" s="382"/>
      <c r="L18" s="383">
        <f>D18*F18*G18</f>
        <v>37620</v>
      </c>
      <c r="M18" s="379"/>
    </row>
    <row r="19" spans="1:14" ht="25.5" x14ac:dyDescent="0.25">
      <c r="A19" s="881">
        <v>9</v>
      </c>
      <c r="B19" s="896" t="s">
        <v>661</v>
      </c>
      <c r="C19" s="382" t="s">
        <v>662</v>
      </c>
      <c r="D19" s="382">
        <v>20</v>
      </c>
      <c r="E19" s="873" t="s">
        <v>663</v>
      </c>
      <c r="F19" s="382">
        <v>22.9</v>
      </c>
      <c r="G19" s="382">
        <v>0.7</v>
      </c>
      <c r="H19" s="382"/>
      <c r="I19" s="382"/>
      <c r="J19" s="382"/>
      <c r="K19" s="382"/>
      <c r="L19" s="383">
        <f>D19*F19*G19</f>
        <v>320.60000000000002</v>
      </c>
      <c r="M19" s="374"/>
    </row>
    <row r="20" spans="1:14" ht="25.5" x14ac:dyDescent="0.25">
      <c r="A20" s="881">
        <v>10</v>
      </c>
      <c r="B20" s="896" t="s">
        <v>664</v>
      </c>
      <c r="C20" s="382" t="s">
        <v>662</v>
      </c>
      <c r="D20" s="382">
        <v>20</v>
      </c>
      <c r="E20" s="873" t="s">
        <v>665</v>
      </c>
      <c r="F20" s="382">
        <v>30.6</v>
      </c>
      <c r="G20" s="382">
        <v>0.7</v>
      </c>
      <c r="H20" s="382"/>
      <c r="I20" s="382"/>
      <c r="J20" s="382"/>
      <c r="K20" s="382"/>
      <c r="L20" s="383">
        <f>D20*F20*G20</f>
        <v>428.4</v>
      </c>
      <c r="M20" s="374"/>
    </row>
    <row r="21" spans="1:14" ht="25.5" x14ac:dyDescent="0.25">
      <c r="A21" s="881">
        <v>11</v>
      </c>
      <c r="B21" s="896" t="s">
        <v>666</v>
      </c>
      <c r="C21" s="382" t="s">
        <v>1217</v>
      </c>
      <c r="D21" s="382">
        <v>50</v>
      </c>
      <c r="E21" s="873" t="s">
        <v>668</v>
      </c>
      <c r="F21" s="382">
        <v>35.6</v>
      </c>
      <c r="G21" s="382"/>
      <c r="H21" s="382"/>
      <c r="I21" s="382"/>
      <c r="J21" s="382"/>
      <c r="K21" s="382"/>
      <c r="L21" s="383">
        <f t="shared" ref="L21:L26" si="0">D21*F21</f>
        <v>1780</v>
      </c>
      <c r="M21" s="374"/>
    </row>
    <row r="22" spans="1:14" s="387" customFormat="1" ht="38.25" x14ac:dyDescent="0.25">
      <c r="A22" s="881">
        <v>12</v>
      </c>
      <c r="B22" s="896" t="s">
        <v>656</v>
      </c>
      <c r="C22" s="382" t="s">
        <v>657</v>
      </c>
      <c r="D22" s="382">
        <v>2</v>
      </c>
      <c r="E22" s="873" t="s">
        <v>1912</v>
      </c>
      <c r="F22" s="807">
        <v>17</v>
      </c>
      <c r="G22" s="877"/>
      <c r="H22" s="807"/>
      <c r="I22" s="382"/>
      <c r="J22" s="382"/>
      <c r="K22" s="382"/>
      <c r="L22" s="383">
        <f t="shared" si="0"/>
        <v>34</v>
      </c>
      <c r="M22" s="383"/>
      <c r="N22" s="386"/>
    </row>
    <row r="23" spans="1:14" ht="89.25" x14ac:dyDescent="0.25">
      <c r="A23" s="881">
        <v>13</v>
      </c>
      <c r="B23" s="896" t="s">
        <v>658</v>
      </c>
      <c r="C23" s="382" t="s">
        <v>657</v>
      </c>
      <c r="D23" s="382">
        <v>2</v>
      </c>
      <c r="E23" s="873" t="s">
        <v>659</v>
      </c>
      <c r="F23" s="382">
        <v>160.19999999999999</v>
      </c>
      <c r="G23" s="382"/>
      <c r="H23" s="382"/>
      <c r="I23" s="382"/>
      <c r="J23" s="382"/>
      <c r="K23" s="382"/>
      <c r="L23" s="383">
        <f t="shared" si="0"/>
        <v>320.39999999999998</v>
      </c>
      <c r="M23" s="383"/>
      <c r="N23" s="377"/>
    </row>
    <row r="24" spans="1:14" ht="38.25" x14ac:dyDescent="0.25">
      <c r="A24" s="881">
        <v>14</v>
      </c>
      <c r="B24" s="896" t="s">
        <v>653</v>
      </c>
      <c r="C24" s="382" t="s">
        <v>654</v>
      </c>
      <c r="D24" s="382">
        <v>15</v>
      </c>
      <c r="E24" s="873" t="s">
        <v>655</v>
      </c>
      <c r="F24" s="382">
        <v>60.2</v>
      </c>
      <c r="G24" s="382"/>
      <c r="H24" s="382"/>
      <c r="I24" s="382"/>
      <c r="J24" s="382"/>
      <c r="K24" s="382"/>
      <c r="L24" s="383">
        <f t="shared" si="0"/>
        <v>903</v>
      </c>
      <c r="M24" s="383"/>
      <c r="N24" s="374"/>
    </row>
    <row r="25" spans="1:14" ht="38.25" x14ac:dyDescent="0.25">
      <c r="A25" s="881">
        <v>15</v>
      </c>
      <c r="B25" s="896" t="s">
        <v>1904</v>
      </c>
      <c r="C25" s="382" t="s">
        <v>660</v>
      </c>
      <c r="D25" s="897">
        <v>20</v>
      </c>
      <c r="E25" s="875" t="s">
        <v>1905</v>
      </c>
      <c r="F25" s="382">
        <v>275</v>
      </c>
      <c r="G25" s="382"/>
      <c r="H25" s="382"/>
      <c r="I25" s="382"/>
      <c r="J25" s="382"/>
      <c r="K25" s="382"/>
      <c r="L25" s="383">
        <f t="shared" si="0"/>
        <v>5500</v>
      </c>
      <c r="M25" s="374"/>
    </row>
    <row r="26" spans="1:14" ht="38.25" x14ac:dyDescent="0.25">
      <c r="A26" s="881">
        <v>16</v>
      </c>
      <c r="B26" s="896" t="s">
        <v>1906</v>
      </c>
      <c r="C26" s="382" t="s">
        <v>667</v>
      </c>
      <c r="D26" s="382">
        <v>6</v>
      </c>
      <c r="E26" s="873" t="s">
        <v>1913</v>
      </c>
      <c r="F26" s="382">
        <v>561</v>
      </c>
      <c r="G26" s="382"/>
      <c r="H26" s="382"/>
      <c r="I26" s="382"/>
      <c r="J26" s="382"/>
      <c r="K26" s="382"/>
      <c r="L26" s="383">
        <f t="shared" si="0"/>
        <v>3366</v>
      </c>
      <c r="M26" s="374"/>
    </row>
    <row r="27" spans="1:14" x14ac:dyDescent="0.25">
      <c r="A27" s="390"/>
      <c r="B27" s="879" t="s">
        <v>669</v>
      </c>
      <c r="C27" s="879"/>
      <c r="D27" s="389"/>
      <c r="E27" s="390"/>
      <c r="F27" s="807"/>
      <c r="G27" s="390"/>
      <c r="H27" s="807"/>
      <c r="I27" s="382"/>
      <c r="J27" s="382"/>
      <c r="K27" s="382"/>
      <c r="L27" s="391">
        <f>SUM(L11:L26)</f>
        <v>127644.72</v>
      </c>
      <c r="M27" s="392"/>
    </row>
    <row r="28" spans="1:14" ht="38.25" x14ac:dyDescent="0.25">
      <c r="A28" s="898">
        <v>17</v>
      </c>
      <c r="B28" s="381" t="s">
        <v>670</v>
      </c>
      <c r="C28" s="899"/>
      <c r="D28" s="900">
        <f>L27</f>
        <v>127644.72</v>
      </c>
      <c r="E28" s="382" t="s">
        <v>671</v>
      </c>
      <c r="F28" s="901">
        <v>0.2</v>
      </c>
      <c r="G28" s="902"/>
      <c r="H28" s="902"/>
      <c r="I28" s="902"/>
      <c r="J28" s="902"/>
      <c r="K28" s="903"/>
      <c r="L28" s="900">
        <f>D28*F28</f>
        <v>25528.94</v>
      </c>
      <c r="M28" s="392"/>
    </row>
    <row r="29" spans="1:14" ht="25.5" x14ac:dyDescent="0.25">
      <c r="A29" s="898">
        <v>18</v>
      </c>
      <c r="B29" s="381" t="s">
        <v>672</v>
      </c>
      <c r="C29" s="899"/>
      <c r="D29" s="900">
        <f>L27+L28</f>
        <v>153173.66</v>
      </c>
      <c r="E29" s="382" t="s">
        <v>673</v>
      </c>
      <c r="F29" s="901">
        <v>0.4</v>
      </c>
      <c r="G29" s="902"/>
      <c r="H29" s="902"/>
      <c r="I29" s="902"/>
      <c r="J29" s="902"/>
      <c r="K29" s="903"/>
      <c r="L29" s="900">
        <f>D29*F29</f>
        <v>61269.46</v>
      </c>
      <c r="M29" s="392"/>
    </row>
    <row r="30" spans="1:14" x14ac:dyDescent="0.25">
      <c r="A30" s="390"/>
      <c r="B30" s="879" t="s">
        <v>674</v>
      </c>
      <c r="C30" s="879"/>
      <c r="D30" s="389"/>
      <c r="E30" s="390"/>
      <c r="F30" s="904"/>
      <c r="G30" s="390"/>
      <c r="H30" s="382"/>
      <c r="I30" s="382"/>
      <c r="J30" s="382"/>
      <c r="K30" s="382"/>
      <c r="L30" s="391">
        <f>SUM(L27:L29)</f>
        <v>214443.12</v>
      </c>
      <c r="M30" s="392"/>
    </row>
    <row r="31" spans="1:14" x14ac:dyDescent="0.25">
      <c r="A31" s="1303" t="s">
        <v>675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5"/>
      <c r="M31" s="374"/>
    </row>
    <row r="32" spans="1:14" ht="33" customHeight="1" x14ac:dyDescent="0.25">
      <c r="A32" s="397">
        <v>19</v>
      </c>
      <c r="B32" s="873" t="s">
        <v>676</v>
      </c>
      <c r="C32" s="874" t="s">
        <v>677</v>
      </c>
      <c r="D32" s="874">
        <f>40</f>
        <v>40</v>
      </c>
      <c r="E32" s="875" t="s">
        <v>678</v>
      </c>
      <c r="F32" s="876">
        <v>48.9</v>
      </c>
      <c r="G32" s="378"/>
      <c r="H32" s="378"/>
      <c r="I32" s="378"/>
      <c r="J32" s="378"/>
      <c r="K32" s="874"/>
      <c r="L32" s="383">
        <f t="shared" ref="L32:L44" si="1">D32*F32</f>
        <v>1956</v>
      </c>
      <c r="M32" s="394"/>
    </row>
    <row r="33" spans="1:16" ht="38.25" x14ac:dyDescent="0.25">
      <c r="A33" s="397">
        <v>20</v>
      </c>
      <c r="B33" s="873" t="s">
        <v>679</v>
      </c>
      <c r="C33" s="874" t="s">
        <v>677</v>
      </c>
      <c r="D33" s="874">
        <f>120</f>
        <v>120</v>
      </c>
      <c r="E33" s="875" t="s">
        <v>680</v>
      </c>
      <c r="F33" s="876">
        <v>1.8</v>
      </c>
      <c r="G33" s="378"/>
      <c r="H33" s="378"/>
      <c r="I33" s="378"/>
      <c r="J33" s="378"/>
      <c r="K33" s="874"/>
      <c r="L33" s="383">
        <f t="shared" si="1"/>
        <v>216</v>
      </c>
      <c r="M33" s="394"/>
    </row>
    <row r="34" spans="1:16" ht="25.5" x14ac:dyDescent="0.25">
      <c r="A34" s="397">
        <v>21</v>
      </c>
      <c r="B34" s="873" t="s">
        <v>681</v>
      </c>
      <c r="C34" s="874" t="s">
        <v>677</v>
      </c>
      <c r="D34" s="874">
        <f>120</f>
        <v>120</v>
      </c>
      <c r="E34" s="875" t="s">
        <v>682</v>
      </c>
      <c r="F34" s="876">
        <v>1.9</v>
      </c>
      <c r="G34" s="378"/>
      <c r="H34" s="378"/>
      <c r="I34" s="378"/>
      <c r="J34" s="378"/>
      <c r="K34" s="874"/>
      <c r="L34" s="383">
        <f t="shared" si="1"/>
        <v>228</v>
      </c>
      <c r="M34" s="394"/>
    </row>
    <row r="35" spans="1:16" ht="25.5" x14ac:dyDescent="0.25">
      <c r="A35" s="397">
        <v>22</v>
      </c>
      <c r="B35" s="873" t="s">
        <v>683</v>
      </c>
      <c r="C35" s="874" t="s">
        <v>677</v>
      </c>
      <c r="D35" s="874">
        <f>120</f>
        <v>120</v>
      </c>
      <c r="E35" s="875" t="s">
        <v>684</v>
      </c>
      <c r="F35" s="876">
        <v>2.9</v>
      </c>
      <c r="G35" s="378"/>
      <c r="H35" s="378"/>
      <c r="I35" s="378"/>
      <c r="J35" s="378"/>
      <c r="K35" s="874"/>
      <c r="L35" s="383">
        <f t="shared" si="1"/>
        <v>348</v>
      </c>
      <c r="M35" s="394"/>
      <c r="N35" s="844"/>
    </row>
    <row r="36" spans="1:16" ht="38.25" x14ac:dyDescent="0.25">
      <c r="A36" s="397">
        <v>23</v>
      </c>
      <c r="B36" s="873" t="s">
        <v>685</v>
      </c>
      <c r="C36" s="874" t="s">
        <v>677</v>
      </c>
      <c r="D36" s="874">
        <f>120</f>
        <v>120</v>
      </c>
      <c r="E36" s="875" t="s">
        <v>686</v>
      </c>
      <c r="F36" s="876">
        <v>4.8</v>
      </c>
      <c r="G36" s="378"/>
      <c r="H36" s="378"/>
      <c r="I36" s="378"/>
      <c r="J36" s="378"/>
      <c r="K36" s="874"/>
      <c r="L36" s="383">
        <f t="shared" si="1"/>
        <v>576</v>
      </c>
      <c r="M36" s="394"/>
    </row>
    <row r="37" spans="1:16" ht="63.75" x14ac:dyDescent="0.25">
      <c r="A37" s="397">
        <v>24</v>
      </c>
      <c r="B37" s="873" t="s">
        <v>2047</v>
      </c>
      <c r="C37" s="874" t="s">
        <v>677</v>
      </c>
      <c r="D37" s="874">
        <f>120</f>
        <v>120</v>
      </c>
      <c r="E37" s="875" t="s">
        <v>2046</v>
      </c>
      <c r="F37" s="876">
        <v>5.6</v>
      </c>
      <c r="G37" s="378"/>
      <c r="H37" s="378"/>
      <c r="I37" s="378"/>
      <c r="J37" s="378"/>
      <c r="K37" s="874"/>
      <c r="L37" s="383">
        <f t="shared" si="1"/>
        <v>672</v>
      </c>
      <c r="M37" s="394"/>
    </row>
    <row r="38" spans="1:16" ht="76.5" x14ac:dyDescent="0.25">
      <c r="A38" s="397">
        <v>25</v>
      </c>
      <c r="B38" s="873" t="s">
        <v>687</v>
      </c>
      <c r="C38" s="874" t="s">
        <v>677</v>
      </c>
      <c r="D38" s="874">
        <f>40</f>
        <v>40</v>
      </c>
      <c r="E38" s="875" t="s">
        <v>688</v>
      </c>
      <c r="F38" s="876">
        <v>78.099999999999994</v>
      </c>
      <c r="G38" s="378"/>
      <c r="H38" s="378"/>
      <c r="I38" s="378"/>
      <c r="J38" s="378"/>
      <c r="K38" s="874"/>
      <c r="L38" s="383">
        <f t="shared" si="1"/>
        <v>3124</v>
      </c>
      <c r="M38" s="394"/>
    </row>
    <row r="39" spans="1:16" ht="76.5" x14ac:dyDescent="0.25">
      <c r="A39" s="397">
        <v>26</v>
      </c>
      <c r="B39" s="873" t="s">
        <v>689</v>
      </c>
      <c r="C39" s="874" t="s">
        <v>677</v>
      </c>
      <c r="D39" s="874">
        <f>40</f>
        <v>40</v>
      </c>
      <c r="E39" s="875" t="s">
        <v>688</v>
      </c>
      <c r="F39" s="876">
        <v>78.099999999999994</v>
      </c>
      <c r="G39" s="378"/>
      <c r="H39" s="378"/>
      <c r="I39" s="378"/>
      <c r="J39" s="378"/>
      <c r="K39" s="874"/>
      <c r="L39" s="383">
        <f t="shared" si="1"/>
        <v>3124</v>
      </c>
      <c r="M39" s="394"/>
    </row>
    <row r="40" spans="1:16" ht="25.5" x14ac:dyDescent="0.25">
      <c r="A40" s="397">
        <v>27</v>
      </c>
      <c r="B40" s="873" t="s">
        <v>690</v>
      </c>
      <c r="C40" s="874" t="s">
        <v>691</v>
      </c>
      <c r="D40" s="874">
        <f>30</f>
        <v>30</v>
      </c>
      <c r="E40" s="875" t="s">
        <v>692</v>
      </c>
      <c r="F40" s="876">
        <v>11.3</v>
      </c>
      <c r="G40" s="378"/>
      <c r="H40" s="378"/>
      <c r="I40" s="378"/>
      <c r="J40" s="378"/>
      <c r="K40" s="874"/>
      <c r="L40" s="383">
        <f t="shared" si="1"/>
        <v>339</v>
      </c>
      <c r="M40" s="394"/>
    </row>
    <row r="41" spans="1:16" ht="25.5" x14ac:dyDescent="0.25">
      <c r="A41" s="397">
        <v>28</v>
      </c>
      <c r="B41" s="873" t="s">
        <v>693</v>
      </c>
      <c r="C41" s="874" t="s">
        <v>691</v>
      </c>
      <c r="D41" s="874">
        <f>30</f>
        <v>30</v>
      </c>
      <c r="E41" s="875" t="s">
        <v>694</v>
      </c>
      <c r="F41" s="877">
        <v>13.3</v>
      </c>
      <c r="G41" s="875"/>
      <c r="H41" s="875"/>
      <c r="I41" s="875"/>
      <c r="J41" s="875"/>
      <c r="K41" s="874"/>
      <c r="L41" s="383">
        <f t="shared" si="1"/>
        <v>399</v>
      </c>
      <c r="M41" s="394"/>
    </row>
    <row r="42" spans="1:16" x14ac:dyDescent="0.25">
      <c r="A42" s="397">
        <v>29</v>
      </c>
      <c r="B42" s="873" t="s">
        <v>695</v>
      </c>
      <c r="C42" s="874" t="s">
        <v>677</v>
      </c>
      <c r="D42" s="874">
        <f>24</f>
        <v>24</v>
      </c>
      <c r="E42" s="873" t="s">
        <v>696</v>
      </c>
      <c r="F42" s="877">
        <v>3.8</v>
      </c>
      <c r="G42" s="875"/>
      <c r="H42" s="875"/>
      <c r="I42" s="875"/>
      <c r="J42" s="875"/>
      <c r="K42" s="874"/>
      <c r="L42" s="383">
        <f t="shared" si="1"/>
        <v>91.2</v>
      </c>
      <c r="M42" s="394"/>
    </row>
    <row r="43" spans="1:16" ht="38.25" x14ac:dyDescent="0.25">
      <c r="A43" s="397">
        <v>30</v>
      </c>
      <c r="B43" s="873" t="s">
        <v>697</v>
      </c>
      <c r="C43" s="874" t="s">
        <v>677</v>
      </c>
      <c r="D43" s="874">
        <f>24</f>
        <v>24</v>
      </c>
      <c r="E43" s="873" t="s">
        <v>698</v>
      </c>
      <c r="F43" s="877">
        <v>48.8</v>
      </c>
      <c r="G43" s="378"/>
      <c r="H43" s="378"/>
      <c r="I43" s="378"/>
      <c r="J43" s="378"/>
      <c r="K43" s="874"/>
      <c r="L43" s="383">
        <f t="shared" si="1"/>
        <v>1171.2</v>
      </c>
      <c r="M43" s="394"/>
    </row>
    <row r="44" spans="1:16" ht="25.5" x14ac:dyDescent="0.25">
      <c r="A44" s="397">
        <v>31</v>
      </c>
      <c r="B44" s="873" t="s">
        <v>699</v>
      </c>
      <c r="C44" s="874" t="s">
        <v>677</v>
      </c>
      <c r="D44" s="874">
        <f>24</f>
        <v>24</v>
      </c>
      <c r="E44" s="875" t="s">
        <v>700</v>
      </c>
      <c r="F44" s="877">
        <v>18.2</v>
      </c>
      <c r="G44" s="378"/>
      <c r="H44" s="378"/>
      <c r="I44" s="378"/>
      <c r="J44" s="378"/>
      <c r="K44" s="874"/>
      <c r="L44" s="383">
        <f t="shared" si="1"/>
        <v>436.8</v>
      </c>
      <c r="M44" s="394"/>
    </row>
    <row r="45" spans="1:16" x14ac:dyDescent="0.25">
      <c r="A45" s="878"/>
      <c r="B45" s="879" t="s">
        <v>701</v>
      </c>
      <c r="C45" s="879"/>
      <c r="D45" s="389"/>
      <c r="E45" s="382"/>
      <c r="F45" s="382"/>
      <c r="G45" s="382"/>
      <c r="H45" s="382"/>
      <c r="I45" s="382"/>
      <c r="J45" s="382"/>
      <c r="K45" s="382"/>
      <c r="L45" s="391">
        <f>L32+L33+L34+L35+L36+L37+L38+L39+L40+L41+L42+L43+L44</f>
        <v>12681.2</v>
      </c>
      <c r="M45" s="395"/>
      <c r="N45" s="396"/>
      <c r="P45" s="396"/>
    </row>
    <row r="46" spans="1:16" x14ac:dyDescent="0.25">
      <c r="A46" s="1303" t="s">
        <v>702</v>
      </c>
      <c r="B46" s="1304"/>
      <c r="C46" s="1304"/>
      <c r="D46" s="1304"/>
      <c r="E46" s="1304"/>
      <c r="F46" s="1304"/>
      <c r="G46" s="1304"/>
      <c r="H46" s="1304"/>
      <c r="I46" s="1304"/>
      <c r="J46" s="1304"/>
      <c r="K46" s="1304"/>
      <c r="L46" s="1305"/>
      <c r="M46" s="374"/>
      <c r="N46" s="396"/>
      <c r="P46" s="396"/>
    </row>
    <row r="47" spans="1:16" ht="51" x14ac:dyDescent="0.25">
      <c r="A47" s="397">
        <v>32</v>
      </c>
      <c r="B47" s="381" t="s">
        <v>2039</v>
      </c>
      <c r="C47" s="378" t="s">
        <v>646</v>
      </c>
      <c r="D47" s="378">
        <f>D11</f>
        <v>15</v>
      </c>
      <c r="E47" s="873" t="s">
        <v>647</v>
      </c>
      <c r="F47" s="880">
        <v>23.4</v>
      </c>
      <c r="G47" s="874">
        <v>1.2</v>
      </c>
      <c r="H47" s="881"/>
      <c r="I47" s="881"/>
      <c r="J47" s="881"/>
      <c r="K47" s="382"/>
      <c r="L47" s="383">
        <f>D47*F47*G47</f>
        <v>421.2</v>
      </c>
      <c r="M47" s="374"/>
      <c r="N47" s="396"/>
      <c r="P47" s="396"/>
    </row>
    <row r="48" spans="1:16" ht="51" x14ac:dyDescent="0.25">
      <c r="A48" s="397">
        <v>33</v>
      </c>
      <c r="B48" s="381" t="s">
        <v>2040</v>
      </c>
      <c r="C48" s="378" t="s">
        <v>646</v>
      </c>
      <c r="D48" s="378">
        <f>D12</f>
        <v>3</v>
      </c>
      <c r="E48" s="873" t="s">
        <v>703</v>
      </c>
      <c r="F48" s="880">
        <v>3.4</v>
      </c>
      <c r="G48" s="874"/>
      <c r="H48" s="881"/>
      <c r="I48" s="881"/>
      <c r="J48" s="881"/>
      <c r="K48" s="382"/>
      <c r="L48" s="383">
        <f t="shared" ref="L48:L55" si="2">D48*F48</f>
        <v>10.199999999999999</v>
      </c>
      <c r="M48" s="374"/>
      <c r="N48" s="396"/>
      <c r="P48" s="396"/>
    </row>
    <row r="49" spans="1:16" ht="51" x14ac:dyDescent="0.25">
      <c r="A49" s="397">
        <v>34</v>
      </c>
      <c r="B49" s="381" t="s">
        <v>2043</v>
      </c>
      <c r="C49" s="378" t="s">
        <v>648</v>
      </c>
      <c r="D49" s="375">
        <f>D13</f>
        <v>150</v>
      </c>
      <c r="E49" s="378" t="str">
        <f>E13</f>
        <v xml:space="preserve">СБЦ-99, т.11, п.1
прим.2                  </v>
      </c>
      <c r="F49" s="880">
        <v>10.199999999999999</v>
      </c>
      <c r="G49" s="874">
        <v>1.5</v>
      </c>
      <c r="H49" s="881"/>
      <c r="I49" s="881"/>
      <c r="J49" s="881"/>
      <c r="K49" s="382"/>
      <c r="L49" s="383">
        <f>D49*F49*G49</f>
        <v>2295</v>
      </c>
      <c r="M49" s="374"/>
      <c r="N49" s="396"/>
      <c r="P49" s="396"/>
    </row>
    <row r="50" spans="1:16" ht="51" x14ac:dyDescent="0.25">
      <c r="A50" s="397">
        <v>35</v>
      </c>
      <c r="B50" s="873" t="s">
        <v>704</v>
      </c>
      <c r="C50" s="378" t="s">
        <v>705</v>
      </c>
      <c r="D50" s="375">
        <f>D17+D18+D21</f>
        <v>1056</v>
      </c>
      <c r="E50" s="875" t="s">
        <v>706</v>
      </c>
      <c r="F50" s="877">
        <v>9.4</v>
      </c>
      <c r="G50" s="873"/>
      <c r="H50" s="873"/>
      <c r="I50" s="873"/>
      <c r="J50" s="873"/>
      <c r="K50" s="882"/>
      <c r="L50" s="383">
        <f>D50*F50</f>
        <v>9926.4</v>
      </c>
      <c r="M50" s="392"/>
      <c r="N50" s="396"/>
      <c r="O50" s="398"/>
      <c r="P50" s="396"/>
    </row>
    <row r="51" spans="1:16" ht="76.5" x14ac:dyDescent="0.25">
      <c r="A51" s="397">
        <v>36</v>
      </c>
      <c r="B51" s="873" t="s">
        <v>707</v>
      </c>
      <c r="C51" s="378" t="s">
        <v>708</v>
      </c>
      <c r="D51" s="883">
        <f>L32+L33+L40</f>
        <v>2511</v>
      </c>
      <c r="E51" s="875" t="s">
        <v>709</v>
      </c>
      <c r="F51" s="884">
        <v>0.1</v>
      </c>
      <c r="G51" s="885"/>
      <c r="H51" s="885"/>
      <c r="I51" s="885"/>
      <c r="J51" s="885"/>
      <c r="K51" s="882"/>
      <c r="L51" s="383">
        <f t="shared" si="2"/>
        <v>251.1</v>
      </c>
      <c r="M51" s="392"/>
    </row>
    <row r="52" spans="1:16" ht="76.5" x14ac:dyDescent="0.25">
      <c r="A52" s="397">
        <v>37</v>
      </c>
      <c r="B52" s="873" t="s">
        <v>710</v>
      </c>
      <c r="C52" s="378" t="s">
        <v>708</v>
      </c>
      <c r="D52" s="383">
        <f>L44</f>
        <v>436.8</v>
      </c>
      <c r="E52" s="875" t="s">
        <v>711</v>
      </c>
      <c r="F52" s="884">
        <v>0.15</v>
      </c>
      <c r="G52" s="885"/>
      <c r="H52" s="885"/>
      <c r="I52" s="885"/>
      <c r="J52" s="885"/>
      <c r="K52" s="882"/>
      <c r="L52" s="383">
        <f t="shared" si="2"/>
        <v>65.52</v>
      </c>
      <c r="M52" s="392"/>
    </row>
    <row r="53" spans="1:16" ht="39" customHeight="1" x14ac:dyDescent="0.25">
      <c r="A53" s="397">
        <v>38</v>
      </c>
      <c r="B53" s="873" t="s">
        <v>712</v>
      </c>
      <c r="C53" s="378" t="s">
        <v>708</v>
      </c>
      <c r="D53" s="883">
        <f>L34+L35+L36+L39+L38+L37</f>
        <v>8072</v>
      </c>
      <c r="E53" s="875" t="s">
        <v>713</v>
      </c>
      <c r="F53" s="884">
        <v>0.15</v>
      </c>
      <c r="G53" s="885"/>
      <c r="H53" s="885"/>
      <c r="I53" s="885"/>
      <c r="J53" s="885"/>
      <c r="K53" s="882"/>
      <c r="L53" s="383">
        <f t="shared" si="2"/>
        <v>1210.8</v>
      </c>
      <c r="M53" s="392"/>
    </row>
    <row r="54" spans="1:16" ht="76.5" x14ac:dyDescent="0.25">
      <c r="A54" s="397">
        <v>39</v>
      </c>
      <c r="B54" s="873" t="s">
        <v>714</v>
      </c>
      <c r="C54" s="378" t="s">
        <v>708</v>
      </c>
      <c r="D54" s="883">
        <f>L43</f>
        <v>1171.2</v>
      </c>
      <c r="E54" s="873" t="s">
        <v>715</v>
      </c>
      <c r="F54" s="884">
        <v>0.12</v>
      </c>
      <c r="G54" s="885"/>
      <c r="H54" s="885"/>
      <c r="I54" s="885"/>
      <c r="J54" s="885"/>
      <c r="K54" s="882"/>
      <c r="L54" s="383">
        <f t="shared" si="2"/>
        <v>140.54</v>
      </c>
      <c r="M54" s="392"/>
    </row>
    <row r="55" spans="1:16" ht="51" x14ac:dyDescent="0.25">
      <c r="A55" s="397">
        <v>40</v>
      </c>
      <c r="B55" s="873" t="s">
        <v>716</v>
      </c>
      <c r="C55" s="378" t="s">
        <v>705</v>
      </c>
      <c r="D55" s="883">
        <v>306</v>
      </c>
      <c r="E55" s="873" t="s">
        <v>717</v>
      </c>
      <c r="F55" s="383">
        <v>10.8</v>
      </c>
      <c r="G55" s="885"/>
      <c r="H55" s="885"/>
      <c r="I55" s="885"/>
      <c r="J55" s="885"/>
      <c r="K55" s="882"/>
      <c r="L55" s="383">
        <f t="shared" si="2"/>
        <v>3304.8</v>
      </c>
      <c r="M55" s="392"/>
    </row>
    <row r="56" spans="1:16" ht="51" x14ac:dyDescent="0.25">
      <c r="A56" s="397">
        <v>41</v>
      </c>
      <c r="B56" s="873" t="s">
        <v>718</v>
      </c>
      <c r="C56" s="378" t="s">
        <v>719</v>
      </c>
      <c r="D56" s="883">
        <f>50</f>
        <v>50</v>
      </c>
      <c r="E56" s="873" t="s">
        <v>2044</v>
      </c>
      <c r="F56" s="383">
        <v>4.3</v>
      </c>
      <c r="G56" s="885"/>
      <c r="H56" s="885"/>
      <c r="I56" s="885"/>
      <c r="J56" s="885"/>
      <c r="K56" s="882"/>
      <c r="L56" s="383">
        <f>D56*F56</f>
        <v>215</v>
      </c>
      <c r="M56" s="392"/>
    </row>
    <row r="57" spans="1:16" ht="38.25" x14ac:dyDescent="0.25">
      <c r="A57" s="397">
        <v>42</v>
      </c>
      <c r="B57" s="873" t="s">
        <v>2045</v>
      </c>
      <c r="C57" s="378" t="s">
        <v>720</v>
      </c>
      <c r="D57" s="886">
        <f>1</f>
        <v>1</v>
      </c>
      <c r="E57" s="873" t="s">
        <v>721</v>
      </c>
      <c r="F57" s="887">
        <v>1100</v>
      </c>
      <c r="G57" s="877">
        <v>1.4</v>
      </c>
      <c r="H57" s="885"/>
      <c r="I57" s="885"/>
      <c r="J57" s="885"/>
      <c r="K57" s="882"/>
      <c r="L57" s="383">
        <f>D57*F57*G57</f>
        <v>1540</v>
      </c>
      <c r="M57" s="392"/>
    </row>
    <row r="58" spans="1:16" ht="51" x14ac:dyDescent="0.25">
      <c r="A58" s="397">
        <v>43</v>
      </c>
      <c r="B58" s="873" t="s">
        <v>722</v>
      </c>
      <c r="C58" s="378" t="s">
        <v>723</v>
      </c>
      <c r="D58" s="383">
        <f>L47+L48+L49+L50+L51+L52+L53+L54+L55+L56</f>
        <v>17840.560000000001</v>
      </c>
      <c r="E58" s="873" t="s">
        <v>724</v>
      </c>
      <c r="F58" s="884">
        <v>0.22</v>
      </c>
      <c r="G58" s="877">
        <v>1.5</v>
      </c>
      <c r="H58" s="877"/>
      <c r="I58" s="877"/>
      <c r="J58" s="888"/>
      <c r="K58" s="888"/>
      <c r="L58" s="383">
        <f>D58*F58*G58</f>
        <v>5887.38</v>
      </c>
      <c r="M58" s="392"/>
    </row>
    <row r="59" spans="1:16" x14ac:dyDescent="0.25">
      <c r="A59" s="889"/>
      <c r="B59" s="879" t="s">
        <v>725</v>
      </c>
      <c r="C59" s="378"/>
      <c r="D59" s="478"/>
      <c r="E59" s="880"/>
      <c r="F59" s="383"/>
      <c r="G59" s="885"/>
      <c r="H59" s="885"/>
      <c r="I59" s="885"/>
      <c r="J59" s="885"/>
      <c r="K59" s="882"/>
      <c r="L59" s="890">
        <f>D58+L57+L58</f>
        <v>25267.94</v>
      </c>
      <c r="M59" s="392"/>
    </row>
    <row r="60" spans="1:16" x14ac:dyDescent="0.25">
      <c r="A60" s="1303" t="s">
        <v>726</v>
      </c>
      <c r="B60" s="1304"/>
      <c r="C60" s="1304"/>
      <c r="D60" s="1304"/>
      <c r="E60" s="1304"/>
      <c r="F60" s="1304"/>
      <c r="G60" s="1304"/>
      <c r="H60" s="1304"/>
      <c r="I60" s="1304"/>
      <c r="J60" s="1304"/>
      <c r="K60" s="1304"/>
      <c r="L60" s="1305"/>
      <c r="M60" s="404"/>
    </row>
    <row r="61" spans="1:16" ht="63.75" x14ac:dyDescent="0.25">
      <c r="A61" s="397">
        <v>44</v>
      </c>
      <c r="B61" s="873" t="s">
        <v>2022</v>
      </c>
      <c r="C61" s="378"/>
      <c r="D61" s="383">
        <f>L30</f>
        <v>214443.12</v>
      </c>
      <c r="E61" s="891" t="s">
        <v>727</v>
      </c>
      <c r="F61" s="892">
        <v>6.25E-2</v>
      </c>
      <c r="G61" s="877"/>
      <c r="H61" s="893"/>
      <c r="I61" s="893"/>
      <c r="J61" s="893"/>
      <c r="K61" s="882"/>
      <c r="L61" s="383">
        <f>D61*F61</f>
        <v>13402.7</v>
      </c>
      <c r="M61" s="405"/>
      <c r="N61" s="406"/>
    </row>
    <row r="62" spans="1:16" ht="63.75" x14ac:dyDescent="0.25">
      <c r="A62" s="397">
        <v>45</v>
      </c>
      <c r="B62" s="894" t="s">
        <v>2023</v>
      </c>
      <c r="C62" s="378"/>
      <c r="D62" s="383">
        <f>D61+L61</f>
        <v>227845.82</v>
      </c>
      <c r="E62" s="891" t="s">
        <v>728</v>
      </c>
      <c r="F62" s="892">
        <v>0.127</v>
      </c>
      <c r="G62" s="877"/>
      <c r="H62" s="893"/>
      <c r="I62" s="893"/>
      <c r="J62" s="893"/>
      <c r="K62" s="882"/>
      <c r="L62" s="383">
        <f>D62*F62</f>
        <v>28936.42</v>
      </c>
      <c r="M62" s="405"/>
    </row>
    <row r="63" spans="1:16" ht="25.5" x14ac:dyDescent="0.25">
      <c r="A63" s="397">
        <v>46</v>
      </c>
      <c r="B63" s="873" t="s">
        <v>729</v>
      </c>
      <c r="C63" s="378"/>
      <c r="D63" s="383">
        <f>D61+L61</f>
        <v>227845.82</v>
      </c>
      <c r="E63" s="895" t="s">
        <v>730</v>
      </c>
      <c r="F63" s="884">
        <v>0.06</v>
      </c>
      <c r="G63" s="877">
        <v>2.5</v>
      </c>
      <c r="H63" s="893"/>
      <c r="I63" s="893"/>
      <c r="J63" s="893"/>
      <c r="K63" s="882"/>
      <c r="L63" s="383">
        <f>D63*F63*G63</f>
        <v>34176.870000000003</v>
      </c>
      <c r="M63" s="405"/>
    </row>
    <row r="64" spans="1:16" ht="25.5" hidden="1" x14ac:dyDescent="0.25">
      <c r="A64" s="776">
        <v>44</v>
      </c>
      <c r="B64" s="774" t="s">
        <v>731</v>
      </c>
      <c r="C64" s="777" t="s">
        <v>732</v>
      </c>
      <c r="D64" s="775">
        <f>20*0</f>
        <v>0</v>
      </c>
      <c r="E64" s="780" t="s">
        <v>733</v>
      </c>
      <c r="F64" s="775">
        <v>172</v>
      </c>
      <c r="G64" s="778"/>
      <c r="H64" s="781"/>
      <c r="I64" s="781"/>
      <c r="J64" s="781"/>
      <c r="K64" s="779"/>
      <c r="L64" s="775">
        <f>D64*F64</f>
        <v>0</v>
      </c>
      <c r="M64" s="405"/>
    </row>
    <row r="65" spans="1:14" x14ac:dyDescent="0.25">
      <c r="A65" s="400"/>
      <c r="B65" s="407" t="s">
        <v>734</v>
      </c>
      <c r="C65" s="372"/>
      <c r="D65" s="401"/>
      <c r="E65" s="402"/>
      <c r="F65" s="376"/>
      <c r="G65" s="402"/>
      <c r="H65" s="402"/>
      <c r="I65" s="402"/>
      <c r="J65" s="402"/>
      <c r="K65" s="399"/>
      <c r="L65" s="403">
        <f>SUM(L61:L64)</f>
        <v>76515.990000000005</v>
      </c>
      <c r="M65" s="405"/>
    </row>
    <row r="66" spans="1:14" s="412" customFormat="1" x14ac:dyDescent="0.25">
      <c r="A66" s="408"/>
      <c r="B66" s="407" t="s">
        <v>735</v>
      </c>
      <c r="C66" s="407"/>
      <c r="D66" s="393"/>
      <c r="E66" s="409"/>
      <c r="F66" s="409"/>
      <c r="G66" s="409"/>
      <c r="H66" s="409"/>
      <c r="I66" s="409"/>
      <c r="J66" s="409"/>
      <c r="K66" s="410"/>
      <c r="L66" s="411">
        <f>L30+L45+L59+L65</f>
        <v>328908.25</v>
      </c>
      <c r="M66" s="405"/>
    </row>
    <row r="67" spans="1:14" x14ac:dyDescent="0.25">
      <c r="A67" s="413"/>
      <c r="B67" s="1306" t="s">
        <v>1884</v>
      </c>
      <c r="C67" s="1307"/>
      <c r="D67" s="1307"/>
      <c r="E67" s="1307"/>
      <c r="F67" s="1307"/>
      <c r="G67" s="1307"/>
      <c r="H67" s="1307"/>
      <c r="I67" s="1307"/>
      <c r="J67" s="1308"/>
      <c r="K67" s="414">
        <v>54.75</v>
      </c>
      <c r="L67" s="415">
        <f>L66*K67</f>
        <v>18007726.690000001</v>
      </c>
      <c r="M67" s="394"/>
    </row>
    <row r="68" spans="1:14" x14ac:dyDescent="0.25">
      <c r="A68" s="388"/>
      <c r="B68" s="1292" t="s">
        <v>552</v>
      </c>
      <c r="C68" s="1293"/>
      <c r="D68" s="1293"/>
      <c r="E68" s="1293"/>
      <c r="F68" s="1293"/>
      <c r="G68" s="1293"/>
      <c r="H68" s="1293"/>
      <c r="I68" s="1293"/>
      <c r="J68" s="1293"/>
      <c r="K68" s="1294"/>
      <c r="L68" s="411">
        <f>L67*0.2</f>
        <v>3601545.34</v>
      </c>
      <c r="M68" s="390"/>
    </row>
    <row r="69" spans="1:14" x14ac:dyDescent="0.25">
      <c r="A69" s="400"/>
      <c r="B69" s="416" t="s">
        <v>421</v>
      </c>
      <c r="C69" s="417"/>
      <c r="D69" s="418"/>
      <c r="E69" s="419"/>
      <c r="F69" s="419"/>
      <c r="G69" s="419"/>
      <c r="H69" s="419"/>
      <c r="I69" s="419"/>
      <c r="J69" s="419"/>
      <c r="K69" s="420"/>
      <c r="L69" s="421">
        <f>L67+L68</f>
        <v>21609272.030000001</v>
      </c>
      <c r="M69" s="390"/>
    </row>
    <row r="70" spans="1:14" x14ac:dyDescent="0.25">
      <c r="A70" s="400"/>
      <c r="B70" s="416" t="s">
        <v>736</v>
      </c>
      <c r="C70" s="417"/>
      <c r="D70" s="418"/>
      <c r="E70" s="419"/>
      <c r="F70" s="419"/>
      <c r="G70" s="419"/>
      <c r="H70" s="419"/>
      <c r="I70" s="419"/>
      <c r="J70" s="419"/>
      <c r="K70" s="420"/>
      <c r="L70" s="421">
        <f>L69*1.1</f>
        <v>23770199.23</v>
      </c>
      <c r="M70" s="390"/>
    </row>
    <row r="71" spans="1:14" s="429" customFormat="1" ht="12.75" x14ac:dyDescent="0.2">
      <c r="A71" s="422"/>
      <c r="B71" s="423"/>
      <c r="C71" s="424"/>
      <c r="D71" s="425"/>
      <c r="E71" s="423"/>
      <c r="F71" s="423"/>
      <c r="G71" s="423"/>
      <c r="H71" s="423"/>
      <c r="I71" s="423"/>
      <c r="J71" s="423"/>
      <c r="K71" s="426"/>
      <c r="L71" s="427"/>
      <c r="M71" s="365"/>
      <c r="N71" s="428"/>
    </row>
    <row r="72" spans="1:14" x14ac:dyDescent="0.25">
      <c r="A72" s="430"/>
      <c r="B72" s="430"/>
      <c r="C72" s="430"/>
      <c r="D72" s="430"/>
      <c r="E72" s="431"/>
      <c r="F72" s="431"/>
      <c r="G72" s="431"/>
      <c r="H72" s="432"/>
      <c r="I72" s="432"/>
      <c r="J72" s="432"/>
      <c r="K72" s="433"/>
      <c r="L72" s="434"/>
      <c r="M72" s="435"/>
    </row>
    <row r="73" spans="1:14" x14ac:dyDescent="0.25">
      <c r="L73" s="436"/>
    </row>
    <row r="74" spans="1:14" x14ac:dyDescent="0.25">
      <c r="L74" s="406"/>
    </row>
    <row r="76" spans="1:14" x14ac:dyDescent="0.25">
      <c r="A76" s="437"/>
      <c r="B76" s="437"/>
      <c r="C76" s="437"/>
      <c r="D76" s="437"/>
      <c r="E76" s="437"/>
      <c r="F76" s="437"/>
      <c r="G76" s="437"/>
      <c r="H76" s="437"/>
      <c r="I76" s="437"/>
    </row>
    <row r="77" spans="1:14" x14ac:dyDescent="0.25">
      <c r="A77" s="437"/>
      <c r="B77" s="437"/>
      <c r="C77" s="437"/>
      <c r="D77" s="437"/>
      <c r="E77" s="437"/>
      <c r="F77" s="437"/>
      <c r="G77" s="437"/>
      <c r="H77" s="437"/>
      <c r="I77" s="437"/>
    </row>
    <row r="78" spans="1:14" x14ac:dyDescent="0.25">
      <c r="A78" s="437"/>
      <c r="B78" s="437"/>
      <c r="C78" s="437"/>
      <c r="D78" s="437"/>
      <c r="E78" s="437"/>
      <c r="F78" s="437"/>
      <c r="G78" s="437"/>
      <c r="H78" s="437"/>
      <c r="I78" s="437"/>
    </row>
    <row r="79" spans="1:14" x14ac:dyDescent="0.25">
      <c r="A79" s="437"/>
      <c r="B79" s="437"/>
      <c r="C79" s="437"/>
      <c r="D79" s="437"/>
      <c r="E79" s="437"/>
      <c r="F79" s="437"/>
      <c r="G79" s="437"/>
      <c r="H79" s="437"/>
      <c r="I79" s="437"/>
    </row>
  </sheetData>
  <mergeCells count="21">
    <mergeCell ref="B68:K68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1:L31"/>
    <mergeCell ref="A46:L46"/>
    <mergeCell ref="A60:L60"/>
    <mergeCell ref="B67:J67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46" workbookViewId="0">
      <selection activeCell="J52" sqref="J52"/>
    </sheetView>
  </sheetViews>
  <sheetFormatPr defaultRowHeight="15" x14ac:dyDescent="0.25"/>
  <cols>
    <col min="1" max="1" width="3.85546875" style="439" customWidth="1"/>
    <col min="2" max="2" width="30" style="439" customWidth="1"/>
    <col min="3" max="4" width="9.140625" style="439"/>
    <col min="5" max="5" width="19" style="439" customWidth="1"/>
    <col min="6" max="6" width="17.42578125" style="439" customWidth="1"/>
    <col min="7" max="7" width="10.28515625" style="439" bestFit="1" customWidth="1"/>
    <col min="8" max="9" width="9.140625" style="439"/>
    <col min="10" max="10" width="11.140625" style="439" customWidth="1"/>
    <col min="11" max="16384" width="9.140625" style="439"/>
  </cols>
  <sheetData>
    <row r="2" spans="1:10" ht="14.45" customHeight="1" x14ac:dyDescent="0.25">
      <c r="A2" s="438"/>
      <c r="B2" s="1311" t="s">
        <v>1892</v>
      </c>
      <c r="C2" s="1311"/>
      <c r="D2" s="1311"/>
      <c r="E2" s="1311"/>
      <c r="F2" s="1311"/>
      <c r="G2" s="438"/>
    </row>
    <row r="3" spans="1:10" x14ac:dyDescent="0.25">
      <c r="A3" s="438"/>
      <c r="B3" s="1312" t="s">
        <v>737</v>
      </c>
      <c r="C3" s="1312"/>
      <c r="D3" s="1312"/>
      <c r="E3" s="1312"/>
      <c r="F3" s="1312"/>
      <c r="G3" s="438"/>
    </row>
    <row r="4" spans="1:10" ht="14.45" customHeight="1" x14ac:dyDescent="0.25">
      <c r="A4" s="1313" t="s">
        <v>738</v>
      </c>
      <c r="B4" s="1313"/>
      <c r="C4" s="1313"/>
      <c r="D4" s="1313"/>
      <c r="E4" s="1313"/>
      <c r="F4" s="1313"/>
      <c r="G4" s="1313"/>
    </row>
    <row r="5" spans="1:10" ht="40.15" customHeight="1" x14ac:dyDescent="0.25">
      <c r="A5" s="1309" t="s">
        <v>739</v>
      </c>
      <c r="B5" s="1309"/>
      <c r="C5" s="1309"/>
      <c r="D5" s="1310" t="s">
        <v>740</v>
      </c>
      <c r="E5" s="1310"/>
      <c r="F5" s="1310"/>
      <c r="G5" s="1310"/>
    </row>
    <row r="6" spans="1:10" x14ac:dyDescent="0.25">
      <c r="A6" s="440"/>
      <c r="B6" s="440"/>
      <c r="C6" s="441"/>
      <c r="D6" s="442"/>
      <c r="E6" s="442"/>
      <c r="F6" s="442"/>
      <c r="G6" s="442"/>
    </row>
    <row r="7" spans="1:10" ht="14.45" customHeight="1" x14ac:dyDescent="0.25">
      <c r="A7" s="1309" t="s">
        <v>532</v>
      </c>
      <c r="B7" s="1309"/>
      <c r="C7" s="1309"/>
      <c r="D7" s="1310" t="s">
        <v>1885</v>
      </c>
      <c r="E7" s="1310"/>
      <c r="F7" s="1310"/>
      <c r="G7" s="1310"/>
    </row>
    <row r="8" spans="1:10" x14ac:dyDescent="0.25">
      <c r="A8" s="443"/>
      <c r="B8" s="443"/>
      <c r="C8" s="443"/>
      <c r="D8" s="1310"/>
      <c r="E8" s="1310"/>
      <c r="F8" s="1310"/>
      <c r="G8" s="1310"/>
    </row>
    <row r="9" spans="1:10" ht="14.45" customHeight="1" x14ac:dyDescent="0.25">
      <c r="A9" s="1309" t="s">
        <v>23</v>
      </c>
      <c r="B9" s="1309"/>
      <c r="C9" s="1309"/>
      <c r="D9" s="1310"/>
      <c r="E9" s="1310"/>
      <c r="F9" s="1310"/>
      <c r="G9" s="1310"/>
    </row>
    <row r="10" spans="1:10" x14ac:dyDescent="0.25">
      <c r="A10" s="441"/>
      <c r="B10" s="441"/>
      <c r="C10" s="438"/>
      <c r="D10" s="1310"/>
      <c r="E10" s="1310"/>
      <c r="F10" s="1310"/>
      <c r="G10" s="1310"/>
    </row>
    <row r="11" spans="1:10" ht="30.75" customHeight="1" x14ac:dyDescent="0.25">
      <c r="A11" s="1309" t="s">
        <v>741</v>
      </c>
      <c r="B11" s="1314"/>
      <c r="C11" s="1314"/>
      <c r="D11" s="1314"/>
      <c r="E11" s="1314"/>
      <c r="F11" s="1314"/>
      <c r="G11" s="1314"/>
    </row>
    <row r="12" spans="1:10" x14ac:dyDescent="0.25">
      <c r="A12" s="438"/>
      <c r="B12" s="438"/>
      <c r="C12" s="438"/>
      <c r="D12" s="438"/>
      <c r="E12" s="438"/>
      <c r="F12" s="438"/>
      <c r="G12" s="438"/>
    </row>
    <row r="13" spans="1:10" ht="26.25" x14ac:dyDescent="0.25">
      <c r="A13" s="1315" t="s">
        <v>142</v>
      </c>
      <c r="B13" s="1315" t="s">
        <v>83</v>
      </c>
      <c r="C13" s="1315" t="s">
        <v>742</v>
      </c>
      <c r="D13" s="1315" t="s">
        <v>743</v>
      </c>
      <c r="E13" s="1315" t="s">
        <v>597</v>
      </c>
      <c r="F13" s="1317" t="s">
        <v>598</v>
      </c>
      <c r="G13" s="1318"/>
      <c r="H13" s="1318"/>
      <c r="I13" s="1319"/>
      <c r="J13" s="444" t="s">
        <v>744</v>
      </c>
    </row>
    <row r="14" spans="1:10" x14ac:dyDescent="0.25">
      <c r="A14" s="1316"/>
      <c r="B14" s="1316"/>
      <c r="C14" s="1316"/>
      <c r="D14" s="1316"/>
      <c r="E14" s="1316"/>
      <c r="F14" s="445" t="s">
        <v>745</v>
      </c>
      <c r="G14" s="446" t="s">
        <v>746</v>
      </c>
      <c r="H14" s="447" t="s">
        <v>747</v>
      </c>
      <c r="I14" s="944" t="s">
        <v>2164</v>
      </c>
      <c r="J14" s="447"/>
    </row>
    <row r="15" spans="1:10" ht="21.6" customHeight="1" x14ac:dyDescent="0.25">
      <c r="A15" s="448" t="s">
        <v>748</v>
      </c>
      <c r="B15" s="449" t="s">
        <v>749</v>
      </c>
      <c r="C15" s="449"/>
      <c r="D15" s="449"/>
      <c r="E15" s="449" t="s">
        <v>539</v>
      </c>
      <c r="F15" s="449"/>
      <c r="G15" s="450"/>
      <c r="H15" s="447"/>
      <c r="I15" s="447"/>
      <c r="J15" s="447"/>
    </row>
    <row r="16" spans="1:10" ht="91.5" customHeight="1" x14ac:dyDescent="0.25">
      <c r="A16" s="947" t="s">
        <v>33</v>
      </c>
      <c r="B16" s="452" t="s">
        <v>2175</v>
      </c>
      <c r="C16" s="453" t="s">
        <v>750</v>
      </c>
      <c r="D16" s="940">
        <v>160</v>
      </c>
      <c r="E16" s="453" t="s">
        <v>2160</v>
      </c>
      <c r="F16" s="941">
        <v>26</v>
      </c>
      <c r="G16" s="454">
        <v>1.1000000000000001</v>
      </c>
      <c r="H16" s="455">
        <v>1.2</v>
      </c>
      <c r="I16" s="455">
        <v>1.21</v>
      </c>
      <c r="J16" s="455">
        <f>D16*F16*G16*H16*I16</f>
        <v>6644.35</v>
      </c>
    </row>
    <row r="17" spans="1:11" ht="21.6" customHeight="1" x14ac:dyDescent="0.25">
      <c r="A17" s="451"/>
      <c r="B17" s="456" t="s">
        <v>752</v>
      </c>
      <c r="C17" s="456"/>
      <c r="D17" s="456"/>
      <c r="E17" s="456"/>
      <c r="F17" s="452"/>
      <c r="G17" s="939"/>
      <c r="H17" s="447"/>
      <c r="I17" s="447"/>
      <c r="J17" s="447"/>
    </row>
    <row r="18" spans="1:11" ht="42" customHeight="1" x14ac:dyDescent="0.25">
      <c r="A18" s="451"/>
      <c r="B18" s="943" t="s">
        <v>2161</v>
      </c>
      <c r="C18" s="942"/>
      <c r="D18" s="942"/>
      <c r="E18" s="943" t="s">
        <v>2165</v>
      </c>
      <c r="F18" s="452"/>
      <c r="G18" s="939"/>
      <c r="H18" s="447"/>
      <c r="I18" s="447"/>
      <c r="J18" s="447"/>
    </row>
    <row r="19" spans="1:11" ht="69" customHeight="1" x14ac:dyDescent="0.25">
      <c r="A19" s="451"/>
      <c r="B19" s="457" t="s">
        <v>753</v>
      </c>
      <c r="C19" s="457"/>
      <c r="D19" s="457"/>
      <c r="E19" s="457" t="s">
        <v>2162</v>
      </c>
      <c r="F19" s="452"/>
      <c r="G19" s="939"/>
      <c r="H19" s="447"/>
      <c r="I19" s="447"/>
      <c r="J19" s="447"/>
    </row>
    <row r="20" spans="1:11" ht="61.5" customHeight="1" x14ac:dyDescent="0.25">
      <c r="A20" s="451"/>
      <c r="B20" s="457" t="s">
        <v>754</v>
      </c>
      <c r="C20" s="457"/>
      <c r="D20" s="457"/>
      <c r="E20" s="457" t="s">
        <v>2163</v>
      </c>
      <c r="F20" s="452"/>
      <c r="G20" s="939"/>
      <c r="H20" s="447"/>
      <c r="I20" s="447"/>
      <c r="J20" s="447"/>
    </row>
    <row r="21" spans="1:11" ht="95.25" customHeight="1" x14ac:dyDescent="0.25">
      <c r="A21" s="947" t="s">
        <v>34</v>
      </c>
      <c r="B21" s="949" t="s">
        <v>2174</v>
      </c>
      <c r="C21" s="453" t="s">
        <v>750</v>
      </c>
      <c r="D21" s="948">
        <v>200</v>
      </c>
      <c r="E21" s="948" t="s">
        <v>2171</v>
      </c>
      <c r="F21" s="941">
        <v>18</v>
      </c>
      <c r="G21" s="950">
        <v>1.2</v>
      </c>
      <c r="H21" s="946">
        <v>1.2</v>
      </c>
      <c r="I21" s="946">
        <v>1.21</v>
      </c>
      <c r="J21" s="447">
        <f>D21*F21*G21*H21*I21</f>
        <v>6272.64</v>
      </c>
    </row>
    <row r="22" spans="1:11" ht="39.75" customHeight="1" x14ac:dyDescent="0.25">
      <c r="A22" s="451"/>
      <c r="B22" s="948" t="s">
        <v>2172</v>
      </c>
      <c r="C22" s="948"/>
      <c r="D22" s="948"/>
      <c r="E22" s="948" t="s">
        <v>2173</v>
      </c>
      <c r="F22" s="452"/>
      <c r="G22" s="939"/>
      <c r="H22" s="447"/>
      <c r="I22" s="447"/>
      <c r="J22" s="447"/>
    </row>
    <row r="23" spans="1:11" ht="70.5" customHeight="1" x14ac:dyDescent="0.25">
      <c r="A23" s="451"/>
      <c r="B23" s="457" t="s">
        <v>753</v>
      </c>
      <c r="C23" s="948"/>
      <c r="D23" s="948"/>
      <c r="E23" s="457" t="s">
        <v>2162</v>
      </c>
      <c r="F23" s="452"/>
      <c r="G23" s="939"/>
      <c r="H23" s="447"/>
      <c r="I23" s="447"/>
      <c r="J23" s="447"/>
    </row>
    <row r="24" spans="1:11" ht="61.5" customHeight="1" x14ac:dyDescent="0.25">
      <c r="A24" s="451"/>
      <c r="B24" s="457" t="s">
        <v>754</v>
      </c>
      <c r="C24" s="457"/>
      <c r="D24" s="457"/>
      <c r="E24" s="457" t="s">
        <v>2163</v>
      </c>
      <c r="F24" s="452"/>
      <c r="G24" s="939"/>
      <c r="H24" s="447"/>
      <c r="I24" s="447"/>
      <c r="J24" s="447"/>
    </row>
    <row r="25" spans="1:11" ht="169.5" customHeight="1" x14ac:dyDescent="0.25">
      <c r="A25" s="947" t="s">
        <v>35</v>
      </c>
      <c r="B25" s="949" t="s">
        <v>2177</v>
      </c>
      <c r="C25" s="453" t="s">
        <v>750</v>
      </c>
      <c r="D25" s="948">
        <v>4</v>
      </c>
      <c r="E25" s="948" t="s">
        <v>2176</v>
      </c>
      <c r="F25" s="940">
        <v>11</v>
      </c>
      <c r="G25" s="950">
        <v>1.2</v>
      </c>
      <c r="H25" s="946">
        <v>1.2</v>
      </c>
      <c r="I25" s="946">
        <v>1.21</v>
      </c>
      <c r="J25" s="951">
        <f>D25*F25*G25*H25*I25</f>
        <v>76.67</v>
      </c>
    </row>
    <row r="26" spans="1:11" ht="61.5" customHeight="1" x14ac:dyDescent="0.25">
      <c r="A26" s="451"/>
      <c r="B26" s="948" t="s">
        <v>2172</v>
      </c>
      <c r="C26" s="948"/>
      <c r="D26" s="948"/>
      <c r="E26" s="948" t="s">
        <v>2173</v>
      </c>
      <c r="F26" s="452"/>
      <c r="G26" s="939"/>
      <c r="H26" s="447"/>
      <c r="I26" s="447"/>
      <c r="J26" s="447"/>
    </row>
    <row r="27" spans="1:11" ht="67.5" customHeight="1" x14ac:dyDescent="0.25">
      <c r="A27" s="451"/>
      <c r="B27" s="457" t="s">
        <v>753</v>
      </c>
      <c r="C27" s="948"/>
      <c r="D27" s="948"/>
      <c r="E27" s="457" t="s">
        <v>2162</v>
      </c>
      <c r="F27" s="452"/>
      <c r="G27" s="939"/>
      <c r="H27" s="447"/>
      <c r="I27" s="447"/>
      <c r="J27" s="447"/>
    </row>
    <row r="28" spans="1:11" ht="61.5" customHeight="1" x14ac:dyDescent="0.25">
      <c r="A28" s="451"/>
      <c r="B28" s="948" t="s">
        <v>754</v>
      </c>
      <c r="C28" s="948"/>
      <c r="D28" s="948"/>
      <c r="E28" s="948" t="s">
        <v>2163</v>
      </c>
      <c r="F28" s="452"/>
      <c r="G28" s="939"/>
      <c r="H28" s="977"/>
      <c r="I28" s="977"/>
      <c r="J28" s="977"/>
    </row>
    <row r="29" spans="1:11" s="955" customFormat="1" ht="102" x14ac:dyDescent="0.25">
      <c r="A29" s="952" t="s">
        <v>111</v>
      </c>
      <c r="B29" s="452" t="s">
        <v>2178</v>
      </c>
      <c r="C29" s="452" t="s">
        <v>750</v>
      </c>
      <c r="D29" s="452">
        <v>10</v>
      </c>
      <c r="E29" s="452" t="s">
        <v>2179</v>
      </c>
      <c r="F29" s="452">
        <v>40</v>
      </c>
      <c r="G29" s="978">
        <v>1.21</v>
      </c>
      <c r="H29" s="979"/>
      <c r="I29" s="979"/>
      <c r="J29" s="980">
        <f>D29*F29*G29</f>
        <v>484</v>
      </c>
      <c r="K29" s="958"/>
    </row>
    <row r="30" spans="1:11" ht="51" x14ac:dyDescent="0.25">
      <c r="A30" s="448" t="s">
        <v>751</v>
      </c>
      <c r="B30" s="462" t="s">
        <v>754</v>
      </c>
      <c r="C30" s="462"/>
      <c r="D30" s="462"/>
      <c r="E30" s="462" t="s">
        <v>758</v>
      </c>
      <c r="F30" s="462"/>
      <c r="G30" s="960"/>
      <c r="H30" s="447"/>
      <c r="I30" s="447"/>
      <c r="J30" s="447"/>
    </row>
    <row r="31" spans="1:11" s="966" customFormat="1" x14ac:dyDescent="0.25">
      <c r="A31" s="458" t="s">
        <v>112</v>
      </c>
      <c r="B31" s="459" t="s">
        <v>755</v>
      </c>
      <c r="C31" s="459"/>
      <c r="D31" s="459"/>
      <c r="E31" s="459"/>
      <c r="F31" s="459"/>
      <c r="G31" s="460"/>
      <c r="H31" s="981"/>
      <c r="I31" s="981"/>
      <c r="J31" s="982">
        <f>J16+J21+J25+J29</f>
        <v>13477.66</v>
      </c>
    </row>
    <row r="32" spans="1:11" ht="38.25" x14ac:dyDescent="0.25">
      <c r="A32" s="963" t="s">
        <v>279</v>
      </c>
      <c r="B32" s="959" t="s">
        <v>2192</v>
      </c>
      <c r="C32" s="959"/>
      <c r="D32" s="959"/>
      <c r="E32" s="959" t="s">
        <v>2191</v>
      </c>
      <c r="F32" s="959"/>
      <c r="G32" s="967">
        <v>0.15</v>
      </c>
      <c r="H32" s="965"/>
      <c r="I32" s="965"/>
      <c r="J32" s="968">
        <f>J31*G32</f>
        <v>2021.65</v>
      </c>
    </row>
    <row r="33" spans="1:15" ht="102" x14ac:dyDescent="0.25">
      <c r="A33" s="448" t="s">
        <v>111</v>
      </c>
      <c r="B33" s="959" t="s">
        <v>756</v>
      </c>
      <c r="C33" s="959"/>
      <c r="D33" s="959"/>
      <c r="E33" s="959" t="s">
        <v>2193</v>
      </c>
      <c r="F33" s="959"/>
      <c r="G33" s="967">
        <v>0.4</v>
      </c>
      <c r="H33" s="965"/>
      <c r="I33" s="965"/>
      <c r="J33" s="965">
        <f>(J31+J32)*G33</f>
        <v>6199.7240000000002</v>
      </c>
    </row>
    <row r="34" spans="1:15" x14ac:dyDescent="0.25">
      <c r="A34" s="448" t="s">
        <v>112</v>
      </c>
      <c r="B34" s="449" t="s">
        <v>757</v>
      </c>
      <c r="C34" s="449"/>
      <c r="D34" s="449"/>
      <c r="E34" s="449"/>
      <c r="F34" s="449"/>
      <c r="G34" s="463"/>
      <c r="H34" s="447"/>
      <c r="I34" s="447"/>
      <c r="J34" s="461">
        <f>J31+J32+J33</f>
        <v>21699.03</v>
      </c>
    </row>
    <row r="35" spans="1:15" x14ac:dyDescent="0.25">
      <c r="A35" s="448"/>
      <c r="B35" s="449" t="s">
        <v>545</v>
      </c>
      <c r="C35" s="449"/>
      <c r="D35" s="449"/>
      <c r="E35" s="449"/>
      <c r="F35" s="449"/>
      <c r="G35" s="464"/>
      <c r="H35" s="447"/>
      <c r="I35" s="447"/>
      <c r="J35" s="447"/>
    </row>
    <row r="36" spans="1:15" s="955" customFormat="1" ht="102" x14ac:dyDescent="0.25">
      <c r="A36" s="448" t="s">
        <v>36</v>
      </c>
      <c r="B36" s="449" t="s">
        <v>2166</v>
      </c>
      <c r="C36" s="449" t="s">
        <v>750</v>
      </c>
      <c r="D36" s="449">
        <v>320</v>
      </c>
      <c r="E36" s="449" t="s">
        <v>2167</v>
      </c>
      <c r="F36" s="449">
        <v>13</v>
      </c>
      <c r="G36" s="464">
        <v>1.1499999999999999</v>
      </c>
      <c r="H36" s="956">
        <v>1.21</v>
      </c>
      <c r="I36" s="954"/>
      <c r="J36" s="956">
        <f>D36*F36*G36*H36</f>
        <v>5788.64</v>
      </c>
    </row>
    <row r="37" spans="1:15" ht="63.75" x14ac:dyDescent="0.25">
      <c r="A37" s="448"/>
      <c r="B37" s="959" t="s">
        <v>2168</v>
      </c>
      <c r="C37" s="462"/>
      <c r="D37" s="959"/>
      <c r="E37" s="959" t="s">
        <v>2169</v>
      </c>
      <c r="F37" s="959"/>
      <c r="G37" s="464"/>
      <c r="H37" s="447"/>
      <c r="I37" s="447"/>
      <c r="J37" s="447"/>
    </row>
    <row r="38" spans="1:15" ht="51" x14ac:dyDescent="0.25">
      <c r="A38" s="448" t="s">
        <v>751</v>
      </c>
      <c r="B38" s="462" t="s">
        <v>754</v>
      </c>
      <c r="C38" s="462"/>
      <c r="D38" s="462"/>
      <c r="E38" s="462" t="s">
        <v>2170</v>
      </c>
      <c r="F38" s="462"/>
      <c r="G38" s="960"/>
      <c r="H38" s="447"/>
      <c r="I38" s="447"/>
      <c r="J38" s="447"/>
    </row>
    <row r="39" spans="1:15" s="955" customFormat="1" ht="89.25" x14ac:dyDescent="0.25">
      <c r="A39" s="448" t="s">
        <v>308</v>
      </c>
      <c r="B39" s="449" t="s">
        <v>2180</v>
      </c>
      <c r="C39" s="449"/>
      <c r="D39" s="449"/>
      <c r="E39" s="449" t="s">
        <v>2181</v>
      </c>
      <c r="F39" s="961">
        <v>0.3</v>
      </c>
      <c r="G39" s="464"/>
      <c r="H39" s="954"/>
      <c r="I39" s="954"/>
      <c r="J39" s="957">
        <f>(J21+J25)*F39</f>
        <v>1904.79</v>
      </c>
      <c r="K39" s="958"/>
    </row>
    <row r="40" spans="1:15" s="955" customFormat="1" ht="191.25" x14ac:dyDescent="0.25">
      <c r="A40" s="448" t="s">
        <v>332</v>
      </c>
      <c r="B40" s="449" t="s">
        <v>2183</v>
      </c>
      <c r="C40" s="449" t="s">
        <v>2184</v>
      </c>
      <c r="D40" s="449">
        <v>10</v>
      </c>
      <c r="E40" s="449" t="s">
        <v>2182</v>
      </c>
      <c r="F40" s="962">
        <v>43</v>
      </c>
      <c r="G40" s="464">
        <v>1.21</v>
      </c>
      <c r="H40" s="954"/>
      <c r="I40" s="954"/>
      <c r="J40" s="957">
        <f>D40*F40*G40</f>
        <v>520.29999999999995</v>
      </c>
    </row>
    <row r="41" spans="1:15" ht="51" x14ac:dyDescent="0.25">
      <c r="A41" s="448" t="s">
        <v>751</v>
      </c>
      <c r="B41" s="462" t="s">
        <v>754</v>
      </c>
      <c r="C41" s="462"/>
      <c r="D41" s="462"/>
      <c r="E41" s="462" t="s">
        <v>758</v>
      </c>
      <c r="F41" s="462"/>
      <c r="G41" s="960"/>
      <c r="H41" s="447"/>
      <c r="I41" s="447"/>
      <c r="J41" s="447"/>
    </row>
    <row r="42" spans="1:15" s="955" customFormat="1" ht="38.25" x14ac:dyDescent="0.25">
      <c r="A42" s="964" t="s">
        <v>508</v>
      </c>
      <c r="B42" s="449" t="s">
        <v>2189</v>
      </c>
      <c r="C42" s="449" t="s">
        <v>836</v>
      </c>
      <c r="D42" s="449">
        <v>1</v>
      </c>
      <c r="E42" s="449" t="s">
        <v>2187</v>
      </c>
      <c r="F42" s="449">
        <v>600</v>
      </c>
      <c r="G42" s="464">
        <v>1.21</v>
      </c>
      <c r="H42" s="954"/>
      <c r="I42" s="954"/>
      <c r="J42" s="957">
        <f>D42*F42*G42</f>
        <v>726</v>
      </c>
      <c r="L42" s="953" t="s">
        <v>2190</v>
      </c>
      <c r="O42" s="969">
        <f>J16+J21+J25+J29+J36+J39+J40</f>
        <v>21691.39</v>
      </c>
    </row>
    <row r="43" spans="1:15" ht="51" x14ac:dyDescent="0.25">
      <c r="A43" s="448" t="s">
        <v>751</v>
      </c>
      <c r="B43" s="462" t="s">
        <v>754</v>
      </c>
      <c r="C43" s="462"/>
      <c r="D43" s="462"/>
      <c r="E43" s="462" t="s">
        <v>758</v>
      </c>
      <c r="F43" s="462"/>
      <c r="G43" s="960"/>
      <c r="H43" s="447"/>
      <c r="I43" s="447"/>
      <c r="J43" s="447"/>
    </row>
    <row r="44" spans="1:15" s="955" customFormat="1" ht="102" x14ac:dyDescent="0.25">
      <c r="A44" s="964" t="s">
        <v>509</v>
      </c>
      <c r="B44" s="449" t="s">
        <v>2185</v>
      </c>
      <c r="C44" s="449" t="s">
        <v>2186</v>
      </c>
      <c r="D44" s="449">
        <v>1</v>
      </c>
      <c r="E44" s="449" t="s">
        <v>2188</v>
      </c>
      <c r="F44" s="962">
        <f>1000+10%*(J36+J39+J40)</f>
        <v>1821.37</v>
      </c>
      <c r="G44" s="464">
        <v>1.21</v>
      </c>
      <c r="H44" s="954"/>
      <c r="I44" s="954"/>
      <c r="J44" s="957">
        <f>D44*F44*G44</f>
        <v>2203.86</v>
      </c>
    </row>
    <row r="45" spans="1:15" s="955" customFormat="1" ht="51" x14ac:dyDescent="0.25">
      <c r="A45" s="971"/>
      <c r="B45" s="462" t="s">
        <v>754</v>
      </c>
      <c r="C45" s="462"/>
      <c r="D45" s="462"/>
      <c r="E45" s="462" t="s">
        <v>758</v>
      </c>
      <c r="F45" s="972"/>
      <c r="G45" s="973"/>
      <c r="H45" s="954"/>
      <c r="I45" s="954"/>
      <c r="J45" s="954"/>
    </row>
    <row r="46" spans="1:15" x14ac:dyDescent="0.25">
      <c r="A46" s="458" t="s">
        <v>510</v>
      </c>
      <c r="B46" s="459" t="s">
        <v>759</v>
      </c>
      <c r="C46" s="459"/>
      <c r="D46" s="459"/>
      <c r="E46" s="459"/>
      <c r="F46" s="459"/>
      <c r="G46" s="460"/>
      <c r="H46" s="447"/>
      <c r="I46" s="447"/>
      <c r="J46" s="957">
        <f>J36+J39+J40+J42+J44</f>
        <v>11143.59</v>
      </c>
    </row>
    <row r="47" spans="1:15" x14ac:dyDescent="0.25">
      <c r="A47" s="448" t="s">
        <v>511</v>
      </c>
      <c r="B47" s="449" t="s">
        <v>760</v>
      </c>
      <c r="C47" s="449"/>
      <c r="D47" s="449"/>
      <c r="E47" s="449"/>
      <c r="F47" s="449"/>
      <c r="G47" s="463"/>
      <c r="H47" s="447"/>
      <c r="I47" s="447"/>
      <c r="J47" s="957">
        <f>J46</f>
        <v>11143.59</v>
      </c>
    </row>
    <row r="48" spans="1:15" x14ac:dyDescent="0.25">
      <c r="A48" s="448" t="s">
        <v>761</v>
      </c>
      <c r="B48" s="449" t="s">
        <v>749</v>
      </c>
      <c r="C48" s="449"/>
      <c r="D48" s="449"/>
      <c r="E48" s="449" t="s">
        <v>617</v>
      </c>
      <c r="F48" s="449"/>
      <c r="G48" s="464"/>
      <c r="H48" s="447"/>
      <c r="I48" s="447"/>
      <c r="J48" s="447"/>
    </row>
    <row r="49" spans="1:10" ht="63.75" x14ac:dyDescent="0.25">
      <c r="A49" s="448" t="s">
        <v>762</v>
      </c>
      <c r="B49" s="959" t="s">
        <v>2195</v>
      </c>
      <c r="C49" s="959"/>
      <c r="D49" s="959"/>
      <c r="E49" s="959" t="s">
        <v>2194</v>
      </c>
      <c r="F49" s="974">
        <v>0.06</v>
      </c>
      <c r="G49" s="975"/>
      <c r="H49" s="965"/>
      <c r="I49" s="965"/>
      <c r="J49" s="983">
        <f>J34*F49</f>
        <v>1301.94</v>
      </c>
    </row>
    <row r="50" spans="1:10" ht="63.75" x14ac:dyDescent="0.25">
      <c r="A50" s="448" t="s">
        <v>763</v>
      </c>
      <c r="B50" s="959" t="s">
        <v>2196</v>
      </c>
      <c r="C50" s="959"/>
      <c r="D50" s="959"/>
      <c r="E50" s="959" t="s">
        <v>2197</v>
      </c>
      <c r="F50" s="974">
        <v>0.11</v>
      </c>
      <c r="G50" s="970"/>
      <c r="H50" s="945"/>
      <c r="I50" s="945"/>
      <c r="J50" s="983">
        <f>(J34+J49)*F50</f>
        <v>2530.11</v>
      </c>
    </row>
    <row r="51" spans="1:10" ht="51" x14ac:dyDescent="0.25">
      <c r="A51" s="448" t="s">
        <v>764</v>
      </c>
      <c r="B51" s="959" t="s">
        <v>2199</v>
      </c>
      <c r="C51" s="959"/>
      <c r="D51" s="959"/>
      <c r="E51" s="959" t="s">
        <v>2198</v>
      </c>
      <c r="F51" s="974">
        <v>0.06</v>
      </c>
      <c r="G51" s="975"/>
      <c r="H51" s="965"/>
      <c r="I51" s="965"/>
      <c r="J51" s="983">
        <f>(J34+J49)*F51</f>
        <v>1380.06</v>
      </c>
    </row>
    <row r="52" spans="1:10" ht="51" x14ac:dyDescent="0.25">
      <c r="A52" s="448" t="s">
        <v>765</v>
      </c>
      <c r="B52" s="959" t="s">
        <v>2200</v>
      </c>
      <c r="C52" s="959"/>
      <c r="D52" s="959"/>
      <c r="E52" s="959" t="s">
        <v>2198</v>
      </c>
      <c r="F52" s="974">
        <v>0.05</v>
      </c>
      <c r="G52" s="975"/>
      <c r="H52" s="965"/>
      <c r="I52" s="965"/>
      <c r="J52" s="983">
        <f>(J34+J49)*F52</f>
        <v>1150.05</v>
      </c>
    </row>
    <row r="53" spans="1:10" x14ac:dyDescent="0.25">
      <c r="A53" s="448" t="s">
        <v>767</v>
      </c>
      <c r="B53" s="449" t="s">
        <v>768</v>
      </c>
      <c r="C53" s="449"/>
      <c r="D53" s="449"/>
      <c r="E53" s="449"/>
      <c r="F53" s="449"/>
      <c r="G53" s="463"/>
      <c r="H53" s="447"/>
      <c r="I53" s="447"/>
      <c r="J53" s="461">
        <f>J49+J50+J51+J52</f>
        <v>6362.16</v>
      </c>
    </row>
    <row r="54" spans="1:10" x14ac:dyDescent="0.25">
      <c r="A54" s="448" t="s">
        <v>769</v>
      </c>
      <c r="B54" s="449" t="s">
        <v>770</v>
      </c>
      <c r="C54" s="449"/>
      <c r="D54" s="449"/>
      <c r="E54" s="449"/>
      <c r="F54" s="449"/>
      <c r="G54" s="463"/>
      <c r="H54" s="447"/>
      <c r="I54" s="447"/>
      <c r="J54" s="461">
        <f>J34+J46+J53</f>
        <v>39204.78</v>
      </c>
    </row>
    <row r="55" spans="1:10" ht="51" x14ac:dyDescent="0.25">
      <c r="A55" s="448" t="s">
        <v>2201</v>
      </c>
      <c r="B55" s="465" t="s">
        <v>1886</v>
      </c>
      <c r="C55" s="465"/>
      <c r="D55" s="465"/>
      <c r="E55" s="465" t="s">
        <v>1887</v>
      </c>
      <c r="F55" s="466"/>
      <c r="G55" s="467">
        <v>54.75</v>
      </c>
      <c r="H55" s="447"/>
      <c r="I55" s="447"/>
      <c r="J55" s="461">
        <f>J54*G55</f>
        <v>2146461.71</v>
      </c>
    </row>
    <row r="56" spans="1:10" x14ac:dyDescent="0.25">
      <c r="A56" s="448" t="s">
        <v>771</v>
      </c>
      <c r="B56" s="465" t="s">
        <v>773</v>
      </c>
      <c r="C56" s="465"/>
      <c r="D56" s="465"/>
      <c r="E56" s="465"/>
      <c r="F56" s="468">
        <v>0.2</v>
      </c>
      <c r="G56" s="469"/>
      <c r="H56" s="447"/>
      <c r="I56" s="447"/>
      <c r="J56" s="461">
        <f>J55*F56</f>
        <v>429292.34</v>
      </c>
    </row>
    <row r="57" spans="1:10" x14ac:dyDescent="0.25">
      <c r="A57" s="470" t="s">
        <v>772</v>
      </c>
      <c r="B57" s="449" t="str">
        <f>'[51]12-01-02-3 '!B31</f>
        <v>Всего по смете:</v>
      </c>
      <c r="C57" s="465"/>
      <c r="D57" s="465"/>
      <c r="E57" s="465"/>
      <c r="F57" s="465"/>
      <c r="G57" s="463"/>
      <c r="H57" s="447"/>
      <c r="I57" s="447"/>
      <c r="J57" s="461">
        <f>J55+J56</f>
        <v>2575754.0499999998</v>
      </c>
    </row>
    <row r="58" spans="1:10" ht="25.5" x14ac:dyDescent="0.25">
      <c r="A58" s="470" t="s">
        <v>2202</v>
      </c>
      <c r="B58" s="449" t="s">
        <v>774</v>
      </c>
      <c r="C58" s="465"/>
      <c r="D58" s="465"/>
      <c r="E58" s="465"/>
      <c r="F58" s="468">
        <v>0.1</v>
      </c>
      <c r="G58" s="463"/>
      <c r="H58" s="447"/>
      <c r="I58" s="447"/>
      <c r="J58" s="976">
        <f>J57*1.1</f>
        <v>2833329.46</v>
      </c>
    </row>
    <row r="59" spans="1:10" x14ac:dyDescent="0.25">
      <c r="A59" s="471"/>
      <c r="B59" s="471"/>
      <c r="C59" s="471"/>
      <c r="D59" s="471"/>
      <c r="E59" s="471"/>
      <c r="F59" s="471"/>
      <c r="G59" s="471"/>
    </row>
  </sheetData>
  <mergeCells count="16">
    <mergeCell ref="A9:C9"/>
    <mergeCell ref="D9:G10"/>
    <mergeCell ref="A11:G11"/>
    <mergeCell ref="A13:A14"/>
    <mergeCell ref="B13:B14"/>
    <mergeCell ref="C13:C14"/>
    <mergeCell ref="D13:D14"/>
    <mergeCell ref="E13:E14"/>
    <mergeCell ref="F13:I13"/>
    <mergeCell ref="A7:C7"/>
    <mergeCell ref="D7:G8"/>
    <mergeCell ref="B2:F2"/>
    <mergeCell ref="B3:F3"/>
    <mergeCell ref="A4:G4"/>
    <mergeCell ref="A5:C5"/>
    <mergeCell ref="D5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15" zoomScaleNormal="115" workbookViewId="0">
      <selection activeCell="E22" sqref="E22"/>
    </sheetView>
  </sheetViews>
  <sheetFormatPr defaultRowHeight="15" x14ac:dyDescent="0.25"/>
  <cols>
    <col min="1" max="1" width="4.5703125" style="138" customWidth="1"/>
    <col min="2" max="2" width="38.42578125" style="138" customWidth="1"/>
    <col min="3" max="3" width="13.42578125" style="138" customWidth="1"/>
    <col min="4" max="4" width="16.7109375" style="138" customWidth="1"/>
    <col min="5" max="5" width="22" style="138" customWidth="1"/>
    <col min="6" max="6" width="10.5703125" style="138" customWidth="1"/>
    <col min="7" max="7" width="7.5703125" style="138" customWidth="1"/>
    <col min="8" max="8" width="8.7109375" style="138" customWidth="1"/>
    <col min="9" max="9" width="8.28515625" style="138" customWidth="1"/>
    <col min="10" max="10" width="19" style="138" customWidth="1"/>
    <col min="11" max="16384" width="9.140625" style="138"/>
  </cols>
  <sheetData>
    <row r="1" spans="1:10" ht="15.75" x14ac:dyDescent="0.25">
      <c r="A1" s="472"/>
      <c r="B1" s="472"/>
      <c r="C1" s="472"/>
      <c r="D1" s="1321" t="s">
        <v>1891</v>
      </c>
      <c r="E1" s="1321"/>
      <c r="F1" s="473"/>
      <c r="G1" s="473"/>
      <c r="H1" s="473"/>
      <c r="I1" s="472"/>
      <c r="J1" s="472"/>
    </row>
    <row r="2" spans="1:10" x14ac:dyDescent="0.25">
      <c r="A2" s="1322" t="s">
        <v>775</v>
      </c>
      <c r="B2" s="1322"/>
      <c r="C2" s="1322"/>
      <c r="D2" s="1322"/>
      <c r="E2" s="1322"/>
      <c r="F2" s="1322"/>
      <c r="G2" s="1322"/>
      <c r="H2" s="1322"/>
      <c r="I2" s="1322"/>
      <c r="J2" s="1322"/>
    </row>
    <row r="3" spans="1:10" x14ac:dyDescent="0.25">
      <c r="A3" s="1322" t="s">
        <v>1888</v>
      </c>
      <c r="B3" s="1322"/>
      <c r="C3" s="1322"/>
      <c r="D3" s="1322"/>
      <c r="E3" s="1322"/>
      <c r="F3" s="1322"/>
      <c r="G3" s="1322"/>
      <c r="H3" s="1322"/>
      <c r="I3" s="1322"/>
      <c r="J3" s="1322"/>
    </row>
    <row r="4" spans="1:10" x14ac:dyDescent="0.25">
      <c r="A4" s="1323" t="s">
        <v>776</v>
      </c>
      <c r="B4" s="1323"/>
      <c r="C4" s="1323"/>
      <c r="D4" s="1323"/>
      <c r="E4" s="1323"/>
      <c r="F4" s="1323"/>
      <c r="G4" s="1323"/>
      <c r="H4" s="1323"/>
      <c r="I4" s="1323"/>
      <c r="J4" s="1323"/>
    </row>
    <row r="5" spans="1:10" x14ac:dyDescent="0.25">
      <c r="A5" s="1320" t="s">
        <v>141</v>
      </c>
      <c r="B5" s="1320"/>
      <c r="C5" s="1320" t="s">
        <v>1314</v>
      </c>
      <c r="D5" s="1320"/>
      <c r="E5" s="1320"/>
      <c r="F5" s="1320"/>
      <c r="G5" s="1320"/>
      <c r="H5" s="1320"/>
      <c r="I5" s="1320"/>
      <c r="J5" s="1320"/>
    </row>
    <row r="6" spans="1:10" x14ac:dyDescent="0.25">
      <c r="A6" s="1324" t="s">
        <v>777</v>
      </c>
      <c r="B6" s="1325"/>
      <c r="C6" s="1325"/>
      <c r="D6" s="1325"/>
      <c r="E6" s="1325"/>
      <c r="F6" s="1325"/>
      <c r="G6" s="1325"/>
      <c r="H6" s="1325"/>
      <c r="I6" s="1325"/>
      <c r="J6" s="1326"/>
    </row>
    <row r="7" spans="1:10" x14ac:dyDescent="0.25">
      <c r="A7" s="1327" t="s">
        <v>0</v>
      </c>
      <c r="B7" s="1327" t="s">
        <v>25</v>
      </c>
      <c r="C7" s="1327" t="s">
        <v>27</v>
      </c>
      <c r="D7" s="1327" t="s">
        <v>561</v>
      </c>
      <c r="E7" s="1327" t="s">
        <v>597</v>
      </c>
      <c r="F7" s="1324" t="s">
        <v>637</v>
      </c>
      <c r="G7" s="1325"/>
      <c r="H7" s="1325"/>
      <c r="I7" s="1326"/>
      <c r="J7" s="1327" t="s">
        <v>778</v>
      </c>
    </row>
    <row r="8" spans="1:10" x14ac:dyDescent="0.25">
      <c r="A8" s="1328"/>
      <c r="B8" s="1328"/>
      <c r="C8" s="1328"/>
      <c r="D8" s="1328"/>
      <c r="E8" s="1328"/>
      <c r="F8" s="378" t="s">
        <v>639</v>
      </c>
      <c r="G8" s="378" t="s">
        <v>779</v>
      </c>
      <c r="H8" s="378" t="s">
        <v>779</v>
      </c>
      <c r="I8" s="378" t="s">
        <v>780</v>
      </c>
      <c r="J8" s="1328"/>
    </row>
    <row r="9" spans="1:10" x14ac:dyDescent="0.25">
      <c r="A9" s="378">
        <v>1</v>
      </c>
      <c r="B9" s="378">
        <v>2</v>
      </c>
      <c r="C9" s="378">
        <v>3</v>
      </c>
      <c r="D9" s="378">
        <v>4</v>
      </c>
      <c r="E9" s="378">
        <v>5</v>
      </c>
      <c r="F9" s="1324">
        <v>6</v>
      </c>
      <c r="G9" s="1325"/>
      <c r="H9" s="1325"/>
      <c r="I9" s="1326"/>
      <c r="J9" s="378">
        <v>7</v>
      </c>
    </row>
    <row r="10" spans="1:10" x14ac:dyDescent="0.25">
      <c r="A10" s="1329" t="s">
        <v>645</v>
      </c>
      <c r="B10" s="1330"/>
      <c r="C10" s="1330"/>
      <c r="D10" s="1330"/>
      <c r="E10" s="1330"/>
      <c r="F10" s="1330"/>
      <c r="G10" s="1330"/>
      <c r="H10" s="1330"/>
      <c r="I10" s="1330"/>
      <c r="J10" s="1331"/>
    </row>
    <row r="11" spans="1:10" ht="25.5" x14ac:dyDescent="0.25">
      <c r="A11" s="397">
        <v>1</v>
      </c>
      <c r="B11" s="381" t="s">
        <v>781</v>
      </c>
      <c r="C11" s="378" t="s">
        <v>782</v>
      </c>
      <c r="D11" s="378">
        <v>2</v>
      </c>
      <c r="E11" s="378" t="s">
        <v>783</v>
      </c>
      <c r="F11" s="378">
        <v>42</v>
      </c>
      <c r="G11" s="378"/>
      <c r="H11" s="378"/>
      <c r="I11" s="378">
        <f t="shared" ref="I11:I18" si="0">D11</f>
        <v>2</v>
      </c>
      <c r="J11" s="905">
        <f>I11*F11</f>
        <v>84</v>
      </c>
    </row>
    <row r="12" spans="1:10" ht="25.5" x14ac:dyDescent="0.25">
      <c r="A12" s="397">
        <v>2</v>
      </c>
      <c r="B12" s="381" t="s">
        <v>784</v>
      </c>
      <c r="C12" s="378" t="s">
        <v>646</v>
      </c>
      <c r="D12" s="378">
        <v>10</v>
      </c>
      <c r="E12" s="378" t="s">
        <v>785</v>
      </c>
      <c r="F12" s="378">
        <v>24</v>
      </c>
      <c r="G12" s="378"/>
      <c r="H12" s="378"/>
      <c r="I12" s="378">
        <f t="shared" si="0"/>
        <v>10</v>
      </c>
      <c r="J12" s="905">
        <f>I12*F12</f>
        <v>240</v>
      </c>
    </row>
    <row r="13" spans="1:10" x14ac:dyDescent="0.25">
      <c r="A13" s="397">
        <v>3</v>
      </c>
      <c r="B13" s="381" t="s">
        <v>786</v>
      </c>
      <c r="C13" s="378" t="s">
        <v>787</v>
      </c>
      <c r="D13" s="378">
        <v>10</v>
      </c>
      <c r="E13" s="378" t="s">
        <v>788</v>
      </c>
      <c r="F13" s="378">
        <v>84</v>
      </c>
      <c r="G13" s="378"/>
      <c r="H13" s="378"/>
      <c r="I13" s="378">
        <f t="shared" si="0"/>
        <v>10</v>
      </c>
      <c r="J13" s="905">
        <f>I13*F13</f>
        <v>840</v>
      </c>
    </row>
    <row r="14" spans="1:10" ht="51" x14ac:dyDescent="0.25">
      <c r="A14" s="397">
        <v>4</v>
      </c>
      <c r="B14" s="381" t="s">
        <v>789</v>
      </c>
      <c r="C14" s="378" t="s">
        <v>790</v>
      </c>
      <c r="D14" s="378">
        <v>1</v>
      </c>
      <c r="E14" s="378" t="s">
        <v>791</v>
      </c>
      <c r="F14" s="378">
        <v>186</v>
      </c>
      <c r="G14" s="378"/>
      <c r="H14" s="378"/>
      <c r="I14" s="378">
        <f t="shared" si="0"/>
        <v>1</v>
      </c>
      <c r="J14" s="905">
        <f>I14*F14</f>
        <v>186</v>
      </c>
    </row>
    <row r="15" spans="1:10" ht="25.5" x14ac:dyDescent="0.25">
      <c r="A15" s="397">
        <v>5</v>
      </c>
      <c r="B15" s="381" t="s">
        <v>792</v>
      </c>
      <c r="C15" s="378" t="s">
        <v>793</v>
      </c>
      <c r="D15" s="378">
        <v>7</v>
      </c>
      <c r="E15" s="378" t="s">
        <v>794</v>
      </c>
      <c r="F15" s="378">
        <v>78</v>
      </c>
      <c r="G15" s="378"/>
      <c r="H15" s="378"/>
      <c r="I15" s="378">
        <f t="shared" si="0"/>
        <v>7</v>
      </c>
      <c r="J15" s="905">
        <f t="shared" ref="J15:J18" si="1">I15*F15</f>
        <v>546</v>
      </c>
    </row>
    <row r="16" spans="1:10" ht="25.5" x14ac:dyDescent="0.25">
      <c r="A16" s="397">
        <v>6</v>
      </c>
      <c r="B16" s="381" t="s">
        <v>795</v>
      </c>
      <c r="C16" s="378" t="s">
        <v>796</v>
      </c>
      <c r="D16" s="378">
        <v>7</v>
      </c>
      <c r="E16" s="378" t="s">
        <v>797</v>
      </c>
      <c r="F16" s="378">
        <v>38</v>
      </c>
      <c r="G16" s="378"/>
      <c r="H16" s="378"/>
      <c r="I16" s="378">
        <f t="shared" si="0"/>
        <v>7</v>
      </c>
      <c r="J16" s="905">
        <f t="shared" si="1"/>
        <v>266</v>
      </c>
    </row>
    <row r="17" spans="1:10" x14ac:dyDescent="0.25">
      <c r="A17" s="397">
        <v>7</v>
      </c>
      <c r="B17" s="381" t="s">
        <v>798</v>
      </c>
      <c r="C17" s="378" t="s">
        <v>799</v>
      </c>
      <c r="D17" s="378">
        <v>7</v>
      </c>
      <c r="E17" s="378" t="s">
        <v>800</v>
      </c>
      <c r="F17" s="378">
        <v>19</v>
      </c>
      <c r="G17" s="378"/>
      <c r="H17" s="378"/>
      <c r="I17" s="378">
        <f t="shared" si="0"/>
        <v>7</v>
      </c>
      <c r="J17" s="905">
        <f t="shared" si="1"/>
        <v>133</v>
      </c>
    </row>
    <row r="18" spans="1:10" x14ac:dyDescent="0.25">
      <c r="A18" s="397">
        <v>8</v>
      </c>
      <c r="B18" s="381" t="s">
        <v>801</v>
      </c>
      <c r="C18" s="378" t="s">
        <v>802</v>
      </c>
      <c r="D18" s="378">
        <v>30</v>
      </c>
      <c r="E18" s="906" t="s">
        <v>803</v>
      </c>
      <c r="F18" s="378">
        <v>7</v>
      </c>
      <c r="G18" s="378"/>
      <c r="H18" s="378"/>
      <c r="I18" s="378">
        <f t="shared" si="0"/>
        <v>30</v>
      </c>
      <c r="J18" s="905">
        <f t="shared" si="1"/>
        <v>210</v>
      </c>
    </row>
    <row r="19" spans="1:10" ht="25.5" x14ac:dyDescent="0.25">
      <c r="A19" s="397"/>
      <c r="B19" s="397" t="s">
        <v>804</v>
      </c>
      <c r="C19" s="809"/>
      <c r="D19" s="809"/>
      <c r="E19" s="808"/>
      <c r="F19" s="808"/>
      <c r="G19" s="808">
        <v>1.2</v>
      </c>
      <c r="H19" s="808">
        <v>1.4</v>
      </c>
      <c r="I19" s="808"/>
      <c r="J19" s="476">
        <f>SUM(J11:J18)*G19*H19</f>
        <v>4208.3999999999996</v>
      </c>
    </row>
    <row r="20" spans="1:10" x14ac:dyDescent="0.25">
      <c r="A20" s="1329" t="s">
        <v>805</v>
      </c>
      <c r="B20" s="1330"/>
      <c r="C20" s="1330"/>
      <c r="D20" s="1330"/>
      <c r="E20" s="1330"/>
      <c r="F20" s="1330"/>
      <c r="G20" s="1330"/>
      <c r="H20" s="1330"/>
      <c r="I20" s="1330"/>
      <c r="J20" s="1331"/>
    </row>
    <row r="21" spans="1:10" ht="25.5" x14ac:dyDescent="0.25">
      <c r="A21" s="397">
        <v>9</v>
      </c>
      <c r="B21" s="381" t="str">
        <f>B11</f>
        <v>Рекогносцировочное обследование реки, категория сложности III</v>
      </c>
      <c r="C21" s="378" t="str">
        <f>C11</f>
        <v>1 км реки</v>
      </c>
      <c r="D21" s="378">
        <f>D11</f>
        <v>2</v>
      </c>
      <c r="E21" s="378" t="s">
        <v>783</v>
      </c>
      <c r="F21" s="378">
        <v>14</v>
      </c>
      <c r="G21" s="378"/>
      <c r="H21" s="378"/>
      <c r="I21" s="378">
        <f>I11</f>
        <v>2</v>
      </c>
      <c r="J21" s="905">
        <f>I21*F21</f>
        <v>28</v>
      </c>
    </row>
    <row r="22" spans="1:10" ht="25.5" x14ac:dyDescent="0.25">
      <c r="A22" s="397">
        <v>10</v>
      </c>
      <c r="B22" s="381" t="s">
        <v>784</v>
      </c>
      <c r="C22" s="378" t="s">
        <v>646</v>
      </c>
      <c r="D22" s="378">
        <f>D12</f>
        <v>10</v>
      </c>
      <c r="E22" s="378" t="s">
        <v>785</v>
      </c>
      <c r="F22" s="378">
        <v>8</v>
      </c>
      <c r="G22" s="378"/>
      <c r="H22" s="378"/>
      <c r="I22" s="378">
        <f t="shared" ref="I22:I36" si="2">D22</f>
        <v>10</v>
      </c>
      <c r="J22" s="905">
        <f>I22*F22</f>
        <v>80</v>
      </c>
    </row>
    <row r="23" spans="1:10" x14ac:dyDescent="0.25">
      <c r="A23" s="397">
        <v>11</v>
      </c>
      <c r="B23" s="381" t="s">
        <v>786</v>
      </c>
      <c r="C23" s="378" t="s">
        <v>787</v>
      </c>
      <c r="D23" s="378">
        <f>D13</f>
        <v>10</v>
      </c>
      <c r="E23" s="378" t="s">
        <v>788</v>
      </c>
      <c r="F23" s="378">
        <v>55</v>
      </c>
      <c r="G23" s="378"/>
      <c r="H23" s="378"/>
      <c r="I23" s="378">
        <f t="shared" si="2"/>
        <v>10</v>
      </c>
      <c r="J23" s="905">
        <f>I23*F23</f>
        <v>550</v>
      </c>
    </row>
    <row r="24" spans="1:10" ht="25.5" x14ac:dyDescent="0.25">
      <c r="A24" s="397">
        <v>12</v>
      </c>
      <c r="B24" s="381" t="s">
        <v>806</v>
      </c>
      <c r="C24" s="378" t="s">
        <v>793</v>
      </c>
      <c r="D24" s="378">
        <f>D15</f>
        <v>7</v>
      </c>
      <c r="E24" s="378" t="s">
        <v>794</v>
      </c>
      <c r="F24" s="378">
        <v>17</v>
      </c>
      <c r="G24" s="378"/>
      <c r="H24" s="378"/>
      <c r="I24" s="378">
        <f t="shared" si="2"/>
        <v>7</v>
      </c>
      <c r="J24" s="905">
        <f t="shared" ref="J24:J30" si="3">I24*F24</f>
        <v>119</v>
      </c>
    </row>
    <row r="25" spans="1:10" ht="38.25" x14ac:dyDescent="0.25">
      <c r="A25" s="397">
        <v>13</v>
      </c>
      <c r="B25" s="381" t="s">
        <v>807</v>
      </c>
      <c r="C25" s="378" t="s">
        <v>808</v>
      </c>
      <c r="D25" s="378">
        <v>1</v>
      </c>
      <c r="E25" s="378" t="s">
        <v>809</v>
      </c>
      <c r="F25" s="378">
        <v>105</v>
      </c>
      <c r="G25" s="378"/>
      <c r="H25" s="378"/>
      <c r="I25" s="378">
        <f t="shared" si="2"/>
        <v>1</v>
      </c>
      <c r="J25" s="905">
        <f t="shared" si="3"/>
        <v>105</v>
      </c>
    </row>
    <row r="26" spans="1:10" ht="38.25" x14ac:dyDescent="0.25">
      <c r="A26" s="397">
        <v>14</v>
      </c>
      <c r="B26" s="381" t="s">
        <v>1914</v>
      </c>
      <c r="C26" s="378" t="s">
        <v>810</v>
      </c>
      <c r="D26" s="378">
        <v>1</v>
      </c>
      <c r="E26" s="378" t="s">
        <v>811</v>
      </c>
      <c r="F26" s="378">
        <v>61</v>
      </c>
      <c r="G26" s="378"/>
      <c r="H26" s="378"/>
      <c r="I26" s="378">
        <f t="shared" si="2"/>
        <v>1</v>
      </c>
      <c r="J26" s="905">
        <f t="shared" si="3"/>
        <v>61</v>
      </c>
    </row>
    <row r="27" spans="1:10" ht="15.75" x14ac:dyDescent="0.25">
      <c r="A27" s="397">
        <v>15</v>
      </c>
      <c r="B27" s="381" t="s">
        <v>812</v>
      </c>
      <c r="C27" s="378" t="s">
        <v>813</v>
      </c>
      <c r="D27" s="378">
        <v>30</v>
      </c>
      <c r="E27" s="378" t="s">
        <v>814</v>
      </c>
      <c r="F27" s="378">
        <v>6</v>
      </c>
      <c r="G27" s="378"/>
      <c r="H27" s="378"/>
      <c r="I27" s="378">
        <f t="shared" si="2"/>
        <v>30</v>
      </c>
      <c r="J27" s="905">
        <f t="shared" si="3"/>
        <v>180</v>
      </c>
    </row>
    <row r="28" spans="1:10" x14ac:dyDescent="0.25">
      <c r="A28" s="397">
        <v>16</v>
      </c>
      <c r="B28" s="381" t="s">
        <v>815</v>
      </c>
      <c r="C28" s="378" t="s">
        <v>816</v>
      </c>
      <c r="D28" s="378">
        <v>1</v>
      </c>
      <c r="E28" s="378" t="s">
        <v>817</v>
      </c>
      <c r="F28" s="378">
        <v>217</v>
      </c>
      <c r="G28" s="378"/>
      <c r="H28" s="378"/>
      <c r="I28" s="378">
        <f t="shared" si="2"/>
        <v>1</v>
      </c>
      <c r="J28" s="905">
        <f t="shared" si="3"/>
        <v>217</v>
      </c>
    </row>
    <row r="29" spans="1:10" ht="38.25" x14ac:dyDescent="0.25">
      <c r="A29" s="397">
        <v>17</v>
      </c>
      <c r="B29" s="381" t="s">
        <v>818</v>
      </c>
      <c r="C29" s="378" t="s">
        <v>808</v>
      </c>
      <c r="D29" s="378">
        <v>1</v>
      </c>
      <c r="E29" s="378" t="s">
        <v>819</v>
      </c>
      <c r="F29" s="378">
        <v>217</v>
      </c>
      <c r="G29" s="378"/>
      <c r="H29" s="378"/>
      <c r="I29" s="378">
        <f t="shared" si="2"/>
        <v>1</v>
      </c>
      <c r="J29" s="905">
        <f t="shared" si="3"/>
        <v>217</v>
      </c>
    </row>
    <row r="30" spans="1:10" ht="63.75" x14ac:dyDescent="0.25">
      <c r="A30" s="397">
        <v>18</v>
      </c>
      <c r="B30" s="381" t="s">
        <v>820</v>
      </c>
      <c r="C30" s="378" t="s">
        <v>816</v>
      </c>
      <c r="D30" s="378">
        <v>1</v>
      </c>
      <c r="E30" s="378" t="s">
        <v>821</v>
      </c>
      <c r="F30" s="378">
        <v>76</v>
      </c>
      <c r="G30" s="378"/>
      <c r="H30" s="378"/>
      <c r="I30" s="378">
        <f t="shared" si="2"/>
        <v>1</v>
      </c>
      <c r="J30" s="905">
        <f t="shared" si="3"/>
        <v>76</v>
      </c>
    </row>
    <row r="31" spans="1:10" ht="38.25" x14ac:dyDescent="0.25">
      <c r="A31" s="397">
        <v>19</v>
      </c>
      <c r="B31" s="381" t="s">
        <v>822</v>
      </c>
      <c r="C31" s="378" t="s">
        <v>816</v>
      </c>
      <c r="D31" s="378">
        <v>10</v>
      </c>
      <c r="E31" s="378" t="s">
        <v>823</v>
      </c>
      <c r="F31" s="378">
        <v>34</v>
      </c>
      <c r="G31" s="378"/>
      <c r="H31" s="378"/>
      <c r="I31" s="378">
        <f t="shared" si="2"/>
        <v>10</v>
      </c>
      <c r="J31" s="905">
        <f>I31*F31</f>
        <v>340</v>
      </c>
    </row>
    <row r="32" spans="1:10" ht="25.5" x14ac:dyDescent="0.25">
      <c r="A32" s="397">
        <v>20</v>
      </c>
      <c r="B32" s="381" t="s">
        <v>824</v>
      </c>
      <c r="C32" s="378" t="s">
        <v>825</v>
      </c>
      <c r="D32" s="378">
        <v>10</v>
      </c>
      <c r="E32" s="378" t="s">
        <v>826</v>
      </c>
      <c r="F32" s="378">
        <v>68</v>
      </c>
      <c r="G32" s="378"/>
      <c r="H32" s="378"/>
      <c r="I32" s="378">
        <f t="shared" si="2"/>
        <v>10</v>
      </c>
      <c r="J32" s="905">
        <f t="shared" ref="J32" si="4">I32*F32</f>
        <v>680</v>
      </c>
    </row>
    <row r="33" spans="1:10" ht="63.75" x14ac:dyDescent="0.25">
      <c r="A33" s="397">
        <v>21</v>
      </c>
      <c r="B33" s="381" t="s">
        <v>827</v>
      </c>
      <c r="C33" s="378" t="s">
        <v>828</v>
      </c>
      <c r="D33" s="378">
        <v>3</v>
      </c>
      <c r="E33" s="378" t="s">
        <v>829</v>
      </c>
      <c r="F33" s="378">
        <v>90</v>
      </c>
      <c r="G33" s="378"/>
      <c r="H33" s="378"/>
      <c r="I33" s="378">
        <f t="shared" si="2"/>
        <v>3</v>
      </c>
      <c r="J33" s="905">
        <f>I33*F33</f>
        <v>270</v>
      </c>
    </row>
    <row r="34" spans="1:10" x14ac:dyDescent="0.25">
      <c r="A34" s="397">
        <v>22</v>
      </c>
      <c r="B34" s="381" t="s">
        <v>830</v>
      </c>
      <c r="C34" s="378" t="s">
        <v>816</v>
      </c>
      <c r="D34" s="378">
        <v>1</v>
      </c>
      <c r="E34" s="378" t="s">
        <v>831</v>
      </c>
      <c r="F34" s="378">
        <v>116</v>
      </c>
      <c r="G34" s="378"/>
      <c r="H34" s="378"/>
      <c r="I34" s="378">
        <f t="shared" si="2"/>
        <v>1</v>
      </c>
      <c r="J34" s="905">
        <f>I34*F34</f>
        <v>116</v>
      </c>
    </row>
    <row r="35" spans="1:10" x14ac:dyDescent="0.25">
      <c r="A35" s="397">
        <v>23</v>
      </c>
      <c r="B35" s="381" t="s">
        <v>832</v>
      </c>
      <c r="C35" s="378" t="s">
        <v>816</v>
      </c>
      <c r="D35" s="378">
        <v>1</v>
      </c>
      <c r="E35" s="378" t="s">
        <v>833</v>
      </c>
      <c r="F35" s="378">
        <v>49</v>
      </c>
      <c r="G35" s="378"/>
      <c r="H35" s="378"/>
      <c r="I35" s="378">
        <f t="shared" si="2"/>
        <v>1</v>
      </c>
      <c r="J35" s="905">
        <f>I35*F35</f>
        <v>49</v>
      </c>
    </row>
    <row r="36" spans="1:10" ht="38.25" x14ac:dyDescent="0.25">
      <c r="A36" s="397">
        <v>24</v>
      </c>
      <c r="B36" s="381" t="s">
        <v>1915</v>
      </c>
      <c r="C36" s="378" t="s">
        <v>834</v>
      </c>
      <c r="D36" s="378">
        <v>1</v>
      </c>
      <c r="E36" s="378" t="s">
        <v>1916</v>
      </c>
      <c r="F36" s="378">
        <v>243</v>
      </c>
      <c r="G36" s="378"/>
      <c r="H36" s="378"/>
      <c r="I36" s="378">
        <f t="shared" si="2"/>
        <v>1</v>
      </c>
      <c r="J36" s="905">
        <f>I36*F36</f>
        <v>243</v>
      </c>
    </row>
    <row r="37" spans="1:10" ht="25.5" x14ac:dyDescent="0.25">
      <c r="A37" s="397">
        <v>25</v>
      </c>
      <c r="B37" s="381" t="s">
        <v>835</v>
      </c>
      <c r="C37" s="378" t="s">
        <v>836</v>
      </c>
      <c r="D37" s="905">
        <f>SUM(J21:J36)</f>
        <v>3331</v>
      </c>
      <c r="E37" s="906" t="s">
        <v>837</v>
      </c>
      <c r="F37" s="378">
        <v>800</v>
      </c>
      <c r="G37" s="378"/>
      <c r="H37" s="378"/>
      <c r="I37" s="378">
        <v>1</v>
      </c>
      <c r="J37" s="905">
        <f>I37*F37</f>
        <v>800</v>
      </c>
    </row>
    <row r="38" spans="1:10" ht="25.5" x14ac:dyDescent="0.25">
      <c r="A38" s="397">
        <v>26</v>
      </c>
      <c r="B38" s="381" t="s">
        <v>838</v>
      </c>
      <c r="C38" s="378" t="s">
        <v>723</v>
      </c>
      <c r="D38" s="905">
        <f>SUM(J21:J37)</f>
        <v>4131</v>
      </c>
      <c r="E38" s="906" t="s">
        <v>839</v>
      </c>
      <c r="F38" s="907">
        <v>0.75</v>
      </c>
      <c r="G38" s="378">
        <v>1.25</v>
      </c>
      <c r="H38" s="378"/>
      <c r="I38" s="378">
        <v>1</v>
      </c>
      <c r="J38" s="908">
        <f>SUM(J21:J37)*F38*G38</f>
        <v>3872.81</v>
      </c>
    </row>
    <row r="39" spans="1:10" x14ac:dyDescent="0.25">
      <c r="A39" s="378"/>
      <c r="B39" s="397" t="s">
        <v>840</v>
      </c>
      <c r="C39" s="397"/>
      <c r="D39" s="397"/>
      <c r="E39" s="378"/>
      <c r="F39" s="378"/>
      <c r="G39" s="378"/>
      <c r="H39" s="378"/>
      <c r="I39" s="378"/>
      <c r="J39" s="477">
        <f>SUM(J21:J38)</f>
        <v>8003.81</v>
      </c>
    </row>
    <row r="40" spans="1:10" x14ac:dyDescent="0.25">
      <c r="A40" s="1329" t="s">
        <v>841</v>
      </c>
      <c r="B40" s="1330"/>
      <c r="C40" s="1330"/>
      <c r="D40" s="1330"/>
      <c r="E40" s="1330"/>
      <c r="F40" s="1330"/>
      <c r="G40" s="1330"/>
      <c r="H40" s="1330"/>
      <c r="I40" s="1330"/>
      <c r="J40" s="1331"/>
    </row>
    <row r="41" spans="1:10" ht="25.5" x14ac:dyDescent="0.25">
      <c r="A41" s="397">
        <v>27</v>
      </c>
      <c r="B41" s="873" t="s">
        <v>2024</v>
      </c>
      <c r="C41" s="378" t="s">
        <v>842</v>
      </c>
      <c r="D41" s="909">
        <v>0.1125</v>
      </c>
      <c r="E41" s="378" t="s">
        <v>2025</v>
      </c>
      <c r="F41" s="910">
        <f>J19</f>
        <v>4208.3999999999996</v>
      </c>
      <c r="G41" s="911"/>
      <c r="H41" s="378"/>
      <c r="I41" s="909">
        <f t="shared" ref="I41:I43" si="5">D41</f>
        <v>0.1125</v>
      </c>
      <c r="J41" s="905">
        <f>F41*I41</f>
        <v>473.45</v>
      </c>
    </row>
    <row r="42" spans="1:10" ht="57" customHeight="1" x14ac:dyDescent="0.25">
      <c r="A42" s="397">
        <v>28</v>
      </c>
      <c r="B42" s="912" t="s">
        <v>2027</v>
      </c>
      <c r="C42" s="378" t="s">
        <v>842</v>
      </c>
      <c r="D42" s="913">
        <v>0.19600000000000001</v>
      </c>
      <c r="E42" s="378" t="s">
        <v>2026</v>
      </c>
      <c r="F42" s="910">
        <f>F41+J41</f>
        <v>4681.8500000000004</v>
      </c>
      <c r="G42" s="911"/>
      <c r="H42" s="378"/>
      <c r="I42" s="913">
        <f t="shared" si="5"/>
        <v>0.19600000000000001</v>
      </c>
      <c r="J42" s="905">
        <f>F42*I42</f>
        <v>917.64</v>
      </c>
    </row>
    <row r="43" spans="1:10" x14ac:dyDescent="0.25">
      <c r="A43" s="397">
        <v>29</v>
      </c>
      <c r="B43" s="381" t="s">
        <v>843</v>
      </c>
      <c r="C43" s="378" t="s">
        <v>842</v>
      </c>
      <c r="D43" s="478">
        <v>0.06</v>
      </c>
      <c r="E43" s="378" t="s">
        <v>844</v>
      </c>
      <c r="F43" s="910">
        <f>F41+J41</f>
        <v>4681.8500000000004</v>
      </c>
      <c r="G43" s="876">
        <v>2.5</v>
      </c>
      <c r="H43" s="378"/>
      <c r="I43" s="478">
        <f t="shared" si="5"/>
        <v>0.06</v>
      </c>
      <c r="J43" s="905">
        <f>F43*I43*G43</f>
        <v>702.28</v>
      </c>
    </row>
    <row r="44" spans="1:10" x14ac:dyDescent="0.25">
      <c r="A44" s="397"/>
      <c r="B44" s="397" t="s">
        <v>845</v>
      </c>
      <c r="C44" s="378"/>
      <c r="D44" s="479"/>
      <c r="E44" s="375"/>
      <c r="F44" s="480"/>
      <c r="G44" s="480"/>
      <c r="H44" s="480"/>
      <c r="I44" s="478"/>
      <c r="J44" s="476">
        <f>SUM(J41:J43)</f>
        <v>2093.37</v>
      </c>
    </row>
    <row r="45" spans="1:10" x14ac:dyDescent="0.25">
      <c r="A45" s="378"/>
      <c r="B45" s="481" t="s">
        <v>846</v>
      </c>
      <c r="C45" s="397"/>
      <c r="D45" s="397"/>
      <c r="E45" s="378"/>
      <c r="F45" s="378"/>
      <c r="G45" s="378"/>
      <c r="H45" s="378"/>
      <c r="I45" s="482"/>
      <c r="J45" s="476">
        <f>J19+J39+J44</f>
        <v>14305.58</v>
      </c>
    </row>
    <row r="46" spans="1:10" x14ac:dyDescent="0.25">
      <c r="A46" s="378"/>
      <c r="B46" s="483" t="s">
        <v>847</v>
      </c>
      <c r="C46" s="474"/>
      <c r="D46" s="474"/>
      <c r="E46" s="475"/>
      <c r="F46" s="484"/>
      <c r="G46" s="484"/>
      <c r="H46" s="378"/>
      <c r="I46" s="485">
        <v>0.1</v>
      </c>
      <c r="J46" s="476">
        <f>J45*I46</f>
        <v>1430.56</v>
      </c>
    </row>
    <row r="47" spans="1:10" x14ac:dyDescent="0.25">
      <c r="A47" s="378"/>
      <c r="B47" s="1332" t="s">
        <v>1886</v>
      </c>
      <c r="C47" s="1333"/>
      <c r="D47" s="1333"/>
      <c r="E47" s="1333"/>
      <c r="F47" s="1334"/>
      <c r="G47" s="484"/>
      <c r="H47" s="378"/>
      <c r="I47" s="486">
        <v>54.75</v>
      </c>
      <c r="J47" s="476">
        <f>(J45+J46)*I47</f>
        <v>861553.67</v>
      </c>
    </row>
    <row r="48" spans="1:10" x14ac:dyDescent="0.25">
      <c r="A48" s="378"/>
      <c r="B48" s="487" t="s">
        <v>582</v>
      </c>
      <c r="C48" s="381"/>
      <c r="D48" s="381"/>
      <c r="E48" s="381"/>
      <c r="F48" s="381"/>
      <c r="G48" s="381"/>
      <c r="H48" s="381"/>
      <c r="I48" s="381"/>
      <c r="J48" s="476">
        <f>J47*0.2</f>
        <v>172310.73</v>
      </c>
    </row>
    <row r="49" spans="1:10" x14ac:dyDescent="0.25">
      <c r="A49" s="378"/>
      <c r="B49" s="487" t="s">
        <v>848</v>
      </c>
      <c r="C49" s="381"/>
      <c r="D49" s="381"/>
      <c r="E49" s="381"/>
      <c r="F49" s="381"/>
      <c r="G49" s="381"/>
      <c r="H49" s="381"/>
      <c r="I49" s="381"/>
      <c r="J49" s="476">
        <f>J48+J47</f>
        <v>1033864.4</v>
      </c>
    </row>
    <row r="50" spans="1:10" x14ac:dyDescent="0.25">
      <c r="A50" s="472"/>
      <c r="B50" s="472"/>
      <c r="C50" s="472"/>
      <c r="D50" s="472"/>
      <c r="E50" s="472"/>
      <c r="F50" s="472"/>
      <c r="G50" s="472"/>
      <c r="H50" s="472"/>
      <c r="I50" s="472"/>
      <c r="J50" s="488"/>
    </row>
    <row r="51" spans="1:10" x14ac:dyDescent="0.25">
      <c r="A51" s="472"/>
      <c r="B51" s="489" t="s">
        <v>849</v>
      </c>
      <c r="C51" s="489"/>
      <c r="D51" s="490"/>
      <c r="E51" s="490"/>
      <c r="F51" s="490"/>
      <c r="G51" s="490"/>
      <c r="H51" s="490"/>
      <c r="I51" s="490"/>
      <c r="J51" s="491"/>
    </row>
  </sheetData>
  <mergeCells count="20">
    <mergeCell ref="F9:I9"/>
    <mergeCell ref="A10:J10"/>
    <mergeCell ref="A20:J20"/>
    <mergeCell ref="A40:J40"/>
    <mergeCell ref="B47:F47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J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88" zoomScaleNormal="88" workbookViewId="0">
      <selection activeCell="C22" sqref="C22:E22"/>
    </sheetView>
  </sheetViews>
  <sheetFormatPr defaultRowHeight="15" x14ac:dyDescent="0.25"/>
  <cols>
    <col min="1" max="1" width="9.140625" style="492"/>
    <col min="2" max="2" width="39.85546875" style="492" customWidth="1"/>
    <col min="3" max="3" width="19.140625" style="492" customWidth="1"/>
    <col min="4" max="4" width="11" style="492" customWidth="1"/>
    <col min="5" max="8" width="9.140625" style="492"/>
    <col min="9" max="9" width="11.5703125" style="492" customWidth="1"/>
    <col min="10" max="10" width="18.42578125" style="492" customWidth="1"/>
    <col min="11" max="257" width="9.140625" style="492"/>
    <col min="258" max="258" width="39.85546875" style="492" customWidth="1"/>
    <col min="259" max="259" width="19.140625" style="492" customWidth="1"/>
    <col min="260" max="260" width="11" style="492" customWidth="1"/>
    <col min="261" max="264" width="9.140625" style="492"/>
    <col min="265" max="265" width="11.5703125" style="492" customWidth="1"/>
    <col min="266" max="266" width="18.42578125" style="492" customWidth="1"/>
    <col min="267" max="513" width="9.140625" style="492"/>
    <col min="514" max="514" width="39.85546875" style="492" customWidth="1"/>
    <col min="515" max="515" width="19.140625" style="492" customWidth="1"/>
    <col min="516" max="516" width="11" style="492" customWidth="1"/>
    <col min="517" max="520" width="9.140625" style="492"/>
    <col min="521" max="521" width="11.5703125" style="492" customWidth="1"/>
    <col min="522" max="522" width="18.42578125" style="492" customWidth="1"/>
    <col min="523" max="769" width="9.140625" style="492"/>
    <col min="770" max="770" width="39.85546875" style="492" customWidth="1"/>
    <col min="771" max="771" width="19.140625" style="492" customWidth="1"/>
    <col min="772" max="772" width="11" style="492" customWidth="1"/>
    <col min="773" max="776" width="9.140625" style="492"/>
    <col min="777" max="777" width="11.5703125" style="492" customWidth="1"/>
    <col min="778" max="778" width="18.42578125" style="492" customWidth="1"/>
    <col min="779" max="1025" width="9.140625" style="492"/>
    <col min="1026" max="1026" width="39.85546875" style="492" customWidth="1"/>
    <col min="1027" max="1027" width="19.140625" style="492" customWidth="1"/>
    <col min="1028" max="1028" width="11" style="492" customWidth="1"/>
    <col min="1029" max="1032" width="9.140625" style="492"/>
    <col min="1033" max="1033" width="11.5703125" style="492" customWidth="1"/>
    <col min="1034" max="1034" width="18.42578125" style="492" customWidth="1"/>
    <col min="1035" max="1281" width="9.140625" style="492"/>
    <col min="1282" max="1282" width="39.85546875" style="492" customWidth="1"/>
    <col min="1283" max="1283" width="19.140625" style="492" customWidth="1"/>
    <col min="1284" max="1284" width="11" style="492" customWidth="1"/>
    <col min="1285" max="1288" width="9.140625" style="492"/>
    <col min="1289" max="1289" width="11.5703125" style="492" customWidth="1"/>
    <col min="1290" max="1290" width="18.42578125" style="492" customWidth="1"/>
    <col min="1291" max="1537" width="9.140625" style="492"/>
    <col min="1538" max="1538" width="39.85546875" style="492" customWidth="1"/>
    <col min="1539" max="1539" width="19.140625" style="492" customWidth="1"/>
    <col min="1540" max="1540" width="11" style="492" customWidth="1"/>
    <col min="1541" max="1544" width="9.140625" style="492"/>
    <col min="1545" max="1545" width="11.5703125" style="492" customWidth="1"/>
    <col min="1546" max="1546" width="18.42578125" style="492" customWidth="1"/>
    <col min="1547" max="1793" width="9.140625" style="492"/>
    <col min="1794" max="1794" width="39.85546875" style="492" customWidth="1"/>
    <col min="1795" max="1795" width="19.140625" style="492" customWidth="1"/>
    <col min="1796" max="1796" width="11" style="492" customWidth="1"/>
    <col min="1797" max="1800" width="9.140625" style="492"/>
    <col min="1801" max="1801" width="11.5703125" style="492" customWidth="1"/>
    <col min="1802" max="1802" width="18.42578125" style="492" customWidth="1"/>
    <col min="1803" max="2049" width="9.140625" style="492"/>
    <col min="2050" max="2050" width="39.85546875" style="492" customWidth="1"/>
    <col min="2051" max="2051" width="19.140625" style="492" customWidth="1"/>
    <col min="2052" max="2052" width="11" style="492" customWidth="1"/>
    <col min="2053" max="2056" width="9.140625" style="492"/>
    <col min="2057" max="2057" width="11.5703125" style="492" customWidth="1"/>
    <col min="2058" max="2058" width="18.42578125" style="492" customWidth="1"/>
    <col min="2059" max="2305" width="9.140625" style="492"/>
    <col min="2306" max="2306" width="39.85546875" style="492" customWidth="1"/>
    <col min="2307" max="2307" width="19.140625" style="492" customWidth="1"/>
    <col min="2308" max="2308" width="11" style="492" customWidth="1"/>
    <col min="2309" max="2312" width="9.140625" style="492"/>
    <col min="2313" max="2313" width="11.5703125" style="492" customWidth="1"/>
    <col min="2314" max="2314" width="18.42578125" style="492" customWidth="1"/>
    <col min="2315" max="2561" width="9.140625" style="492"/>
    <col min="2562" max="2562" width="39.85546875" style="492" customWidth="1"/>
    <col min="2563" max="2563" width="19.140625" style="492" customWidth="1"/>
    <col min="2564" max="2564" width="11" style="492" customWidth="1"/>
    <col min="2565" max="2568" width="9.140625" style="492"/>
    <col min="2569" max="2569" width="11.5703125" style="492" customWidth="1"/>
    <col min="2570" max="2570" width="18.42578125" style="492" customWidth="1"/>
    <col min="2571" max="2817" width="9.140625" style="492"/>
    <col min="2818" max="2818" width="39.85546875" style="492" customWidth="1"/>
    <col min="2819" max="2819" width="19.140625" style="492" customWidth="1"/>
    <col min="2820" max="2820" width="11" style="492" customWidth="1"/>
    <col min="2821" max="2824" width="9.140625" style="492"/>
    <col min="2825" max="2825" width="11.5703125" style="492" customWidth="1"/>
    <col min="2826" max="2826" width="18.42578125" style="492" customWidth="1"/>
    <col min="2827" max="3073" width="9.140625" style="492"/>
    <col min="3074" max="3074" width="39.85546875" style="492" customWidth="1"/>
    <col min="3075" max="3075" width="19.140625" style="492" customWidth="1"/>
    <col min="3076" max="3076" width="11" style="492" customWidth="1"/>
    <col min="3077" max="3080" width="9.140625" style="492"/>
    <col min="3081" max="3081" width="11.5703125" style="492" customWidth="1"/>
    <col min="3082" max="3082" width="18.42578125" style="492" customWidth="1"/>
    <col min="3083" max="3329" width="9.140625" style="492"/>
    <col min="3330" max="3330" width="39.85546875" style="492" customWidth="1"/>
    <col min="3331" max="3331" width="19.140625" style="492" customWidth="1"/>
    <col min="3332" max="3332" width="11" style="492" customWidth="1"/>
    <col min="3333" max="3336" width="9.140625" style="492"/>
    <col min="3337" max="3337" width="11.5703125" style="492" customWidth="1"/>
    <col min="3338" max="3338" width="18.42578125" style="492" customWidth="1"/>
    <col min="3339" max="3585" width="9.140625" style="492"/>
    <col min="3586" max="3586" width="39.85546875" style="492" customWidth="1"/>
    <col min="3587" max="3587" width="19.140625" style="492" customWidth="1"/>
    <col min="3588" max="3588" width="11" style="492" customWidth="1"/>
    <col min="3589" max="3592" width="9.140625" style="492"/>
    <col min="3593" max="3593" width="11.5703125" style="492" customWidth="1"/>
    <col min="3594" max="3594" width="18.42578125" style="492" customWidth="1"/>
    <col min="3595" max="3841" width="9.140625" style="492"/>
    <col min="3842" max="3842" width="39.85546875" style="492" customWidth="1"/>
    <col min="3843" max="3843" width="19.140625" style="492" customWidth="1"/>
    <col min="3844" max="3844" width="11" style="492" customWidth="1"/>
    <col min="3845" max="3848" width="9.140625" style="492"/>
    <col min="3849" max="3849" width="11.5703125" style="492" customWidth="1"/>
    <col min="3850" max="3850" width="18.42578125" style="492" customWidth="1"/>
    <col min="3851" max="4097" width="9.140625" style="492"/>
    <col min="4098" max="4098" width="39.85546875" style="492" customWidth="1"/>
    <col min="4099" max="4099" width="19.140625" style="492" customWidth="1"/>
    <col min="4100" max="4100" width="11" style="492" customWidth="1"/>
    <col min="4101" max="4104" width="9.140625" style="492"/>
    <col min="4105" max="4105" width="11.5703125" style="492" customWidth="1"/>
    <col min="4106" max="4106" width="18.42578125" style="492" customWidth="1"/>
    <col min="4107" max="4353" width="9.140625" style="492"/>
    <col min="4354" max="4354" width="39.85546875" style="492" customWidth="1"/>
    <col min="4355" max="4355" width="19.140625" style="492" customWidth="1"/>
    <col min="4356" max="4356" width="11" style="492" customWidth="1"/>
    <col min="4357" max="4360" width="9.140625" style="492"/>
    <col min="4361" max="4361" width="11.5703125" style="492" customWidth="1"/>
    <col min="4362" max="4362" width="18.42578125" style="492" customWidth="1"/>
    <col min="4363" max="4609" width="9.140625" style="492"/>
    <col min="4610" max="4610" width="39.85546875" style="492" customWidth="1"/>
    <col min="4611" max="4611" width="19.140625" style="492" customWidth="1"/>
    <col min="4612" max="4612" width="11" style="492" customWidth="1"/>
    <col min="4613" max="4616" width="9.140625" style="492"/>
    <col min="4617" max="4617" width="11.5703125" style="492" customWidth="1"/>
    <col min="4618" max="4618" width="18.42578125" style="492" customWidth="1"/>
    <col min="4619" max="4865" width="9.140625" style="492"/>
    <col min="4866" max="4866" width="39.85546875" style="492" customWidth="1"/>
    <col min="4867" max="4867" width="19.140625" style="492" customWidth="1"/>
    <col min="4868" max="4868" width="11" style="492" customWidth="1"/>
    <col min="4869" max="4872" width="9.140625" style="492"/>
    <col min="4873" max="4873" width="11.5703125" style="492" customWidth="1"/>
    <col min="4874" max="4874" width="18.42578125" style="492" customWidth="1"/>
    <col min="4875" max="5121" width="9.140625" style="492"/>
    <col min="5122" max="5122" width="39.85546875" style="492" customWidth="1"/>
    <col min="5123" max="5123" width="19.140625" style="492" customWidth="1"/>
    <col min="5124" max="5124" width="11" style="492" customWidth="1"/>
    <col min="5125" max="5128" width="9.140625" style="492"/>
    <col min="5129" max="5129" width="11.5703125" style="492" customWidth="1"/>
    <col min="5130" max="5130" width="18.42578125" style="492" customWidth="1"/>
    <col min="5131" max="5377" width="9.140625" style="492"/>
    <col min="5378" max="5378" width="39.85546875" style="492" customWidth="1"/>
    <col min="5379" max="5379" width="19.140625" style="492" customWidth="1"/>
    <col min="5380" max="5380" width="11" style="492" customWidth="1"/>
    <col min="5381" max="5384" width="9.140625" style="492"/>
    <col min="5385" max="5385" width="11.5703125" style="492" customWidth="1"/>
    <col min="5386" max="5386" width="18.42578125" style="492" customWidth="1"/>
    <col min="5387" max="5633" width="9.140625" style="492"/>
    <col min="5634" max="5634" width="39.85546875" style="492" customWidth="1"/>
    <col min="5635" max="5635" width="19.140625" style="492" customWidth="1"/>
    <col min="5636" max="5636" width="11" style="492" customWidth="1"/>
    <col min="5637" max="5640" width="9.140625" style="492"/>
    <col min="5641" max="5641" width="11.5703125" style="492" customWidth="1"/>
    <col min="5642" max="5642" width="18.42578125" style="492" customWidth="1"/>
    <col min="5643" max="5889" width="9.140625" style="492"/>
    <col min="5890" max="5890" width="39.85546875" style="492" customWidth="1"/>
    <col min="5891" max="5891" width="19.140625" style="492" customWidth="1"/>
    <col min="5892" max="5892" width="11" style="492" customWidth="1"/>
    <col min="5893" max="5896" width="9.140625" style="492"/>
    <col min="5897" max="5897" width="11.5703125" style="492" customWidth="1"/>
    <col min="5898" max="5898" width="18.42578125" style="492" customWidth="1"/>
    <col min="5899" max="6145" width="9.140625" style="492"/>
    <col min="6146" max="6146" width="39.85546875" style="492" customWidth="1"/>
    <col min="6147" max="6147" width="19.140625" style="492" customWidth="1"/>
    <col min="6148" max="6148" width="11" style="492" customWidth="1"/>
    <col min="6149" max="6152" width="9.140625" style="492"/>
    <col min="6153" max="6153" width="11.5703125" style="492" customWidth="1"/>
    <col min="6154" max="6154" width="18.42578125" style="492" customWidth="1"/>
    <col min="6155" max="6401" width="9.140625" style="492"/>
    <col min="6402" max="6402" width="39.85546875" style="492" customWidth="1"/>
    <col min="6403" max="6403" width="19.140625" style="492" customWidth="1"/>
    <col min="6404" max="6404" width="11" style="492" customWidth="1"/>
    <col min="6405" max="6408" width="9.140625" style="492"/>
    <col min="6409" max="6409" width="11.5703125" style="492" customWidth="1"/>
    <col min="6410" max="6410" width="18.42578125" style="492" customWidth="1"/>
    <col min="6411" max="6657" width="9.140625" style="492"/>
    <col min="6658" max="6658" width="39.85546875" style="492" customWidth="1"/>
    <col min="6659" max="6659" width="19.140625" style="492" customWidth="1"/>
    <col min="6660" max="6660" width="11" style="492" customWidth="1"/>
    <col min="6661" max="6664" width="9.140625" style="492"/>
    <col min="6665" max="6665" width="11.5703125" style="492" customWidth="1"/>
    <col min="6666" max="6666" width="18.42578125" style="492" customWidth="1"/>
    <col min="6667" max="6913" width="9.140625" style="492"/>
    <col min="6914" max="6914" width="39.85546875" style="492" customWidth="1"/>
    <col min="6915" max="6915" width="19.140625" style="492" customWidth="1"/>
    <col min="6916" max="6916" width="11" style="492" customWidth="1"/>
    <col min="6917" max="6920" width="9.140625" style="492"/>
    <col min="6921" max="6921" width="11.5703125" style="492" customWidth="1"/>
    <col min="6922" max="6922" width="18.42578125" style="492" customWidth="1"/>
    <col min="6923" max="7169" width="9.140625" style="492"/>
    <col min="7170" max="7170" width="39.85546875" style="492" customWidth="1"/>
    <col min="7171" max="7171" width="19.140625" style="492" customWidth="1"/>
    <col min="7172" max="7172" width="11" style="492" customWidth="1"/>
    <col min="7173" max="7176" width="9.140625" style="492"/>
    <col min="7177" max="7177" width="11.5703125" style="492" customWidth="1"/>
    <col min="7178" max="7178" width="18.42578125" style="492" customWidth="1"/>
    <col min="7179" max="7425" width="9.140625" style="492"/>
    <col min="7426" max="7426" width="39.85546875" style="492" customWidth="1"/>
    <col min="7427" max="7427" width="19.140625" style="492" customWidth="1"/>
    <col min="7428" max="7428" width="11" style="492" customWidth="1"/>
    <col min="7429" max="7432" width="9.140625" style="492"/>
    <col min="7433" max="7433" width="11.5703125" style="492" customWidth="1"/>
    <col min="7434" max="7434" width="18.42578125" style="492" customWidth="1"/>
    <col min="7435" max="7681" width="9.140625" style="492"/>
    <col min="7682" max="7682" width="39.85546875" style="492" customWidth="1"/>
    <col min="7683" max="7683" width="19.140625" style="492" customWidth="1"/>
    <col min="7684" max="7684" width="11" style="492" customWidth="1"/>
    <col min="7685" max="7688" width="9.140625" style="492"/>
    <col min="7689" max="7689" width="11.5703125" style="492" customWidth="1"/>
    <col min="7690" max="7690" width="18.42578125" style="492" customWidth="1"/>
    <col min="7691" max="7937" width="9.140625" style="492"/>
    <col min="7938" max="7938" width="39.85546875" style="492" customWidth="1"/>
    <col min="7939" max="7939" width="19.140625" style="492" customWidth="1"/>
    <col min="7940" max="7940" width="11" style="492" customWidth="1"/>
    <col min="7941" max="7944" width="9.140625" style="492"/>
    <col min="7945" max="7945" width="11.5703125" style="492" customWidth="1"/>
    <col min="7946" max="7946" width="18.42578125" style="492" customWidth="1"/>
    <col min="7947" max="8193" width="9.140625" style="492"/>
    <col min="8194" max="8194" width="39.85546875" style="492" customWidth="1"/>
    <col min="8195" max="8195" width="19.140625" style="492" customWidth="1"/>
    <col min="8196" max="8196" width="11" style="492" customWidth="1"/>
    <col min="8197" max="8200" width="9.140625" style="492"/>
    <col min="8201" max="8201" width="11.5703125" style="492" customWidth="1"/>
    <col min="8202" max="8202" width="18.42578125" style="492" customWidth="1"/>
    <col min="8203" max="8449" width="9.140625" style="492"/>
    <col min="8450" max="8450" width="39.85546875" style="492" customWidth="1"/>
    <col min="8451" max="8451" width="19.140625" style="492" customWidth="1"/>
    <col min="8452" max="8452" width="11" style="492" customWidth="1"/>
    <col min="8453" max="8456" width="9.140625" style="492"/>
    <col min="8457" max="8457" width="11.5703125" style="492" customWidth="1"/>
    <col min="8458" max="8458" width="18.42578125" style="492" customWidth="1"/>
    <col min="8459" max="8705" width="9.140625" style="492"/>
    <col min="8706" max="8706" width="39.85546875" style="492" customWidth="1"/>
    <col min="8707" max="8707" width="19.140625" style="492" customWidth="1"/>
    <col min="8708" max="8708" width="11" style="492" customWidth="1"/>
    <col min="8709" max="8712" width="9.140625" style="492"/>
    <col min="8713" max="8713" width="11.5703125" style="492" customWidth="1"/>
    <col min="8714" max="8714" width="18.42578125" style="492" customWidth="1"/>
    <col min="8715" max="8961" width="9.140625" style="492"/>
    <col min="8962" max="8962" width="39.85546875" style="492" customWidth="1"/>
    <col min="8963" max="8963" width="19.140625" style="492" customWidth="1"/>
    <col min="8964" max="8964" width="11" style="492" customWidth="1"/>
    <col min="8965" max="8968" width="9.140625" style="492"/>
    <col min="8969" max="8969" width="11.5703125" style="492" customWidth="1"/>
    <col min="8970" max="8970" width="18.42578125" style="492" customWidth="1"/>
    <col min="8971" max="9217" width="9.140625" style="492"/>
    <col min="9218" max="9218" width="39.85546875" style="492" customWidth="1"/>
    <col min="9219" max="9219" width="19.140625" style="492" customWidth="1"/>
    <col min="9220" max="9220" width="11" style="492" customWidth="1"/>
    <col min="9221" max="9224" width="9.140625" style="492"/>
    <col min="9225" max="9225" width="11.5703125" style="492" customWidth="1"/>
    <col min="9226" max="9226" width="18.42578125" style="492" customWidth="1"/>
    <col min="9227" max="9473" width="9.140625" style="492"/>
    <col min="9474" max="9474" width="39.85546875" style="492" customWidth="1"/>
    <col min="9475" max="9475" width="19.140625" style="492" customWidth="1"/>
    <col min="9476" max="9476" width="11" style="492" customWidth="1"/>
    <col min="9477" max="9480" width="9.140625" style="492"/>
    <col min="9481" max="9481" width="11.5703125" style="492" customWidth="1"/>
    <col min="9482" max="9482" width="18.42578125" style="492" customWidth="1"/>
    <col min="9483" max="9729" width="9.140625" style="492"/>
    <col min="9730" max="9730" width="39.85546875" style="492" customWidth="1"/>
    <col min="9731" max="9731" width="19.140625" style="492" customWidth="1"/>
    <col min="9732" max="9732" width="11" style="492" customWidth="1"/>
    <col min="9733" max="9736" width="9.140625" style="492"/>
    <col min="9737" max="9737" width="11.5703125" style="492" customWidth="1"/>
    <col min="9738" max="9738" width="18.42578125" style="492" customWidth="1"/>
    <col min="9739" max="9985" width="9.140625" style="492"/>
    <col min="9986" max="9986" width="39.85546875" style="492" customWidth="1"/>
    <col min="9987" max="9987" width="19.140625" style="492" customWidth="1"/>
    <col min="9988" max="9988" width="11" style="492" customWidth="1"/>
    <col min="9989" max="9992" width="9.140625" style="492"/>
    <col min="9993" max="9993" width="11.5703125" style="492" customWidth="1"/>
    <col min="9994" max="9994" width="18.42578125" style="492" customWidth="1"/>
    <col min="9995" max="10241" width="9.140625" style="492"/>
    <col min="10242" max="10242" width="39.85546875" style="492" customWidth="1"/>
    <col min="10243" max="10243" width="19.140625" style="492" customWidth="1"/>
    <col min="10244" max="10244" width="11" style="492" customWidth="1"/>
    <col min="10245" max="10248" width="9.140625" style="492"/>
    <col min="10249" max="10249" width="11.5703125" style="492" customWidth="1"/>
    <col min="10250" max="10250" width="18.42578125" style="492" customWidth="1"/>
    <col min="10251" max="10497" width="9.140625" style="492"/>
    <col min="10498" max="10498" width="39.85546875" style="492" customWidth="1"/>
    <col min="10499" max="10499" width="19.140625" style="492" customWidth="1"/>
    <col min="10500" max="10500" width="11" style="492" customWidth="1"/>
    <col min="10501" max="10504" width="9.140625" style="492"/>
    <col min="10505" max="10505" width="11.5703125" style="492" customWidth="1"/>
    <col min="10506" max="10506" width="18.42578125" style="492" customWidth="1"/>
    <col min="10507" max="10753" width="9.140625" style="492"/>
    <col min="10754" max="10754" width="39.85546875" style="492" customWidth="1"/>
    <col min="10755" max="10755" width="19.140625" style="492" customWidth="1"/>
    <col min="10756" max="10756" width="11" style="492" customWidth="1"/>
    <col min="10757" max="10760" width="9.140625" style="492"/>
    <col min="10761" max="10761" width="11.5703125" style="492" customWidth="1"/>
    <col min="10762" max="10762" width="18.42578125" style="492" customWidth="1"/>
    <col min="10763" max="11009" width="9.140625" style="492"/>
    <col min="11010" max="11010" width="39.85546875" style="492" customWidth="1"/>
    <col min="11011" max="11011" width="19.140625" style="492" customWidth="1"/>
    <col min="11012" max="11012" width="11" style="492" customWidth="1"/>
    <col min="11013" max="11016" width="9.140625" style="492"/>
    <col min="11017" max="11017" width="11.5703125" style="492" customWidth="1"/>
    <col min="11018" max="11018" width="18.42578125" style="492" customWidth="1"/>
    <col min="11019" max="11265" width="9.140625" style="492"/>
    <col min="11266" max="11266" width="39.85546875" style="492" customWidth="1"/>
    <col min="11267" max="11267" width="19.140625" style="492" customWidth="1"/>
    <col min="11268" max="11268" width="11" style="492" customWidth="1"/>
    <col min="11269" max="11272" width="9.140625" style="492"/>
    <col min="11273" max="11273" width="11.5703125" style="492" customWidth="1"/>
    <col min="11274" max="11274" width="18.42578125" style="492" customWidth="1"/>
    <col min="11275" max="11521" width="9.140625" style="492"/>
    <col min="11522" max="11522" width="39.85546875" style="492" customWidth="1"/>
    <col min="11523" max="11523" width="19.140625" style="492" customWidth="1"/>
    <col min="11524" max="11524" width="11" style="492" customWidth="1"/>
    <col min="11525" max="11528" width="9.140625" style="492"/>
    <col min="11529" max="11529" width="11.5703125" style="492" customWidth="1"/>
    <col min="11530" max="11530" width="18.42578125" style="492" customWidth="1"/>
    <col min="11531" max="11777" width="9.140625" style="492"/>
    <col min="11778" max="11778" width="39.85546875" style="492" customWidth="1"/>
    <col min="11779" max="11779" width="19.140625" style="492" customWidth="1"/>
    <col min="11780" max="11780" width="11" style="492" customWidth="1"/>
    <col min="11781" max="11784" width="9.140625" style="492"/>
    <col min="11785" max="11785" width="11.5703125" style="492" customWidth="1"/>
    <col min="11786" max="11786" width="18.42578125" style="492" customWidth="1"/>
    <col min="11787" max="12033" width="9.140625" style="492"/>
    <col min="12034" max="12034" width="39.85546875" style="492" customWidth="1"/>
    <col min="12035" max="12035" width="19.140625" style="492" customWidth="1"/>
    <col min="12036" max="12036" width="11" style="492" customWidth="1"/>
    <col min="12037" max="12040" width="9.140625" style="492"/>
    <col min="12041" max="12041" width="11.5703125" style="492" customWidth="1"/>
    <col min="12042" max="12042" width="18.42578125" style="492" customWidth="1"/>
    <col min="12043" max="12289" width="9.140625" style="492"/>
    <col min="12290" max="12290" width="39.85546875" style="492" customWidth="1"/>
    <col min="12291" max="12291" width="19.140625" style="492" customWidth="1"/>
    <col min="12292" max="12292" width="11" style="492" customWidth="1"/>
    <col min="12293" max="12296" width="9.140625" style="492"/>
    <col min="12297" max="12297" width="11.5703125" style="492" customWidth="1"/>
    <col min="12298" max="12298" width="18.42578125" style="492" customWidth="1"/>
    <col min="12299" max="12545" width="9.140625" style="492"/>
    <col min="12546" max="12546" width="39.85546875" style="492" customWidth="1"/>
    <col min="12547" max="12547" width="19.140625" style="492" customWidth="1"/>
    <col min="12548" max="12548" width="11" style="492" customWidth="1"/>
    <col min="12549" max="12552" width="9.140625" style="492"/>
    <col min="12553" max="12553" width="11.5703125" style="492" customWidth="1"/>
    <col min="12554" max="12554" width="18.42578125" style="492" customWidth="1"/>
    <col min="12555" max="12801" width="9.140625" style="492"/>
    <col min="12802" max="12802" width="39.85546875" style="492" customWidth="1"/>
    <col min="12803" max="12803" width="19.140625" style="492" customWidth="1"/>
    <col min="12804" max="12804" width="11" style="492" customWidth="1"/>
    <col min="12805" max="12808" width="9.140625" style="492"/>
    <col min="12809" max="12809" width="11.5703125" style="492" customWidth="1"/>
    <col min="12810" max="12810" width="18.42578125" style="492" customWidth="1"/>
    <col min="12811" max="13057" width="9.140625" style="492"/>
    <col min="13058" max="13058" width="39.85546875" style="492" customWidth="1"/>
    <col min="13059" max="13059" width="19.140625" style="492" customWidth="1"/>
    <col min="13060" max="13060" width="11" style="492" customWidth="1"/>
    <col min="13061" max="13064" width="9.140625" style="492"/>
    <col min="13065" max="13065" width="11.5703125" style="492" customWidth="1"/>
    <col min="13066" max="13066" width="18.42578125" style="492" customWidth="1"/>
    <col min="13067" max="13313" width="9.140625" style="492"/>
    <col min="13314" max="13314" width="39.85546875" style="492" customWidth="1"/>
    <col min="13315" max="13315" width="19.140625" style="492" customWidth="1"/>
    <col min="13316" max="13316" width="11" style="492" customWidth="1"/>
    <col min="13317" max="13320" width="9.140625" style="492"/>
    <col min="13321" max="13321" width="11.5703125" style="492" customWidth="1"/>
    <col min="13322" max="13322" width="18.42578125" style="492" customWidth="1"/>
    <col min="13323" max="13569" width="9.140625" style="492"/>
    <col min="13570" max="13570" width="39.85546875" style="492" customWidth="1"/>
    <col min="13571" max="13571" width="19.140625" style="492" customWidth="1"/>
    <col min="13572" max="13572" width="11" style="492" customWidth="1"/>
    <col min="13573" max="13576" width="9.140625" style="492"/>
    <col min="13577" max="13577" width="11.5703125" style="492" customWidth="1"/>
    <col min="13578" max="13578" width="18.42578125" style="492" customWidth="1"/>
    <col min="13579" max="13825" width="9.140625" style="492"/>
    <col min="13826" max="13826" width="39.85546875" style="492" customWidth="1"/>
    <col min="13827" max="13827" width="19.140625" style="492" customWidth="1"/>
    <col min="13828" max="13828" width="11" style="492" customWidth="1"/>
    <col min="13829" max="13832" width="9.140625" style="492"/>
    <col min="13833" max="13833" width="11.5703125" style="492" customWidth="1"/>
    <col min="13834" max="13834" width="18.42578125" style="492" customWidth="1"/>
    <col min="13835" max="14081" width="9.140625" style="492"/>
    <col min="14082" max="14082" width="39.85546875" style="492" customWidth="1"/>
    <col min="14083" max="14083" width="19.140625" style="492" customWidth="1"/>
    <col min="14084" max="14084" width="11" style="492" customWidth="1"/>
    <col min="14085" max="14088" width="9.140625" style="492"/>
    <col min="14089" max="14089" width="11.5703125" style="492" customWidth="1"/>
    <col min="14090" max="14090" width="18.42578125" style="492" customWidth="1"/>
    <col min="14091" max="14337" width="9.140625" style="492"/>
    <col min="14338" max="14338" width="39.85546875" style="492" customWidth="1"/>
    <col min="14339" max="14339" width="19.140625" style="492" customWidth="1"/>
    <col min="14340" max="14340" width="11" style="492" customWidth="1"/>
    <col min="14341" max="14344" width="9.140625" style="492"/>
    <col min="14345" max="14345" width="11.5703125" style="492" customWidth="1"/>
    <col min="14346" max="14346" width="18.42578125" style="492" customWidth="1"/>
    <col min="14347" max="14593" width="9.140625" style="492"/>
    <col min="14594" max="14594" width="39.85546875" style="492" customWidth="1"/>
    <col min="14595" max="14595" width="19.140625" style="492" customWidth="1"/>
    <col min="14596" max="14596" width="11" style="492" customWidth="1"/>
    <col min="14597" max="14600" width="9.140625" style="492"/>
    <col min="14601" max="14601" width="11.5703125" style="492" customWidth="1"/>
    <col min="14602" max="14602" width="18.42578125" style="492" customWidth="1"/>
    <col min="14603" max="14849" width="9.140625" style="492"/>
    <col min="14850" max="14850" width="39.85546875" style="492" customWidth="1"/>
    <col min="14851" max="14851" width="19.140625" style="492" customWidth="1"/>
    <col min="14852" max="14852" width="11" style="492" customWidth="1"/>
    <col min="14853" max="14856" width="9.140625" style="492"/>
    <col min="14857" max="14857" width="11.5703125" style="492" customWidth="1"/>
    <col min="14858" max="14858" width="18.42578125" style="492" customWidth="1"/>
    <col min="14859" max="15105" width="9.140625" style="492"/>
    <col min="15106" max="15106" width="39.85546875" style="492" customWidth="1"/>
    <col min="15107" max="15107" width="19.140625" style="492" customWidth="1"/>
    <col min="15108" max="15108" width="11" style="492" customWidth="1"/>
    <col min="15109" max="15112" width="9.140625" style="492"/>
    <col min="15113" max="15113" width="11.5703125" style="492" customWidth="1"/>
    <col min="15114" max="15114" width="18.42578125" style="492" customWidth="1"/>
    <col min="15115" max="15361" width="9.140625" style="492"/>
    <col min="15362" max="15362" width="39.85546875" style="492" customWidth="1"/>
    <col min="15363" max="15363" width="19.140625" style="492" customWidth="1"/>
    <col min="15364" max="15364" width="11" style="492" customWidth="1"/>
    <col min="15365" max="15368" width="9.140625" style="492"/>
    <col min="15369" max="15369" width="11.5703125" style="492" customWidth="1"/>
    <col min="15370" max="15370" width="18.42578125" style="492" customWidth="1"/>
    <col min="15371" max="15617" width="9.140625" style="492"/>
    <col min="15618" max="15618" width="39.85546875" style="492" customWidth="1"/>
    <col min="15619" max="15619" width="19.140625" style="492" customWidth="1"/>
    <col min="15620" max="15620" width="11" style="492" customWidth="1"/>
    <col min="15621" max="15624" width="9.140625" style="492"/>
    <col min="15625" max="15625" width="11.5703125" style="492" customWidth="1"/>
    <col min="15626" max="15626" width="18.42578125" style="492" customWidth="1"/>
    <col min="15627" max="15873" width="9.140625" style="492"/>
    <col min="15874" max="15874" width="39.85546875" style="492" customWidth="1"/>
    <col min="15875" max="15875" width="19.140625" style="492" customWidth="1"/>
    <col min="15876" max="15876" width="11" style="492" customWidth="1"/>
    <col min="15877" max="15880" width="9.140625" style="492"/>
    <col min="15881" max="15881" width="11.5703125" style="492" customWidth="1"/>
    <col min="15882" max="15882" width="18.42578125" style="492" customWidth="1"/>
    <col min="15883" max="16129" width="9.140625" style="492"/>
    <col min="16130" max="16130" width="39.85546875" style="492" customWidth="1"/>
    <col min="16131" max="16131" width="19.140625" style="492" customWidth="1"/>
    <col min="16132" max="16132" width="11" style="492" customWidth="1"/>
    <col min="16133" max="16136" width="9.140625" style="492"/>
    <col min="16137" max="16137" width="11.5703125" style="492" customWidth="1"/>
    <col min="16138" max="16138" width="18.42578125" style="492" customWidth="1"/>
    <col min="16139" max="16384" width="9.140625" style="492"/>
  </cols>
  <sheetData>
    <row r="1" spans="1:12" x14ac:dyDescent="0.25">
      <c r="I1" s="1340"/>
      <c r="J1" s="1340"/>
    </row>
    <row r="3" spans="1:12" x14ac:dyDescent="0.25">
      <c r="A3" s="1341" t="s">
        <v>1890</v>
      </c>
      <c r="B3" s="1341"/>
      <c r="C3" s="1341"/>
      <c r="D3" s="1341"/>
      <c r="E3" s="1341"/>
      <c r="F3" s="1341"/>
      <c r="G3" s="1341"/>
      <c r="H3" s="1341"/>
      <c r="I3" s="1341"/>
      <c r="J3" s="1341"/>
    </row>
    <row r="4" spans="1:12" ht="14.25" customHeight="1" x14ac:dyDescent="0.25">
      <c r="A4" s="1342" t="s">
        <v>190</v>
      </c>
      <c r="B4" s="1343"/>
      <c r="C4" s="1343"/>
      <c r="D4" s="1343"/>
      <c r="E4" s="1343"/>
      <c r="F4" s="1343"/>
      <c r="G4" s="1343"/>
      <c r="H4" s="1343"/>
      <c r="I4" s="1343"/>
      <c r="J4" s="1343"/>
    </row>
    <row r="5" spans="1:12" ht="48" customHeight="1" x14ac:dyDescent="0.25"/>
    <row r="6" spans="1:12" ht="15.75" x14ac:dyDescent="0.25">
      <c r="A6" s="1344" t="s">
        <v>1889</v>
      </c>
      <c r="B6" s="1344"/>
      <c r="C6" s="1344"/>
      <c r="D6" s="1344"/>
      <c r="E6" s="1344"/>
      <c r="F6" s="1344"/>
      <c r="G6" s="1344"/>
      <c r="H6" s="1344"/>
      <c r="I6" s="1344"/>
      <c r="J6" s="1344"/>
      <c r="K6" s="1335"/>
    </row>
    <row r="7" spans="1:12" ht="15.75" x14ac:dyDescent="0.25">
      <c r="A7" s="1336" t="s">
        <v>850</v>
      </c>
      <c r="B7" s="1336"/>
      <c r="C7" s="1336"/>
      <c r="D7" s="1336"/>
      <c r="E7" s="1336"/>
      <c r="F7" s="1336"/>
      <c r="G7" s="1336"/>
      <c r="H7" s="1336"/>
      <c r="I7" s="1336"/>
      <c r="J7" s="1336"/>
      <c r="K7" s="1335"/>
    </row>
    <row r="8" spans="1:12" ht="15.75" x14ac:dyDescent="0.25">
      <c r="A8" s="493"/>
      <c r="B8" s="493"/>
      <c r="C8" s="493"/>
      <c r="D8" s="493"/>
      <c r="E8" s="493"/>
      <c r="F8" s="493"/>
      <c r="G8" s="493"/>
      <c r="H8" s="493"/>
    </row>
    <row r="9" spans="1:12" x14ac:dyDescent="0.25">
      <c r="I9" s="494"/>
      <c r="J9" s="495"/>
    </row>
    <row r="11" spans="1:12" ht="25.5" x14ac:dyDescent="0.25">
      <c r="A11" s="496" t="s">
        <v>142</v>
      </c>
      <c r="B11" s="496" t="s">
        <v>334</v>
      </c>
      <c r="C11" s="496" t="s">
        <v>851</v>
      </c>
      <c r="D11" s="496" t="s">
        <v>560</v>
      </c>
      <c r="E11" s="496" t="s">
        <v>852</v>
      </c>
      <c r="F11" s="496" t="s">
        <v>853</v>
      </c>
      <c r="G11" s="496" t="s">
        <v>854</v>
      </c>
      <c r="H11" s="496" t="s">
        <v>854</v>
      </c>
      <c r="I11" s="496" t="s">
        <v>854</v>
      </c>
      <c r="J11" s="496" t="s">
        <v>855</v>
      </c>
    </row>
    <row r="12" spans="1:12" x14ac:dyDescent="0.25">
      <c r="A12" s="1345" t="s">
        <v>190</v>
      </c>
      <c r="B12" s="1345"/>
      <c r="C12" s="1345"/>
      <c r="D12" s="1345"/>
      <c r="E12" s="1345"/>
      <c r="F12" s="1345"/>
      <c r="G12" s="1345"/>
      <c r="H12" s="1345"/>
      <c r="I12" s="1345"/>
      <c r="J12" s="1345"/>
    </row>
    <row r="13" spans="1:12" ht="24.75" customHeight="1" x14ac:dyDescent="0.25">
      <c r="A13" s="1345" t="s">
        <v>856</v>
      </c>
      <c r="B13" s="1345"/>
      <c r="C13" s="1345"/>
      <c r="D13" s="1345"/>
      <c r="E13" s="1345"/>
      <c r="F13" s="1345"/>
      <c r="G13" s="1345"/>
      <c r="H13" s="1345"/>
      <c r="I13" s="1345"/>
      <c r="J13" s="1345"/>
    </row>
    <row r="14" spans="1:12" x14ac:dyDescent="0.25">
      <c r="A14" s="497"/>
      <c r="B14" s="1346" t="s">
        <v>857</v>
      </c>
      <c r="C14" s="1347"/>
      <c r="D14" s="1347"/>
      <c r="E14" s="1347"/>
      <c r="F14" s="1347"/>
      <c r="G14" s="1347"/>
      <c r="H14" s="1347"/>
      <c r="I14" s="1347"/>
      <c r="J14" s="1348"/>
    </row>
    <row r="15" spans="1:12" ht="33.6" customHeight="1" x14ac:dyDescent="0.25">
      <c r="A15" s="914">
        <v>1</v>
      </c>
      <c r="B15" s="915" t="s">
        <v>858</v>
      </c>
      <c r="C15" s="914" t="s">
        <v>859</v>
      </c>
      <c r="D15" s="914" t="s">
        <v>646</v>
      </c>
      <c r="E15" s="916">
        <v>2</v>
      </c>
      <c r="F15" s="810">
        <v>42</v>
      </c>
      <c r="G15" s="916">
        <v>1</v>
      </c>
      <c r="H15" s="916">
        <v>1</v>
      </c>
      <c r="I15" s="916">
        <v>1</v>
      </c>
      <c r="J15" s="917">
        <f>E15*F15*G15*H15*I15</f>
        <v>84</v>
      </c>
      <c r="K15" s="498"/>
      <c r="L15" s="499"/>
    </row>
    <row r="16" spans="1:12" ht="33.6" customHeight="1" x14ac:dyDescent="0.25">
      <c r="A16" s="914">
        <v>2</v>
      </c>
      <c r="B16" s="915" t="s">
        <v>860</v>
      </c>
      <c r="C16" s="914" t="s">
        <v>861</v>
      </c>
      <c r="D16" s="914" t="s">
        <v>646</v>
      </c>
      <c r="E16" s="916">
        <v>10</v>
      </c>
      <c r="F16" s="810">
        <v>24</v>
      </c>
      <c r="G16" s="916">
        <v>1</v>
      </c>
      <c r="H16" s="916">
        <v>1</v>
      </c>
      <c r="I16" s="916">
        <v>1</v>
      </c>
      <c r="J16" s="917">
        <f>E16*F16*G16*H16*I16</f>
        <v>240</v>
      </c>
      <c r="K16" s="498"/>
      <c r="L16" s="499"/>
    </row>
    <row r="17" spans="1:14" x14ac:dyDescent="0.25">
      <c r="A17" s="810">
        <v>3</v>
      </c>
      <c r="B17" s="918" t="s">
        <v>801</v>
      </c>
      <c r="C17" s="810" t="s">
        <v>862</v>
      </c>
      <c r="D17" s="810" t="s">
        <v>802</v>
      </c>
      <c r="E17" s="810">
        <v>30</v>
      </c>
      <c r="F17" s="810">
        <v>7</v>
      </c>
      <c r="G17" s="916">
        <v>1</v>
      </c>
      <c r="H17" s="916">
        <v>1</v>
      </c>
      <c r="I17" s="916">
        <v>1</v>
      </c>
      <c r="J17" s="917">
        <f t="shared" ref="J17" si="0">E17*F17*G17*H17*I17</f>
        <v>210</v>
      </c>
    </row>
    <row r="18" spans="1:14" ht="15" customHeight="1" x14ac:dyDescent="0.25">
      <c r="A18" s="1349" t="s">
        <v>863</v>
      </c>
      <c r="B18" s="1349"/>
      <c r="C18" s="1349"/>
      <c r="D18" s="1349"/>
      <c r="E18" s="1349"/>
      <c r="F18" s="1349"/>
      <c r="G18" s="782">
        <v>1.2</v>
      </c>
      <c r="H18" s="782">
        <v>1.4</v>
      </c>
      <c r="I18" s="500"/>
      <c r="J18" s="501">
        <f>SUM(J15:J17)*G18*H18</f>
        <v>897.12</v>
      </c>
    </row>
    <row r="19" spans="1:14" x14ac:dyDescent="0.25">
      <c r="A19" s="502"/>
      <c r="B19" s="1346" t="s">
        <v>864</v>
      </c>
      <c r="C19" s="1347"/>
      <c r="D19" s="1347"/>
      <c r="E19" s="1347"/>
      <c r="F19" s="1347"/>
      <c r="G19" s="1347"/>
      <c r="H19" s="1347"/>
      <c r="I19" s="1347"/>
      <c r="J19" s="1348"/>
    </row>
    <row r="20" spans="1:14" ht="58.5" customHeight="1" x14ac:dyDescent="0.25">
      <c r="A20" s="916">
        <v>4</v>
      </c>
      <c r="B20" s="919" t="s">
        <v>2028</v>
      </c>
      <c r="C20" s="1337" t="s">
        <v>2029</v>
      </c>
      <c r="D20" s="1338"/>
      <c r="E20" s="1339"/>
      <c r="F20" s="920">
        <f>J18</f>
        <v>897.12</v>
      </c>
      <c r="G20" s="916">
        <v>0.1125</v>
      </c>
      <c r="H20" s="916">
        <v>1</v>
      </c>
      <c r="I20" s="916">
        <v>1</v>
      </c>
      <c r="J20" s="921">
        <f>F20*G20</f>
        <v>100.9</v>
      </c>
    </row>
    <row r="21" spans="1:14" ht="36" customHeight="1" x14ac:dyDescent="0.25">
      <c r="A21" s="916">
        <v>5</v>
      </c>
      <c r="B21" s="919" t="s">
        <v>865</v>
      </c>
      <c r="C21" s="1337" t="s">
        <v>866</v>
      </c>
      <c r="D21" s="1338"/>
      <c r="E21" s="1339"/>
      <c r="F21" s="921">
        <f>J18+J20</f>
        <v>998</v>
      </c>
      <c r="G21" s="916">
        <v>0.06</v>
      </c>
      <c r="H21" s="916">
        <v>2.5</v>
      </c>
      <c r="I21" s="916">
        <v>1</v>
      </c>
      <c r="J21" s="921">
        <f>F21*G21*H21*I21</f>
        <v>149.69999999999999</v>
      </c>
    </row>
    <row r="22" spans="1:14" ht="54" customHeight="1" x14ac:dyDescent="0.25">
      <c r="A22" s="916">
        <v>6</v>
      </c>
      <c r="B22" s="919" t="s">
        <v>2027</v>
      </c>
      <c r="C22" s="1337" t="s">
        <v>2030</v>
      </c>
      <c r="D22" s="1338"/>
      <c r="E22" s="1339"/>
      <c r="F22" s="921">
        <f>J18+J20</f>
        <v>998</v>
      </c>
      <c r="G22" s="916">
        <v>0.19600000000000001</v>
      </c>
      <c r="H22" s="916">
        <v>1</v>
      </c>
      <c r="I22" s="916">
        <v>1</v>
      </c>
      <c r="J22" s="921">
        <f>F22*G22*H22*I22</f>
        <v>195.6</v>
      </c>
    </row>
    <row r="23" spans="1:14" x14ac:dyDescent="0.25">
      <c r="A23" s="1355" t="s">
        <v>867</v>
      </c>
      <c r="B23" s="1356"/>
      <c r="C23" s="1356"/>
      <c r="D23" s="1356"/>
      <c r="E23" s="1356"/>
      <c r="F23" s="1356"/>
      <c r="G23" s="1357"/>
      <c r="H23" s="500"/>
      <c r="I23" s="500"/>
      <c r="J23" s="503">
        <f>J20+J21+J22</f>
        <v>446</v>
      </c>
    </row>
    <row r="24" spans="1:14" x14ac:dyDescent="0.25">
      <c r="A24" s="502"/>
      <c r="B24" s="1346" t="s">
        <v>868</v>
      </c>
      <c r="C24" s="1347"/>
      <c r="D24" s="1347"/>
      <c r="E24" s="1347"/>
      <c r="F24" s="1347"/>
      <c r="G24" s="1347"/>
      <c r="H24" s="1347"/>
      <c r="I24" s="1347"/>
      <c r="J24" s="1348"/>
    </row>
    <row r="25" spans="1:14" ht="38.450000000000003" customHeight="1" x14ac:dyDescent="0.25">
      <c r="A25" s="916">
        <v>7</v>
      </c>
      <c r="B25" s="919" t="s">
        <v>858</v>
      </c>
      <c r="C25" s="810" t="s">
        <v>869</v>
      </c>
      <c r="D25" s="810" t="s">
        <v>870</v>
      </c>
      <c r="E25" s="810">
        <f>E15</f>
        <v>2</v>
      </c>
      <c r="F25" s="810">
        <v>14</v>
      </c>
      <c r="G25" s="916">
        <v>1</v>
      </c>
      <c r="H25" s="916">
        <v>1</v>
      </c>
      <c r="I25" s="916">
        <v>1</v>
      </c>
      <c r="J25" s="916">
        <f>E25*F25*G25</f>
        <v>28</v>
      </c>
    </row>
    <row r="26" spans="1:14" ht="38.450000000000003" customHeight="1" x14ac:dyDescent="0.25">
      <c r="A26" s="916">
        <v>8</v>
      </c>
      <c r="B26" s="922" t="s">
        <v>860</v>
      </c>
      <c r="C26" s="810" t="s">
        <v>861</v>
      </c>
      <c r="D26" s="810" t="s">
        <v>870</v>
      </c>
      <c r="E26" s="810">
        <f>E16</f>
        <v>10</v>
      </c>
      <c r="F26" s="810">
        <v>8</v>
      </c>
      <c r="G26" s="916">
        <v>1</v>
      </c>
      <c r="H26" s="916">
        <v>1</v>
      </c>
      <c r="I26" s="916">
        <v>1</v>
      </c>
      <c r="J26" s="916">
        <f>E26*F26*G26</f>
        <v>80</v>
      </c>
    </row>
    <row r="27" spans="1:14" ht="25.5" x14ac:dyDescent="0.25">
      <c r="A27" s="916">
        <v>9</v>
      </c>
      <c r="B27" s="919" t="s">
        <v>871</v>
      </c>
      <c r="C27" s="810" t="s">
        <v>872</v>
      </c>
      <c r="D27" s="916" t="s">
        <v>834</v>
      </c>
      <c r="E27" s="810">
        <v>1</v>
      </c>
      <c r="F27" s="810">
        <v>262</v>
      </c>
      <c r="G27" s="916">
        <v>1</v>
      </c>
      <c r="H27" s="916">
        <v>1</v>
      </c>
      <c r="I27" s="916">
        <v>1</v>
      </c>
      <c r="J27" s="916">
        <f>PRODUCT(E27:I27)</f>
        <v>262</v>
      </c>
    </row>
    <row r="28" spans="1:14" ht="34.5" customHeight="1" x14ac:dyDescent="0.25">
      <c r="A28" s="916">
        <v>10</v>
      </c>
      <c r="B28" s="919" t="s">
        <v>873</v>
      </c>
      <c r="C28" s="810" t="s">
        <v>874</v>
      </c>
      <c r="D28" s="810" t="s">
        <v>816</v>
      </c>
      <c r="E28" s="810">
        <v>10</v>
      </c>
      <c r="F28" s="810">
        <v>34</v>
      </c>
      <c r="G28" s="916">
        <v>1</v>
      </c>
      <c r="H28" s="916">
        <v>1</v>
      </c>
      <c r="I28" s="916">
        <v>1</v>
      </c>
      <c r="J28" s="916">
        <f>PRODUCT(E28:G28)</f>
        <v>340</v>
      </c>
    </row>
    <row r="29" spans="1:14" ht="15.75" x14ac:dyDescent="0.25">
      <c r="A29" s="916">
        <v>11</v>
      </c>
      <c r="B29" s="919" t="s">
        <v>875</v>
      </c>
      <c r="C29" s="810" t="s">
        <v>874</v>
      </c>
      <c r="D29" s="810" t="s">
        <v>816</v>
      </c>
      <c r="E29" s="810">
        <v>10</v>
      </c>
      <c r="F29" s="810">
        <v>34</v>
      </c>
      <c r="G29" s="916">
        <v>1</v>
      </c>
      <c r="H29" s="916">
        <v>1</v>
      </c>
      <c r="I29" s="916">
        <v>1</v>
      </c>
      <c r="J29" s="916">
        <f>PRODUCT(E29:G29)</f>
        <v>340</v>
      </c>
      <c r="N29" s="504"/>
    </row>
    <row r="30" spans="1:14" ht="47.25" customHeight="1" x14ac:dyDescent="0.25">
      <c r="A30" s="916">
        <v>12</v>
      </c>
      <c r="B30" s="919" t="s">
        <v>876</v>
      </c>
      <c r="C30" s="810" t="s">
        <v>874</v>
      </c>
      <c r="D30" s="810" t="s">
        <v>816</v>
      </c>
      <c r="E30" s="810">
        <v>10</v>
      </c>
      <c r="F30" s="810">
        <v>34</v>
      </c>
      <c r="G30" s="916">
        <v>1</v>
      </c>
      <c r="H30" s="916">
        <v>1</v>
      </c>
      <c r="I30" s="916">
        <v>1</v>
      </c>
      <c r="J30" s="916">
        <f>PRODUCT(E30:G30)</f>
        <v>340</v>
      </c>
      <c r="N30" s="505"/>
    </row>
    <row r="31" spans="1:14" ht="42.75" customHeight="1" x14ac:dyDescent="0.25">
      <c r="A31" s="916">
        <v>13</v>
      </c>
      <c r="B31" s="919" t="s">
        <v>877</v>
      </c>
      <c r="C31" s="810" t="s">
        <v>878</v>
      </c>
      <c r="D31" s="810" t="s">
        <v>799</v>
      </c>
      <c r="E31" s="810">
        <v>20</v>
      </c>
      <c r="F31" s="810">
        <v>7</v>
      </c>
      <c r="G31" s="916">
        <v>1</v>
      </c>
      <c r="H31" s="916">
        <v>1</v>
      </c>
      <c r="I31" s="916">
        <v>1</v>
      </c>
      <c r="J31" s="916">
        <f t="shared" ref="J31:J34" si="1">PRODUCT(E31:G31)</f>
        <v>140</v>
      </c>
    </row>
    <row r="32" spans="1:14" ht="60.75" customHeight="1" x14ac:dyDescent="0.25">
      <c r="A32" s="916">
        <v>14</v>
      </c>
      <c r="B32" s="919" t="s">
        <v>879</v>
      </c>
      <c r="C32" s="810" t="s">
        <v>874</v>
      </c>
      <c r="D32" s="810" t="s">
        <v>816</v>
      </c>
      <c r="E32" s="810">
        <v>10</v>
      </c>
      <c r="F32" s="810">
        <v>34</v>
      </c>
      <c r="G32" s="916">
        <v>1</v>
      </c>
      <c r="H32" s="916">
        <v>1</v>
      </c>
      <c r="I32" s="916">
        <v>1</v>
      </c>
      <c r="J32" s="916">
        <f t="shared" si="1"/>
        <v>340</v>
      </c>
    </row>
    <row r="33" spans="1:15" ht="60.75" customHeight="1" x14ac:dyDescent="0.25">
      <c r="A33" s="916">
        <v>15</v>
      </c>
      <c r="B33" s="919" t="s">
        <v>880</v>
      </c>
      <c r="C33" s="810" t="s">
        <v>874</v>
      </c>
      <c r="D33" s="810" t="s">
        <v>816</v>
      </c>
      <c r="E33" s="810">
        <v>20</v>
      </c>
      <c r="F33" s="810">
        <v>34</v>
      </c>
      <c r="G33" s="916">
        <v>1</v>
      </c>
      <c r="H33" s="916">
        <v>1</v>
      </c>
      <c r="I33" s="916">
        <v>1</v>
      </c>
      <c r="J33" s="923">
        <f>PRODUCT(E33,F33,G33,H33,I33)</f>
        <v>680</v>
      </c>
    </row>
    <row r="34" spans="1:15" ht="72.75" customHeight="1" x14ac:dyDescent="0.25">
      <c r="A34" s="916">
        <v>16</v>
      </c>
      <c r="B34" s="919" t="s">
        <v>881</v>
      </c>
      <c r="C34" s="810" t="s">
        <v>874</v>
      </c>
      <c r="D34" s="810" t="s">
        <v>816</v>
      </c>
      <c r="E34" s="810">
        <v>10</v>
      </c>
      <c r="F34" s="810">
        <v>34</v>
      </c>
      <c r="G34" s="916">
        <v>1</v>
      </c>
      <c r="H34" s="916">
        <v>1</v>
      </c>
      <c r="I34" s="916">
        <v>1</v>
      </c>
      <c r="J34" s="916">
        <f t="shared" si="1"/>
        <v>340</v>
      </c>
      <c r="O34" s="505"/>
    </row>
    <row r="35" spans="1:15" ht="72.75" customHeight="1" x14ac:dyDescent="0.25">
      <c r="A35" s="916">
        <v>17</v>
      </c>
      <c r="B35" s="919" t="s">
        <v>882</v>
      </c>
      <c r="C35" s="810" t="s">
        <v>874</v>
      </c>
      <c r="D35" s="810" t="s">
        <v>816</v>
      </c>
      <c r="E35" s="810">
        <v>20</v>
      </c>
      <c r="F35" s="810">
        <v>34</v>
      </c>
      <c r="G35" s="916">
        <v>1</v>
      </c>
      <c r="H35" s="916">
        <v>1</v>
      </c>
      <c r="I35" s="916">
        <v>1</v>
      </c>
      <c r="J35" s="923">
        <f>PRODUCT(E35,F35,G35,H35,I35)</f>
        <v>680</v>
      </c>
      <c r="O35" s="505"/>
    </row>
    <row r="36" spans="1:15" ht="57" customHeight="1" x14ac:dyDescent="0.25">
      <c r="A36" s="916">
        <v>18</v>
      </c>
      <c r="B36" s="924" t="s">
        <v>883</v>
      </c>
      <c r="C36" s="914" t="s">
        <v>884</v>
      </c>
      <c r="D36" s="925" t="s">
        <v>816</v>
      </c>
      <c r="E36" s="914">
        <v>20</v>
      </c>
      <c r="F36" s="914">
        <v>64</v>
      </c>
      <c r="G36" s="925">
        <v>1</v>
      </c>
      <c r="H36" s="916">
        <v>1</v>
      </c>
      <c r="I36" s="916">
        <v>1</v>
      </c>
      <c r="J36" s="925">
        <f>PRODUCT(E36,F36,G36)</f>
        <v>1280</v>
      </c>
    </row>
    <row r="37" spans="1:15" ht="58.5" customHeight="1" x14ac:dyDescent="0.25">
      <c r="A37" s="916">
        <v>19</v>
      </c>
      <c r="B37" s="919" t="s">
        <v>885</v>
      </c>
      <c r="C37" s="810" t="s">
        <v>872</v>
      </c>
      <c r="D37" s="916" t="s">
        <v>834</v>
      </c>
      <c r="E37" s="810">
        <v>1</v>
      </c>
      <c r="F37" s="916">
        <v>262</v>
      </c>
      <c r="G37" s="916">
        <v>1</v>
      </c>
      <c r="H37" s="916">
        <v>1</v>
      </c>
      <c r="I37" s="916">
        <v>1</v>
      </c>
      <c r="J37" s="916">
        <f>E37*F37*G37</f>
        <v>262</v>
      </c>
    </row>
    <row r="38" spans="1:15" ht="58.5" customHeight="1" x14ac:dyDescent="0.25">
      <c r="A38" s="916">
        <v>20</v>
      </c>
      <c r="B38" s="919" t="s">
        <v>886</v>
      </c>
      <c r="C38" s="810" t="s">
        <v>887</v>
      </c>
      <c r="D38" s="916" t="s">
        <v>888</v>
      </c>
      <c r="E38" s="810">
        <v>1</v>
      </c>
      <c r="F38" s="916">
        <v>108</v>
      </c>
      <c r="G38" s="916">
        <v>1</v>
      </c>
      <c r="H38" s="916">
        <v>1</v>
      </c>
      <c r="I38" s="916">
        <v>1</v>
      </c>
      <c r="J38" s="916">
        <f>E38*F38*G38</f>
        <v>108</v>
      </c>
    </row>
    <row r="39" spans="1:15" x14ac:dyDescent="0.25">
      <c r="A39" s="1358" t="s">
        <v>1917</v>
      </c>
      <c r="B39" s="1359"/>
      <c r="C39" s="1359"/>
      <c r="D39" s="1359"/>
      <c r="E39" s="1359"/>
      <c r="F39" s="1360"/>
      <c r="G39" s="506"/>
      <c r="H39" s="506"/>
      <c r="I39" s="506"/>
      <c r="J39" s="507">
        <f>SUM(J25:J38)</f>
        <v>5220</v>
      </c>
    </row>
    <row r="40" spans="1:15" ht="37.5" customHeight="1" x14ac:dyDescent="0.25">
      <c r="A40" s="916">
        <v>21</v>
      </c>
      <c r="B40" s="919" t="s">
        <v>889</v>
      </c>
      <c r="C40" s="916" t="s">
        <v>890</v>
      </c>
      <c r="D40" s="916" t="s">
        <v>836</v>
      </c>
      <c r="E40" s="916">
        <v>1</v>
      </c>
      <c r="F40" s="916">
        <v>800</v>
      </c>
      <c r="G40" s="916">
        <v>1</v>
      </c>
      <c r="H40" s="916">
        <v>1</v>
      </c>
      <c r="I40" s="916">
        <v>1</v>
      </c>
      <c r="J40" s="916">
        <f>E40*F40*G40*H40</f>
        <v>800</v>
      </c>
    </row>
    <row r="41" spans="1:15" ht="50.25" customHeight="1" x14ac:dyDescent="0.25">
      <c r="A41" s="810">
        <v>22</v>
      </c>
      <c r="B41" s="919" t="s">
        <v>891</v>
      </c>
      <c r="C41" s="916" t="s">
        <v>892</v>
      </c>
      <c r="D41" s="810" t="s">
        <v>893</v>
      </c>
      <c r="E41" s="916">
        <v>1</v>
      </c>
      <c r="F41" s="926">
        <v>0.75</v>
      </c>
      <c r="G41" s="916">
        <v>1.2</v>
      </c>
      <c r="H41" s="916">
        <v>1.25</v>
      </c>
      <c r="I41" s="916">
        <v>1</v>
      </c>
      <c r="J41" s="927">
        <f>(J39+J40)*F41*G41*H41</f>
        <v>6773</v>
      </c>
    </row>
    <row r="42" spans="1:15" x14ac:dyDescent="0.25">
      <c r="A42" s="1361" t="s">
        <v>894</v>
      </c>
      <c r="B42" s="1362"/>
      <c r="C42" s="1362"/>
      <c r="D42" s="1362"/>
      <c r="E42" s="1362"/>
      <c r="F42" s="1362"/>
      <c r="G42" s="1363"/>
      <c r="H42" s="928"/>
      <c r="I42" s="928"/>
      <c r="J42" s="503">
        <f>J41+J40+J39</f>
        <v>12793</v>
      </c>
    </row>
    <row r="43" spans="1:15" x14ac:dyDescent="0.25">
      <c r="A43" s="1350" t="s">
        <v>895</v>
      </c>
      <c r="B43" s="1350"/>
      <c r="C43" s="1350"/>
      <c r="D43" s="1350"/>
      <c r="E43" s="1350"/>
      <c r="F43" s="1350"/>
      <c r="G43" s="1350"/>
      <c r="H43" s="929"/>
      <c r="I43" s="929"/>
      <c r="J43" s="503">
        <f>J42+J18+J23</f>
        <v>14136</v>
      </c>
      <c r="K43" s="499"/>
      <c r="L43" s="499"/>
    </row>
    <row r="44" spans="1:15" x14ac:dyDescent="0.25">
      <c r="A44" s="1351" t="s">
        <v>847</v>
      </c>
      <c r="B44" s="1352"/>
      <c r="C44" s="1352"/>
      <c r="D44" s="1352"/>
      <c r="E44" s="1352"/>
      <c r="F44" s="1352"/>
      <c r="G44" s="1352"/>
      <c r="H44" s="1353"/>
      <c r="I44" s="930">
        <v>0.1</v>
      </c>
      <c r="J44" s="503">
        <f>J43*I44</f>
        <v>1414</v>
      </c>
      <c r="K44" s="499"/>
      <c r="L44" s="499"/>
    </row>
    <row r="45" spans="1:15" ht="34.35" customHeight="1" x14ac:dyDescent="0.25">
      <c r="A45" s="1354" t="s">
        <v>1895</v>
      </c>
      <c r="B45" s="1354"/>
      <c r="C45" s="1354"/>
      <c r="D45" s="1354"/>
      <c r="E45" s="1354"/>
      <c r="F45" s="1354"/>
      <c r="G45" s="502">
        <v>54.75</v>
      </c>
      <c r="H45" s="502"/>
      <c r="I45" s="502"/>
      <c r="J45" s="931">
        <f>(J43+J44)*G45</f>
        <v>851362.5</v>
      </c>
      <c r="K45" s="499"/>
      <c r="L45" s="499"/>
    </row>
    <row r="46" spans="1:15" x14ac:dyDescent="0.25">
      <c r="I46" s="783" t="s">
        <v>896</v>
      </c>
      <c r="J46" s="784">
        <f>J45*1.2</f>
        <v>1021635</v>
      </c>
      <c r="K46" s="499"/>
      <c r="L46" s="499"/>
    </row>
    <row r="47" spans="1:15" x14ac:dyDescent="0.25">
      <c r="K47" s="508"/>
    </row>
    <row r="48" spans="1:15" s="512" customFormat="1" ht="27" customHeight="1" x14ac:dyDescent="0.25">
      <c r="A48" s="509"/>
      <c r="B48" s="510"/>
      <c r="C48" s="510"/>
      <c r="D48" s="510"/>
      <c r="E48" s="510"/>
      <c r="F48" s="511"/>
    </row>
    <row r="49" spans="1:6" s="516" customFormat="1" x14ac:dyDescent="0.2">
      <c r="A49" s="513"/>
      <c r="B49" s="514"/>
      <c r="C49" s="515"/>
      <c r="F49" s="517"/>
    </row>
    <row r="50" spans="1:6" s="516" customFormat="1" x14ac:dyDescent="0.2">
      <c r="B50" s="514"/>
      <c r="F50" s="517"/>
    </row>
  </sheetData>
  <mergeCells count="21">
    <mergeCell ref="A43:G43"/>
    <mergeCell ref="A44:H44"/>
    <mergeCell ref="A45:F45"/>
    <mergeCell ref="C21:E21"/>
    <mergeCell ref="C22:E22"/>
    <mergeCell ref="A23:G23"/>
    <mergeCell ref="B24:J24"/>
    <mergeCell ref="A39:F39"/>
    <mergeCell ref="A42:G42"/>
    <mergeCell ref="K6:K7"/>
    <mergeCell ref="A7:J7"/>
    <mergeCell ref="C20:E20"/>
    <mergeCell ref="I1:J1"/>
    <mergeCell ref="A3:J3"/>
    <mergeCell ref="A4:J4"/>
    <mergeCell ref="A6:J6"/>
    <mergeCell ref="A12:J12"/>
    <mergeCell ref="A13:J13"/>
    <mergeCell ref="B14:J14"/>
    <mergeCell ref="B19:J19"/>
    <mergeCell ref="A18:F18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A53" zoomScale="130" zoomScaleNormal="130" zoomScaleSheetLayoutView="100" workbookViewId="0">
      <selection activeCell="E22" sqref="E22"/>
    </sheetView>
  </sheetViews>
  <sheetFormatPr defaultRowHeight="12.75" x14ac:dyDescent="0.2"/>
  <cols>
    <col min="1" max="1" width="6.7109375" style="537" customWidth="1"/>
    <col min="2" max="2" width="55.7109375" style="518" customWidth="1"/>
    <col min="3" max="3" width="12.5703125" style="518" customWidth="1"/>
    <col min="4" max="4" width="40.42578125" style="518" customWidth="1"/>
    <col min="5" max="5" width="9.140625" style="518"/>
    <col min="6" max="6" width="11.5703125" style="518" customWidth="1"/>
    <col min="7" max="7" width="15.28515625" style="518" customWidth="1"/>
    <col min="8" max="16384" width="9.140625" style="518"/>
  </cols>
  <sheetData>
    <row r="1" spans="1:7" x14ac:dyDescent="0.2">
      <c r="A1" s="1367" t="s">
        <v>2036</v>
      </c>
      <c r="B1" s="1367"/>
      <c r="C1" s="1367"/>
      <c r="D1" s="1367"/>
      <c r="E1" s="1367"/>
      <c r="F1" s="1367"/>
      <c r="G1" s="1367"/>
    </row>
    <row r="2" spans="1:7" x14ac:dyDescent="0.2">
      <c r="A2" s="1368" t="s">
        <v>897</v>
      </c>
      <c r="B2" s="1368"/>
      <c r="C2" s="1368"/>
      <c r="D2" s="1368"/>
      <c r="E2" s="1368"/>
      <c r="F2" s="1368"/>
      <c r="G2" s="1368"/>
    </row>
    <row r="3" spans="1:7" x14ac:dyDescent="0.2">
      <c r="A3" s="519"/>
      <c r="B3" s="520"/>
      <c r="C3" s="521"/>
      <c r="D3" s="522"/>
      <c r="E3" s="523"/>
      <c r="F3" s="520"/>
      <c r="G3" s="524"/>
    </row>
    <row r="4" spans="1:7" ht="51.75" customHeight="1" x14ac:dyDescent="0.2">
      <c r="A4" s="1369" t="s">
        <v>898</v>
      </c>
      <c r="B4" s="1370"/>
      <c r="C4" s="525"/>
      <c r="D4" s="1365" t="s">
        <v>899</v>
      </c>
      <c r="E4" s="1365"/>
      <c r="F4" s="1365"/>
      <c r="G4" s="1366"/>
    </row>
    <row r="5" spans="1:7" ht="21.75" customHeight="1" x14ac:dyDescent="0.2">
      <c r="A5" s="526"/>
      <c r="B5" s="526"/>
      <c r="C5" s="526"/>
      <c r="D5" s="1371"/>
      <c r="E5" s="1371"/>
      <c r="F5" s="1371"/>
      <c r="G5" s="1371"/>
    </row>
    <row r="6" spans="1:7" x14ac:dyDescent="0.2">
      <c r="A6" s="527" t="s">
        <v>900</v>
      </c>
      <c r="B6" s="525"/>
      <c r="C6" s="528"/>
      <c r="D6" s="1364" t="s">
        <v>901</v>
      </c>
      <c r="E6" s="1365"/>
      <c r="F6" s="1365"/>
      <c r="G6" s="1366"/>
    </row>
    <row r="7" spans="1:7" x14ac:dyDescent="0.2">
      <c r="A7" s="519"/>
      <c r="B7" s="520"/>
      <c r="C7" s="520"/>
      <c r="D7" s="529"/>
      <c r="E7" s="529"/>
      <c r="F7" s="529"/>
      <c r="G7" s="529"/>
    </row>
    <row r="8" spans="1:7" ht="12.75" customHeight="1" x14ac:dyDescent="0.2">
      <c r="A8" s="1375" t="s">
        <v>140</v>
      </c>
      <c r="B8" s="1376"/>
      <c r="C8" s="1377"/>
      <c r="D8" s="1381"/>
      <c r="E8" s="1382"/>
      <c r="F8" s="1382"/>
      <c r="G8" s="1383"/>
    </row>
    <row r="9" spans="1:7" x14ac:dyDescent="0.2">
      <c r="A9" s="1378"/>
      <c r="B9" s="1379"/>
      <c r="C9" s="1380"/>
      <c r="D9" s="1384"/>
      <c r="E9" s="1385"/>
      <c r="F9" s="1385"/>
      <c r="G9" s="1386"/>
    </row>
    <row r="10" spans="1:7" ht="26.25" customHeight="1" x14ac:dyDescent="0.2">
      <c r="A10" s="527" t="s">
        <v>532</v>
      </c>
      <c r="B10" s="525"/>
      <c r="C10" s="530" t="s">
        <v>2</v>
      </c>
      <c r="D10" s="1387" t="s">
        <v>1314</v>
      </c>
      <c r="E10" s="1388"/>
      <c r="F10" s="1388"/>
      <c r="G10" s="1389"/>
    </row>
    <row r="11" spans="1:7" ht="51.75" customHeight="1" x14ac:dyDescent="0.2">
      <c r="A11" s="531"/>
      <c r="B11" s="1390" t="s">
        <v>902</v>
      </c>
      <c r="C11" s="1390"/>
      <c r="D11" s="1390"/>
      <c r="E11" s="1390"/>
      <c r="F11" s="1390"/>
      <c r="G11" s="1391"/>
    </row>
    <row r="12" spans="1:7" x14ac:dyDescent="0.2">
      <c r="A12" s="785" t="s">
        <v>0</v>
      </c>
      <c r="B12" s="532" t="s">
        <v>903</v>
      </c>
      <c r="C12" s="532" t="s">
        <v>560</v>
      </c>
      <c r="D12" s="532" t="s">
        <v>904</v>
      </c>
      <c r="E12" s="532" t="s">
        <v>905</v>
      </c>
      <c r="F12" s="532" t="s">
        <v>562</v>
      </c>
      <c r="G12" s="532" t="s">
        <v>1921</v>
      </c>
    </row>
    <row r="13" spans="1:7" x14ac:dyDescent="0.2">
      <c r="A13" s="1372" t="s">
        <v>906</v>
      </c>
      <c r="B13" s="1372"/>
      <c r="C13" s="1372"/>
      <c r="D13" s="1372"/>
      <c r="E13" s="1372"/>
      <c r="F13" s="1372"/>
      <c r="G13" s="1372"/>
    </row>
    <row r="14" spans="1:7" ht="36" customHeight="1" x14ac:dyDescent="0.2">
      <c r="A14" s="786" t="s">
        <v>33</v>
      </c>
      <c r="B14" s="811" t="s">
        <v>1918</v>
      </c>
      <c r="C14" s="811" t="s">
        <v>907</v>
      </c>
      <c r="D14" s="932" t="s">
        <v>908</v>
      </c>
      <c r="E14" s="811">
        <v>12.5</v>
      </c>
      <c r="F14" s="533">
        <v>36</v>
      </c>
      <c r="G14" s="533">
        <f>E14*F14*1.25</f>
        <v>562.5</v>
      </c>
    </row>
    <row r="15" spans="1:7" ht="36" customHeight="1" x14ac:dyDescent="0.2">
      <c r="A15" s="933" t="s">
        <v>34</v>
      </c>
      <c r="B15" s="811" t="s">
        <v>1919</v>
      </c>
      <c r="C15" s="811" t="s">
        <v>907</v>
      </c>
      <c r="D15" s="932" t="s">
        <v>1920</v>
      </c>
      <c r="E15" s="811">
        <v>12.5</v>
      </c>
      <c r="F15" s="533">
        <v>8.49</v>
      </c>
      <c r="G15" s="533">
        <f>E15*F15</f>
        <v>106.13</v>
      </c>
    </row>
    <row r="16" spans="1:7" ht="55.5" customHeight="1" x14ac:dyDescent="0.2">
      <c r="A16" s="786" t="s">
        <v>35</v>
      </c>
      <c r="B16" s="811" t="s">
        <v>909</v>
      </c>
      <c r="C16" s="811" t="s">
        <v>479</v>
      </c>
      <c r="D16" s="932" t="s">
        <v>910</v>
      </c>
      <c r="E16" s="811">
        <v>12.5</v>
      </c>
      <c r="F16" s="533">
        <v>33.6</v>
      </c>
      <c r="G16" s="533">
        <f>F16*E16*1.3</f>
        <v>546</v>
      </c>
    </row>
    <row r="17" spans="1:7" ht="30" customHeight="1" x14ac:dyDescent="0.2">
      <c r="A17" s="933" t="s">
        <v>111</v>
      </c>
      <c r="B17" s="811" t="s">
        <v>911</v>
      </c>
      <c r="C17" s="811" t="s">
        <v>493</v>
      </c>
      <c r="D17" s="811" t="s">
        <v>912</v>
      </c>
      <c r="E17" s="811">
        <v>10</v>
      </c>
      <c r="F17" s="533">
        <v>21.3</v>
      </c>
      <c r="G17" s="533">
        <f>E17*F17</f>
        <v>213</v>
      </c>
    </row>
    <row r="18" spans="1:7" ht="30" customHeight="1" x14ac:dyDescent="0.2">
      <c r="A18" s="933" t="s">
        <v>112</v>
      </c>
      <c r="B18" s="811" t="s">
        <v>1927</v>
      </c>
      <c r="C18" s="811" t="s">
        <v>1928</v>
      </c>
      <c r="D18" s="811" t="s">
        <v>1929</v>
      </c>
      <c r="E18" s="811">
        <v>30</v>
      </c>
      <c r="F18" s="533">
        <v>49.2</v>
      </c>
      <c r="G18" s="533">
        <f>E18*F18</f>
        <v>1476</v>
      </c>
    </row>
    <row r="19" spans="1:7" ht="41.25" customHeight="1" x14ac:dyDescent="0.2">
      <c r="A19" s="933" t="s">
        <v>279</v>
      </c>
      <c r="B19" s="811" t="s">
        <v>1931</v>
      </c>
      <c r="C19" s="811" t="s">
        <v>913</v>
      </c>
      <c r="D19" s="932" t="s">
        <v>1932</v>
      </c>
      <c r="E19" s="811">
        <v>50</v>
      </c>
      <c r="F19" s="533">
        <v>6.9</v>
      </c>
      <c r="G19" s="533">
        <f>E19*F19*0.9</f>
        <v>310.5</v>
      </c>
    </row>
    <row r="20" spans="1:7" ht="33" customHeight="1" x14ac:dyDescent="0.2">
      <c r="A20" s="933" t="s">
        <v>336</v>
      </c>
      <c r="B20" s="811" t="s">
        <v>1933</v>
      </c>
      <c r="C20" s="811" t="s">
        <v>913</v>
      </c>
      <c r="D20" s="932" t="s">
        <v>914</v>
      </c>
      <c r="E20" s="811">
        <v>10</v>
      </c>
      <c r="F20" s="533">
        <v>6.9</v>
      </c>
      <c r="G20" s="533">
        <f>E20*F20</f>
        <v>69</v>
      </c>
    </row>
    <row r="21" spans="1:7" ht="26.25" customHeight="1" x14ac:dyDescent="0.2">
      <c r="A21" s="933" t="s">
        <v>496</v>
      </c>
      <c r="B21" s="811" t="s">
        <v>1934</v>
      </c>
      <c r="C21" s="811" t="s">
        <v>913</v>
      </c>
      <c r="D21" s="932" t="s">
        <v>915</v>
      </c>
      <c r="E21" s="811">
        <v>1</v>
      </c>
      <c r="F21" s="533">
        <v>37.700000000000003</v>
      </c>
      <c r="G21" s="533">
        <f>F21*E21</f>
        <v>37.700000000000003</v>
      </c>
    </row>
    <row r="22" spans="1:7" ht="37.5" customHeight="1" x14ac:dyDescent="0.2">
      <c r="A22" s="933" t="s">
        <v>497</v>
      </c>
      <c r="B22" s="811" t="s">
        <v>1935</v>
      </c>
      <c r="C22" s="811" t="s">
        <v>913</v>
      </c>
      <c r="D22" s="932" t="s">
        <v>1936</v>
      </c>
      <c r="E22" s="811">
        <f>7*5</f>
        <v>35</v>
      </c>
      <c r="F22" s="533">
        <v>6.9</v>
      </c>
      <c r="G22" s="533">
        <f>E22*F22*0.9</f>
        <v>217.35</v>
      </c>
    </row>
    <row r="23" spans="1:7" ht="37.5" customHeight="1" x14ac:dyDescent="0.2">
      <c r="A23" s="933" t="s">
        <v>498</v>
      </c>
      <c r="B23" s="811" t="s">
        <v>1937</v>
      </c>
      <c r="C23" s="811" t="s">
        <v>913</v>
      </c>
      <c r="D23" s="932" t="s">
        <v>1936</v>
      </c>
      <c r="E23" s="811">
        <f>7*5</f>
        <v>35</v>
      </c>
      <c r="F23" s="533">
        <v>6.9</v>
      </c>
      <c r="G23" s="533">
        <f>E23*F23*0.9</f>
        <v>217.35</v>
      </c>
    </row>
    <row r="24" spans="1:7" ht="27" customHeight="1" x14ac:dyDescent="0.2">
      <c r="A24" s="933" t="s">
        <v>499</v>
      </c>
      <c r="B24" s="811" t="s">
        <v>920</v>
      </c>
      <c r="C24" s="811" t="s">
        <v>921</v>
      </c>
      <c r="D24" s="811" t="s">
        <v>1938</v>
      </c>
      <c r="E24" s="811">
        <v>0.5</v>
      </c>
      <c r="F24" s="533">
        <v>535</v>
      </c>
      <c r="G24" s="533">
        <f>E24*F24</f>
        <v>267.5</v>
      </c>
    </row>
    <row r="25" spans="1:7" ht="26.25" customHeight="1" x14ac:dyDescent="0.2">
      <c r="A25" s="933" t="s">
        <v>500</v>
      </c>
      <c r="B25" s="811" t="s">
        <v>1939</v>
      </c>
      <c r="C25" s="811" t="s">
        <v>913</v>
      </c>
      <c r="D25" s="932" t="s">
        <v>916</v>
      </c>
      <c r="E25" s="811">
        <v>7</v>
      </c>
      <c r="F25" s="533">
        <v>4.5999999999999996</v>
      </c>
      <c r="G25" s="533">
        <f>F25*E25</f>
        <v>32.200000000000003</v>
      </c>
    </row>
    <row r="26" spans="1:7" ht="26.25" customHeight="1" x14ac:dyDescent="0.2">
      <c r="A26" s="933" t="s">
        <v>501</v>
      </c>
      <c r="B26" s="811" t="s">
        <v>917</v>
      </c>
      <c r="C26" s="811" t="s">
        <v>913</v>
      </c>
      <c r="D26" s="932" t="s">
        <v>918</v>
      </c>
      <c r="E26" s="811">
        <v>7</v>
      </c>
      <c r="F26" s="533">
        <v>20.3</v>
      </c>
      <c r="G26" s="533">
        <f>F26*E26</f>
        <v>142.1</v>
      </c>
    </row>
    <row r="27" spans="1:7" ht="26.25" customHeight="1" x14ac:dyDescent="0.2">
      <c r="A27" s="933" t="s">
        <v>502</v>
      </c>
      <c r="B27" s="811" t="s">
        <v>919</v>
      </c>
      <c r="C27" s="811" t="s">
        <v>913</v>
      </c>
      <c r="D27" s="932" t="s">
        <v>915</v>
      </c>
      <c r="E27" s="811">
        <v>2</v>
      </c>
      <c r="F27" s="533">
        <v>37.700000000000003</v>
      </c>
      <c r="G27" s="533">
        <f>F27*E27</f>
        <v>75.400000000000006</v>
      </c>
    </row>
    <row r="28" spans="1:7" ht="23.25" customHeight="1" x14ac:dyDescent="0.2">
      <c r="A28" s="1372" t="s">
        <v>551</v>
      </c>
      <c r="B28" s="1372"/>
      <c r="C28" s="1372"/>
      <c r="D28" s="1372"/>
      <c r="E28" s="1372"/>
      <c r="F28" s="1372"/>
      <c r="G28" s="787">
        <f>SUM(G14:G27)</f>
        <v>4272.7299999999996</v>
      </c>
    </row>
    <row r="29" spans="1:7" ht="25.5" x14ac:dyDescent="0.2">
      <c r="A29" s="788" t="s">
        <v>503</v>
      </c>
      <c r="B29" s="934" t="s">
        <v>1941</v>
      </c>
      <c r="C29" s="811" t="s">
        <v>922</v>
      </c>
      <c r="D29" s="811" t="s">
        <v>1940</v>
      </c>
      <c r="E29" s="935">
        <v>1.2E-2</v>
      </c>
      <c r="F29" s="936">
        <f>G28</f>
        <v>4272.7299999999996</v>
      </c>
      <c r="G29" s="936">
        <f>E29*F29</f>
        <v>51.27</v>
      </c>
    </row>
    <row r="30" spans="1:7" hidden="1" x14ac:dyDescent="0.2">
      <c r="A30" s="788" t="s">
        <v>504</v>
      </c>
      <c r="B30" s="811" t="s">
        <v>923</v>
      </c>
      <c r="C30" s="811" t="s">
        <v>571</v>
      </c>
      <c r="D30" s="811" t="s">
        <v>924</v>
      </c>
      <c r="E30" s="789">
        <v>0.1125</v>
      </c>
      <c r="F30" s="533" t="e">
        <f>G28+G29+#REF!</f>
        <v>#REF!</v>
      </c>
      <c r="G30" s="533" t="e">
        <f>F30*E30</f>
        <v>#REF!</v>
      </c>
    </row>
    <row r="31" spans="1:7" ht="15" x14ac:dyDescent="0.2">
      <c r="A31" s="788" t="s">
        <v>504</v>
      </c>
      <c r="B31" s="937" t="s">
        <v>2031</v>
      </c>
      <c r="C31" s="811"/>
      <c r="D31" s="811" t="s">
        <v>2032</v>
      </c>
      <c r="E31" s="789">
        <v>0.1125</v>
      </c>
      <c r="F31" s="533">
        <f>G28</f>
        <v>4272.7299999999996</v>
      </c>
      <c r="G31" s="533">
        <f>E31*F31</f>
        <v>480.68</v>
      </c>
    </row>
    <row r="32" spans="1:7" ht="25.5" x14ac:dyDescent="0.2">
      <c r="A32" s="788" t="s">
        <v>505</v>
      </c>
      <c r="B32" s="811" t="s">
        <v>2033</v>
      </c>
      <c r="C32" s="811" t="s">
        <v>571</v>
      </c>
      <c r="D32" s="811" t="s">
        <v>2034</v>
      </c>
      <c r="E32" s="811">
        <v>0.19600000000000001</v>
      </c>
      <c r="F32" s="533">
        <f>G28+G31</f>
        <v>4753.41</v>
      </c>
      <c r="G32" s="533">
        <f>F32*E32</f>
        <v>931.67</v>
      </c>
    </row>
    <row r="33" spans="1:7" x14ac:dyDescent="0.2">
      <c r="A33" s="788" t="s">
        <v>506</v>
      </c>
      <c r="B33" s="811" t="s">
        <v>925</v>
      </c>
      <c r="C33" s="811" t="s">
        <v>571</v>
      </c>
      <c r="D33" s="811" t="s">
        <v>926</v>
      </c>
      <c r="E33" s="811">
        <v>0.06</v>
      </c>
      <c r="F33" s="533">
        <f>F32</f>
        <v>4753.41</v>
      </c>
      <c r="G33" s="533">
        <f>F33*E33</f>
        <v>285.2</v>
      </c>
    </row>
    <row r="34" spans="1:7" x14ac:dyDescent="0.2">
      <c r="A34" s="1372" t="s">
        <v>927</v>
      </c>
      <c r="B34" s="1372"/>
      <c r="C34" s="1372"/>
      <c r="D34" s="1372"/>
      <c r="E34" s="1372"/>
      <c r="F34" s="1372"/>
      <c r="G34" s="792">
        <f>G28+G29+G31+G32+G33</f>
        <v>6021.55</v>
      </c>
    </row>
    <row r="35" spans="1:7" ht="17.25" customHeight="1" x14ac:dyDescent="0.2">
      <c r="A35" s="1373" t="s">
        <v>928</v>
      </c>
      <c r="B35" s="1373"/>
      <c r="C35" s="1373"/>
      <c r="D35" s="1373"/>
      <c r="E35" s="1373"/>
      <c r="F35" s="1373"/>
      <c r="G35" s="792">
        <f>G34+G28</f>
        <v>10294.280000000001</v>
      </c>
    </row>
    <row r="36" spans="1:7" x14ac:dyDescent="0.2">
      <c r="A36" s="1372" t="s">
        <v>675</v>
      </c>
      <c r="B36" s="1372"/>
      <c r="C36" s="1372"/>
      <c r="D36" s="1372"/>
      <c r="E36" s="1372"/>
      <c r="F36" s="1372"/>
      <c r="G36" s="1372"/>
    </row>
    <row r="37" spans="1:7" hidden="1" x14ac:dyDescent="0.2">
      <c r="A37" s="812"/>
      <c r="B37" s="1373" t="s">
        <v>929</v>
      </c>
      <c r="C37" s="1373"/>
      <c r="D37" s="1373"/>
      <c r="E37" s="1374"/>
      <c r="F37" s="1374"/>
      <c r="G37" s="1374"/>
    </row>
    <row r="38" spans="1:7" x14ac:dyDescent="0.2">
      <c r="A38" s="786" t="s">
        <v>36</v>
      </c>
      <c r="B38" s="811" t="s">
        <v>930</v>
      </c>
      <c r="C38" s="811" t="s">
        <v>931</v>
      </c>
      <c r="D38" s="811" t="s">
        <v>932</v>
      </c>
      <c r="E38" s="811">
        <v>20</v>
      </c>
      <c r="F38" s="533">
        <v>2</v>
      </c>
      <c r="G38" s="533">
        <f t="shared" ref="G38:G47" si="0">E38*F38</f>
        <v>40</v>
      </c>
    </row>
    <row r="39" spans="1:7" x14ac:dyDescent="0.2">
      <c r="A39" s="786" t="s">
        <v>308</v>
      </c>
      <c r="B39" s="811" t="s">
        <v>933</v>
      </c>
      <c r="C39" s="811" t="s">
        <v>931</v>
      </c>
      <c r="D39" s="811" t="s">
        <v>934</v>
      </c>
      <c r="E39" s="811">
        <v>1</v>
      </c>
      <c r="F39" s="533">
        <v>8.6</v>
      </c>
      <c r="G39" s="533">
        <f t="shared" si="0"/>
        <v>8.6</v>
      </c>
    </row>
    <row r="40" spans="1:7" ht="14.25" customHeight="1" x14ac:dyDescent="0.2">
      <c r="A40" s="786" t="s">
        <v>332</v>
      </c>
      <c r="B40" s="811" t="s">
        <v>935</v>
      </c>
      <c r="C40" s="811" t="s">
        <v>931</v>
      </c>
      <c r="D40" s="811" t="s">
        <v>936</v>
      </c>
      <c r="E40" s="811">
        <v>1</v>
      </c>
      <c r="F40" s="533">
        <v>8.9</v>
      </c>
      <c r="G40" s="533">
        <f t="shared" si="0"/>
        <v>8.9</v>
      </c>
    </row>
    <row r="41" spans="1:7" x14ac:dyDescent="0.2">
      <c r="A41" s="786" t="s">
        <v>508</v>
      </c>
      <c r="B41" s="811" t="s">
        <v>937</v>
      </c>
      <c r="C41" s="811" t="s">
        <v>931</v>
      </c>
      <c r="D41" s="811" t="s">
        <v>938</v>
      </c>
      <c r="E41" s="811">
        <v>1</v>
      </c>
      <c r="F41" s="533">
        <v>49.4</v>
      </c>
      <c r="G41" s="533">
        <f t="shared" si="0"/>
        <v>49.4</v>
      </c>
    </row>
    <row r="42" spans="1:7" x14ac:dyDescent="0.2">
      <c r="A42" s="786" t="s">
        <v>509</v>
      </c>
      <c r="B42" s="811" t="s">
        <v>2049</v>
      </c>
      <c r="C42" s="811" t="s">
        <v>931</v>
      </c>
      <c r="D42" s="811" t="s">
        <v>2048</v>
      </c>
      <c r="E42" s="811">
        <v>1</v>
      </c>
      <c r="F42" s="533">
        <v>8</v>
      </c>
      <c r="G42" s="533">
        <f t="shared" si="0"/>
        <v>8</v>
      </c>
    </row>
    <row r="43" spans="1:7" x14ac:dyDescent="0.2">
      <c r="A43" s="786" t="s">
        <v>510</v>
      </c>
      <c r="B43" s="811" t="s">
        <v>939</v>
      </c>
      <c r="C43" s="811" t="s">
        <v>931</v>
      </c>
      <c r="D43" s="811" t="s">
        <v>940</v>
      </c>
      <c r="E43" s="811">
        <v>1</v>
      </c>
      <c r="F43" s="533">
        <v>14.4</v>
      </c>
      <c r="G43" s="533">
        <f t="shared" si="0"/>
        <v>14.4</v>
      </c>
    </row>
    <row r="44" spans="1:7" x14ac:dyDescent="0.2">
      <c r="A44" s="786" t="s">
        <v>511</v>
      </c>
      <c r="B44" s="811" t="s">
        <v>941</v>
      </c>
      <c r="C44" s="811" t="s">
        <v>931</v>
      </c>
      <c r="D44" s="811" t="s">
        <v>942</v>
      </c>
      <c r="E44" s="811">
        <v>1</v>
      </c>
      <c r="F44" s="533">
        <v>5.3</v>
      </c>
      <c r="G44" s="533">
        <f t="shared" si="0"/>
        <v>5.3</v>
      </c>
    </row>
    <row r="45" spans="1:7" x14ac:dyDescent="0.2">
      <c r="A45" s="786" t="s">
        <v>512</v>
      </c>
      <c r="B45" s="811" t="s">
        <v>943</v>
      </c>
      <c r="C45" s="811" t="s">
        <v>931</v>
      </c>
      <c r="D45" s="811" t="s">
        <v>944</v>
      </c>
      <c r="E45" s="811">
        <v>1</v>
      </c>
      <c r="F45" s="533">
        <v>8.9</v>
      </c>
      <c r="G45" s="533">
        <f t="shared" si="0"/>
        <v>8.9</v>
      </c>
    </row>
    <row r="46" spans="1:7" x14ac:dyDescent="0.2">
      <c r="A46" s="786" t="s">
        <v>1154</v>
      </c>
      <c r="B46" s="811" t="s">
        <v>945</v>
      </c>
      <c r="C46" s="811" t="s">
        <v>931</v>
      </c>
      <c r="D46" s="811" t="s">
        <v>946</v>
      </c>
      <c r="E46" s="811">
        <v>1</v>
      </c>
      <c r="F46" s="533">
        <v>13.8</v>
      </c>
      <c r="G46" s="533">
        <f t="shared" si="0"/>
        <v>13.8</v>
      </c>
    </row>
    <row r="47" spans="1:7" ht="25.5" x14ac:dyDescent="0.2">
      <c r="A47" s="786" t="s">
        <v>1155</v>
      </c>
      <c r="B47" s="811" t="s">
        <v>947</v>
      </c>
      <c r="C47" s="811" t="s">
        <v>931</v>
      </c>
      <c r="D47" s="811" t="s">
        <v>948</v>
      </c>
      <c r="E47" s="811">
        <v>1</v>
      </c>
      <c r="F47" s="533">
        <v>7.1</v>
      </c>
      <c r="G47" s="533">
        <f t="shared" si="0"/>
        <v>7.1</v>
      </c>
    </row>
    <row r="48" spans="1:7" x14ac:dyDescent="0.2">
      <c r="A48" s="785"/>
      <c r="B48" s="1373" t="s">
        <v>949</v>
      </c>
      <c r="C48" s="1373"/>
      <c r="D48" s="1373"/>
      <c r="E48" s="1395"/>
      <c r="F48" s="1395"/>
      <c r="G48" s="1395"/>
    </row>
    <row r="49" spans="1:7" ht="38.25" x14ac:dyDescent="0.2">
      <c r="A49" s="786" t="s">
        <v>1156</v>
      </c>
      <c r="B49" s="811" t="s">
        <v>950</v>
      </c>
      <c r="C49" s="811" t="s">
        <v>951</v>
      </c>
      <c r="D49" s="811" t="s">
        <v>952</v>
      </c>
      <c r="E49" s="811">
        <v>180</v>
      </c>
      <c r="F49" s="533">
        <f>19*7.8</f>
        <v>148.19999999999999</v>
      </c>
      <c r="G49" s="533">
        <f>E49*F49</f>
        <v>26676</v>
      </c>
    </row>
    <row r="50" spans="1:7" x14ac:dyDescent="0.2">
      <c r="A50" s="786" t="s">
        <v>1157</v>
      </c>
      <c r="B50" s="811" t="s">
        <v>953</v>
      </c>
      <c r="C50" s="811" t="s">
        <v>931</v>
      </c>
      <c r="D50" s="811" t="s">
        <v>954</v>
      </c>
      <c r="E50" s="811">
        <f>E20</f>
        <v>10</v>
      </c>
      <c r="F50" s="533">
        <v>19.7</v>
      </c>
      <c r="G50" s="533">
        <f>E50*F50</f>
        <v>197</v>
      </c>
    </row>
    <row r="51" spans="1:7" ht="19.5" customHeight="1" x14ac:dyDescent="0.2">
      <c r="A51" s="786" t="s">
        <v>1158</v>
      </c>
      <c r="B51" s="811" t="s">
        <v>955</v>
      </c>
      <c r="C51" s="811" t="s">
        <v>931</v>
      </c>
      <c r="D51" s="811" t="s">
        <v>956</v>
      </c>
      <c r="E51" s="811">
        <f>E20</f>
        <v>10</v>
      </c>
      <c r="F51" s="533">
        <v>95.8</v>
      </c>
      <c r="G51" s="533">
        <f>E51*F51</f>
        <v>958</v>
      </c>
    </row>
    <row r="52" spans="1:7" ht="19.5" customHeight="1" x14ac:dyDescent="0.2">
      <c r="A52" s="786"/>
      <c r="B52" s="1396" t="s">
        <v>2050</v>
      </c>
      <c r="C52" s="1397"/>
      <c r="D52" s="1398"/>
      <c r="E52" s="811"/>
      <c r="F52" s="533"/>
      <c r="G52" s="533"/>
    </row>
    <row r="53" spans="1:7" ht="19.5" customHeight="1" x14ac:dyDescent="0.2">
      <c r="A53" s="846" t="s">
        <v>1159</v>
      </c>
      <c r="B53" s="811" t="s">
        <v>2051</v>
      </c>
      <c r="C53" s="811" t="s">
        <v>691</v>
      </c>
      <c r="D53" s="811" t="s">
        <v>2052</v>
      </c>
      <c r="E53" s="811">
        <v>7</v>
      </c>
      <c r="F53" s="533">
        <v>2.9</v>
      </c>
      <c r="G53" s="533">
        <f>E53*F53</f>
        <v>20.3</v>
      </c>
    </row>
    <row r="54" spans="1:7" ht="19.5" customHeight="1" x14ac:dyDescent="0.2">
      <c r="A54" s="846" t="s">
        <v>1160</v>
      </c>
      <c r="B54" s="811" t="s">
        <v>2054</v>
      </c>
      <c r="C54" s="811" t="s">
        <v>691</v>
      </c>
      <c r="D54" s="811" t="s">
        <v>2053</v>
      </c>
      <c r="E54" s="811">
        <v>7</v>
      </c>
      <c r="F54" s="533">
        <v>0.9</v>
      </c>
      <c r="G54" s="533">
        <f t="shared" ref="G54:G82" si="1">E54*F54</f>
        <v>6.3</v>
      </c>
    </row>
    <row r="55" spans="1:7" ht="19.5" customHeight="1" x14ac:dyDescent="0.2">
      <c r="A55" s="846" t="s">
        <v>1161</v>
      </c>
      <c r="B55" s="811" t="s">
        <v>2055</v>
      </c>
      <c r="C55" s="811" t="s">
        <v>691</v>
      </c>
      <c r="D55" s="811" t="s">
        <v>2056</v>
      </c>
      <c r="E55" s="811">
        <v>7</v>
      </c>
      <c r="F55" s="533">
        <v>0.8</v>
      </c>
      <c r="G55" s="533">
        <f t="shared" si="1"/>
        <v>5.6</v>
      </c>
    </row>
    <row r="56" spans="1:7" ht="19.5" customHeight="1" x14ac:dyDescent="0.2">
      <c r="A56" s="846" t="s">
        <v>1162</v>
      </c>
      <c r="B56" s="811" t="s">
        <v>2058</v>
      </c>
      <c r="C56" s="811" t="s">
        <v>691</v>
      </c>
      <c r="D56" s="811" t="s">
        <v>2057</v>
      </c>
      <c r="E56" s="811">
        <v>7</v>
      </c>
      <c r="F56" s="533">
        <v>0.8</v>
      </c>
      <c r="G56" s="533">
        <f t="shared" si="1"/>
        <v>5.6</v>
      </c>
    </row>
    <row r="57" spans="1:7" ht="19.5" customHeight="1" x14ac:dyDescent="0.2">
      <c r="A57" s="846" t="s">
        <v>1163</v>
      </c>
      <c r="B57" s="811" t="s">
        <v>2060</v>
      </c>
      <c r="C57" s="811" t="s">
        <v>691</v>
      </c>
      <c r="D57" s="811" t="s">
        <v>2059</v>
      </c>
      <c r="E57" s="811">
        <v>7</v>
      </c>
      <c r="F57" s="533">
        <v>4.5999999999999996</v>
      </c>
      <c r="G57" s="533">
        <f t="shared" si="1"/>
        <v>32.200000000000003</v>
      </c>
    </row>
    <row r="58" spans="1:7" ht="19.5" customHeight="1" x14ac:dyDescent="0.2">
      <c r="A58" s="846" t="s">
        <v>1164</v>
      </c>
      <c r="B58" s="811" t="s">
        <v>2062</v>
      </c>
      <c r="C58" s="811" t="s">
        <v>691</v>
      </c>
      <c r="D58" s="811" t="s">
        <v>2061</v>
      </c>
      <c r="E58" s="811">
        <v>7</v>
      </c>
      <c r="F58" s="533">
        <v>0.5</v>
      </c>
      <c r="G58" s="533">
        <f t="shared" si="1"/>
        <v>3.5</v>
      </c>
    </row>
    <row r="59" spans="1:7" ht="19.5" customHeight="1" x14ac:dyDescent="0.2">
      <c r="A59" s="846" t="s">
        <v>1955</v>
      </c>
      <c r="B59" s="811" t="s">
        <v>2064</v>
      </c>
      <c r="C59" s="811" t="s">
        <v>691</v>
      </c>
      <c r="D59" s="811" t="s">
        <v>2063</v>
      </c>
      <c r="E59" s="811">
        <v>7</v>
      </c>
      <c r="F59" s="533">
        <v>8.9</v>
      </c>
      <c r="G59" s="533">
        <f t="shared" si="1"/>
        <v>62.3</v>
      </c>
    </row>
    <row r="60" spans="1:7" ht="19.5" customHeight="1" x14ac:dyDescent="0.2">
      <c r="A60" s="846" t="s">
        <v>1956</v>
      </c>
      <c r="B60" s="811" t="s">
        <v>2066</v>
      </c>
      <c r="C60" s="811" t="s">
        <v>691</v>
      </c>
      <c r="D60" s="811" t="s">
        <v>2065</v>
      </c>
      <c r="E60" s="811">
        <v>7</v>
      </c>
      <c r="F60" s="533">
        <v>14.7</v>
      </c>
      <c r="G60" s="533">
        <f t="shared" si="1"/>
        <v>102.9</v>
      </c>
    </row>
    <row r="61" spans="1:7" ht="25.5" customHeight="1" x14ac:dyDescent="0.2">
      <c r="A61" s="846" t="s">
        <v>2117</v>
      </c>
      <c r="B61" s="811" t="s">
        <v>2068</v>
      </c>
      <c r="C61" s="811" t="s">
        <v>691</v>
      </c>
      <c r="D61" s="811" t="s">
        <v>2067</v>
      </c>
      <c r="E61" s="811">
        <v>7</v>
      </c>
      <c r="F61" s="533">
        <v>8.8000000000000007</v>
      </c>
      <c r="G61" s="533">
        <f t="shared" si="1"/>
        <v>61.6</v>
      </c>
    </row>
    <row r="62" spans="1:7" ht="19.5" customHeight="1" x14ac:dyDescent="0.2">
      <c r="A62" s="846" t="s">
        <v>2118</v>
      </c>
      <c r="B62" s="811" t="s">
        <v>2070</v>
      </c>
      <c r="C62" s="811" t="s">
        <v>691</v>
      </c>
      <c r="D62" s="811" t="s">
        <v>2069</v>
      </c>
      <c r="E62" s="811">
        <v>7</v>
      </c>
      <c r="F62" s="533">
        <v>5</v>
      </c>
      <c r="G62" s="533">
        <f t="shared" si="1"/>
        <v>35</v>
      </c>
    </row>
    <row r="63" spans="1:7" ht="19.5" customHeight="1" x14ac:dyDescent="0.2">
      <c r="A63" s="846" t="s">
        <v>2119</v>
      </c>
      <c r="B63" s="811" t="s">
        <v>2072</v>
      </c>
      <c r="C63" s="811" t="s">
        <v>691</v>
      </c>
      <c r="D63" s="811" t="s">
        <v>2071</v>
      </c>
      <c r="E63" s="811">
        <v>7</v>
      </c>
      <c r="F63" s="533">
        <v>4.0999999999999996</v>
      </c>
      <c r="G63" s="533">
        <f t="shared" si="1"/>
        <v>28.7</v>
      </c>
    </row>
    <row r="64" spans="1:7" ht="19.5" customHeight="1" x14ac:dyDescent="0.2">
      <c r="A64" s="846" t="s">
        <v>2120</v>
      </c>
      <c r="B64" s="811" t="s">
        <v>2074</v>
      </c>
      <c r="C64" s="811" t="s">
        <v>691</v>
      </c>
      <c r="D64" s="811" t="s">
        <v>2073</v>
      </c>
      <c r="E64" s="811">
        <v>7</v>
      </c>
      <c r="F64" s="533">
        <v>2.6</v>
      </c>
      <c r="G64" s="533">
        <f t="shared" si="1"/>
        <v>18.2</v>
      </c>
    </row>
    <row r="65" spans="1:7" ht="19.5" customHeight="1" x14ac:dyDescent="0.2">
      <c r="A65" s="846" t="s">
        <v>2121</v>
      </c>
      <c r="B65" s="811" t="s">
        <v>2076</v>
      </c>
      <c r="C65" s="811" t="s">
        <v>691</v>
      </c>
      <c r="D65" s="811" t="s">
        <v>2075</v>
      </c>
      <c r="E65" s="811">
        <v>7</v>
      </c>
      <c r="F65" s="533">
        <v>7.4</v>
      </c>
      <c r="G65" s="533">
        <f t="shared" si="1"/>
        <v>51.8</v>
      </c>
    </row>
    <row r="66" spans="1:7" ht="19.5" customHeight="1" x14ac:dyDescent="0.2">
      <c r="A66" s="846" t="s">
        <v>2122</v>
      </c>
      <c r="B66" s="811" t="s">
        <v>2078</v>
      </c>
      <c r="C66" s="811" t="s">
        <v>691</v>
      </c>
      <c r="D66" s="811" t="s">
        <v>2077</v>
      </c>
      <c r="E66" s="811">
        <v>7</v>
      </c>
      <c r="F66" s="533">
        <v>2.7</v>
      </c>
      <c r="G66" s="533">
        <f t="shared" si="1"/>
        <v>18.899999999999999</v>
      </c>
    </row>
    <row r="67" spans="1:7" ht="19.5" customHeight="1" x14ac:dyDescent="0.2">
      <c r="A67" s="846" t="s">
        <v>2123</v>
      </c>
      <c r="B67" s="811" t="s">
        <v>2080</v>
      </c>
      <c r="C67" s="811" t="s">
        <v>691</v>
      </c>
      <c r="D67" s="811" t="s">
        <v>2079</v>
      </c>
      <c r="E67" s="811">
        <v>7</v>
      </c>
      <c r="F67" s="533">
        <v>3.1</v>
      </c>
      <c r="G67" s="533">
        <f t="shared" si="1"/>
        <v>21.7</v>
      </c>
    </row>
    <row r="68" spans="1:7" ht="19.5" customHeight="1" x14ac:dyDescent="0.2">
      <c r="A68" s="846" t="s">
        <v>2124</v>
      </c>
      <c r="B68" s="811" t="s">
        <v>2081</v>
      </c>
      <c r="C68" s="811" t="s">
        <v>691</v>
      </c>
      <c r="D68" s="811" t="s">
        <v>2082</v>
      </c>
      <c r="E68" s="811">
        <v>7</v>
      </c>
      <c r="F68" s="533">
        <v>8.8000000000000007</v>
      </c>
      <c r="G68" s="533">
        <f t="shared" si="1"/>
        <v>61.6</v>
      </c>
    </row>
    <row r="69" spans="1:7" ht="26.25" customHeight="1" x14ac:dyDescent="0.2">
      <c r="A69" s="846" t="s">
        <v>2125</v>
      </c>
      <c r="B69" s="811" t="s">
        <v>2083</v>
      </c>
      <c r="C69" s="811" t="s">
        <v>691</v>
      </c>
      <c r="D69" s="811" t="s">
        <v>2084</v>
      </c>
      <c r="E69" s="811">
        <v>7</v>
      </c>
      <c r="F69" s="533">
        <v>14</v>
      </c>
      <c r="G69" s="533">
        <f t="shared" si="1"/>
        <v>98</v>
      </c>
    </row>
    <row r="70" spans="1:7" ht="19.5" customHeight="1" x14ac:dyDescent="0.2">
      <c r="A70" s="846" t="s">
        <v>2126</v>
      </c>
      <c r="B70" s="811" t="s">
        <v>2086</v>
      </c>
      <c r="C70" s="811" t="s">
        <v>691</v>
      </c>
      <c r="D70" s="811" t="s">
        <v>2085</v>
      </c>
      <c r="E70" s="811">
        <v>7</v>
      </c>
      <c r="F70" s="533">
        <v>11.3</v>
      </c>
      <c r="G70" s="533">
        <f t="shared" si="1"/>
        <v>79.099999999999994</v>
      </c>
    </row>
    <row r="71" spans="1:7" ht="19.5" customHeight="1" x14ac:dyDescent="0.2">
      <c r="A71" s="846" t="s">
        <v>2127</v>
      </c>
      <c r="B71" s="811" t="s">
        <v>2088</v>
      </c>
      <c r="C71" s="811" t="s">
        <v>691</v>
      </c>
      <c r="D71" s="811" t="s">
        <v>2087</v>
      </c>
      <c r="E71" s="811">
        <v>7</v>
      </c>
      <c r="F71" s="533">
        <v>6.1</v>
      </c>
      <c r="G71" s="533">
        <f t="shared" si="1"/>
        <v>42.7</v>
      </c>
    </row>
    <row r="72" spans="1:7" ht="19.5" customHeight="1" x14ac:dyDescent="0.2">
      <c r="A72" s="846" t="s">
        <v>2128</v>
      </c>
      <c r="B72" s="811" t="s">
        <v>2090</v>
      </c>
      <c r="C72" s="811" t="s">
        <v>691</v>
      </c>
      <c r="D72" s="811" t="s">
        <v>2089</v>
      </c>
      <c r="E72" s="811">
        <v>7</v>
      </c>
      <c r="F72" s="533">
        <v>10.8</v>
      </c>
      <c r="G72" s="533">
        <f t="shared" si="1"/>
        <v>75.599999999999994</v>
      </c>
    </row>
    <row r="73" spans="1:7" ht="19.5" customHeight="1" x14ac:dyDescent="0.2">
      <c r="A73" s="846" t="s">
        <v>2129</v>
      </c>
      <c r="B73" s="811" t="s">
        <v>2092</v>
      </c>
      <c r="C73" s="811" t="s">
        <v>691</v>
      </c>
      <c r="D73" s="811" t="s">
        <v>2091</v>
      </c>
      <c r="E73" s="811">
        <v>7</v>
      </c>
      <c r="F73" s="533">
        <v>8.1</v>
      </c>
      <c r="G73" s="533">
        <f t="shared" si="1"/>
        <v>56.7</v>
      </c>
    </row>
    <row r="74" spans="1:7" ht="19.5" customHeight="1" x14ac:dyDescent="0.2">
      <c r="A74" s="846" t="s">
        <v>2130</v>
      </c>
      <c r="B74" s="811" t="s">
        <v>2094</v>
      </c>
      <c r="C74" s="811" t="s">
        <v>691</v>
      </c>
      <c r="D74" s="811" t="s">
        <v>2093</v>
      </c>
      <c r="E74" s="811">
        <v>7</v>
      </c>
      <c r="F74" s="533">
        <v>4.5</v>
      </c>
      <c r="G74" s="533">
        <f t="shared" si="1"/>
        <v>31.5</v>
      </c>
    </row>
    <row r="75" spans="1:7" ht="19.5" customHeight="1" x14ac:dyDescent="0.2">
      <c r="A75" s="846" t="s">
        <v>2131</v>
      </c>
      <c r="B75" s="811" t="s">
        <v>2096</v>
      </c>
      <c r="C75" s="811" t="s">
        <v>691</v>
      </c>
      <c r="D75" s="811" t="s">
        <v>2095</v>
      </c>
      <c r="E75" s="811">
        <v>7</v>
      </c>
      <c r="F75" s="533">
        <v>15.7</v>
      </c>
      <c r="G75" s="533">
        <f t="shared" si="1"/>
        <v>109.9</v>
      </c>
    </row>
    <row r="76" spans="1:7" ht="27.75" customHeight="1" x14ac:dyDescent="0.2">
      <c r="A76" s="846" t="s">
        <v>2132</v>
      </c>
      <c r="B76" s="811" t="s">
        <v>2098</v>
      </c>
      <c r="C76" s="811" t="s">
        <v>691</v>
      </c>
      <c r="D76" s="811" t="s">
        <v>2097</v>
      </c>
      <c r="E76" s="811">
        <v>7</v>
      </c>
      <c r="F76" s="533">
        <v>10.8</v>
      </c>
      <c r="G76" s="533">
        <f t="shared" si="1"/>
        <v>75.599999999999994</v>
      </c>
    </row>
    <row r="77" spans="1:7" ht="19.5" customHeight="1" x14ac:dyDescent="0.2">
      <c r="A77" s="846" t="s">
        <v>2133</v>
      </c>
      <c r="B77" s="811" t="s">
        <v>2099</v>
      </c>
      <c r="C77" s="811" t="s">
        <v>691</v>
      </c>
      <c r="D77" s="811" t="s">
        <v>2100</v>
      </c>
      <c r="E77" s="811">
        <v>7</v>
      </c>
      <c r="F77" s="533">
        <v>3.4</v>
      </c>
      <c r="G77" s="533">
        <f t="shared" si="1"/>
        <v>23.8</v>
      </c>
    </row>
    <row r="78" spans="1:7" ht="19.5" customHeight="1" x14ac:dyDescent="0.2">
      <c r="A78" s="846" t="s">
        <v>2134</v>
      </c>
      <c r="B78" s="811" t="s">
        <v>2101</v>
      </c>
      <c r="C78" s="811" t="s">
        <v>691</v>
      </c>
      <c r="D78" s="811" t="s">
        <v>2102</v>
      </c>
      <c r="E78" s="811">
        <v>7</v>
      </c>
      <c r="F78" s="533">
        <v>3</v>
      </c>
      <c r="G78" s="533">
        <f t="shared" ref="G78:G81" si="2">E78*F78</f>
        <v>21</v>
      </c>
    </row>
    <row r="79" spans="1:7" ht="19.5" customHeight="1" x14ac:dyDescent="0.2">
      <c r="A79" s="846" t="s">
        <v>2135</v>
      </c>
      <c r="B79" s="811" t="s">
        <v>2104</v>
      </c>
      <c r="C79" s="811" t="s">
        <v>691</v>
      </c>
      <c r="D79" s="811" t="s">
        <v>2103</v>
      </c>
      <c r="E79" s="811">
        <v>7</v>
      </c>
      <c r="F79" s="533">
        <v>14</v>
      </c>
      <c r="G79" s="533">
        <f t="shared" si="2"/>
        <v>98</v>
      </c>
    </row>
    <row r="80" spans="1:7" ht="24.75" customHeight="1" x14ac:dyDescent="0.2">
      <c r="A80" s="846" t="s">
        <v>2136</v>
      </c>
      <c r="B80" s="811" t="s">
        <v>2106</v>
      </c>
      <c r="C80" s="811" t="s">
        <v>691</v>
      </c>
      <c r="D80" s="811" t="s">
        <v>2105</v>
      </c>
      <c r="E80" s="811">
        <v>7</v>
      </c>
      <c r="F80" s="533">
        <v>11.3</v>
      </c>
      <c r="G80" s="533">
        <f t="shared" si="2"/>
        <v>79.099999999999994</v>
      </c>
    </row>
    <row r="81" spans="1:7" ht="19.5" customHeight="1" x14ac:dyDescent="0.2">
      <c r="A81" s="846" t="s">
        <v>2137</v>
      </c>
      <c r="B81" s="811" t="s">
        <v>2108</v>
      </c>
      <c r="C81" s="811" t="s">
        <v>691</v>
      </c>
      <c r="D81" s="811" t="s">
        <v>2107</v>
      </c>
      <c r="E81" s="811">
        <v>7</v>
      </c>
      <c r="F81" s="533">
        <v>7.4</v>
      </c>
      <c r="G81" s="533">
        <f t="shared" si="2"/>
        <v>51.8</v>
      </c>
    </row>
    <row r="82" spans="1:7" ht="19.5" customHeight="1" x14ac:dyDescent="0.2">
      <c r="A82" s="846" t="s">
        <v>2138</v>
      </c>
      <c r="B82" s="811" t="s">
        <v>2110</v>
      </c>
      <c r="C82" s="811" t="s">
        <v>691</v>
      </c>
      <c r="D82" s="811" t="s">
        <v>2109</v>
      </c>
      <c r="E82" s="811">
        <v>7</v>
      </c>
      <c r="F82" s="533">
        <v>12.2</v>
      </c>
      <c r="G82" s="533">
        <f t="shared" si="1"/>
        <v>85.4</v>
      </c>
    </row>
    <row r="83" spans="1:7" ht="19.5" customHeight="1" x14ac:dyDescent="0.2">
      <c r="A83" s="846" t="s">
        <v>2139</v>
      </c>
      <c r="B83" s="811" t="s">
        <v>2112</v>
      </c>
      <c r="C83" s="811" t="s">
        <v>691</v>
      </c>
      <c r="D83" s="811" t="s">
        <v>2111</v>
      </c>
      <c r="E83" s="811">
        <v>7</v>
      </c>
      <c r="F83" s="533">
        <v>4.8</v>
      </c>
      <c r="G83" s="533">
        <f t="shared" ref="G83" si="3">E83*F83</f>
        <v>33.6</v>
      </c>
    </row>
    <row r="84" spans="1:7" ht="19.5" customHeight="1" x14ac:dyDescent="0.2">
      <c r="A84" s="846" t="s">
        <v>2140</v>
      </c>
      <c r="B84" s="811" t="s">
        <v>2114</v>
      </c>
      <c r="C84" s="811" t="s">
        <v>691</v>
      </c>
      <c r="D84" s="811" t="s">
        <v>2113</v>
      </c>
      <c r="E84" s="811">
        <v>7</v>
      </c>
      <c r="F84" s="533">
        <v>8.6999999999999993</v>
      </c>
      <c r="G84" s="533">
        <f t="shared" ref="G84" si="4">E84*F84</f>
        <v>60.9</v>
      </c>
    </row>
    <row r="85" spans="1:7" ht="19.5" customHeight="1" x14ac:dyDescent="0.2">
      <c r="A85" s="846" t="s">
        <v>2141</v>
      </c>
      <c r="B85" s="811" t="s">
        <v>2116</v>
      </c>
      <c r="C85" s="811" t="s">
        <v>691</v>
      </c>
      <c r="D85" s="811" t="s">
        <v>2115</v>
      </c>
      <c r="E85" s="811">
        <v>7</v>
      </c>
      <c r="F85" s="533">
        <v>9.6</v>
      </c>
      <c r="G85" s="533">
        <f t="shared" ref="G85" si="5">E85*F85</f>
        <v>67.2</v>
      </c>
    </row>
    <row r="86" spans="1:7" ht="14.25" customHeight="1" x14ac:dyDescent="0.2">
      <c r="A86" s="1372" t="s">
        <v>957</v>
      </c>
      <c r="B86" s="1372"/>
      <c r="C86" s="1372"/>
      <c r="D86" s="1372"/>
      <c r="E86" s="1372"/>
      <c r="F86" s="1372"/>
      <c r="G86" s="787">
        <f>G51+G50+G49+G47+G46+G45+G44+G43+G42+G41+G40+G39+G38+SUM(G53:G85)</f>
        <v>29621.5</v>
      </c>
    </row>
    <row r="87" spans="1:7" ht="16.5" customHeight="1" x14ac:dyDescent="0.2">
      <c r="A87" s="1372" t="s">
        <v>702</v>
      </c>
      <c r="B87" s="1372"/>
      <c r="C87" s="1372"/>
      <c r="D87" s="1372"/>
      <c r="E87" s="1372"/>
      <c r="F87" s="1372"/>
      <c r="G87" s="1372"/>
    </row>
    <row r="88" spans="1:7" ht="17.25" customHeight="1" x14ac:dyDescent="0.2">
      <c r="A88" s="786" t="s">
        <v>762</v>
      </c>
      <c r="B88" s="811" t="s">
        <v>958</v>
      </c>
      <c r="C88" s="793" t="s">
        <v>959</v>
      </c>
      <c r="D88" s="811" t="s">
        <v>960</v>
      </c>
      <c r="E88" s="811">
        <v>1</v>
      </c>
      <c r="F88" s="811">
        <v>200</v>
      </c>
      <c r="G88" s="534">
        <f>E88*F88*1.4</f>
        <v>280</v>
      </c>
    </row>
    <row r="89" spans="1:7" ht="39.75" customHeight="1" x14ac:dyDescent="0.2">
      <c r="A89" s="786" t="s">
        <v>763</v>
      </c>
      <c r="B89" s="811" t="s">
        <v>1926</v>
      </c>
      <c r="C89" s="811" t="s">
        <v>907</v>
      </c>
      <c r="D89" s="811" t="s">
        <v>961</v>
      </c>
      <c r="E89" s="811">
        <f>E14</f>
        <v>12.5</v>
      </c>
      <c r="F89" s="534">
        <v>23.4</v>
      </c>
      <c r="G89" s="534">
        <f>E89*F89</f>
        <v>292.5</v>
      </c>
    </row>
    <row r="90" spans="1:7" ht="24.75" customHeight="1" x14ac:dyDescent="0.2">
      <c r="A90" s="786" t="s">
        <v>764</v>
      </c>
      <c r="B90" s="811" t="s">
        <v>1925</v>
      </c>
      <c r="C90" s="811" t="s">
        <v>907</v>
      </c>
      <c r="D90" s="811" t="s">
        <v>1922</v>
      </c>
      <c r="E90" s="811">
        <f>E15</f>
        <v>12.5</v>
      </c>
      <c r="F90" s="534">
        <v>2.41</v>
      </c>
      <c r="G90" s="534">
        <f>E90*F90</f>
        <v>30.13</v>
      </c>
    </row>
    <row r="91" spans="1:7" ht="54.75" customHeight="1" x14ac:dyDescent="0.2">
      <c r="A91" s="786" t="s">
        <v>765</v>
      </c>
      <c r="B91" s="811" t="s">
        <v>909</v>
      </c>
      <c r="C91" s="811" t="s">
        <v>479</v>
      </c>
      <c r="D91" s="932" t="s">
        <v>910</v>
      </c>
      <c r="E91" s="811">
        <f>E16</f>
        <v>12.5</v>
      </c>
      <c r="F91" s="533">
        <v>3.4</v>
      </c>
      <c r="G91" s="533">
        <f>F91*E91*1.3</f>
        <v>55.25</v>
      </c>
    </row>
    <row r="92" spans="1:7" ht="25.5" x14ac:dyDescent="0.2">
      <c r="A92" s="786" t="s">
        <v>766</v>
      </c>
      <c r="B92" s="811" t="s">
        <v>962</v>
      </c>
      <c r="C92" s="811" t="s">
        <v>493</v>
      </c>
      <c r="D92" s="938" t="s">
        <v>963</v>
      </c>
      <c r="E92" s="811">
        <f>E17</f>
        <v>10</v>
      </c>
      <c r="F92" s="534">
        <v>13.3</v>
      </c>
      <c r="G92" s="534">
        <f>E92*F92</f>
        <v>133</v>
      </c>
    </row>
    <row r="93" spans="1:7" ht="25.5" x14ac:dyDescent="0.2">
      <c r="A93" s="786" t="s">
        <v>767</v>
      </c>
      <c r="B93" s="811" t="s">
        <v>1930</v>
      </c>
      <c r="C93" s="811" t="s">
        <v>1928</v>
      </c>
      <c r="D93" s="811" t="s">
        <v>1929</v>
      </c>
      <c r="E93" s="811">
        <f>E18</f>
        <v>30</v>
      </c>
      <c r="F93" s="534">
        <v>14.8</v>
      </c>
      <c r="G93" s="534">
        <f>E93*F93</f>
        <v>444</v>
      </c>
    </row>
    <row r="94" spans="1:7" x14ac:dyDescent="0.2">
      <c r="A94" s="786" t="s">
        <v>1923</v>
      </c>
      <c r="B94" s="811" t="s">
        <v>964</v>
      </c>
      <c r="C94" s="811" t="s">
        <v>921</v>
      </c>
      <c r="D94" s="938" t="s">
        <v>965</v>
      </c>
      <c r="E94" s="811">
        <f>E24</f>
        <v>0.5</v>
      </c>
      <c r="F94" s="534">
        <v>161</v>
      </c>
      <c r="G94" s="534">
        <f>E94*F94</f>
        <v>80.5</v>
      </c>
    </row>
    <row r="95" spans="1:7" ht="52.5" customHeight="1" x14ac:dyDescent="0.2">
      <c r="A95" s="786" t="s">
        <v>1924</v>
      </c>
      <c r="B95" s="811" t="s">
        <v>966</v>
      </c>
      <c r="C95" s="811" t="s">
        <v>571</v>
      </c>
      <c r="D95" s="811" t="s">
        <v>967</v>
      </c>
      <c r="E95" s="533">
        <f>G86</f>
        <v>29621.5</v>
      </c>
      <c r="F95" s="534">
        <v>0.2</v>
      </c>
      <c r="G95" s="811">
        <f>E95*F95</f>
        <v>5924.3</v>
      </c>
    </row>
    <row r="96" spans="1:7" ht="31.5" customHeight="1" x14ac:dyDescent="0.2">
      <c r="A96" s="1373" t="s">
        <v>968</v>
      </c>
      <c r="B96" s="1373"/>
      <c r="C96" s="1373"/>
      <c r="D96" s="1373"/>
      <c r="E96" s="1373"/>
      <c r="F96" s="1373"/>
      <c r="G96" s="795">
        <f>G95+G94+G92+G91+G89+G88</f>
        <v>6765.55</v>
      </c>
    </row>
    <row r="97" spans="1:8" ht="21" customHeight="1" x14ac:dyDescent="0.2">
      <c r="A97" s="786" t="s">
        <v>2142</v>
      </c>
      <c r="B97" s="811" t="s">
        <v>969</v>
      </c>
      <c r="C97" s="811" t="s">
        <v>893</v>
      </c>
      <c r="D97" s="811" t="s">
        <v>2038</v>
      </c>
      <c r="E97" s="811">
        <v>1</v>
      </c>
      <c r="F97" s="534">
        <f>G88+G89+G92+G95</f>
        <v>6629.8</v>
      </c>
      <c r="G97" s="534">
        <f>F97*0.22</f>
        <v>1458.56</v>
      </c>
    </row>
    <row r="98" spans="1:8" ht="24" customHeight="1" x14ac:dyDescent="0.2">
      <c r="A98" s="1372" t="s">
        <v>970</v>
      </c>
      <c r="B98" s="1372"/>
      <c r="C98" s="1372"/>
      <c r="D98" s="1372"/>
      <c r="E98" s="1372"/>
      <c r="F98" s="1372"/>
      <c r="G98" s="796">
        <f>G96+G97</f>
        <v>8224.11</v>
      </c>
    </row>
    <row r="99" spans="1:8" ht="15" customHeight="1" x14ac:dyDescent="0.2">
      <c r="A99" s="1372" t="s">
        <v>971</v>
      </c>
      <c r="B99" s="1372"/>
      <c r="C99" s="1372"/>
      <c r="D99" s="1372"/>
      <c r="E99" s="1372"/>
      <c r="F99" s="1372"/>
      <c r="G99" s="796">
        <f>(G35+G86+G98)*1.1</f>
        <v>52953.88</v>
      </c>
    </row>
    <row r="100" spans="1:8" x14ac:dyDescent="0.2">
      <c r="A100" s="1395" t="s">
        <v>1896</v>
      </c>
      <c r="B100" s="1395"/>
      <c r="C100" s="1395"/>
      <c r="D100" s="1395"/>
      <c r="E100" s="1395"/>
      <c r="F100" s="1395"/>
      <c r="G100" s="1392">
        <f>G99*54.75</f>
        <v>2899224.93</v>
      </c>
    </row>
    <row r="101" spans="1:8" x14ac:dyDescent="0.2">
      <c r="A101" s="1395"/>
      <c r="B101" s="1395"/>
      <c r="C101" s="1395"/>
      <c r="D101" s="1395"/>
      <c r="E101" s="1395"/>
      <c r="F101" s="1395"/>
      <c r="G101" s="1392"/>
    </row>
    <row r="102" spans="1:8" hidden="1" x14ac:dyDescent="0.2">
      <c r="A102" s="1373" t="s">
        <v>972</v>
      </c>
      <c r="B102" s="1373"/>
      <c r="C102" s="1373"/>
      <c r="D102" s="1373"/>
      <c r="E102" s="1373"/>
      <c r="F102" s="1373"/>
      <c r="G102" s="1373"/>
    </row>
    <row r="103" spans="1:8" ht="31.5" hidden="1" customHeight="1" x14ac:dyDescent="0.2">
      <c r="A103" s="801" t="s">
        <v>1181</v>
      </c>
      <c r="B103" s="804" t="s">
        <v>973</v>
      </c>
      <c r="C103" s="791" t="s">
        <v>974</v>
      </c>
      <c r="D103" s="532"/>
      <c r="E103" s="791">
        <f>1*0</f>
        <v>0</v>
      </c>
      <c r="F103" s="805"/>
      <c r="G103" s="805"/>
    </row>
    <row r="104" spans="1:8" ht="26.25" hidden="1" customHeight="1" x14ac:dyDescent="0.2">
      <c r="A104" s="801" t="s">
        <v>1182</v>
      </c>
      <c r="B104" s="791" t="s">
        <v>975</v>
      </c>
      <c r="C104" s="791" t="s">
        <v>931</v>
      </c>
      <c r="D104" s="1393" t="s">
        <v>976</v>
      </c>
      <c r="E104" s="791">
        <f>E27*0</f>
        <v>0</v>
      </c>
      <c r="F104" s="794">
        <v>1102</v>
      </c>
      <c r="G104" s="802">
        <f>E104*F104</f>
        <v>0</v>
      </c>
      <c r="H104" s="518" t="s">
        <v>2037</v>
      </c>
    </row>
    <row r="105" spans="1:8" ht="24.75" hidden="1" customHeight="1" x14ac:dyDescent="0.2">
      <c r="A105" s="801" t="s">
        <v>1183</v>
      </c>
      <c r="B105" s="791" t="s">
        <v>1944</v>
      </c>
      <c r="C105" s="791" t="s">
        <v>931</v>
      </c>
      <c r="D105" s="1393"/>
      <c r="E105" s="791">
        <f>5*0</f>
        <v>0</v>
      </c>
      <c r="F105" s="794">
        <v>910</v>
      </c>
      <c r="G105" s="802">
        <f>F105*E105</f>
        <v>0</v>
      </c>
    </row>
    <row r="106" spans="1:8" ht="24.75" hidden="1" customHeight="1" x14ac:dyDescent="0.2">
      <c r="A106" s="791"/>
      <c r="B106" s="791" t="s">
        <v>977</v>
      </c>
      <c r="C106" s="791" t="s">
        <v>931</v>
      </c>
      <c r="D106" s="1393"/>
      <c r="E106" s="791">
        <f>5*0</f>
        <v>0</v>
      </c>
      <c r="F106" s="794">
        <v>1121</v>
      </c>
      <c r="G106" s="802">
        <f>F106*E106</f>
        <v>0</v>
      </c>
    </row>
    <row r="107" spans="1:8" s="803" customFormat="1" ht="24.75" hidden="1" customHeight="1" x14ac:dyDescent="0.2">
      <c r="A107" s="790" t="s">
        <v>1184</v>
      </c>
      <c r="B107" s="532" t="s">
        <v>1943</v>
      </c>
      <c r="C107" s="532" t="s">
        <v>931</v>
      </c>
      <c r="D107" s="1393"/>
      <c r="E107" s="532">
        <f>5*0</f>
        <v>0</v>
      </c>
      <c r="F107" s="534">
        <v>666</v>
      </c>
      <c r="G107" s="797">
        <f>F107*E107</f>
        <v>0</v>
      </c>
    </row>
    <row r="108" spans="1:8" s="803" customFormat="1" ht="29.25" hidden="1" customHeight="1" x14ac:dyDescent="0.2">
      <c r="A108" s="790" t="s">
        <v>1185</v>
      </c>
      <c r="B108" s="532" t="s">
        <v>978</v>
      </c>
      <c r="C108" s="532" t="s">
        <v>931</v>
      </c>
      <c r="D108" s="1393"/>
      <c r="E108" s="532">
        <f>5*0</f>
        <v>0</v>
      </c>
      <c r="F108" s="534">
        <v>666</v>
      </c>
      <c r="G108" s="797">
        <f>F108*E108</f>
        <v>0</v>
      </c>
    </row>
    <row r="109" spans="1:8" ht="18.75" hidden="1" customHeight="1" x14ac:dyDescent="0.2">
      <c r="A109" s="845" t="s">
        <v>1186</v>
      </c>
      <c r="B109" s="791" t="s">
        <v>979</v>
      </c>
      <c r="C109" s="791" t="s">
        <v>493</v>
      </c>
      <c r="D109" s="1393"/>
      <c r="E109" s="791">
        <f>2*0</f>
        <v>0</v>
      </c>
      <c r="F109" s="791">
        <v>840.38</v>
      </c>
      <c r="G109" s="802">
        <f>F109*E109</f>
        <v>0</v>
      </c>
    </row>
    <row r="110" spans="1:8" ht="19.5" customHeight="1" x14ac:dyDescent="0.2">
      <c r="A110" s="535"/>
      <c r="B110" s="643" t="s">
        <v>980</v>
      </c>
      <c r="C110" s="532"/>
      <c r="D110" s="532"/>
      <c r="E110" s="535"/>
      <c r="F110" s="535"/>
      <c r="G110" s="798">
        <f>G100+G109+G108+G107+G106+G105+G104</f>
        <v>2899224.93</v>
      </c>
    </row>
    <row r="111" spans="1:8" ht="23.25" customHeight="1" x14ac:dyDescent="0.2">
      <c r="A111" s="1394" t="s">
        <v>981</v>
      </c>
      <c r="B111" s="1394"/>
      <c r="C111" s="799">
        <v>0.2</v>
      </c>
      <c r="D111" s="800"/>
      <c r="E111" s="800"/>
      <c r="F111" s="800"/>
      <c r="G111" s="536">
        <f>G110*1.2</f>
        <v>3479069.92</v>
      </c>
    </row>
    <row r="112" spans="1:8" ht="23.25" customHeight="1" x14ac:dyDescent="0.2">
      <c r="B112" s="1399" t="s">
        <v>982</v>
      </c>
      <c r="C112" s="1399"/>
    </row>
    <row r="113" spans="1:5" ht="18.75" customHeight="1" x14ac:dyDescent="0.2"/>
    <row r="114" spans="1:5" ht="12.75" customHeight="1" x14ac:dyDescent="0.2">
      <c r="A114" s="1400"/>
      <c r="B114" s="1400"/>
      <c r="C114" s="538" t="s">
        <v>983</v>
      </c>
      <c r="E114" s="520"/>
    </row>
    <row r="115" spans="1:5" ht="27" customHeight="1" x14ac:dyDescent="0.2">
      <c r="C115" s="1401"/>
      <c r="D115" s="1401"/>
      <c r="E115" s="1402"/>
    </row>
  </sheetData>
  <mergeCells count="33">
    <mergeCell ref="B112:C112"/>
    <mergeCell ref="A114:B114"/>
    <mergeCell ref="C115:E115"/>
    <mergeCell ref="A99:F99"/>
    <mergeCell ref="A100:F101"/>
    <mergeCell ref="G100:G101"/>
    <mergeCell ref="A102:G102"/>
    <mergeCell ref="D104:D109"/>
    <mergeCell ref="A111:B111"/>
    <mergeCell ref="B48:D48"/>
    <mergeCell ref="E48:G48"/>
    <mergeCell ref="A86:F86"/>
    <mergeCell ref="A87:G87"/>
    <mergeCell ref="A96:F96"/>
    <mergeCell ref="A98:F98"/>
    <mergeCell ref="B52:D52"/>
    <mergeCell ref="A8:C9"/>
    <mergeCell ref="D8:G9"/>
    <mergeCell ref="D10:G10"/>
    <mergeCell ref="B11:G11"/>
    <mergeCell ref="A13:G13"/>
    <mergeCell ref="A28:F28"/>
    <mergeCell ref="A34:F34"/>
    <mergeCell ref="A35:F35"/>
    <mergeCell ref="A36:G36"/>
    <mergeCell ref="B37:D37"/>
    <mergeCell ref="E37:G37"/>
    <mergeCell ref="D6:G6"/>
    <mergeCell ref="A1:G1"/>
    <mergeCell ref="A2:G2"/>
    <mergeCell ref="A4:B4"/>
    <mergeCell ref="D4:G4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4" orientation="portrait" horizontalDpi="1200" r:id="rId1"/>
  <headerFooter>
    <oddFooter>&amp;Rстр.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120" zoomScaleNormal="120" workbookViewId="0">
      <selection activeCell="E22" sqref="E22"/>
    </sheetView>
  </sheetViews>
  <sheetFormatPr defaultColWidth="8.7109375" defaultRowHeight="12.75" x14ac:dyDescent="0.2"/>
  <cols>
    <col min="1" max="1" width="4.7109375" style="180" customWidth="1"/>
    <col min="2" max="2" width="24.7109375" style="180" customWidth="1"/>
    <col min="3" max="3" width="32.7109375" style="180" customWidth="1"/>
    <col min="4" max="4" width="14.28515625" style="180" customWidth="1"/>
    <col min="5" max="5" width="10.28515625" style="180" customWidth="1"/>
    <col min="6" max="6" width="20.85546875" style="180" customWidth="1"/>
    <col min="7" max="7" width="16.5703125" style="237" customWidth="1"/>
    <col min="8" max="8" width="28.5703125" style="180" hidden="1" customWidth="1"/>
    <col min="9" max="16384" width="8.7109375" style="180"/>
  </cols>
  <sheetData>
    <row r="1" spans="1:11" x14ac:dyDescent="0.2">
      <c r="A1" s="1409" t="s">
        <v>337</v>
      </c>
      <c r="B1" s="1409"/>
      <c r="C1" s="1409"/>
      <c r="D1" s="1409"/>
      <c r="E1" s="1409"/>
      <c r="F1" s="1409"/>
      <c r="G1" s="1409"/>
      <c r="H1" s="179"/>
      <c r="I1" s="179"/>
    </row>
    <row r="2" spans="1:11" ht="28.9" customHeight="1" x14ac:dyDescent="0.2">
      <c r="A2" s="1410" t="s">
        <v>984</v>
      </c>
      <c r="B2" s="1410"/>
      <c r="C2" s="1410"/>
      <c r="D2" s="1410"/>
      <c r="E2" s="1410"/>
      <c r="F2" s="1410"/>
      <c r="G2" s="1410"/>
      <c r="H2" s="179"/>
      <c r="I2" s="179"/>
    </row>
    <row r="3" spans="1:11" ht="61.5" customHeight="1" x14ac:dyDescent="0.2">
      <c r="A3" s="181"/>
      <c r="B3" s="183" t="s">
        <v>555</v>
      </c>
      <c r="C3" s="1411" t="s">
        <v>556</v>
      </c>
      <c r="D3" s="1411"/>
      <c r="E3" s="1411"/>
      <c r="F3" s="1411"/>
      <c r="G3" s="184"/>
      <c r="H3" s="179"/>
      <c r="I3" s="179"/>
    </row>
    <row r="4" spans="1:11" s="188" customFormat="1" ht="22.9" customHeight="1" x14ac:dyDescent="0.2">
      <c r="A4" s="185" t="s">
        <v>557</v>
      </c>
      <c r="B4" s="185"/>
      <c r="C4" s="185"/>
      <c r="D4" s="185"/>
      <c r="E4" s="185"/>
      <c r="F4" s="185"/>
      <c r="G4" s="186"/>
      <c r="H4" s="185"/>
      <c r="I4" s="185"/>
      <c r="J4" s="187"/>
    </row>
    <row r="5" spans="1:11" s="188" customFormat="1" ht="18" customHeight="1" x14ac:dyDescent="0.2">
      <c r="A5" s="189" t="s">
        <v>1897</v>
      </c>
      <c r="B5" s="189"/>
      <c r="C5" s="189"/>
      <c r="D5" s="189"/>
      <c r="E5" s="189"/>
      <c r="F5" s="189"/>
      <c r="G5" s="190"/>
      <c r="H5" s="189"/>
      <c r="I5" s="189"/>
      <c r="J5" s="191"/>
      <c r="K5" s="192"/>
    </row>
    <row r="6" spans="1:11" x14ac:dyDescent="0.2">
      <c r="A6" s="1412" t="s">
        <v>2</v>
      </c>
      <c r="B6" s="1412"/>
      <c r="C6" s="1412"/>
      <c r="D6" s="1412"/>
      <c r="E6" s="1412"/>
      <c r="F6" s="1412"/>
      <c r="G6" s="1412"/>
      <c r="H6" s="179"/>
      <c r="I6" s="179"/>
    </row>
    <row r="7" spans="1:11" ht="25.5" x14ac:dyDescent="0.2">
      <c r="A7" s="193" t="s">
        <v>6</v>
      </c>
      <c r="B7" s="193" t="s">
        <v>559</v>
      </c>
      <c r="C7" s="193" t="s">
        <v>334</v>
      </c>
      <c r="D7" s="193" t="s">
        <v>560</v>
      </c>
      <c r="E7" s="193" t="s">
        <v>561</v>
      </c>
      <c r="F7" s="193" t="s">
        <v>562</v>
      </c>
      <c r="G7" s="194" t="s">
        <v>563</v>
      </c>
      <c r="H7" s="179"/>
      <c r="I7" s="179"/>
    </row>
    <row r="8" spans="1:11" x14ac:dyDescent="0.2">
      <c r="A8" s="195">
        <v>1</v>
      </c>
      <c r="B8" s="195">
        <v>2</v>
      </c>
      <c r="C8" s="195">
        <v>3</v>
      </c>
      <c r="D8" s="195">
        <v>4</v>
      </c>
      <c r="E8" s="195">
        <v>5</v>
      </c>
      <c r="F8" s="195">
        <v>6</v>
      </c>
      <c r="G8" s="196">
        <v>7</v>
      </c>
      <c r="H8" s="179"/>
      <c r="I8" s="179"/>
    </row>
    <row r="9" spans="1:11" x14ac:dyDescent="0.2">
      <c r="A9" s="1413" t="s">
        <v>985</v>
      </c>
      <c r="B9" s="1414"/>
      <c r="C9" s="1414"/>
      <c r="D9" s="1414"/>
      <c r="E9" s="1414"/>
      <c r="F9" s="1414"/>
      <c r="G9" s="1415"/>
      <c r="H9" s="179"/>
      <c r="I9" s="179"/>
    </row>
    <row r="10" spans="1:11" ht="63.75" x14ac:dyDescent="0.2">
      <c r="A10" s="200">
        <v>1</v>
      </c>
      <c r="B10" s="198" t="s">
        <v>986</v>
      </c>
      <c r="C10" s="864" t="s">
        <v>987</v>
      </c>
      <c r="D10" s="200" t="s">
        <v>988</v>
      </c>
      <c r="E10" s="200">
        <v>1</v>
      </c>
      <c r="F10" s="199">
        <v>70</v>
      </c>
      <c r="G10" s="208">
        <f>E10*F10</f>
        <v>70</v>
      </c>
      <c r="H10" s="179"/>
      <c r="I10" s="179"/>
    </row>
    <row r="11" spans="1:11" ht="38.25" x14ac:dyDescent="0.2">
      <c r="A11" s="200">
        <v>2</v>
      </c>
      <c r="B11" s="198" t="s">
        <v>989</v>
      </c>
      <c r="C11" s="864" t="s">
        <v>990</v>
      </c>
      <c r="D11" s="203" t="s">
        <v>2143</v>
      </c>
      <c r="E11" s="865">
        <v>0.65</v>
      </c>
      <c r="F11" s="199">
        <v>680</v>
      </c>
      <c r="G11" s="208">
        <f>E11*F11</f>
        <v>442</v>
      </c>
      <c r="H11" s="179"/>
      <c r="I11" s="179"/>
    </row>
    <row r="12" spans="1:11" ht="39" thickBot="1" x14ac:dyDescent="0.25">
      <c r="A12" s="200">
        <v>3</v>
      </c>
      <c r="B12" s="198" t="s">
        <v>2145</v>
      </c>
      <c r="C12" s="864" t="s">
        <v>2144</v>
      </c>
      <c r="D12" s="203" t="s">
        <v>991</v>
      </c>
      <c r="E12" s="203">
        <f>0.03</f>
        <v>0.03</v>
      </c>
      <c r="F12" s="203">
        <v>170</v>
      </c>
      <c r="G12" s="208">
        <f>E12*F12</f>
        <v>5.0999999999999996</v>
      </c>
      <c r="H12" s="205"/>
    </row>
    <row r="13" spans="1:11" ht="13.9" hidden="1" customHeight="1" x14ac:dyDescent="0.2">
      <c r="A13" s="849">
        <v>4</v>
      </c>
      <c r="B13" s="850" t="s">
        <v>567</v>
      </c>
      <c r="C13" s="850" t="s">
        <v>568</v>
      </c>
      <c r="D13" s="850" t="s">
        <v>569</v>
      </c>
      <c r="E13" s="851">
        <v>0</v>
      </c>
      <c r="F13" s="851">
        <v>680</v>
      </c>
      <c r="G13" s="852">
        <f>E13*F13</f>
        <v>0</v>
      </c>
    </row>
    <row r="14" spans="1:11" ht="42" customHeight="1" x14ac:dyDescent="0.2">
      <c r="A14" s="866">
        <v>4</v>
      </c>
      <c r="B14" s="198" t="s">
        <v>992</v>
      </c>
      <c r="C14" s="201" t="s">
        <v>993</v>
      </c>
      <c r="D14" s="203" t="s">
        <v>994</v>
      </c>
      <c r="E14" s="847">
        <v>3</v>
      </c>
      <c r="F14" s="204">
        <v>390</v>
      </c>
      <c r="G14" s="199">
        <f>F14*E14</f>
        <v>1170</v>
      </c>
    </row>
    <row r="15" spans="1:11" ht="29.25" customHeight="1" x14ac:dyDescent="0.2">
      <c r="A15" s="200">
        <v>5</v>
      </c>
      <c r="B15" s="203" t="s">
        <v>995</v>
      </c>
      <c r="C15" s="198" t="s">
        <v>996</v>
      </c>
      <c r="D15" s="203" t="s">
        <v>997</v>
      </c>
      <c r="E15" s="203">
        <v>20</v>
      </c>
      <c r="F15" s="203">
        <v>4.0599999999999996</v>
      </c>
      <c r="G15" s="199">
        <f>F15*E15</f>
        <v>81.2</v>
      </c>
    </row>
    <row r="16" spans="1:11" ht="30.75" hidden="1" customHeight="1" x14ac:dyDescent="0.2">
      <c r="A16" s="200">
        <v>5</v>
      </c>
      <c r="B16" s="203" t="s">
        <v>998</v>
      </c>
      <c r="C16" s="201" t="s">
        <v>999</v>
      </c>
      <c r="D16" s="203" t="s">
        <v>1000</v>
      </c>
      <c r="E16" s="215">
        <v>173</v>
      </c>
      <c r="F16" s="204">
        <v>0</v>
      </c>
      <c r="G16" s="867">
        <f>E16*F16</f>
        <v>0</v>
      </c>
    </row>
    <row r="17" spans="1:9" ht="26.25" hidden="1" customHeight="1" x14ac:dyDescent="0.2">
      <c r="A17" s="868">
        <v>6</v>
      </c>
      <c r="B17" s="212" t="s">
        <v>1001</v>
      </c>
      <c r="C17" s="869" t="s">
        <v>1002</v>
      </c>
      <c r="D17" s="212">
        <v>1</v>
      </c>
      <c r="E17" s="870" t="e">
        <f>#REF!+#REF!+G12+#REF!+G15</f>
        <v>#REF!</v>
      </c>
      <c r="F17" s="871"/>
      <c r="G17" s="867" t="e">
        <f>D17*E17</f>
        <v>#REF!</v>
      </c>
    </row>
    <row r="18" spans="1:9" ht="26.25" customHeight="1" x14ac:dyDescent="0.2">
      <c r="A18" s="200">
        <v>6</v>
      </c>
      <c r="B18" s="198" t="s">
        <v>2146</v>
      </c>
      <c r="C18" s="858" t="s">
        <v>1003</v>
      </c>
      <c r="D18" s="203">
        <v>1.2</v>
      </c>
      <c r="E18" s="204">
        <f>G12+G14+G15</f>
        <v>1256.3</v>
      </c>
      <c r="F18" s="856"/>
      <c r="G18" s="208">
        <f>D18*E18</f>
        <v>1507.56</v>
      </c>
      <c r="H18" s="179"/>
      <c r="I18" s="179"/>
    </row>
    <row r="19" spans="1:9" ht="20.25" customHeight="1" x14ac:dyDescent="0.2">
      <c r="A19" s="1416" t="s">
        <v>570</v>
      </c>
      <c r="B19" s="1417"/>
      <c r="C19" s="1417"/>
      <c r="D19" s="1417"/>
      <c r="E19" s="1417"/>
      <c r="F19" s="1418"/>
      <c r="G19" s="853">
        <f>G18+G10+G11+G12</f>
        <v>2024.66</v>
      </c>
      <c r="H19" s="179"/>
      <c r="I19" s="179"/>
    </row>
    <row r="20" spans="1:9" ht="18" customHeight="1" x14ac:dyDescent="0.2">
      <c r="A20" s="1403" t="s">
        <v>1004</v>
      </c>
      <c r="B20" s="1404"/>
      <c r="C20" s="1404"/>
      <c r="D20" s="1404"/>
      <c r="E20" s="1404"/>
      <c r="F20" s="1404"/>
      <c r="G20" s="1405"/>
      <c r="H20" s="179"/>
      <c r="I20" s="179"/>
    </row>
    <row r="21" spans="1:9" ht="42" customHeight="1" x14ac:dyDescent="0.2">
      <c r="A21" s="200">
        <v>7</v>
      </c>
      <c r="B21" s="201" t="s">
        <v>1005</v>
      </c>
      <c r="C21" s="201" t="s">
        <v>1006</v>
      </c>
      <c r="D21" s="203" t="s">
        <v>1007</v>
      </c>
      <c r="E21" s="539">
        <v>2</v>
      </c>
      <c r="F21" s="203">
        <v>530</v>
      </c>
      <c r="G21" s="540">
        <f>E21*F21</f>
        <v>1060</v>
      </c>
      <c r="H21" s="209"/>
      <c r="I21" s="179"/>
    </row>
    <row r="22" spans="1:9" ht="36" customHeight="1" x14ac:dyDescent="0.2">
      <c r="A22" s="210">
        <v>8</v>
      </c>
      <c r="B22" s="203" t="s">
        <v>1008</v>
      </c>
      <c r="C22" s="212" t="s">
        <v>1009</v>
      </c>
      <c r="D22" s="212" t="s">
        <v>1010</v>
      </c>
      <c r="E22" s="204">
        <f>E15</f>
        <v>20</v>
      </c>
      <c r="F22" s="541">
        <v>0.75</v>
      </c>
      <c r="G22" s="199">
        <f>E22*F22</f>
        <v>15</v>
      </c>
      <c r="H22" s="214"/>
      <c r="I22" s="179"/>
    </row>
    <row r="23" spans="1:9" ht="25.5" x14ac:dyDescent="0.2">
      <c r="A23" s="200">
        <v>9</v>
      </c>
      <c r="B23" s="198" t="s">
        <v>1011</v>
      </c>
      <c r="C23" s="201" t="s">
        <v>1012</v>
      </c>
      <c r="D23" s="203" t="s">
        <v>2153</v>
      </c>
      <c r="E23" s="215">
        <v>1</v>
      </c>
      <c r="F23" s="215">
        <v>78</v>
      </c>
      <c r="G23" s="540">
        <f>E23*F23</f>
        <v>78</v>
      </c>
      <c r="H23" s="216"/>
      <c r="I23" s="179"/>
    </row>
    <row r="24" spans="1:9" x14ac:dyDescent="0.2">
      <c r="A24" s="542"/>
      <c r="B24" s="206"/>
      <c r="C24" s="218" t="s">
        <v>1013</v>
      </c>
      <c r="D24" s="206"/>
      <c r="E24" s="219"/>
      <c r="F24" s="220"/>
      <c r="G24" s="221">
        <f>SUM(G21:G23)</f>
        <v>1153</v>
      </c>
      <c r="H24" s="216"/>
      <c r="I24" s="179"/>
    </row>
    <row r="25" spans="1:9" x14ac:dyDescent="0.2">
      <c r="A25" s="222"/>
      <c r="B25" s="206"/>
      <c r="C25" s="218" t="s">
        <v>1014</v>
      </c>
      <c r="D25" s="222"/>
      <c r="E25" s="222"/>
      <c r="F25" s="218"/>
      <c r="G25" s="223">
        <f>G19+G24</f>
        <v>3177.66</v>
      </c>
      <c r="H25" s="179"/>
      <c r="I25" s="179"/>
    </row>
    <row r="26" spans="1:9" ht="25.5" x14ac:dyDescent="0.2">
      <c r="A26" s="197">
        <v>10</v>
      </c>
      <c r="B26" s="206" t="s">
        <v>1015</v>
      </c>
      <c r="C26" s="226" t="s">
        <v>922</v>
      </c>
      <c r="D26" s="206"/>
      <c r="E26" s="206"/>
      <c r="F26" s="207">
        <v>14.6</v>
      </c>
      <c r="G26" s="223">
        <f>G25*F26</f>
        <v>46393.84</v>
      </c>
      <c r="H26" s="179"/>
      <c r="I26" s="179"/>
    </row>
    <row r="27" spans="1:9" ht="38.25" x14ac:dyDescent="0.2">
      <c r="A27" s="197">
        <v>11</v>
      </c>
      <c r="B27" s="206" t="s">
        <v>1016</v>
      </c>
      <c r="C27" s="226" t="s">
        <v>922</v>
      </c>
      <c r="D27" s="206"/>
      <c r="E27" s="206"/>
      <c r="F27" s="207">
        <v>4</v>
      </c>
      <c r="G27" s="223">
        <f>G26*F27</f>
        <v>185575.36</v>
      </c>
      <c r="H27" s="179"/>
      <c r="I27" s="179"/>
    </row>
    <row r="28" spans="1:9" s="225" customFormat="1" ht="15" customHeight="1" x14ac:dyDescent="0.2">
      <c r="A28" s="1406" t="s">
        <v>1017</v>
      </c>
      <c r="B28" s="1407"/>
      <c r="C28" s="1407"/>
      <c r="D28" s="1407"/>
      <c r="E28" s="1407"/>
      <c r="F28" s="1407"/>
      <c r="G28" s="1408"/>
      <c r="H28" s="224"/>
      <c r="I28" s="224"/>
    </row>
    <row r="29" spans="1:9" ht="131.25" customHeight="1" x14ac:dyDescent="0.2">
      <c r="A29" s="197">
        <v>12</v>
      </c>
      <c r="B29" s="206" t="s">
        <v>1018</v>
      </c>
      <c r="C29" s="226" t="s">
        <v>1019</v>
      </c>
      <c r="D29" s="206"/>
      <c r="E29" s="206"/>
      <c r="F29" s="543">
        <f>540*15*4</f>
        <v>32400</v>
      </c>
      <c r="G29" s="544">
        <f>F29</f>
        <v>32400</v>
      </c>
      <c r="H29" s="179"/>
      <c r="I29" s="179"/>
    </row>
    <row r="30" spans="1:9" ht="15" customHeight="1" x14ac:dyDescent="0.2">
      <c r="A30" s="197"/>
      <c r="B30" s="206"/>
      <c r="C30" s="226" t="s">
        <v>551</v>
      </c>
      <c r="D30" s="206"/>
      <c r="E30" s="206"/>
      <c r="F30" s="543"/>
      <c r="G30" s="544">
        <f>G27+G29</f>
        <v>217975</v>
      </c>
      <c r="H30" s="179"/>
      <c r="I30" s="179"/>
    </row>
    <row r="31" spans="1:9" x14ac:dyDescent="0.2">
      <c r="A31" s="227"/>
      <c r="B31" s="228"/>
      <c r="C31" s="229" t="s">
        <v>1020</v>
      </c>
      <c r="D31" s="228"/>
      <c r="E31" s="228"/>
      <c r="F31" s="228"/>
      <c r="G31" s="223">
        <f>(G27+G29)*1.2</f>
        <v>261570.43</v>
      </c>
      <c r="H31" s="179"/>
      <c r="I31" s="179"/>
    </row>
    <row r="32" spans="1:9" ht="15" customHeight="1" x14ac:dyDescent="0.2">
      <c r="A32" s="230"/>
      <c r="B32" s="230"/>
      <c r="C32" s="231"/>
      <c r="D32" s="232"/>
      <c r="E32" s="232"/>
      <c r="F32" s="232"/>
      <c r="G32" s="233"/>
      <c r="H32" s="179"/>
      <c r="I32" s="179"/>
    </row>
    <row r="33" spans="1:7" x14ac:dyDescent="0.2">
      <c r="A33" s="234"/>
      <c r="B33" s="231"/>
      <c r="C33" s="231"/>
      <c r="D33" s="232"/>
      <c r="E33" s="232"/>
      <c r="F33" s="232"/>
      <c r="G33" s="233"/>
    </row>
    <row r="34" spans="1:7" x14ac:dyDescent="0.2">
      <c r="A34" s="232"/>
      <c r="B34" s="235"/>
      <c r="C34" s="236"/>
      <c r="D34" s="232"/>
      <c r="E34" s="232"/>
      <c r="F34" s="232"/>
      <c r="G34" s="233"/>
    </row>
    <row r="35" spans="1:7" x14ac:dyDescent="0.2">
      <c r="A35" s="232"/>
      <c r="B35" s="235"/>
      <c r="C35" s="235"/>
      <c r="D35" s="232"/>
      <c r="E35" s="232"/>
      <c r="F35" s="232"/>
      <c r="G35" s="233"/>
    </row>
  </sheetData>
  <mergeCells count="8">
    <mergeCell ref="A20:G20"/>
    <mergeCell ref="A28:G28"/>
    <mergeCell ref="A1:G1"/>
    <mergeCell ref="A2:G2"/>
    <mergeCell ref="C3:F3"/>
    <mergeCell ref="A6:G6"/>
    <mergeCell ref="A9:G9"/>
    <mergeCell ref="A19:F19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3" zoomScale="130" zoomScaleNormal="100" zoomScaleSheetLayoutView="130" workbookViewId="0">
      <selection activeCell="B22" sqref="B22:F22"/>
    </sheetView>
  </sheetViews>
  <sheetFormatPr defaultRowHeight="15" x14ac:dyDescent="0.25"/>
  <cols>
    <col min="1" max="1" width="9.140625" style="155"/>
    <col min="2" max="2" width="16" style="155" customWidth="1"/>
    <col min="3" max="3" width="9.140625" style="155"/>
    <col min="4" max="4" width="16.7109375" style="155" customWidth="1"/>
    <col min="5" max="6" width="9.140625" style="155"/>
    <col min="7" max="7" width="14" style="155" customWidth="1"/>
    <col min="8" max="8" width="22.85546875" style="155" customWidth="1"/>
    <col min="9" max="9" width="12" style="155" customWidth="1"/>
    <col min="10" max="10" width="10.85546875" style="155" bestFit="1" customWidth="1"/>
    <col min="11" max="11" width="10.42578125" style="155" customWidth="1"/>
    <col min="12" max="14" width="9.140625" style="155"/>
    <col min="15" max="15" width="93.42578125" style="155" customWidth="1"/>
    <col min="16" max="16384" width="9.140625" style="155"/>
  </cols>
  <sheetData>
    <row r="1" spans="1:13" x14ac:dyDescent="0.25">
      <c r="A1" s="153"/>
      <c r="B1" s="153"/>
      <c r="C1" s="153"/>
      <c r="D1" s="153"/>
      <c r="E1" s="153"/>
      <c r="F1" s="153"/>
      <c r="G1" s="154" t="s">
        <v>530</v>
      </c>
    </row>
    <row r="2" spans="1:13" x14ac:dyDescent="0.25">
      <c r="A2" s="153"/>
      <c r="B2" s="153"/>
      <c r="C2" s="153"/>
      <c r="D2" s="153"/>
      <c r="E2" s="153"/>
      <c r="F2" s="153"/>
      <c r="G2" s="153"/>
    </row>
    <row r="3" spans="1:13" ht="49.5" customHeight="1" x14ac:dyDescent="0.25">
      <c r="A3" s="1445" t="s">
        <v>531</v>
      </c>
      <c r="B3" s="1446"/>
      <c r="C3" s="1446"/>
      <c r="D3" s="1446"/>
      <c r="E3" s="1446"/>
      <c r="F3" s="1446"/>
      <c r="G3" s="1446"/>
    </row>
    <row r="4" spans="1:13" ht="15" customHeight="1" x14ac:dyDescent="0.25">
      <c r="A4" s="153"/>
      <c r="B4" s="153"/>
      <c r="C4" s="156"/>
      <c r="D4" s="157"/>
      <c r="E4" s="157"/>
      <c r="F4" s="156"/>
      <c r="G4" s="158"/>
      <c r="H4" s="159"/>
    </row>
    <row r="5" spans="1:13" ht="36" customHeight="1" x14ac:dyDescent="0.25">
      <c r="A5" s="1447" t="s">
        <v>20</v>
      </c>
      <c r="B5" s="1448"/>
      <c r="C5" s="1449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D5" s="1448"/>
      <c r="E5" s="1448"/>
      <c r="F5" s="1448"/>
      <c r="G5" s="1448"/>
      <c r="H5" s="160"/>
    </row>
    <row r="6" spans="1:13" ht="38.25" customHeight="1" x14ac:dyDescent="0.25">
      <c r="A6" s="1450" t="s">
        <v>23</v>
      </c>
      <c r="B6" s="1448"/>
      <c r="C6" s="1451"/>
      <c r="D6" s="1448"/>
      <c r="E6" s="1448"/>
      <c r="F6" s="1448"/>
      <c r="G6" s="1448"/>
      <c r="H6" s="161"/>
    </row>
    <row r="7" spans="1:13" ht="39" customHeight="1" x14ac:dyDescent="0.25">
      <c r="A7" s="1452" t="s">
        <v>532</v>
      </c>
      <c r="B7" s="1448"/>
      <c r="C7" s="1451" t="s">
        <v>1314</v>
      </c>
      <c r="D7" s="1448"/>
      <c r="E7" s="1448"/>
      <c r="F7" s="1448"/>
      <c r="G7" s="1448"/>
      <c r="H7" s="161"/>
    </row>
    <row r="8" spans="1:13" x14ac:dyDescent="0.25">
      <c r="A8" s="153"/>
      <c r="B8" s="153"/>
      <c r="C8" s="153"/>
      <c r="D8" s="162"/>
      <c r="E8" s="157"/>
      <c r="F8" s="153"/>
      <c r="G8" s="154"/>
    </row>
    <row r="9" spans="1:13" x14ac:dyDescent="0.25">
      <c r="A9" s="1424" t="s">
        <v>0</v>
      </c>
      <c r="B9" s="1424" t="s">
        <v>31</v>
      </c>
      <c r="C9" s="1443" t="s">
        <v>533</v>
      </c>
      <c r="D9" s="1444"/>
      <c r="E9" s="1424" t="s">
        <v>534</v>
      </c>
      <c r="F9" s="1424" t="s">
        <v>535</v>
      </c>
      <c r="G9" s="1424" t="s">
        <v>536</v>
      </c>
    </row>
    <row r="10" spans="1:13" ht="39.75" customHeight="1" x14ac:dyDescent="0.25">
      <c r="A10" s="1441"/>
      <c r="B10" s="1442"/>
      <c r="C10" s="163" t="s">
        <v>537</v>
      </c>
      <c r="D10" s="164" t="s">
        <v>538</v>
      </c>
      <c r="E10" s="1441"/>
      <c r="F10" s="1441"/>
      <c r="G10" s="1441"/>
    </row>
    <row r="11" spans="1:13" x14ac:dyDescent="0.25">
      <c r="A11" s="165">
        <v>1</v>
      </c>
      <c r="B11" s="166">
        <v>2</v>
      </c>
      <c r="C11" s="165">
        <v>3</v>
      </c>
      <c r="D11" s="167">
        <v>4</v>
      </c>
      <c r="E11" s="168">
        <v>5</v>
      </c>
      <c r="F11" s="168">
        <v>6</v>
      </c>
      <c r="G11" s="168">
        <v>7</v>
      </c>
    </row>
    <row r="12" spans="1:13" ht="24" customHeight="1" x14ac:dyDescent="0.25">
      <c r="A12" s="1421">
        <v>1</v>
      </c>
      <c r="B12" s="1424" t="s">
        <v>539</v>
      </c>
      <c r="C12" s="165">
        <v>1</v>
      </c>
      <c r="D12" s="169" t="s">
        <v>540</v>
      </c>
      <c r="E12" s="165">
        <v>1</v>
      </c>
      <c r="F12" s="170">
        <f t="shared" ref="F12:F19" si="0">80077/22</f>
        <v>3639.86</v>
      </c>
      <c r="G12" s="171">
        <f t="shared" ref="G12:G19" si="1">C12*E12*F12</f>
        <v>3639.86</v>
      </c>
      <c r="H12" s="1419" t="s">
        <v>541</v>
      </c>
      <c r="I12" s="1420"/>
      <c r="J12" s="1420"/>
      <c r="K12" s="1420"/>
      <c r="M12" s="240"/>
    </row>
    <row r="13" spans="1:13" x14ac:dyDescent="0.25">
      <c r="A13" s="1422"/>
      <c r="B13" s="1425"/>
      <c r="C13" s="165">
        <v>1</v>
      </c>
      <c r="D13" s="169" t="s">
        <v>542</v>
      </c>
      <c r="E13" s="165">
        <v>2</v>
      </c>
      <c r="F13" s="170">
        <f t="shared" si="0"/>
        <v>3639.86</v>
      </c>
      <c r="G13" s="171">
        <f t="shared" si="1"/>
        <v>7279.72</v>
      </c>
      <c r="H13" s="1419"/>
      <c r="I13" s="1420"/>
      <c r="J13" s="1420"/>
      <c r="K13" s="1420"/>
      <c r="M13" s="240"/>
    </row>
    <row r="14" spans="1:13" x14ac:dyDescent="0.25">
      <c r="A14" s="1422"/>
      <c r="B14" s="1425"/>
      <c r="C14" s="165">
        <v>1</v>
      </c>
      <c r="D14" s="169" t="s">
        <v>543</v>
      </c>
      <c r="E14" s="165">
        <v>2</v>
      </c>
      <c r="F14" s="170">
        <f t="shared" si="0"/>
        <v>3639.86</v>
      </c>
      <c r="G14" s="171">
        <f t="shared" si="1"/>
        <v>7279.72</v>
      </c>
      <c r="H14" s="1419"/>
      <c r="I14" s="1420"/>
      <c r="J14" s="1420"/>
      <c r="K14" s="1420"/>
      <c r="M14" s="240"/>
    </row>
    <row r="15" spans="1:13" ht="24" x14ac:dyDescent="0.25">
      <c r="A15" s="1423"/>
      <c r="B15" s="1423"/>
      <c r="C15" s="165">
        <v>1</v>
      </c>
      <c r="D15" s="169" t="s">
        <v>544</v>
      </c>
      <c r="E15" s="165">
        <v>2</v>
      </c>
      <c r="F15" s="170">
        <f t="shared" si="0"/>
        <v>3639.86</v>
      </c>
      <c r="G15" s="171">
        <f t="shared" si="1"/>
        <v>7279.72</v>
      </c>
      <c r="H15" s="1419"/>
      <c r="I15" s="1420"/>
      <c r="J15" s="1420"/>
      <c r="K15" s="1420"/>
      <c r="M15" s="240"/>
    </row>
    <row r="16" spans="1:13" ht="24" x14ac:dyDescent="0.25">
      <c r="A16" s="1421">
        <v>2</v>
      </c>
      <c r="B16" s="1424" t="s">
        <v>545</v>
      </c>
      <c r="C16" s="165">
        <v>1</v>
      </c>
      <c r="D16" s="169" t="s">
        <v>540</v>
      </c>
      <c r="E16" s="165">
        <v>1</v>
      </c>
      <c r="F16" s="170">
        <f t="shared" si="0"/>
        <v>3639.86</v>
      </c>
      <c r="G16" s="171">
        <f t="shared" si="1"/>
        <v>3639.86</v>
      </c>
      <c r="H16" s="1419"/>
      <c r="I16" s="1420"/>
      <c r="J16" s="1420"/>
      <c r="K16" s="1420"/>
      <c r="M16" s="240"/>
    </row>
    <row r="17" spans="1:13" x14ac:dyDescent="0.25">
      <c r="A17" s="1422"/>
      <c r="B17" s="1425"/>
      <c r="C17" s="165">
        <v>1</v>
      </c>
      <c r="D17" s="169" t="s">
        <v>542</v>
      </c>
      <c r="E17" s="165">
        <v>2</v>
      </c>
      <c r="F17" s="170">
        <f t="shared" si="0"/>
        <v>3639.86</v>
      </c>
      <c r="G17" s="171">
        <f t="shared" si="1"/>
        <v>7279.72</v>
      </c>
      <c r="H17" s="1419"/>
      <c r="I17" s="1420"/>
      <c r="J17" s="1420"/>
      <c r="K17" s="1420"/>
      <c r="M17" s="240"/>
    </row>
    <row r="18" spans="1:13" x14ac:dyDescent="0.25">
      <c r="A18" s="1422"/>
      <c r="B18" s="1425"/>
      <c r="C18" s="165">
        <v>1</v>
      </c>
      <c r="D18" s="169" t="s">
        <v>543</v>
      </c>
      <c r="E18" s="165">
        <v>2</v>
      </c>
      <c r="F18" s="170">
        <f t="shared" si="0"/>
        <v>3639.86</v>
      </c>
      <c r="G18" s="171">
        <f t="shared" si="1"/>
        <v>7279.72</v>
      </c>
      <c r="H18" s="1419"/>
      <c r="I18" s="1420"/>
      <c r="J18" s="1420"/>
      <c r="K18" s="1420"/>
      <c r="M18" s="240"/>
    </row>
    <row r="19" spans="1:13" ht="24" x14ac:dyDescent="0.25">
      <c r="A19" s="1423"/>
      <c r="B19" s="1423"/>
      <c r="C19" s="165">
        <v>1</v>
      </c>
      <c r="D19" s="169" t="s">
        <v>544</v>
      </c>
      <c r="E19" s="165">
        <v>1</v>
      </c>
      <c r="F19" s="170">
        <f t="shared" si="0"/>
        <v>3639.86</v>
      </c>
      <c r="G19" s="171">
        <f t="shared" si="1"/>
        <v>3639.86</v>
      </c>
      <c r="H19" s="1419"/>
      <c r="I19" s="1420"/>
      <c r="J19" s="1420"/>
      <c r="K19" s="1420"/>
      <c r="M19" s="240"/>
    </row>
    <row r="20" spans="1:13" x14ac:dyDescent="0.25">
      <c r="A20" s="165">
        <v>3</v>
      </c>
      <c r="B20" s="1431" t="s">
        <v>546</v>
      </c>
      <c r="C20" s="1432"/>
      <c r="D20" s="1432"/>
      <c r="E20" s="1432"/>
      <c r="F20" s="1432"/>
      <c r="G20" s="171">
        <f>SUM(G12:G19)</f>
        <v>47318.18</v>
      </c>
    </row>
    <row r="21" spans="1:13" ht="34.5" customHeight="1" x14ac:dyDescent="0.25">
      <c r="A21" s="165">
        <v>4</v>
      </c>
      <c r="B21" s="1428" t="s">
        <v>547</v>
      </c>
      <c r="C21" s="1429"/>
      <c r="D21" s="1429"/>
      <c r="E21" s="1429"/>
      <c r="F21" s="1430"/>
      <c r="G21" s="171">
        <f>G20*0.3</f>
        <v>14195.45</v>
      </c>
    </row>
    <row r="22" spans="1:13" s="172" customFormat="1" x14ac:dyDescent="0.25">
      <c r="A22" s="165">
        <v>5</v>
      </c>
      <c r="B22" s="1431" t="s">
        <v>548</v>
      </c>
      <c r="C22" s="1432"/>
      <c r="D22" s="1432"/>
      <c r="E22" s="1432"/>
      <c r="F22" s="1432"/>
      <c r="G22" s="171">
        <f>(G20)*0.85</f>
        <v>40220.449999999997</v>
      </c>
    </row>
    <row r="23" spans="1:13" s="172" customFormat="1" x14ac:dyDescent="0.25">
      <c r="A23" s="165">
        <v>6</v>
      </c>
      <c r="B23" s="1433" t="s">
        <v>549</v>
      </c>
      <c r="C23" s="1434"/>
      <c r="D23" s="1434"/>
      <c r="E23" s="1434"/>
      <c r="F23" s="1434"/>
      <c r="G23" s="171">
        <f>G20+G21+G22</f>
        <v>101734.08</v>
      </c>
    </row>
    <row r="24" spans="1:13" s="172" customFormat="1" x14ac:dyDescent="0.25">
      <c r="A24" s="165">
        <v>7</v>
      </c>
      <c r="B24" s="1433" t="s">
        <v>550</v>
      </c>
      <c r="C24" s="1434"/>
      <c r="D24" s="1434"/>
      <c r="E24" s="1434"/>
      <c r="F24" s="1434"/>
      <c r="G24" s="171">
        <f>(G20+G21+G22)*0.1</f>
        <v>10173.41</v>
      </c>
    </row>
    <row r="25" spans="1:13" s="172" customFormat="1" x14ac:dyDescent="0.25">
      <c r="A25" s="173">
        <v>8</v>
      </c>
      <c r="B25" s="1435" t="s">
        <v>551</v>
      </c>
      <c r="C25" s="1436"/>
      <c r="D25" s="1436"/>
      <c r="E25" s="1436"/>
      <c r="F25" s="1437"/>
      <c r="G25" s="174">
        <f>G23+G24</f>
        <v>111907.49</v>
      </c>
    </row>
    <row r="26" spans="1:13" x14ac:dyDescent="0.25">
      <c r="A26" s="173">
        <v>9</v>
      </c>
      <c r="B26" s="1435" t="s">
        <v>552</v>
      </c>
      <c r="C26" s="1436"/>
      <c r="D26" s="1436"/>
      <c r="E26" s="1436"/>
      <c r="F26" s="1437"/>
      <c r="G26" s="174">
        <f>G25*0.2</f>
        <v>22381.5</v>
      </c>
    </row>
    <row r="27" spans="1:13" x14ac:dyDescent="0.25">
      <c r="A27" s="173">
        <v>10</v>
      </c>
      <c r="B27" s="1438" t="s">
        <v>553</v>
      </c>
      <c r="C27" s="1439"/>
      <c r="D27" s="1439"/>
      <c r="E27" s="1439"/>
      <c r="F27" s="1440"/>
      <c r="G27" s="175">
        <f>G25+G26</f>
        <v>134288.99</v>
      </c>
      <c r="J27" s="238"/>
      <c r="K27" s="239"/>
    </row>
    <row r="28" spans="1:13" x14ac:dyDescent="0.25">
      <c r="A28" s="153"/>
      <c r="B28" s="153"/>
      <c r="C28" s="153"/>
      <c r="D28" s="153"/>
      <c r="E28" s="153"/>
      <c r="F28" s="176"/>
      <c r="G28" s="153"/>
    </row>
    <row r="29" spans="1:13" ht="12" customHeight="1" x14ac:dyDescent="0.25">
      <c r="A29" s="153"/>
      <c r="B29" s="153"/>
      <c r="C29" s="153"/>
      <c r="D29" s="153"/>
      <c r="E29" s="153"/>
      <c r="F29" s="153"/>
      <c r="G29" s="153"/>
    </row>
    <row r="30" spans="1:13" ht="24" customHeight="1" x14ac:dyDescent="0.25">
      <c r="A30" s="177"/>
      <c r="B30" s="1426"/>
      <c r="C30" s="1426"/>
      <c r="D30" s="1426"/>
      <c r="E30" s="178"/>
      <c r="F30" s="1427"/>
      <c r="G30" s="1427"/>
    </row>
    <row r="31" spans="1:13" ht="24" customHeight="1" x14ac:dyDescent="0.25">
      <c r="A31" s="177"/>
      <c r="B31" s="1426"/>
      <c r="C31" s="1426"/>
      <c r="D31" s="1426"/>
      <c r="E31" s="178"/>
      <c r="F31" s="1427"/>
      <c r="G31" s="1427"/>
    </row>
    <row r="32" spans="1:13" ht="24" customHeight="1" x14ac:dyDescent="0.25">
      <c r="A32" s="177"/>
      <c r="B32" s="1426"/>
      <c r="C32" s="1426"/>
      <c r="D32" s="1426"/>
      <c r="E32" s="178"/>
      <c r="F32" s="1427"/>
      <c r="G32" s="1427"/>
    </row>
  </sheetData>
  <mergeCells count="32">
    <mergeCell ref="G9:G10"/>
    <mergeCell ref="A3:G3"/>
    <mergeCell ref="A5:B5"/>
    <mergeCell ref="C5:G5"/>
    <mergeCell ref="A6:B6"/>
    <mergeCell ref="C6:G6"/>
    <mergeCell ref="A7:B7"/>
    <mergeCell ref="C7:G7"/>
    <mergeCell ref="B20:F20"/>
    <mergeCell ref="A9:A10"/>
    <mergeCell ref="B9:B10"/>
    <mergeCell ref="C9:D9"/>
    <mergeCell ref="E9:E10"/>
    <mergeCell ref="F9:F10"/>
    <mergeCell ref="A12:A15"/>
    <mergeCell ref="B12:B15"/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view="pageBreakPreview" zoomScaleNormal="100" zoomScaleSheetLayoutView="100" workbookViewId="0">
      <selection activeCell="J121" sqref="J121"/>
    </sheetView>
  </sheetViews>
  <sheetFormatPr defaultRowHeight="15.75" outlineLevelRow="2" x14ac:dyDescent="0.25"/>
  <cols>
    <col min="1" max="1" width="9.140625" style="9"/>
    <col min="2" max="2" width="28.85546875" style="708" customWidth="1"/>
    <col min="3" max="3" width="20.42578125" style="9" customWidth="1"/>
    <col min="4" max="4" width="11.7109375" style="9" customWidth="1"/>
    <col min="5" max="5" width="28.140625" style="9" customWidth="1"/>
    <col min="6" max="6" width="12.5703125" style="9" customWidth="1"/>
    <col min="7" max="7" width="13.7109375" style="9" customWidth="1"/>
    <col min="8" max="8" width="12.42578125" style="9" customWidth="1"/>
    <col min="9" max="9" width="11.42578125" style="9" customWidth="1"/>
    <col min="10" max="10" width="15.140625" style="9" customWidth="1"/>
    <col min="11" max="11" width="15" style="9" customWidth="1"/>
    <col min="12" max="12" width="20.42578125" style="9" customWidth="1"/>
    <col min="13" max="13" width="20.85546875" style="9" customWidth="1"/>
    <col min="14" max="14" width="27" style="9" customWidth="1"/>
    <col min="15" max="16384" width="9.140625" style="9"/>
  </cols>
  <sheetData>
    <row r="1" spans="1:14" ht="39" customHeight="1" x14ac:dyDescent="0.25">
      <c r="A1" s="1004" t="s">
        <v>66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671"/>
    </row>
    <row r="2" spans="1:14" ht="18.75" x14ac:dyDescent="0.3">
      <c r="A2" s="1005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642"/>
    </row>
    <row r="4" spans="1:14" x14ac:dyDescent="0.25">
      <c r="A4" s="1024" t="s">
        <v>67</v>
      </c>
      <c r="B4" s="1025" t="s">
        <v>68</v>
      </c>
      <c r="C4" s="1006" t="s">
        <v>69</v>
      </c>
      <c r="D4" s="1025" t="s">
        <v>70</v>
      </c>
      <c r="E4" s="1026" t="s">
        <v>71</v>
      </c>
      <c r="F4" s="1027"/>
      <c r="G4" s="1027"/>
      <c r="H4" s="1027"/>
      <c r="I4" s="1028"/>
      <c r="J4" s="1006" t="s">
        <v>72</v>
      </c>
      <c r="K4" s="1006" t="s">
        <v>339</v>
      </c>
      <c r="L4" s="1006" t="s">
        <v>73</v>
      </c>
      <c r="M4" s="1006" t="s">
        <v>74</v>
      </c>
      <c r="N4" s="1024" t="s">
        <v>1122</v>
      </c>
    </row>
    <row r="5" spans="1:14" ht="117" customHeight="1" x14ac:dyDescent="0.25">
      <c r="A5" s="1024"/>
      <c r="B5" s="1025"/>
      <c r="C5" s="1007"/>
      <c r="D5" s="1025"/>
      <c r="E5" s="672" t="s">
        <v>75</v>
      </c>
      <c r="F5" s="673" t="s">
        <v>76</v>
      </c>
      <c r="G5" s="23" t="s">
        <v>77</v>
      </c>
      <c r="H5" s="23" t="s">
        <v>70</v>
      </c>
      <c r="I5" s="23" t="s">
        <v>78</v>
      </c>
      <c r="J5" s="1007"/>
      <c r="K5" s="1007"/>
      <c r="L5" s="1007"/>
      <c r="M5" s="1007"/>
      <c r="N5" s="1024"/>
    </row>
    <row r="6" spans="1:14" s="767" customFormat="1" ht="18.75" x14ac:dyDescent="0.3">
      <c r="A6" s="713" t="s">
        <v>1255</v>
      </c>
      <c r="B6" s="713" t="s">
        <v>1103</v>
      </c>
      <c r="C6" s="762"/>
      <c r="D6" s="763"/>
      <c r="E6" s="764"/>
      <c r="F6" s="763"/>
      <c r="G6" s="765"/>
      <c r="H6" s="765"/>
      <c r="I6" s="765"/>
      <c r="J6" s="762"/>
      <c r="K6" s="762"/>
      <c r="L6" s="736">
        <f>SUM(L7:L51)</f>
        <v>446909.45</v>
      </c>
      <c r="M6" s="736">
        <f>SUM(M7:M51)</f>
        <v>536291.35</v>
      </c>
      <c r="N6" s="766"/>
    </row>
    <row r="7" spans="1:14" s="683" customFormat="1" ht="102" customHeight="1" outlineLevel="1" x14ac:dyDescent="0.25">
      <c r="A7" s="674" t="s">
        <v>33</v>
      </c>
      <c r="B7" s="675" t="s">
        <v>427</v>
      </c>
      <c r="C7" s="606" t="s">
        <v>323</v>
      </c>
      <c r="D7" s="676">
        <v>396</v>
      </c>
      <c r="E7" s="677" t="s">
        <v>326</v>
      </c>
      <c r="F7" s="606" t="s">
        <v>211</v>
      </c>
      <c r="G7" s="678">
        <v>31558.98</v>
      </c>
      <c r="H7" s="676">
        <v>162</v>
      </c>
      <c r="I7" s="678">
        <f>G7/H7</f>
        <v>194.81</v>
      </c>
      <c r="J7" s="678">
        <f>I7*D7</f>
        <v>77144.759999999995</v>
      </c>
      <c r="K7" s="679">
        <f>$K$121^(3/4)*$K$122*$K$123*$K$124*$K$125*$K$126</f>
        <v>1.3520000000000001</v>
      </c>
      <c r="L7" s="680">
        <f t="shared" ref="L7:L15" si="0">J7*K7</f>
        <v>104299.72</v>
      </c>
      <c r="M7" s="681">
        <f t="shared" ref="M7:M22" si="1">L7*1.2</f>
        <v>125159.66</v>
      </c>
      <c r="N7" s="682"/>
    </row>
    <row r="8" spans="1:14" s="683" customFormat="1" ht="94.5" outlineLevel="1" x14ac:dyDescent="0.25">
      <c r="A8" s="684" t="s">
        <v>34</v>
      </c>
      <c r="B8" s="675" t="s">
        <v>1104</v>
      </c>
      <c r="C8" s="685" t="s">
        <v>479</v>
      </c>
      <c r="D8" s="686">
        <v>0.05</v>
      </c>
      <c r="E8" s="606" t="s">
        <v>328</v>
      </c>
      <c r="F8" s="687">
        <v>44197</v>
      </c>
      <c r="G8" s="688"/>
      <c r="H8" s="686"/>
      <c r="I8" s="688">
        <f>УНЦС!$F$5</f>
        <v>8035.71</v>
      </c>
      <c r="J8" s="688">
        <f t="shared" ref="J8:J17" si="2">D8*I8</f>
        <v>401.79</v>
      </c>
      <c r="K8" s="608">
        <f>$K$125*$K$126</f>
        <v>1.1080000000000001</v>
      </c>
      <c r="L8" s="678">
        <f t="shared" si="0"/>
        <v>445.18</v>
      </c>
      <c r="M8" s="637">
        <f t="shared" si="1"/>
        <v>534.22</v>
      </c>
      <c r="N8" s="682" t="s">
        <v>1293</v>
      </c>
    </row>
    <row r="9" spans="1:14" s="683" customFormat="1" ht="126" outlineLevel="1" x14ac:dyDescent="0.25">
      <c r="A9" s="684" t="s">
        <v>35</v>
      </c>
      <c r="B9" s="675" t="s">
        <v>1105</v>
      </c>
      <c r="C9" s="685" t="s">
        <v>193</v>
      </c>
      <c r="D9" s="686">
        <v>90</v>
      </c>
      <c r="E9" s="606" t="s">
        <v>212</v>
      </c>
      <c r="F9" s="687">
        <v>44197</v>
      </c>
      <c r="G9" s="688"/>
      <c r="H9" s="686"/>
      <c r="I9" s="688">
        <f>УНЦС!$F$76</f>
        <v>23.46</v>
      </c>
      <c r="J9" s="688">
        <f t="shared" si="2"/>
        <v>2111.4</v>
      </c>
      <c r="K9" s="608">
        <f>$K$125*$K$126</f>
        <v>1.1080000000000001</v>
      </c>
      <c r="L9" s="678">
        <f t="shared" si="0"/>
        <v>2339.4299999999998</v>
      </c>
      <c r="M9" s="637">
        <f t="shared" si="1"/>
        <v>2807.32</v>
      </c>
      <c r="N9" s="682"/>
    </row>
    <row r="10" spans="1:14" s="683" customFormat="1" ht="94.5" outlineLevel="1" x14ac:dyDescent="0.25">
      <c r="A10" s="684" t="s">
        <v>111</v>
      </c>
      <c r="B10" s="675" t="s">
        <v>1108</v>
      </c>
      <c r="C10" s="685" t="s">
        <v>479</v>
      </c>
      <c r="D10" s="689">
        <f>0.03</f>
        <v>0.03</v>
      </c>
      <c r="E10" s="606" t="s">
        <v>328</v>
      </c>
      <c r="F10" s="687">
        <v>44197</v>
      </c>
      <c r="G10" s="688"/>
      <c r="H10" s="686"/>
      <c r="I10" s="688">
        <f>УНЦС!$F$11</f>
        <v>9334.58</v>
      </c>
      <c r="J10" s="688">
        <f t="shared" si="2"/>
        <v>280.04000000000002</v>
      </c>
      <c r="K10" s="608">
        <f>$K$125*$K$126</f>
        <v>1.1080000000000001</v>
      </c>
      <c r="L10" s="678">
        <f t="shared" si="0"/>
        <v>310.27999999999997</v>
      </c>
      <c r="M10" s="637">
        <f t="shared" si="1"/>
        <v>372.34</v>
      </c>
      <c r="N10" s="682" t="s">
        <v>1293</v>
      </c>
    </row>
    <row r="11" spans="1:14" s="683" customFormat="1" ht="94.5" outlineLevel="1" x14ac:dyDescent="0.25">
      <c r="A11" s="684" t="s">
        <v>112</v>
      </c>
      <c r="B11" s="675" t="s">
        <v>1107</v>
      </c>
      <c r="C11" s="685" t="s">
        <v>479</v>
      </c>
      <c r="D11" s="686">
        <v>0.05</v>
      </c>
      <c r="E11" s="606" t="s">
        <v>328</v>
      </c>
      <c r="F11" s="687">
        <v>44197</v>
      </c>
      <c r="G11" s="688"/>
      <c r="H11" s="686"/>
      <c r="I11" s="688">
        <f>УНЦС!$F$5</f>
        <v>8035.71</v>
      </c>
      <c r="J11" s="688">
        <f t="shared" si="2"/>
        <v>401.79</v>
      </c>
      <c r="K11" s="608">
        <f>$K$125*$K$126</f>
        <v>1.1080000000000001</v>
      </c>
      <c r="L11" s="678">
        <f t="shared" si="0"/>
        <v>445.18</v>
      </c>
      <c r="M11" s="637">
        <f t="shared" si="1"/>
        <v>534.22</v>
      </c>
      <c r="N11" s="682" t="s">
        <v>1293</v>
      </c>
    </row>
    <row r="12" spans="1:14" s="683" customFormat="1" ht="141.75" outlineLevel="1" x14ac:dyDescent="0.25">
      <c r="A12" s="684" t="s">
        <v>279</v>
      </c>
      <c r="B12" s="94" t="s">
        <v>2156</v>
      </c>
      <c r="C12" s="685" t="s">
        <v>193</v>
      </c>
      <c r="D12" s="686">
        <v>50</v>
      </c>
      <c r="E12" s="606" t="s">
        <v>212</v>
      </c>
      <c r="F12" s="699">
        <v>44197</v>
      </c>
      <c r="G12" s="678"/>
      <c r="H12" s="676"/>
      <c r="I12" s="678">
        <f>УНЦС!$F$70</f>
        <v>32.83</v>
      </c>
      <c r="J12" s="688">
        <f t="shared" si="2"/>
        <v>1641.5</v>
      </c>
      <c r="K12" s="608">
        <f>$K$125*$K$126</f>
        <v>1.1080000000000001</v>
      </c>
      <c r="L12" s="678">
        <f t="shared" si="0"/>
        <v>1818.78</v>
      </c>
      <c r="M12" s="637">
        <f t="shared" si="1"/>
        <v>2182.54</v>
      </c>
      <c r="N12" s="682"/>
    </row>
    <row r="13" spans="1:14" s="683" customFormat="1" ht="94.5" outlineLevel="1" x14ac:dyDescent="0.25">
      <c r="A13" s="684" t="s">
        <v>336</v>
      </c>
      <c r="B13" s="94" t="s">
        <v>2157</v>
      </c>
      <c r="C13" s="685" t="s">
        <v>475</v>
      </c>
      <c r="D13" s="686">
        <v>378</v>
      </c>
      <c r="E13" s="606" t="s">
        <v>326</v>
      </c>
      <c r="F13" s="606" t="s">
        <v>211</v>
      </c>
      <c r="G13" s="688">
        <v>18305.689999999999</v>
      </c>
      <c r="H13" s="686">
        <v>108</v>
      </c>
      <c r="I13" s="688">
        <f>G13/H13</f>
        <v>169.5</v>
      </c>
      <c r="J13" s="688">
        <f t="shared" si="2"/>
        <v>64071</v>
      </c>
      <c r="K13" s="679">
        <f>$K$121^(3/4)*$K$122*$K$123*$K$124*$K$125*$K$126</f>
        <v>1.3520000000000001</v>
      </c>
      <c r="L13" s="678">
        <f t="shared" si="0"/>
        <v>86623.99</v>
      </c>
      <c r="M13" s="637">
        <f t="shared" si="1"/>
        <v>103948.79</v>
      </c>
      <c r="N13" s="682"/>
    </row>
    <row r="14" spans="1:14" s="683" customFormat="1" ht="141.75" outlineLevel="1" x14ac:dyDescent="0.25">
      <c r="A14" s="684" t="s">
        <v>496</v>
      </c>
      <c r="B14" s="94" t="s">
        <v>2158</v>
      </c>
      <c r="C14" s="606" t="s">
        <v>193</v>
      </c>
      <c r="D14" s="694">
        <v>100</v>
      </c>
      <c r="E14" s="691" t="s">
        <v>212</v>
      </c>
      <c r="F14" s="692">
        <v>44197</v>
      </c>
      <c r="G14" s="693"/>
      <c r="H14" s="694"/>
      <c r="I14" s="693">
        <f>УНЦС!$F$64</f>
        <v>21.12</v>
      </c>
      <c r="J14" s="749">
        <f t="shared" si="2"/>
        <v>2112</v>
      </c>
      <c r="K14" s="695">
        <f>$K$125*$K$126</f>
        <v>1.1080000000000001</v>
      </c>
      <c r="L14" s="693">
        <f t="shared" si="0"/>
        <v>2340.1</v>
      </c>
      <c r="M14" s="696">
        <f t="shared" si="1"/>
        <v>2808.12</v>
      </c>
      <c r="N14" s="682"/>
    </row>
    <row r="15" spans="1:14" s="683" customFormat="1" ht="78.75" outlineLevel="1" x14ac:dyDescent="0.25">
      <c r="A15" s="684" t="s">
        <v>497</v>
      </c>
      <c r="B15" s="675" t="s">
        <v>1109</v>
      </c>
      <c r="C15" s="685" t="s">
        <v>479</v>
      </c>
      <c r="D15" s="686">
        <f>0.2</f>
        <v>0.2</v>
      </c>
      <c r="E15" s="606" t="s">
        <v>328</v>
      </c>
      <c r="F15" s="687">
        <v>44197</v>
      </c>
      <c r="G15" s="688"/>
      <c r="H15" s="686"/>
      <c r="I15" s="688">
        <f>УНЦС!$F$18</f>
        <v>4511.09</v>
      </c>
      <c r="J15" s="688">
        <f t="shared" si="2"/>
        <v>902.22</v>
      </c>
      <c r="K15" s="608">
        <f>$K$125*$K$126</f>
        <v>1.1080000000000001</v>
      </c>
      <c r="L15" s="678">
        <f t="shared" si="0"/>
        <v>999.66</v>
      </c>
      <c r="M15" s="637">
        <f t="shared" si="1"/>
        <v>1199.5899999999999</v>
      </c>
      <c r="N15" s="806" t="s">
        <v>1953</v>
      </c>
    </row>
    <row r="16" spans="1:14" s="683" customFormat="1" ht="78.75" outlineLevel="1" x14ac:dyDescent="0.25">
      <c r="A16" s="684" t="s">
        <v>498</v>
      </c>
      <c r="B16" s="675" t="s">
        <v>1110</v>
      </c>
      <c r="C16" s="685" t="s">
        <v>475</v>
      </c>
      <c r="D16" s="686">
        <f>105*3600/1000</f>
        <v>378</v>
      </c>
      <c r="E16" s="691" t="s">
        <v>212</v>
      </c>
      <c r="F16" s="692">
        <v>44197</v>
      </c>
      <c r="G16" s="688"/>
      <c r="H16" s="686"/>
      <c r="I16" s="688">
        <f>УНЦС!$F$24</f>
        <v>40.31</v>
      </c>
      <c r="J16" s="749">
        <f t="shared" si="2"/>
        <v>15237.18</v>
      </c>
      <c r="K16" s="695">
        <f>$K$125*$K$126</f>
        <v>1.1080000000000001</v>
      </c>
      <c r="L16" s="693">
        <f>J16*K16*0</f>
        <v>0</v>
      </c>
      <c r="M16" s="696">
        <f t="shared" si="1"/>
        <v>0</v>
      </c>
      <c r="N16" s="682" t="s">
        <v>1312</v>
      </c>
    </row>
    <row r="17" spans="1:15" s="683" customFormat="1" ht="157.5" outlineLevel="1" x14ac:dyDescent="0.25">
      <c r="A17" s="684" t="s">
        <v>499</v>
      </c>
      <c r="B17" s="675" t="s">
        <v>1254</v>
      </c>
      <c r="C17" s="685" t="s">
        <v>479</v>
      </c>
      <c r="D17" s="686">
        <f>2.9</f>
        <v>2.9</v>
      </c>
      <c r="E17" s="606" t="s">
        <v>328</v>
      </c>
      <c r="F17" s="687">
        <v>44197</v>
      </c>
      <c r="G17" s="688"/>
      <c r="H17" s="686"/>
      <c r="I17" s="688">
        <f>УНЦС!$F$30</f>
        <v>10996</v>
      </c>
      <c r="J17" s="688">
        <f t="shared" si="2"/>
        <v>31888.400000000001</v>
      </c>
      <c r="K17" s="608">
        <f>$K$125*$K$126</f>
        <v>1.1080000000000001</v>
      </c>
      <c r="L17" s="678">
        <f>J17*K17</f>
        <v>35332.35</v>
      </c>
      <c r="M17" s="637">
        <f t="shared" si="1"/>
        <v>42398.82</v>
      </c>
      <c r="N17" s="690" t="s">
        <v>1259</v>
      </c>
    </row>
    <row r="18" spans="1:15" s="683" customFormat="1" ht="110.25" outlineLevel="1" x14ac:dyDescent="0.25">
      <c r="A18" s="684" t="s">
        <v>500</v>
      </c>
      <c r="B18" s="675" t="s">
        <v>1112</v>
      </c>
      <c r="C18" s="685" t="s">
        <v>1113</v>
      </c>
      <c r="D18" s="686">
        <v>25</v>
      </c>
      <c r="E18" s="606"/>
      <c r="F18" s="606"/>
      <c r="G18" s="678"/>
      <c r="H18" s="676"/>
      <c r="I18" s="678"/>
      <c r="J18" s="678"/>
      <c r="K18" s="608"/>
      <c r="L18" s="678"/>
      <c r="M18" s="637"/>
      <c r="N18" s="690" t="s">
        <v>1123</v>
      </c>
    </row>
    <row r="19" spans="1:15" s="683" customFormat="1" ht="94.5" outlineLevel="1" x14ac:dyDescent="0.25">
      <c r="A19" s="684" t="s">
        <v>2004</v>
      </c>
      <c r="B19" s="675" t="s">
        <v>2003</v>
      </c>
      <c r="C19" s="703" t="s">
        <v>313</v>
      </c>
      <c r="D19" s="704">
        <v>25</v>
      </c>
      <c r="E19" s="606" t="s">
        <v>1961</v>
      </c>
      <c r="F19" s="687" t="s">
        <v>194</v>
      </c>
      <c r="G19" s="705">
        <f>11865.561</f>
        <v>11865.56</v>
      </c>
      <c r="H19" s="704">
        <v>46</v>
      </c>
      <c r="I19" s="705">
        <f>G19/H19</f>
        <v>257.95</v>
      </c>
      <c r="J19" s="705">
        <f>D19*I19</f>
        <v>6448.75</v>
      </c>
      <c r="K19" s="608">
        <f>$K$120^(1/2)*$K$121*$K$122*$K$123*$K$124*$K$125*$K$126</f>
        <v>1.407</v>
      </c>
      <c r="L19" s="637">
        <f t="shared" ref="L19:L25" si="3">J19*K19</f>
        <v>9073.39</v>
      </c>
      <c r="M19" s="637">
        <f t="shared" si="1"/>
        <v>10888.07</v>
      </c>
      <c r="N19" s="690"/>
    </row>
    <row r="20" spans="1:15" s="683" customFormat="1" ht="94.5" outlineLevel="1" x14ac:dyDescent="0.25">
      <c r="A20" s="684" t="s">
        <v>2005</v>
      </c>
      <c r="B20" s="675" t="s">
        <v>2002</v>
      </c>
      <c r="C20" s="703" t="s">
        <v>313</v>
      </c>
      <c r="D20" s="704">
        <v>25</v>
      </c>
      <c r="E20" s="606" t="s">
        <v>1961</v>
      </c>
      <c r="F20" s="687" t="s">
        <v>194</v>
      </c>
      <c r="G20" s="705">
        <f>6857.383</f>
        <v>6857.38</v>
      </c>
      <c r="H20" s="704">
        <v>21</v>
      </c>
      <c r="I20" s="705">
        <f>G20/H20</f>
        <v>326.54000000000002</v>
      </c>
      <c r="J20" s="705">
        <f>D20*I20</f>
        <v>8163.5</v>
      </c>
      <c r="K20" s="608">
        <f>$K$120^(1/2)*$K$121*$K$122*$K$123*$K$124*$K$125*$K$126</f>
        <v>1.407</v>
      </c>
      <c r="L20" s="637">
        <f t="shared" si="3"/>
        <v>11486.04</v>
      </c>
      <c r="M20" s="637">
        <f t="shared" si="1"/>
        <v>13783.25</v>
      </c>
      <c r="N20" s="690"/>
    </row>
    <row r="21" spans="1:15" s="683" customFormat="1" ht="94.5" outlineLevel="1" x14ac:dyDescent="0.25">
      <c r="A21" s="684" t="s">
        <v>2006</v>
      </c>
      <c r="B21" s="675" t="s">
        <v>1236</v>
      </c>
      <c r="C21" s="703" t="s">
        <v>313</v>
      </c>
      <c r="D21" s="704">
        <v>25</v>
      </c>
      <c r="E21" s="606" t="s">
        <v>1961</v>
      </c>
      <c r="F21" s="687" t="s">
        <v>194</v>
      </c>
      <c r="G21" s="705">
        <v>83230.320000000007</v>
      </c>
      <c r="H21" s="704">
        <v>21</v>
      </c>
      <c r="I21" s="705">
        <f>G21/H21</f>
        <v>3963.35</v>
      </c>
      <c r="J21" s="705">
        <f>D21*I21</f>
        <v>99083.75</v>
      </c>
      <c r="K21" s="608">
        <f>$K$120^(1/2)*$K$121*$K$122*$K$123*$K$124*$K$125*$K$126</f>
        <v>1.407</v>
      </c>
      <c r="L21" s="637">
        <f t="shared" si="3"/>
        <v>139410.84</v>
      </c>
      <c r="M21" s="637">
        <f t="shared" si="1"/>
        <v>167293.01</v>
      </c>
      <c r="N21" s="690"/>
    </row>
    <row r="22" spans="1:15" s="683" customFormat="1" ht="252" outlineLevel="1" x14ac:dyDescent="0.25">
      <c r="A22" s="684" t="s">
        <v>501</v>
      </c>
      <c r="B22" s="675" t="s">
        <v>1114</v>
      </c>
      <c r="C22" s="685" t="s">
        <v>1113</v>
      </c>
      <c r="D22" s="686">
        <v>1</v>
      </c>
      <c r="E22" s="606" t="s">
        <v>1961</v>
      </c>
      <c r="F22" s="687" t="s">
        <v>194</v>
      </c>
      <c r="G22" s="705">
        <f>11865.561</f>
        <v>11865.56</v>
      </c>
      <c r="H22" s="704">
        <v>46</v>
      </c>
      <c r="I22" s="705">
        <f>G22/H22</f>
        <v>257.95</v>
      </c>
      <c r="J22" s="705">
        <f>D22*I22</f>
        <v>257.95</v>
      </c>
      <c r="K22" s="608">
        <f>$K$120^(1/2)*$K$121*$K$122*$K$123*$K$124*$K$125*$K$126</f>
        <v>1.407</v>
      </c>
      <c r="L22" s="637">
        <f t="shared" si="3"/>
        <v>362.94</v>
      </c>
      <c r="M22" s="637">
        <f t="shared" si="1"/>
        <v>435.53</v>
      </c>
      <c r="N22" s="690" t="s">
        <v>1124</v>
      </c>
    </row>
    <row r="23" spans="1:15" s="683" customFormat="1" ht="110.25" outlineLevel="1" x14ac:dyDescent="0.25">
      <c r="A23" s="684" t="s">
        <v>502</v>
      </c>
      <c r="B23" s="675" t="s">
        <v>1229</v>
      </c>
      <c r="C23" s="685" t="s">
        <v>193</v>
      </c>
      <c r="D23" s="686">
        <f>30*3</f>
        <v>90</v>
      </c>
      <c r="E23" s="691" t="s">
        <v>189</v>
      </c>
      <c r="F23" s="692">
        <v>44197</v>
      </c>
      <c r="G23" s="693"/>
      <c r="H23" s="694"/>
      <c r="I23" s="693">
        <f>УНЦС!$F$122</f>
        <v>13.92</v>
      </c>
      <c r="J23" s="693">
        <f>D23*I23</f>
        <v>1252.8</v>
      </c>
      <c r="K23" s="695">
        <f>$K$125*$K$126</f>
        <v>1.1080000000000001</v>
      </c>
      <c r="L23" s="696">
        <f t="shared" si="3"/>
        <v>1388.1</v>
      </c>
      <c r="M23" s="696">
        <f>L23*1.2</f>
        <v>1665.72</v>
      </c>
      <c r="N23" s="690" t="s">
        <v>1125</v>
      </c>
    </row>
    <row r="24" spans="1:15" s="683" customFormat="1" ht="110.25" outlineLevel="1" x14ac:dyDescent="0.25">
      <c r="A24" s="684" t="s">
        <v>503</v>
      </c>
      <c r="B24" s="675" t="s">
        <v>1115</v>
      </c>
      <c r="C24" s="685" t="s">
        <v>1311</v>
      </c>
      <c r="D24" s="686">
        <f>1</f>
        <v>1</v>
      </c>
      <c r="E24" s="606" t="s">
        <v>326</v>
      </c>
      <c r="F24" s="699">
        <v>44197</v>
      </c>
      <c r="G24" s="678"/>
      <c r="H24" s="676"/>
      <c r="I24" s="678">
        <f>УНЦС!$F$136</f>
        <v>613.23</v>
      </c>
      <c r="J24" s="678">
        <f>I24*D24</f>
        <v>613.23</v>
      </c>
      <c r="K24" s="608">
        <f>$K$125*$K$126</f>
        <v>1.1080000000000001</v>
      </c>
      <c r="L24" s="678">
        <f t="shared" si="3"/>
        <v>679.46</v>
      </c>
      <c r="M24" s="637">
        <f>L24*1.2</f>
        <v>815.35</v>
      </c>
      <c r="N24" s="690" t="s">
        <v>1130</v>
      </c>
      <c r="O24" s="772"/>
    </row>
    <row r="25" spans="1:15" s="683" customFormat="1" ht="110.25" outlineLevel="1" x14ac:dyDescent="0.25">
      <c r="A25" s="684" t="s">
        <v>504</v>
      </c>
      <c r="B25" s="675" t="s">
        <v>1116</v>
      </c>
      <c r="C25" s="685" t="s">
        <v>1311</v>
      </c>
      <c r="D25" s="686">
        <f>2</f>
        <v>2</v>
      </c>
      <c r="E25" s="606" t="s">
        <v>1303</v>
      </c>
      <c r="F25" s="699">
        <v>44197</v>
      </c>
      <c r="G25" s="678"/>
      <c r="H25" s="676"/>
      <c r="I25" s="678">
        <f>УНЦС!$F$136</f>
        <v>613.23</v>
      </c>
      <c r="J25" s="678">
        <f>I25*D25</f>
        <v>1226.46</v>
      </c>
      <c r="K25" s="608">
        <f>$K$125*$K$126</f>
        <v>1.1080000000000001</v>
      </c>
      <c r="L25" s="678">
        <f t="shared" si="3"/>
        <v>1358.92</v>
      </c>
      <c r="M25" s="637">
        <f>L25*1.2</f>
        <v>1630.7</v>
      </c>
      <c r="N25" s="690" t="s">
        <v>1130</v>
      </c>
      <c r="O25" s="772"/>
    </row>
    <row r="26" spans="1:15" s="683" customFormat="1" ht="126" outlineLevel="1" x14ac:dyDescent="0.25">
      <c r="A26" s="684" t="s">
        <v>505</v>
      </c>
      <c r="B26" s="675" t="s">
        <v>1117</v>
      </c>
      <c r="C26" s="685" t="s">
        <v>1111</v>
      </c>
      <c r="D26" s="686">
        <v>300</v>
      </c>
      <c r="E26" s="606" t="s">
        <v>324</v>
      </c>
      <c r="F26" s="606" t="s">
        <v>325</v>
      </c>
      <c r="G26" s="678">
        <v>23894.53</v>
      </c>
      <c r="H26" s="676">
        <v>2154.5100000000002</v>
      </c>
      <c r="I26" s="678">
        <f t="shared" ref="I26" si="4">G26/H26</f>
        <v>11.09</v>
      </c>
      <c r="J26" s="678">
        <f>I26*D26</f>
        <v>3327</v>
      </c>
      <c r="K26" s="697">
        <f>$K$125*$K$126</f>
        <v>1.1080000000000001</v>
      </c>
      <c r="L26" s="607">
        <f t="shared" ref="L26:L27" si="5">J26*K26</f>
        <v>3686.32</v>
      </c>
      <c r="M26" s="698">
        <f t="shared" ref="M26:M27" si="6">L26*1.2</f>
        <v>4423.58</v>
      </c>
      <c r="N26" s="682" t="s">
        <v>1126</v>
      </c>
    </row>
    <row r="27" spans="1:15" s="683" customFormat="1" ht="110.25" outlineLevel="1" x14ac:dyDescent="0.25">
      <c r="A27" s="684" t="s">
        <v>506</v>
      </c>
      <c r="B27" s="675" t="s">
        <v>1251</v>
      </c>
      <c r="C27" s="685" t="s">
        <v>1113</v>
      </c>
      <c r="D27" s="686">
        <v>1</v>
      </c>
      <c r="E27" s="606" t="s">
        <v>513</v>
      </c>
      <c r="F27" s="699">
        <v>44197</v>
      </c>
      <c r="G27" s="678"/>
      <c r="H27" s="676"/>
      <c r="I27" s="678">
        <f>УНЦС!$F$101</f>
        <v>5058.92</v>
      </c>
      <c r="J27" s="678">
        <f>D27*I27</f>
        <v>5058.92</v>
      </c>
      <c r="K27" s="608">
        <f>$K$125*$K$126</f>
        <v>1.1080000000000001</v>
      </c>
      <c r="L27" s="678">
        <f t="shared" si="5"/>
        <v>5605.28</v>
      </c>
      <c r="M27" s="637">
        <f t="shared" si="6"/>
        <v>6726.34</v>
      </c>
      <c r="N27" s="690"/>
    </row>
    <row r="28" spans="1:15" s="683" customFormat="1" ht="157.5" outlineLevel="1" x14ac:dyDescent="0.25">
      <c r="A28" s="684" t="s">
        <v>1119</v>
      </c>
      <c r="B28" s="675" t="s">
        <v>316</v>
      </c>
      <c r="C28" s="685" t="s">
        <v>192</v>
      </c>
      <c r="D28" s="686">
        <f>2*300</f>
        <v>600</v>
      </c>
      <c r="E28" s="606" t="s">
        <v>314</v>
      </c>
      <c r="F28" s="606" t="s">
        <v>197</v>
      </c>
      <c r="G28" s="678">
        <v>26950.03</v>
      </c>
      <c r="H28" s="676">
        <v>20576</v>
      </c>
      <c r="I28" s="678">
        <f>G28/H28</f>
        <v>1.31</v>
      </c>
      <c r="J28" s="678">
        <f>I28*D28</f>
        <v>786</v>
      </c>
      <c r="K28" s="608">
        <f>$K$124*$K$125*$K$126</f>
        <v>1.17</v>
      </c>
      <c r="L28" s="637">
        <f>J28*K28</f>
        <v>919.62</v>
      </c>
      <c r="M28" s="637">
        <f>L28*1.2</f>
        <v>1103.54</v>
      </c>
      <c r="N28" s="690" t="s">
        <v>1128</v>
      </c>
    </row>
    <row r="29" spans="1:15" s="683" customFormat="1" ht="157.5" outlineLevel="1" x14ac:dyDescent="0.25">
      <c r="A29" s="684" t="s">
        <v>1120</v>
      </c>
      <c r="B29" s="675" t="s">
        <v>316</v>
      </c>
      <c r="C29" s="685" t="s">
        <v>192</v>
      </c>
      <c r="D29" s="686">
        <f>4*2900</f>
        <v>11600</v>
      </c>
      <c r="E29" s="606" t="s">
        <v>314</v>
      </c>
      <c r="F29" s="606" t="s">
        <v>197</v>
      </c>
      <c r="G29" s="678">
        <v>26950.03</v>
      </c>
      <c r="H29" s="676">
        <v>20576</v>
      </c>
      <c r="I29" s="678">
        <f>G29/H29</f>
        <v>1.31</v>
      </c>
      <c r="J29" s="678">
        <f>I29*D29</f>
        <v>15196</v>
      </c>
      <c r="K29" s="608">
        <f>$K$124*$K$125*$K$126</f>
        <v>1.17</v>
      </c>
      <c r="L29" s="637">
        <f>J29*K29</f>
        <v>17779.32</v>
      </c>
      <c r="M29" s="637">
        <f>L29*1.2</f>
        <v>21335.18</v>
      </c>
      <c r="N29" s="690" t="s">
        <v>1129</v>
      </c>
    </row>
    <row r="30" spans="1:15" s="683" customFormat="1" ht="157.5" outlineLevel="1" x14ac:dyDescent="0.25">
      <c r="A30" s="684" t="s">
        <v>1121</v>
      </c>
      <c r="B30" s="675" t="s">
        <v>317</v>
      </c>
      <c r="C30" s="685" t="s">
        <v>192</v>
      </c>
      <c r="D30" s="686">
        <f>2*200</f>
        <v>400</v>
      </c>
      <c r="E30" s="606" t="s">
        <v>314</v>
      </c>
      <c r="F30" s="606" t="s">
        <v>197</v>
      </c>
      <c r="G30" s="678">
        <v>7332.19</v>
      </c>
      <c r="H30" s="676">
        <v>10344</v>
      </c>
      <c r="I30" s="678">
        <f>G30/H30</f>
        <v>0.71</v>
      </c>
      <c r="J30" s="678">
        <f>I30*D30</f>
        <v>284</v>
      </c>
      <c r="K30" s="608">
        <f>$K$124*$K$125*$K$126</f>
        <v>1.17</v>
      </c>
      <c r="L30" s="678">
        <f>J30*K30</f>
        <v>332.28</v>
      </c>
      <c r="M30" s="637">
        <f>L30*1.2</f>
        <v>398.74</v>
      </c>
      <c r="N30" s="690" t="s">
        <v>1201</v>
      </c>
    </row>
    <row r="31" spans="1:15" s="683" customFormat="1" outlineLevel="1" x14ac:dyDescent="0.25">
      <c r="A31" s="684" t="s">
        <v>1135</v>
      </c>
      <c r="B31" s="675" t="s">
        <v>487</v>
      </c>
      <c r="C31" s="685" t="s">
        <v>488</v>
      </c>
      <c r="D31" s="686">
        <v>1</v>
      </c>
      <c r="E31" s="606"/>
      <c r="F31" s="687"/>
      <c r="G31" s="688"/>
      <c r="H31" s="686"/>
      <c r="I31" s="688"/>
      <c r="J31" s="688"/>
      <c r="K31" s="608"/>
      <c r="L31" s="678"/>
      <c r="M31" s="637"/>
      <c r="N31" s="682" t="s">
        <v>1202</v>
      </c>
    </row>
    <row r="32" spans="1:15" s="683" customFormat="1" ht="173.25" outlineLevel="1" x14ac:dyDescent="0.25">
      <c r="A32" s="684" t="s">
        <v>1136</v>
      </c>
      <c r="B32" s="675" t="s">
        <v>1131</v>
      </c>
      <c r="C32" s="685" t="s">
        <v>192</v>
      </c>
      <c r="D32" s="686">
        <f>2*2900</f>
        <v>5800</v>
      </c>
      <c r="E32" s="606" t="s">
        <v>314</v>
      </c>
      <c r="F32" s="606" t="s">
        <v>197</v>
      </c>
      <c r="G32" s="678">
        <v>22910.16</v>
      </c>
      <c r="H32" s="676">
        <v>16253</v>
      </c>
      <c r="I32" s="678">
        <f>G32/H32</f>
        <v>1.41</v>
      </c>
      <c r="J32" s="678">
        <f>I32*D32</f>
        <v>8178</v>
      </c>
      <c r="K32" s="608">
        <f>$K$124*$K$125*$K$126</f>
        <v>1.17</v>
      </c>
      <c r="L32" s="637">
        <f>J32*K32</f>
        <v>9568.26</v>
      </c>
      <c r="M32" s="637">
        <f>L32*1.2</f>
        <v>11481.91</v>
      </c>
      <c r="N32" s="690" t="s">
        <v>1203</v>
      </c>
    </row>
    <row r="33" spans="1:14" s="683" customFormat="1" ht="173.25" outlineLevel="1" x14ac:dyDescent="0.25">
      <c r="A33" s="684" t="s">
        <v>1137</v>
      </c>
      <c r="B33" s="675" t="s">
        <v>1272</v>
      </c>
      <c r="C33" s="685" t="s">
        <v>195</v>
      </c>
      <c r="D33" s="686">
        <v>2900</v>
      </c>
      <c r="E33" s="606" t="s">
        <v>523</v>
      </c>
      <c r="F33" s="606" t="s">
        <v>524</v>
      </c>
      <c r="G33" s="637">
        <f>1386.62*7*1.26</f>
        <v>12229.99</v>
      </c>
      <c r="H33" s="607">
        <v>8165</v>
      </c>
      <c r="I33" s="637">
        <f>G33/H33</f>
        <v>1.5</v>
      </c>
      <c r="J33" s="637">
        <f>I33*D33</f>
        <v>4350</v>
      </c>
      <c r="K33" s="608">
        <f>$K$123^(1/2)*$K$124*$K$125*$K$126</f>
        <v>1.2090000000000001</v>
      </c>
      <c r="L33" s="637">
        <f t="shared" ref="L33" si="7">J33*K33</f>
        <v>5259.15</v>
      </c>
      <c r="M33" s="637">
        <f t="shared" ref="M33" si="8">L33*1.2</f>
        <v>6310.98</v>
      </c>
      <c r="N33" s="690"/>
    </row>
    <row r="34" spans="1:14" s="683" customFormat="1" ht="110.25" outlineLevel="1" x14ac:dyDescent="0.25">
      <c r="A34" s="684" t="s">
        <v>1138</v>
      </c>
      <c r="B34" s="675" t="s">
        <v>1133</v>
      </c>
      <c r="C34" s="685" t="s">
        <v>489</v>
      </c>
      <c r="D34" s="686">
        <v>3</v>
      </c>
      <c r="E34" s="606"/>
      <c r="F34" s="687"/>
      <c r="G34" s="688"/>
      <c r="H34" s="686"/>
      <c r="I34" s="688"/>
      <c r="J34" s="688"/>
      <c r="K34" s="608"/>
      <c r="L34" s="678"/>
      <c r="M34" s="637"/>
      <c r="N34" s="690" t="s">
        <v>1204</v>
      </c>
    </row>
    <row r="35" spans="1:14" s="683" customFormat="1" ht="110.25" outlineLevel="1" x14ac:dyDescent="0.25">
      <c r="A35" s="684" t="s">
        <v>1139</v>
      </c>
      <c r="B35" s="675" t="s">
        <v>318</v>
      </c>
      <c r="C35" s="685" t="s">
        <v>319</v>
      </c>
      <c r="D35" s="686">
        <v>6</v>
      </c>
      <c r="E35" s="606" t="s">
        <v>327</v>
      </c>
      <c r="F35" s="606" t="s">
        <v>194</v>
      </c>
      <c r="G35" s="678">
        <f>1205.36/3</f>
        <v>401.79</v>
      </c>
      <c r="H35" s="676">
        <v>4</v>
      </c>
      <c r="I35" s="678">
        <f>G35/H35</f>
        <v>100.45</v>
      </c>
      <c r="J35" s="678">
        <f>I35*D35</f>
        <v>602.70000000000005</v>
      </c>
      <c r="K35" s="608">
        <f>$K$120^(1/2)*$K$121*$K$122*$K$123*$K$124*$K$125*$K$126</f>
        <v>1.407</v>
      </c>
      <c r="L35" s="637">
        <f>J35*K35</f>
        <v>848</v>
      </c>
      <c r="M35" s="637">
        <f t="shared" ref="M35" si="9">L35*1.2</f>
        <v>1017.6</v>
      </c>
      <c r="N35" s="690" t="s">
        <v>1172</v>
      </c>
    </row>
    <row r="36" spans="1:14" s="683" customFormat="1" ht="110.25" outlineLevel="1" x14ac:dyDescent="0.25">
      <c r="A36" s="684" t="s">
        <v>1140</v>
      </c>
      <c r="B36" s="675" t="s">
        <v>1134</v>
      </c>
      <c r="C36" s="685" t="s">
        <v>489</v>
      </c>
      <c r="D36" s="686">
        <v>3</v>
      </c>
      <c r="E36" s="606"/>
      <c r="F36" s="687"/>
      <c r="G36" s="688"/>
      <c r="H36" s="686"/>
      <c r="I36" s="688"/>
      <c r="J36" s="688"/>
      <c r="K36" s="608"/>
      <c r="L36" s="678"/>
      <c r="M36" s="637"/>
      <c r="N36" s="690" t="s">
        <v>1204</v>
      </c>
    </row>
    <row r="37" spans="1:14" s="683" customFormat="1" ht="31.5" outlineLevel="1" x14ac:dyDescent="0.25">
      <c r="A37" s="684" t="s">
        <v>1141</v>
      </c>
      <c r="B37" s="675" t="s">
        <v>390</v>
      </c>
      <c r="C37" s="685" t="s">
        <v>527</v>
      </c>
      <c r="D37" s="686">
        <f>1.5</f>
        <v>1.5</v>
      </c>
      <c r="E37" s="606" t="s">
        <v>199</v>
      </c>
      <c r="F37" s="699">
        <v>44197</v>
      </c>
      <c r="G37" s="678"/>
      <c r="H37" s="676"/>
      <c r="I37" s="678">
        <f>УНЦС!$F$128</f>
        <v>347.94</v>
      </c>
      <c r="J37" s="678">
        <f>D37*I37</f>
        <v>521.91</v>
      </c>
      <c r="K37" s="608">
        <f>$K$125*$K$126</f>
        <v>1.1080000000000001</v>
      </c>
      <c r="L37" s="637">
        <f>J37*K37</f>
        <v>578.28</v>
      </c>
      <c r="M37" s="637">
        <f>L37*1.2</f>
        <v>693.94</v>
      </c>
      <c r="N37" s="682"/>
    </row>
    <row r="38" spans="1:14" s="683" customFormat="1" ht="47.25" outlineLevel="1" x14ac:dyDescent="0.25">
      <c r="A38" s="684" t="s">
        <v>1142</v>
      </c>
      <c r="B38" s="675" t="s">
        <v>393</v>
      </c>
      <c r="C38" s="685" t="s">
        <v>490</v>
      </c>
      <c r="D38" s="686">
        <v>3</v>
      </c>
      <c r="E38" s="606"/>
      <c r="F38" s="687"/>
      <c r="G38" s="688"/>
      <c r="H38" s="686"/>
      <c r="I38" s="688"/>
      <c r="J38" s="688"/>
      <c r="K38" s="608"/>
      <c r="L38" s="678"/>
      <c r="M38" s="637"/>
      <c r="N38" s="682"/>
    </row>
    <row r="39" spans="1:14" s="683" customFormat="1" ht="47.25" outlineLevel="1" x14ac:dyDescent="0.25">
      <c r="A39" s="684" t="s">
        <v>1143</v>
      </c>
      <c r="B39" s="675" t="s">
        <v>394</v>
      </c>
      <c r="C39" s="685" t="s">
        <v>320</v>
      </c>
      <c r="D39" s="686">
        <v>20</v>
      </c>
      <c r="E39" s="606"/>
      <c r="F39" s="687"/>
      <c r="G39" s="688"/>
      <c r="H39" s="686"/>
      <c r="I39" s="688"/>
      <c r="J39" s="688"/>
      <c r="K39" s="608"/>
      <c r="L39" s="678"/>
      <c r="M39" s="637"/>
      <c r="N39" s="690" t="s">
        <v>529</v>
      </c>
    </row>
    <row r="40" spans="1:14" s="683" customFormat="1" ht="31.5" outlineLevel="1" x14ac:dyDescent="0.25">
      <c r="A40" s="684" t="s">
        <v>1144</v>
      </c>
      <c r="B40" s="675" t="s">
        <v>321</v>
      </c>
      <c r="C40" s="685" t="s">
        <v>322</v>
      </c>
      <c r="D40" s="686">
        <v>3</v>
      </c>
      <c r="E40" s="606"/>
      <c r="F40" s="687"/>
      <c r="G40" s="688"/>
      <c r="H40" s="686"/>
      <c r="I40" s="688"/>
      <c r="J40" s="688"/>
      <c r="K40" s="608"/>
      <c r="L40" s="678"/>
      <c r="M40" s="637"/>
      <c r="N40" s="690" t="s">
        <v>529</v>
      </c>
    </row>
    <row r="41" spans="1:14" s="683" customFormat="1" ht="173.25" outlineLevel="1" x14ac:dyDescent="0.25">
      <c r="A41" s="684" t="s">
        <v>1145</v>
      </c>
      <c r="B41" s="675" t="s">
        <v>491</v>
      </c>
      <c r="C41" s="685" t="s">
        <v>195</v>
      </c>
      <c r="D41" s="686">
        <v>500</v>
      </c>
      <c r="E41" s="606" t="s">
        <v>523</v>
      </c>
      <c r="F41" s="606" t="s">
        <v>524</v>
      </c>
      <c r="G41" s="607">
        <f>1386.62*7*1.26</f>
        <v>12229.99</v>
      </c>
      <c r="H41" s="607">
        <v>8165</v>
      </c>
      <c r="I41" s="607">
        <f>G41/H41</f>
        <v>1.5</v>
      </c>
      <c r="J41" s="607">
        <f>I41*D41</f>
        <v>750</v>
      </c>
      <c r="K41" s="608">
        <f>$K$123^(1/2)*$K$124*$K$125*$K$126</f>
        <v>1.2090000000000001</v>
      </c>
      <c r="L41" s="637">
        <f t="shared" ref="L41" si="10">J41*K41</f>
        <v>906.75</v>
      </c>
      <c r="M41" s="637">
        <f t="shared" ref="M41" si="11">L41*1.2</f>
        <v>1088.0999999999999</v>
      </c>
      <c r="N41" s="690"/>
    </row>
    <row r="42" spans="1:14" s="683" customFormat="1" ht="173.25" outlineLevel="1" x14ac:dyDescent="0.25">
      <c r="A42" s="684" t="s">
        <v>1146</v>
      </c>
      <c r="B42" s="675" t="s">
        <v>1945</v>
      </c>
      <c r="C42" s="685" t="s">
        <v>195</v>
      </c>
      <c r="D42" s="686">
        <v>100</v>
      </c>
      <c r="E42" s="606" t="s">
        <v>523</v>
      </c>
      <c r="F42" s="606" t="s">
        <v>524</v>
      </c>
      <c r="G42" s="607">
        <f>1386.62*7*1.26</f>
        <v>12229.99</v>
      </c>
      <c r="H42" s="607">
        <v>8165</v>
      </c>
      <c r="I42" s="607">
        <f>G42/H42</f>
        <v>1.5</v>
      </c>
      <c r="J42" s="607">
        <f>I42*D42</f>
        <v>150</v>
      </c>
      <c r="K42" s="608">
        <f>$K$123^(1/2)*$K$124*$K$125*$K$126</f>
        <v>1.2090000000000001</v>
      </c>
      <c r="L42" s="637">
        <f t="shared" ref="L42" si="12">J42*K42</f>
        <v>181.35</v>
      </c>
      <c r="M42" s="637">
        <f t="shared" ref="M42" si="13">L42*1.2</f>
        <v>217.62</v>
      </c>
      <c r="N42" s="806"/>
    </row>
    <row r="43" spans="1:14" s="683" customFormat="1" ht="31.5" outlineLevel="1" x14ac:dyDescent="0.25">
      <c r="A43" s="684" t="s">
        <v>1147</v>
      </c>
      <c r="B43" s="675" t="s">
        <v>492</v>
      </c>
      <c r="C43" s="685" t="s">
        <v>493</v>
      </c>
      <c r="D43" s="686">
        <v>2</v>
      </c>
      <c r="E43" s="606"/>
      <c r="F43" s="687"/>
      <c r="G43" s="688"/>
      <c r="H43" s="686"/>
      <c r="I43" s="688"/>
      <c r="J43" s="688"/>
      <c r="K43" s="608"/>
      <c r="L43" s="678"/>
      <c r="M43" s="637"/>
      <c r="N43" s="690" t="s">
        <v>529</v>
      </c>
    </row>
    <row r="44" spans="1:14" s="683" customFormat="1" ht="47.25" outlineLevel="1" x14ac:dyDescent="0.25">
      <c r="A44" s="684" t="s">
        <v>1148</v>
      </c>
      <c r="B44" s="675" t="s">
        <v>399</v>
      </c>
      <c r="C44" s="685" t="s">
        <v>320</v>
      </c>
      <c r="D44" s="686">
        <v>6</v>
      </c>
      <c r="E44" s="606"/>
      <c r="F44" s="687"/>
      <c r="G44" s="688"/>
      <c r="H44" s="686"/>
      <c r="I44" s="688"/>
      <c r="J44" s="688"/>
      <c r="K44" s="608"/>
      <c r="L44" s="678"/>
      <c r="M44" s="637"/>
      <c r="N44" s="690" t="s">
        <v>529</v>
      </c>
    </row>
    <row r="45" spans="1:14" s="683" customFormat="1" ht="252" outlineLevel="1" x14ac:dyDescent="0.25">
      <c r="A45" s="684" t="s">
        <v>1946</v>
      </c>
      <c r="B45" s="675" t="s">
        <v>494</v>
      </c>
      <c r="C45" s="606"/>
      <c r="D45" s="676"/>
      <c r="E45" s="606"/>
      <c r="F45" s="606"/>
      <c r="G45" s="678"/>
      <c r="H45" s="676"/>
      <c r="I45" s="678"/>
      <c r="J45" s="678"/>
      <c r="K45" s="608"/>
      <c r="L45" s="637"/>
      <c r="M45" s="637"/>
      <c r="N45" s="690" t="s">
        <v>1205</v>
      </c>
    </row>
    <row r="46" spans="1:14" s="683" customFormat="1" ht="47.25" outlineLevel="2" x14ac:dyDescent="0.25">
      <c r="A46" s="674" t="s">
        <v>1947</v>
      </c>
      <c r="B46" s="675" t="s">
        <v>406</v>
      </c>
      <c r="C46" s="606" t="s">
        <v>192</v>
      </c>
      <c r="D46" s="676">
        <v>3235</v>
      </c>
      <c r="E46" s="606" t="s">
        <v>1089</v>
      </c>
      <c r="F46" s="606" t="s">
        <v>1092</v>
      </c>
      <c r="G46" s="678">
        <f>932.084</f>
        <v>932.08</v>
      </c>
      <c r="H46" s="676">
        <v>3235</v>
      </c>
      <c r="I46" s="678">
        <f t="shared" ref="I46:I51" si="14">G46/H46</f>
        <v>0.28999999999999998</v>
      </c>
      <c r="J46" s="678">
        <f t="shared" ref="J46:J51" si="15">I46*D46</f>
        <v>938.15</v>
      </c>
      <c r="K46" s="608">
        <f t="shared" ref="K46:K51" si="16">$K$125^(1/2)*$K$126</f>
        <v>1.079</v>
      </c>
      <c r="L46" s="637">
        <f t="shared" ref="L46:L51" si="17">J46*K46</f>
        <v>1012.26</v>
      </c>
      <c r="M46" s="637">
        <f t="shared" ref="M46:M51" si="18">L46*1.2</f>
        <v>1214.71</v>
      </c>
      <c r="N46" s="682"/>
    </row>
    <row r="47" spans="1:14" s="683" customFormat="1" ht="47.25" outlineLevel="2" x14ac:dyDescent="0.25">
      <c r="A47" s="674" t="s">
        <v>1948</v>
      </c>
      <c r="B47" s="675" t="s">
        <v>409</v>
      </c>
      <c r="C47" s="606" t="s">
        <v>313</v>
      </c>
      <c r="D47" s="676">
        <v>25</v>
      </c>
      <c r="E47" s="606" t="s">
        <v>1093</v>
      </c>
      <c r="F47" s="606" t="s">
        <v>1092</v>
      </c>
      <c r="G47" s="678">
        <f>11.36</f>
        <v>11.36</v>
      </c>
      <c r="H47" s="676">
        <v>25</v>
      </c>
      <c r="I47" s="678">
        <f t="shared" si="14"/>
        <v>0.45</v>
      </c>
      <c r="J47" s="678">
        <f t="shared" si="15"/>
        <v>11.25</v>
      </c>
      <c r="K47" s="608">
        <f t="shared" si="16"/>
        <v>1.079</v>
      </c>
      <c r="L47" s="637">
        <f t="shared" si="17"/>
        <v>12.14</v>
      </c>
      <c r="M47" s="637">
        <f t="shared" si="18"/>
        <v>14.57</v>
      </c>
      <c r="N47" s="682"/>
    </row>
    <row r="48" spans="1:14" s="683" customFormat="1" ht="47.25" outlineLevel="2" x14ac:dyDescent="0.25">
      <c r="A48" s="674" t="s">
        <v>1949</v>
      </c>
      <c r="B48" s="675" t="s">
        <v>412</v>
      </c>
      <c r="C48" s="606" t="s">
        <v>192</v>
      </c>
      <c r="D48" s="676">
        <v>6460</v>
      </c>
      <c r="E48" s="606" t="s">
        <v>1090</v>
      </c>
      <c r="F48" s="606" t="s">
        <v>1092</v>
      </c>
      <c r="G48" s="678">
        <f>1296.118</f>
        <v>1296.1199999999999</v>
      </c>
      <c r="H48" s="676">
        <v>6460</v>
      </c>
      <c r="I48" s="678">
        <f t="shared" si="14"/>
        <v>0.2</v>
      </c>
      <c r="J48" s="678">
        <f t="shared" si="15"/>
        <v>1292</v>
      </c>
      <c r="K48" s="608">
        <f t="shared" si="16"/>
        <v>1.079</v>
      </c>
      <c r="L48" s="637">
        <f t="shared" si="17"/>
        <v>1394.07</v>
      </c>
      <c r="M48" s="637">
        <f t="shared" si="18"/>
        <v>1672.88</v>
      </c>
      <c r="N48" s="682"/>
    </row>
    <row r="49" spans="1:15" s="683" customFormat="1" ht="47.25" outlineLevel="2" x14ac:dyDescent="0.25">
      <c r="A49" s="674" t="s">
        <v>1950</v>
      </c>
      <c r="B49" s="675" t="s">
        <v>414</v>
      </c>
      <c r="C49" s="606" t="s">
        <v>192</v>
      </c>
      <c r="D49" s="676">
        <v>61</v>
      </c>
      <c r="E49" s="606" t="s">
        <v>1091</v>
      </c>
      <c r="F49" s="606" t="s">
        <v>1092</v>
      </c>
      <c r="G49" s="678">
        <f>11.708</f>
        <v>11.71</v>
      </c>
      <c r="H49" s="676">
        <v>61</v>
      </c>
      <c r="I49" s="678">
        <f t="shared" si="14"/>
        <v>0.19</v>
      </c>
      <c r="J49" s="678">
        <f t="shared" si="15"/>
        <v>11.59</v>
      </c>
      <c r="K49" s="608">
        <f t="shared" si="16"/>
        <v>1.079</v>
      </c>
      <c r="L49" s="637">
        <f t="shared" si="17"/>
        <v>12.51</v>
      </c>
      <c r="M49" s="637">
        <f t="shared" si="18"/>
        <v>15.01</v>
      </c>
      <c r="N49" s="682"/>
    </row>
    <row r="50" spans="1:15" s="683" customFormat="1" ht="47.25" outlineLevel="2" x14ac:dyDescent="0.25">
      <c r="A50" s="674" t="s">
        <v>1951</v>
      </c>
      <c r="B50" s="675" t="s">
        <v>417</v>
      </c>
      <c r="C50" s="606" t="s">
        <v>150</v>
      </c>
      <c r="D50" s="676">
        <v>70</v>
      </c>
      <c r="E50" s="606" t="s">
        <v>1095</v>
      </c>
      <c r="F50" s="606" t="s">
        <v>1092</v>
      </c>
      <c r="G50" s="678">
        <f>60.843</f>
        <v>60.84</v>
      </c>
      <c r="H50" s="676">
        <v>70</v>
      </c>
      <c r="I50" s="678">
        <f t="shared" si="14"/>
        <v>0.87</v>
      </c>
      <c r="J50" s="678">
        <f t="shared" si="15"/>
        <v>60.9</v>
      </c>
      <c r="K50" s="608">
        <f t="shared" si="16"/>
        <v>1.079</v>
      </c>
      <c r="L50" s="637">
        <f t="shared" si="17"/>
        <v>65.709999999999994</v>
      </c>
      <c r="M50" s="637">
        <f t="shared" si="18"/>
        <v>78.849999999999994</v>
      </c>
      <c r="N50" s="682"/>
    </row>
    <row r="51" spans="1:15" s="683" customFormat="1" ht="47.25" outlineLevel="2" x14ac:dyDescent="0.25">
      <c r="A51" s="674" t="s">
        <v>1952</v>
      </c>
      <c r="B51" s="675" t="s">
        <v>495</v>
      </c>
      <c r="C51" s="606" t="s">
        <v>150</v>
      </c>
      <c r="D51" s="676">
        <v>36</v>
      </c>
      <c r="E51" s="606" t="s">
        <v>1094</v>
      </c>
      <c r="F51" s="606" t="s">
        <v>1092</v>
      </c>
      <c r="G51" s="678">
        <f>31.291</f>
        <v>31.29</v>
      </c>
      <c r="H51" s="676">
        <v>36</v>
      </c>
      <c r="I51" s="678">
        <f t="shared" si="14"/>
        <v>0.87</v>
      </c>
      <c r="J51" s="678">
        <f t="shared" si="15"/>
        <v>31.32</v>
      </c>
      <c r="K51" s="608">
        <f t="shared" si="16"/>
        <v>1.079</v>
      </c>
      <c r="L51" s="637">
        <f t="shared" si="17"/>
        <v>33.79</v>
      </c>
      <c r="M51" s="637">
        <f t="shared" si="18"/>
        <v>40.549999999999997</v>
      </c>
      <c r="N51" s="682"/>
    </row>
    <row r="52" spans="1:15" s="768" customFormat="1" ht="18.75" x14ac:dyDescent="0.3">
      <c r="A52" s="724" t="s">
        <v>198</v>
      </c>
      <c r="B52" s="735" t="s">
        <v>1149</v>
      </c>
      <c r="C52" s="726"/>
      <c r="D52" s="727"/>
      <c r="E52" s="728"/>
      <c r="F52" s="729"/>
      <c r="G52" s="730"/>
      <c r="H52" s="727"/>
      <c r="I52" s="730"/>
      <c r="J52" s="730"/>
      <c r="K52" s="731"/>
      <c r="L52" s="732">
        <f>SUM(L53:L78)</f>
        <v>162944.03</v>
      </c>
      <c r="M52" s="732">
        <f>SUM(M53:M78)</f>
        <v>195532.83</v>
      </c>
      <c r="N52" s="733"/>
    </row>
    <row r="53" spans="1:15" s="683" customFormat="1" ht="157.5" outlineLevel="1" x14ac:dyDescent="0.25">
      <c r="A53" s="700" t="s">
        <v>36</v>
      </c>
      <c r="B53" s="675" t="s">
        <v>1241</v>
      </c>
      <c r="C53" s="685" t="s">
        <v>479</v>
      </c>
      <c r="D53" s="686">
        <f>0.7</f>
        <v>0.7</v>
      </c>
      <c r="E53" s="606" t="s">
        <v>328</v>
      </c>
      <c r="F53" s="687">
        <v>44197</v>
      </c>
      <c r="G53" s="688"/>
      <c r="H53" s="686"/>
      <c r="I53" s="688">
        <f>УНЦС!$F$30</f>
        <v>10996</v>
      </c>
      <c r="J53" s="688">
        <f>D53*I53</f>
        <v>7697.2</v>
      </c>
      <c r="K53" s="608">
        <f>$K$125*$K$126</f>
        <v>1.1080000000000001</v>
      </c>
      <c r="L53" s="678">
        <f>J53*K53</f>
        <v>8528.5</v>
      </c>
      <c r="M53" s="637">
        <f>L53*1.2</f>
        <v>10234.200000000001</v>
      </c>
      <c r="N53" s="690" t="s">
        <v>1266</v>
      </c>
    </row>
    <row r="54" spans="1:15" s="683" customFormat="1" ht="141.75" outlineLevel="1" x14ac:dyDescent="0.25">
      <c r="A54" s="700" t="s">
        <v>308</v>
      </c>
      <c r="B54" s="675" t="s">
        <v>1243</v>
      </c>
      <c r="C54" s="685" t="s">
        <v>475</v>
      </c>
      <c r="D54" s="686">
        <f>105*3600/1000</f>
        <v>378</v>
      </c>
      <c r="E54" s="606" t="s">
        <v>212</v>
      </c>
      <c r="F54" s="687">
        <v>44197</v>
      </c>
      <c r="G54" s="688"/>
      <c r="H54" s="686"/>
      <c r="I54" s="688">
        <f>УНЦС!$F$88</f>
        <v>61.96</v>
      </c>
      <c r="J54" s="688">
        <f>D54*I54</f>
        <v>23420.880000000001</v>
      </c>
      <c r="K54" s="608">
        <f>$K$125*$K$126</f>
        <v>1.1080000000000001</v>
      </c>
      <c r="L54" s="637">
        <f>J54*K54</f>
        <v>25950.34</v>
      </c>
      <c r="M54" s="637">
        <f>L54*1.2</f>
        <v>31140.41</v>
      </c>
      <c r="N54" s="690"/>
    </row>
    <row r="55" spans="1:15" s="683" customFormat="1" ht="157.5" outlineLevel="1" x14ac:dyDescent="0.25">
      <c r="A55" s="700" t="s">
        <v>332</v>
      </c>
      <c r="B55" s="675" t="s">
        <v>1260</v>
      </c>
      <c r="C55" s="685" t="s">
        <v>479</v>
      </c>
      <c r="D55" s="686">
        <f>1.8</f>
        <v>1.8</v>
      </c>
      <c r="E55" s="606" t="s">
        <v>328</v>
      </c>
      <c r="F55" s="687">
        <v>44197</v>
      </c>
      <c r="G55" s="688"/>
      <c r="H55" s="686"/>
      <c r="I55" s="688">
        <f>УНЦС!$F$37</f>
        <v>7618.62</v>
      </c>
      <c r="J55" s="688">
        <f>D55*I55</f>
        <v>13713.52</v>
      </c>
      <c r="K55" s="608">
        <f>$K$125*$K$126</f>
        <v>1.1080000000000001</v>
      </c>
      <c r="L55" s="678">
        <f>J55*K55</f>
        <v>15194.58</v>
      </c>
      <c r="M55" s="637">
        <f>L55*1.2</f>
        <v>18233.5</v>
      </c>
      <c r="N55" s="690" t="s">
        <v>1259</v>
      </c>
    </row>
    <row r="56" spans="1:15" s="683" customFormat="1" ht="173.25" outlineLevel="1" x14ac:dyDescent="0.25">
      <c r="A56" s="700" t="s">
        <v>508</v>
      </c>
      <c r="B56" s="675" t="s">
        <v>1234</v>
      </c>
      <c r="C56" s="685" t="s">
        <v>1113</v>
      </c>
      <c r="D56" s="686">
        <v>19</v>
      </c>
      <c r="E56" s="606"/>
      <c r="F56" s="687"/>
      <c r="G56" s="705"/>
      <c r="H56" s="704"/>
      <c r="I56" s="705"/>
      <c r="J56" s="705"/>
      <c r="K56" s="608"/>
      <c r="L56" s="678"/>
      <c r="M56" s="637"/>
      <c r="N56" s="690" t="s">
        <v>1123</v>
      </c>
    </row>
    <row r="57" spans="1:15" s="683" customFormat="1" ht="94.5" outlineLevel="1" x14ac:dyDescent="0.25">
      <c r="A57" s="700" t="s">
        <v>1230</v>
      </c>
      <c r="B57" s="675" t="s">
        <v>2003</v>
      </c>
      <c r="C57" s="685" t="s">
        <v>313</v>
      </c>
      <c r="D57" s="686">
        <v>11</v>
      </c>
      <c r="E57" s="606" t="s">
        <v>1961</v>
      </c>
      <c r="F57" s="687" t="s">
        <v>194</v>
      </c>
      <c r="G57" s="705">
        <f>11865.561</f>
        <v>11865.56</v>
      </c>
      <c r="H57" s="704">
        <v>46</v>
      </c>
      <c r="I57" s="705">
        <f t="shared" ref="I57:I62" si="19">G57/H57</f>
        <v>257.95</v>
      </c>
      <c r="J57" s="705">
        <f t="shared" ref="J57:J62" si="20">D57*I57</f>
        <v>2837.45</v>
      </c>
      <c r="K57" s="608">
        <f t="shared" ref="K57:K62" si="21">$K$120^(1/2)*$K$121*$K$122*$K$123*$K$124*$K$125*$K$126</f>
        <v>1.407</v>
      </c>
      <c r="L57" s="637">
        <f t="shared" ref="L57:L63" si="22">J57*K57</f>
        <v>3992.29</v>
      </c>
      <c r="M57" s="637">
        <f t="shared" ref="M57:M59" si="23">L57*1.2</f>
        <v>4790.75</v>
      </c>
      <c r="N57" s="690"/>
    </row>
    <row r="58" spans="1:15" s="683" customFormat="1" ht="94.5" outlineLevel="1" x14ac:dyDescent="0.25">
      <c r="A58" s="700" t="s">
        <v>1231</v>
      </c>
      <c r="B58" s="675" t="s">
        <v>2002</v>
      </c>
      <c r="C58" s="703" t="s">
        <v>313</v>
      </c>
      <c r="D58" s="704">
        <v>11</v>
      </c>
      <c r="E58" s="606" t="s">
        <v>1961</v>
      </c>
      <c r="F58" s="687" t="s">
        <v>194</v>
      </c>
      <c r="G58" s="705">
        <f>6857.383</f>
        <v>6857.38</v>
      </c>
      <c r="H58" s="704">
        <v>21</v>
      </c>
      <c r="I58" s="705">
        <f t="shared" si="19"/>
        <v>326.54000000000002</v>
      </c>
      <c r="J58" s="705">
        <f t="shared" si="20"/>
        <v>3591.94</v>
      </c>
      <c r="K58" s="608">
        <f t="shared" si="21"/>
        <v>1.407</v>
      </c>
      <c r="L58" s="637">
        <f t="shared" si="22"/>
        <v>5053.8599999999997</v>
      </c>
      <c r="M58" s="637">
        <f t="shared" ref="M58" si="24">L58*1.2</f>
        <v>6064.63</v>
      </c>
      <c r="N58" s="690"/>
    </row>
    <row r="59" spans="1:15" s="683" customFormat="1" ht="94.5" outlineLevel="1" x14ac:dyDescent="0.25">
      <c r="A59" s="700" t="s">
        <v>1232</v>
      </c>
      <c r="B59" s="675" t="s">
        <v>2000</v>
      </c>
      <c r="C59" s="703" t="s">
        <v>313</v>
      </c>
      <c r="D59" s="704">
        <v>8</v>
      </c>
      <c r="E59" s="606" t="s">
        <v>1961</v>
      </c>
      <c r="F59" s="687" t="s">
        <v>194</v>
      </c>
      <c r="G59" s="705">
        <f>22082.595</f>
        <v>22082.6</v>
      </c>
      <c r="H59" s="704">
        <v>104</v>
      </c>
      <c r="I59" s="705">
        <f t="shared" si="19"/>
        <v>212.33</v>
      </c>
      <c r="J59" s="705">
        <f t="shared" si="20"/>
        <v>1698.64</v>
      </c>
      <c r="K59" s="608">
        <f t="shared" si="21"/>
        <v>1.407</v>
      </c>
      <c r="L59" s="637">
        <f t="shared" si="22"/>
        <v>2389.9899999999998</v>
      </c>
      <c r="M59" s="637">
        <f t="shared" si="23"/>
        <v>2867.99</v>
      </c>
      <c r="N59" s="690"/>
    </row>
    <row r="60" spans="1:15" s="683" customFormat="1" ht="94.5" outlineLevel="1" x14ac:dyDescent="0.25">
      <c r="A60" s="700" t="s">
        <v>1999</v>
      </c>
      <c r="B60" s="675" t="s">
        <v>1236</v>
      </c>
      <c r="C60" s="685" t="s">
        <v>313</v>
      </c>
      <c r="D60" s="686">
        <v>11</v>
      </c>
      <c r="E60" s="606" t="s">
        <v>1961</v>
      </c>
      <c r="F60" s="687" t="s">
        <v>194</v>
      </c>
      <c r="G60" s="705">
        <v>83230.320000000007</v>
      </c>
      <c r="H60" s="704">
        <v>21</v>
      </c>
      <c r="I60" s="705">
        <f t="shared" si="19"/>
        <v>3963.35</v>
      </c>
      <c r="J60" s="705">
        <f t="shared" si="20"/>
        <v>43596.85</v>
      </c>
      <c r="K60" s="608">
        <f t="shared" si="21"/>
        <v>1.407</v>
      </c>
      <c r="L60" s="637">
        <f t="shared" si="22"/>
        <v>61340.77</v>
      </c>
      <c r="M60" s="637">
        <f t="shared" ref="M60" si="25">L60*1.2</f>
        <v>73608.92</v>
      </c>
      <c r="N60" s="690"/>
    </row>
    <row r="61" spans="1:15" s="683" customFormat="1" ht="94.5" outlineLevel="1" x14ac:dyDescent="0.25">
      <c r="A61" s="700" t="s">
        <v>2001</v>
      </c>
      <c r="B61" s="675" t="s">
        <v>1233</v>
      </c>
      <c r="C61" s="685" t="s">
        <v>313</v>
      </c>
      <c r="D61" s="686">
        <v>8</v>
      </c>
      <c r="E61" s="606" t="s">
        <v>1961</v>
      </c>
      <c r="F61" s="687" t="s">
        <v>194</v>
      </c>
      <c r="G61" s="705">
        <v>147274.71</v>
      </c>
      <c r="H61" s="704">
        <v>104</v>
      </c>
      <c r="I61" s="705">
        <f t="shared" si="19"/>
        <v>1416.1</v>
      </c>
      <c r="J61" s="705">
        <f t="shared" si="20"/>
        <v>11328.8</v>
      </c>
      <c r="K61" s="608">
        <f t="shared" si="21"/>
        <v>1.407</v>
      </c>
      <c r="L61" s="637">
        <f t="shared" si="22"/>
        <v>15939.62</v>
      </c>
      <c r="M61" s="637">
        <f t="shared" ref="M61:M62" si="26">L61*1.2</f>
        <v>19127.54</v>
      </c>
      <c r="N61" s="690"/>
    </row>
    <row r="62" spans="1:15" s="683" customFormat="1" ht="252" outlineLevel="1" x14ac:dyDescent="0.25">
      <c r="A62" s="700" t="s">
        <v>509</v>
      </c>
      <c r="B62" s="675" t="s">
        <v>1114</v>
      </c>
      <c r="C62" s="685" t="s">
        <v>1113</v>
      </c>
      <c r="D62" s="686">
        <v>1</v>
      </c>
      <c r="E62" s="606" t="s">
        <v>1961</v>
      </c>
      <c r="F62" s="687" t="s">
        <v>194</v>
      </c>
      <c r="G62" s="705">
        <f>11865.561</f>
        <v>11865.56</v>
      </c>
      <c r="H62" s="704">
        <v>46</v>
      </c>
      <c r="I62" s="705">
        <f t="shared" si="19"/>
        <v>257.95</v>
      </c>
      <c r="J62" s="705">
        <f t="shared" si="20"/>
        <v>257.95</v>
      </c>
      <c r="K62" s="608">
        <f t="shared" si="21"/>
        <v>1.407</v>
      </c>
      <c r="L62" s="637">
        <f t="shared" si="22"/>
        <v>362.94</v>
      </c>
      <c r="M62" s="637">
        <f t="shared" si="26"/>
        <v>435.53</v>
      </c>
      <c r="N62" s="690" t="s">
        <v>1165</v>
      </c>
    </row>
    <row r="63" spans="1:15" s="683" customFormat="1" ht="110.25" outlineLevel="1" x14ac:dyDescent="0.25">
      <c r="A63" s="700" t="s">
        <v>510</v>
      </c>
      <c r="B63" s="675" t="s">
        <v>1150</v>
      </c>
      <c r="C63" s="685" t="s">
        <v>1311</v>
      </c>
      <c r="D63" s="686">
        <f>1.5</f>
        <v>1.5</v>
      </c>
      <c r="E63" s="606" t="s">
        <v>1303</v>
      </c>
      <c r="F63" s="699">
        <v>44197</v>
      </c>
      <c r="G63" s="678"/>
      <c r="H63" s="676"/>
      <c r="I63" s="678">
        <f>УНЦС!$F$136</f>
        <v>613.23</v>
      </c>
      <c r="J63" s="678">
        <f>I63*D63</f>
        <v>919.85</v>
      </c>
      <c r="K63" s="608">
        <f>$K$125*$K$126</f>
        <v>1.1080000000000001</v>
      </c>
      <c r="L63" s="678">
        <f t="shared" si="22"/>
        <v>1019.19</v>
      </c>
      <c r="M63" s="637">
        <f>L63*1.2</f>
        <v>1223.03</v>
      </c>
      <c r="N63" s="690" t="s">
        <v>1166</v>
      </c>
      <c r="O63" s="772"/>
    </row>
    <row r="64" spans="1:15" s="683" customFormat="1" ht="110.25" outlineLevel="1" x14ac:dyDescent="0.25">
      <c r="A64" s="700" t="s">
        <v>511</v>
      </c>
      <c r="B64" s="675" t="s">
        <v>1151</v>
      </c>
      <c r="C64" s="685" t="s">
        <v>192</v>
      </c>
      <c r="D64" s="686">
        <v>250</v>
      </c>
      <c r="E64" s="606" t="s">
        <v>324</v>
      </c>
      <c r="F64" s="606" t="s">
        <v>325</v>
      </c>
      <c r="G64" s="678">
        <v>23894.53</v>
      </c>
      <c r="H64" s="676">
        <v>2154.5100000000002</v>
      </c>
      <c r="I64" s="678">
        <f t="shared" ref="I64" si="27">G64/H64</f>
        <v>11.09</v>
      </c>
      <c r="J64" s="678">
        <f>I64*D64</f>
        <v>2772.5</v>
      </c>
      <c r="K64" s="697">
        <f>$K$125*$K$126</f>
        <v>1.1080000000000001</v>
      </c>
      <c r="L64" s="607">
        <f t="shared" ref="L64" si="28">J64*K64</f>
        <v>3071.93</v>
      </c>
      <c r="M64" s="698">
        <f t="shared" ref="M64" si="29">L64*1.2</f>
        <v>3686.32</v>
      </c>
      <c r="N64" s="682" t="s">
        <v>1126</v>
      </c>
    </row>
    <row r="65" spans="1:14" s="683" customFormat="1" ht="110.25" outlineLevel="1" x14ac:dyDescent="0.25">
      <c r="A65" s="700" t="s">
        <v>512</v>
      </c>
      <c r="B65" s="675" t="s">
        <v>1247</v>
      </c>
      <c r="C65" s="685" t="s">
        <v>1113</v>
      </c>
      <c r="D65" s="686">
        <v>1</v>
      </c>
      <c r="E65" s="606" t="s">
        <v>513</v>
      </c>
      <c r="F65" s="699">
        <v>44197</v>
      </c>
      <c r="G65" s="678"/>
      <c r="H65" s="676"/>
      <c r="I65" s="678">
        <f>УНЦС!$F$108</f>
        <v>2798.61</v>
      </c>
      <c r="J65" s="678">
        <f>D65*I65</f>
        <v>2798.61</v>
      </c>
      <c r="K65" s="608">
        <f>$K$125*$K$126</f>
        <v>1.1080000000000001</v>
      </c>
      <c r="L65" s="637">
        <f>J65*K65</f>
        <v>3100.86</v>
      </c>
      <c r="M65" s="637">
        <f>L65*1.2</f>
        <v>3721.03</v>
      </c>
      <c r="N65" s="690"/>
    </row>
    <row r="66" spans="1:14" s="683" customFormat="1" ht="157.5" outlineLevel="1" x14ac:dyDescent="0.25">
      <c r="A66" s="700" t="s">
        <v>1154</v>
      </c>
      <c r="B66" s="675" t="s">
        <v>316</v>
      </c>
      <c r="C66" s="685" t="s">
        <v>192</v>
      </c>
      <c r="D66" s="686">
        <v>100</v>
      </c>
      <c r="E66" s="606" t="s">
        <v>314</v>
      </c>
      <c r="F66" s="606" t="s">
        <v>197</v>
      </c>
      <c r="G66" s="678">
        <v>26950.03</v>
      </c>
      <c r="H66" s="676">
        <v>20576</v>
      </c>
      <c r="I66" s="678">
        <f>G66/H66</f>
        <v>1.31</v>
      </c>
      <c r="J66" s="678">
        <f>I66*D66</f>
        <v>131</v>
      </c>
      <c r="K66" s="608">
        <f>$K$124*$K$125*$K$126</f>
        <v>1.17</v>
      </c>
      <c r="L66" s="637">
        <f>J66*K66</f>
        <v>153.27000000000001</v>
      </c>
      <c r="M66" s="637">
        <f>L66*1.2</f>
        <v>183.92</v>
      </c>
      <c r="N66" s="690" t="s">
        <v>1167</v>
      </c>
    </row>
    <row r="67" spans="1:14" s="683" customFormat="1" ht="157.5" outlineLevel="1" x14ac:dyDescent="0.25">
      <c r="A67" s="700" t="s">
        <v>1155</v>
      </c>
      <c r="B67" s="675" t="s">
        <v>316</v>
      </c>
      <c r="C67" s="685" t="s">
        <v>192</v>
      </c>
      <c r="D67" s="686">
        <f>2*1800</f>
        <v>3600</v>
      </c>
      <c r="E67" s="606" t="s">
        <v>314</v>
      </c>
      <c r="F67" s="606" t="s">
        <v>197</v>
      </c>
      <c r="G67" s="678">
        <v>26950.03</v>
      </c>
      <c r="H67" s="676">
        <v>20576</v>
      </c>
      <c r="I67" s="678">
        <f>G67/H67</f>
        <v>1.31</v>
      </c>
      <c r="J67" s="678">
        <f>I67*D67</f>
        <v>4716</v>
      </c>
      <c r="K67" s="608">
        <f>$K$124*$K$125*$K$126</f>
        <v>1.17</v>
      </c>
      <c r="L67" s="637">
        <f>J67*K67</f>
        <v>5517.72</v>
      </c>
      <c r="M67" s="637">
        <f>L67*1.2</f>
        <v>6621.26</v>
      </c>
      <c r="N67" s="690" t="s">
        <v>1168</v>
      </c>
    </row>
    <row r="68" spans="1:14" s="683" customFormat="1" ht="157.5" outlineLevel="1" x14ac:dyDescent="0.25">
      <c r="A68" s="700" t="s">
        <v>1156</v>
      </c>
      <c r="B68" s="675" t="s">
        <v>317</v>
      </c>
      <c r="C68" s="685" t="s">
        <v>192</v>
      </c>
      <c r="D68" s="686">
        <v>300</v>
      </c>
      <c r="E68" s="606" t="s">
        <v>314</v>
      </c>
      <c r="F68" s="606" t="s">
        <v>197</v>
      </c>
      <c r="G68" s="678">
        <v>7332.19</v>
      </c>
      <c r="H68" s="676">
        <v>10344</v>
      </c>
      <c r="I68" s="678">
        <f>G68/H68</f>
        <v>0.71</v>
      </c>
      <c r="J68" s="678">
        <f>I68*D68</f>
        <v>213</v>
      </c>
      <c r="K68" s="608">
        <f>$K$124*$K$125*$K$126</f>
        <v>1.17</v>
      </c>
      <c r="L68" s="678">
        <f>J68*K68</f>
        <v>249.21</v>
      </c>
      <c r="M68" s="637">
        <f>L68*1.2</f>
        <v>299.05</v>
      </c>
      <c r="N68" s="690" t="s">
        <v>1169</v>
      </c>
    </row>
    <row r="69" spans="1:14" s="683" customFormat="1" ht="173.25" outlineLevel="1" x14ac:dyDescent="0.25">
      <c r="A69" s="700" t="s">
        <v>1157</v>
      </c>
      <c r="B69" s="675" t="s">
        <v>1131</v>
      </c>
      <c r="C69" s="685" t="s">
        <v>192</v>
      </c>
      <c r="D69" s="686">
        <f>2*1800</f>
        <v>3600</v>
      </c>
      <c r="E69" s="606" t="s">
        <v>314</v>
      </c>
      <c r="F69" s="606" t="s">
        <v>197</v>
      </c>
      <c r="G69" s="678">
        <v>22910.16</v>
      </c>
      <c r="H69" s="676">
        <v>16253</v>
      </c>
      <c r="I69" s="678">
        <f>G69/H69</f>
        <v>1.41</v>
      </c>
      <c r="J69" s="678">
        <f>I69*D69</f>
        <v>5076</v>
      </c>
      <c r="K69" s="608">
        <f>$K$124*$K$125*$K$126</f>
        <v>1.17</v>
      </c>
      <c r="L69" s="637">
        <f>J69*K69</f>
        <v>5938.92</v>
      </c>
      <c r="M69" s="637">
        <f>L69*1.2</f>
        <v>7126.7</v>
      </c>
      <c r="N69" s="690" t="s">
        <v>1170</v>
      </c>
    </row>
    <row r="70" spans="1:14" s="683" customFormat="1" ht="173.25" outlineLevel="1" x14ac:dyDescent="0.25">
      <c r="A70" s="700" t="s">
        <v>1158</v>
      </c>
      <c r="B70" s="675" t="s">
        <v>1273</v>
      </c>
      <c r="C70" s="685" t="s">
        <v>195</v>
      </c>
      <c r="D70" s="686">
        <v>1800</v>
      </c>
      <c r="E70" s="606" t="s">
        <v>523</v>
      </c>
      <c r="F70" s="606" t="s">
        <v>524</v>
      </c>
      <c r="G70" s="637">
        <f>1386.62*7*1.26</f>
        <v>12229.99</v>
      </c>
      <c r="H70" s="607">
        <v>8165</v>
      </c>
      <c r="I70" s="637">
        <f>G70/H70</f>
        <v>1.5</v>
      </c>
      <c r="J70" s="637">
        <f>I70*D70</f>
        <v>2700</v>
      </c>
      <c r="K70" s="608">
        <f>$K$123^(1/2)*$K$124*$K$125*$K$126</f>
        <v>1.2090000000000001</v>
      </c>
      <c r="L70" s="637">
        <f t="shared" ref="L70" si="30">J70*K70</f>
        <v>3264.3</v>
      </c>
      <c r="M70" s="637">
        <f t="shared" ref="M70" si="31">L70*1.2</f>
        <v>3917.16</v>
      </c>
      <c r="N70" s="690"/>
    </row>
    <row r="71" spans="1:14" s="683" customFormat="1" ht="78.75" outlineLevel="1" x14ac:dyDescent="0.25">
      <c r="A71" s="700" t="s">
        <v>1159</v>
      </c>
      <c r="B71" s="675" t="s">
        <v>1133</v>
      </c>
      <c r="C71" s="685" t="s">
        <v>489</v>
      </c>
      <c r="D71" s="686" t="s">
        <v>1153</v>
      </c>
      <c r="E71" s="606"/>
      <c r="F71" s="687"/>
      <c r="G71" s="688"/>
      <c r="H71" s="686"/>
      <c r="I71" s="688"/>
      <c r="J71" s="688"/>
      <c r="K71" s="608"/>
      <c r="L71" s="678"/>
      <c r="M71" s="637"/>
      <c r="N71" s="690" t="s">
        <v>1171</v>
      </c>
    </row>
    <row r="72" spans="1:14" s="683" customFormat="1" ht="110.25" outlineLevel="1" x14ac:dyDescent="0.25">
      <c r="A72" s="700" t="s">
        <v>1160</v>
      </c>
      <c r="B72" s="675" t="s">
        <v>318</v>
      </c>
      <c r="C72" s="685" t="s">
        <v>319</v>
      </c>
      <c r="D72" s="686">
        <v>4</v>
      </c>
      <c r="E72" s="606" t="s">
        <v>327</v>
      </c>
      <c r="F72" s="606" t="s">
        <v>194</v>
      </c>
      <c r="G72" s="678">
        <f>1205.36/3</f>
        <v>401.79</v>
      </c>
      <c r="H72" s="676">
        <v>4</v>
      </c>
      <c r="I72" s="678">
        <f>G72/H72</f>
        <v>100.45</v>
      </c>
      <c r="J72" s="678">
        <f>I72*D72</f>
        <v>401.8</v>
      </c>
      <c r="K72" s="608">
        <f>$K$120^(1/2)*$K$121*$K$122*$K$123*$K$124*$K$125*$K$126</f>
        <v>1.407</v>
      </c>
      <c r="L72" s="637">
        <f>J72*K72</f>
        <v>565.33000000000004</v>
      </c>
      <c r="M72" s="637">
        <f t="shared" ref="M72" si="32">L72*1.2</f>
        <v>678.4</v>
      </c>
      <c r="N72" s="682" t="s">
        <v>1172</v>
      </c>
    </row>
    <row r="73" spans="1:14" s="683" customFormat="1" ht="78.75" outlineLevel="1" x14ac:dyDescent="0.25">
      <c r="A73" s="700" t="s">
        <v>1161</v>
      </c>
      <c r="B73" s="675" t="s">
        <v>1954</v>
      </c>
      <c r="C73" s="685" t="s">
        <v>489</v>
      </c>
      <c r="D73" s="686">
        <v>2</v>
      </c>
      <c r="E73" s="606"/>
      <c r="F73" s="687"/>
      <c r="G73" s="688"/>
      <c r="H73" s="686"/>
      <c r="I73" s="688"/>
      <c r="J73" s="688"/>
      <c r="K73" s="608"/>
      <c r="L73" s="678"/>
      <c r="M73" s="637"/>
      <c r="N73" s="690" t="s">
        <v>1171</v>
      </c>
    </row>
    <row r="74" spans="1:14" s="683" customFormat="1" ht="31.5" outlineLevel="1" x14ac:dyDescent="0.25">
      <c r="A74" s="700" t="s">
        <v>1162</v>
      </c>
      <c r="B74" s="675" t="s">
        <v>390</v>
      </c>
      <c r="C74" s="685" t="s">
        <v>527</v>
      </c>
      <c r="D74" s="686">
        <v>1</v>
      </c>
      <c r="E74" s="606" t="s">
        <v>199</v>
      </c>
      <c r="F74" s="699">
        <v>44197</v>
      </c>
      <c r="G74" s="678"/>
      <c r="H74" s="676"/>
      <c r="I74" s="678">
        <f>УНЦС!$F$128</f>
        <v>347.94</v>
      </c>
      <c r="J74" s="678">
        <f>D74*I74</f>
        <v>347.94</v>
      </c>
      <c r="K74" s="608">
        <f>$K$125*$K$126</f>
        <v>1.1080000000000001</v>
      </c>
      <c r="L74" s="637">
        <f>J74*K74</f>
        <v>385.52</v>
      </c>
      <c r="M74" s="637">
        <f>L74*1.2</f>
        <v>462.62</v>
      </c>
      <c r="N74" s="682"/>
    </row>
    <row r="75" spans="1:14" s="683" customFormat="1" ht="47.25" outlineLevel="1" x14ac:dyDescent="0.25">
      <c r="A75" s="700" t="s">
        <v>1163</v>
      </c>
      <c r="B75" s="675" t="s">
        <v>393</v>
      </c>
      <c r="C75" s="685" t="s">
        <v>490</v>
      </c>
      <c r="D75" s="686">
        <v>2</v>
      </c>
      <c r="E75" s="606"/>
      <c r="F75" s="687"/>
      <c r="G75" s="688"/>
      <c r="H75" s="686"/>
      <c r="I75" s="688"/>
      <c r="J75" s="688"/>
      <c r="K75" s="608"/>
      <c r="L75" s="678"/>
      <c r="M75" s="637"/>
      <c r="N75" s="682"/>
    </row>
    <row r="76" spans="1:14" s="683" customFormat="1" outlineLevel="1" x14ac:dyDescent="0.25">
      <c r="A76" s="700" t="s">
        <v>1164</v>
      </c>
      <c r="B76" s="675" t="s">
        <v>492</v>
      </c>
      <c r="C76" s="685" t="s">
        <v>493</v>
      </c>
      <c r="D76" s="686">
        <v>1</v>
      </c>
      <c r="E76" s="606"/>
      <c r="F76" s="687"/>
      <c r="G76" s="688"/>
      <c r="H76" s="686"/>
      <c r="I76" s="688"/>
      <c r="J76" s="688"/>
      <c r="K76" s="608"/>
      <c r="L76" s="678"/>
      <c r="M76" s="637"/>
      <c r="N76" s="682" t="s">
        <v>1206</v>
      </c>
    </row>
    <row r="77" spans="1:14" s="683" customFormat="1" ht="173.25" outlineLevel="1" x14ac:dyDescent="0.25">
      <c r="A77" s="700" t="s">
        <v>1955</v>
      </c>
      <c r="B77" s="675" t="s">
        <v>1957</v>
      </c>
      <c r="C77" s="685" t="s">
        <v>192</v>
      </c>
      <c r="D77" s="686">
        <v>500</v>
      </c>
      <c r="E77" s="606" t="s">
        <v>523</v>
      </c>
      <c r="F77" s="606" t="s">
        <v>524</v>
      </c>
      <c r="G77" s="607">
        <f>1386.62*7*1.26</f>
        <v>12229.99</v>
      </c>
      <c r="H77" s="607">
        <v>8165</v>
      </c>
      <c r="I77" s="607">
        <f>G77/H77</f>
        <v>1.5</v>
      </c>
      <c r="J77" s="607">
        <f>I77*D77</f>
        <v>750</v>
      </c>
      <c r="K77" s="608">
        <f>$K$123^(1/2)*$K$124*$K$125*$K$126</f>
        <v>1.2090000000000001</v>
      </c>
      <c r="L77" s="637">
        <f t="shared" ref="L77:L78" si="33">J77*K77</f>
        <v>906.75</v>
      </c>
      <c r="M77" s="637">
        <f t="shared" ref="M77:M78" si="34">L77*1.2</f>
        <v>1088.0999999999999</v>
      </c>
      <c r="N77" s="682"/>
    </row>
    <row r="78" spans="1:14" s="683" customFormat="1" ht="173.25" outlineLevel="1" x14ac:dyDescent="0.25">
      <c r="A78" s="700" t="s">
        <v>1956</v>
      </c>
      <c r="B78" s="675" t="s">
        <v>1958</v>
      </c>
      <c r="C78" s="685" t="s">
        <v>192</v>
      </c>
      <c r="D78" s="686">
        <v>10</v>
      </c>
      <c r="E78" s="606" t="s">
        <v>523</v>
      </c>
      <c r="F78" s="606" t="s">
        <v>524</v>
      </c>
      <c r="G78" s="607">
        <f>1386.62*7*1.26</f>
        <v>12229.99</v>
      </c>
      <c r="H78" s="607">
        <v>8165</v>
      </c>
      <c r="I78" s="607">
        <f>G78/H78</f>
        <v>1.5</v>
      </c>
      <c r="J78" s="607">
        <f>I78*D78</f>
        <v>15</v>
      </c>
      <c r="K78" s="608">
        <f>$K$123^(1/2)*$K$124*$K$125*$K$126</f>
        <v>1.2090000000000001</v>
      </c>
      <c r="L78" s="637">
        <f t="shared" si="33"/>
        <v>18.14</v>
      </c>
      <c r="M78" s="637">
        <f t="shared" si="34"/>
        <v>21.77</v>
      </c>
      <c r="N78" s="682"/>
    </row>
    <row r="79" spans="1:14" s="768" customFormat="1" ht="18.75" x14ac:dyDescent="0.3">
      <c r="A79" s="724" t="s">
        <v>1256</v>
      </c>
      <c r="B79" s="735" t="s">
        <v>1173</v>
      </c>
      <c r="C79" s="726"/>
      <c r="D79" s="727"/>
      <c r="E79" s="728"/>
      <c r="F79" s="729"/>
      <c r="G79" s="730"/>
      <c r="H79" s="727"/>
      <c r="I79" s="730"/>
      <c r="J79" s="730"/>
      <c r="K79" s="731"/>
      <c r="L79" s="732">
        <f>SUM(L80:L86)</f>
        <v>284316.28000000003</v>
      </c>
      <c r="M79" s="732">
        <f>SUM(M80:M86)</f>
        <v>341179.55</v>
      </c>
      <c r="N79" s="733"/>
    </row>
    <row r="80" spans="1:14" s="683" customFormat="1" ht="157.5" outlineLevel="1" x14ac:dyDescent="0.25">
      <c r="A80" s="700" t="s">
        <v>762</v>
      </c>
      <c r="B80" s="675" t="s">
        <v>1240</v>
      </c>
      <c r="C80" s="685" t="s">
        <v>479</v>
      </c>
      <c r="D80" s="686">
        <f>4.35</f>
        <v>4.3499999999999996</v>
      </c>
      <c r="E80" s="606" t="s">
        <v>328</v>
      </c>
      <c r="F80" s="687">
        <v>44197</v>
      </c>
      <c r="G80" s="688"/>
      <c r="H80" s="686"/>
      <c r="I80" s="688">
        <f>УНЦС!$F$51</f>
        <v>9433.7199999999993</v>
      </c>
      <c r="J80" s="688">
        <f>D80*I80</f>
        <v>41036.68</v>
      </c>
      <c r="K80" s="608">
        <f>$K$125*$K$126</f>
        <v>1.1080000000000001</v>
      </c>
      <c r="L80" s="678">
        <f>J80*K80</f>
        <v>45468.639999999999</v>
      </c>
      <c r="M80" s="637">
        <f>L80*1.2</f>
        <v>54562.37</v>
      </c>
      <c r="N80" s="690" t="s">
        <v>1259</v>
      </c>
    </row>
    <row r="81" spans="1:15" s="683" customFormat="1" ht="110.25" outlineLevel="1" x14ac:dyDescent="0.25">
      <c r="A81" s="700" t="s">
        <v>763</v>
      </c>
      <c r="B81" s="675" t="s">
        <v>1112</v>
      </c>
      <c r="C81" s="685" t="s">
        <v>1113</v>
      </c>
      <c r="D81" s="686">
        <v>33</v>
      </c>
      <c r="E81" s="606"/>
      <c r="F81" s="606"/>
      <c r="G81" s="678"/>
      <c r="H81" s="676"/>
      <c r="I81" s="678"/>
      <c r="J81" s="678"/>
      <c r="K81" s="608"/>
      <c r="L81" s="678"/>
      <c r="M81" s="637"/>
      <c r="N81" s="690" t="s">
        <v>1123</v>
      </c>
    </row>
    <row r="82" spans="1:15" s="683" customFormat="1" ht="94.5" outlineLevel="1" x14ac:dyDescent="0.25">
      <c r="A82" s="700" t="s">
        <v>2007</v>
      </c>
      <c r="B82" s="675" t="s">
        <v>2003</v>
      </c>
      <c r="C82" s="703" t="s">
        <v>313</v>
      </c>
      <c r="D82" s="704">
        <v>33</v>
      </c>
      <c r="E82" s="606" t="s">
        <v>1961</v>
      </c>
      <c r="F82" s="687" t="s">
        <v>194</v>
      </c>
      <c r="G82" s="705">
        <f>11865.561</f>
        <v>11865.56</v>
      </c>
      <c r="H82" s="704">
        <v>46</v>
      </c>
      <c r="I82" s="705">
        <f>G82/H82</f>
        <v>257.95</v>
      </c>
      <c r="J82" s="705">
        <f>D82*I82</f>
        <v>8512.35</v>
      </c>
      <c r="K82" s="608">
        <f>$K$120^(1/2)*$K$121*$K$122*$K$123*$K$124*$K$125*$K$126</f>
        <v>1.407</v>
      </c>
      <c r="L82" s="637">
        <f>J82*K82</f>
        <v>11976.88</v>
      </c>
      <c r="M82" s="637">
        <f t="shared" ref="M82:M84" si="35">L82*1.2</f>
        <v>14372.26</v>
      </c>
      <c r="N82" s="690"/>
    </row>
    <row r="83" spans="1:15" s="683" customFormat="1" ht="94.5" outlineLevel="1" x14ac:dyDescent="0.25">
      <c r="A83" s="700" t="s">
        <v>2008</v>
      </c>
      <c r="B83" s="675" t="s">
        <v>2002</v>
      </c>
      <c r="C83" s="703" t="s">
        <v>313</v>
      </c>
      <c r="D83" s="704">
        <v>33</v>
      </c>
      <c r="E83" s="606" t="s">
        <v>1961</v>
      </c>
      <c r="F83" s="687" t="s">
        <v>194</v>
      </c>
      <c r="G83" s="705">
        <f>6857.383</f>
        <v>6857.38</v>
      </c>
      <c r="H83" s="704">
        <v>21</v>
      </c>
      <c r="I83" s="705">
        <f>G83/H83</f>
        <v>326.54000000000002</v>
      </c>
      <c r="J83" s="705">
        <f>D83*I83</f>
        <v>10775.82</v>
      </c>
      <c r="K83" s="608">
        <f>$K$120^(1/2)*$K$121*$K$122*$K$123*$K$124*$K$125*$K$126</f>
        <v>1.407</v>
      </c>
      <c r="L83" s="637">
        <f>J83*K83</f>
        <v>15161.58</v>
      </c>
      <c r="M83" s="637">
        <f t="shared" si="35"/>
        <v>18193.900000000001</v>
      </c>
      <c r="N83" s="690"/>
    </row>
    <row r="84" spans="1:15" s="683" customFormat="1" ht="94.5" outlineLevel="1" x14ac:dyDescent="0.25">
      <c r="A84" s="700" t="s">
        <v>2009</v>
      </c>
      <c r="B84" s="675" t="s">
        <v>1236</v>
      </c>
      <c r="C84" s="703" t="s">
        <v>313</v>
      </c>
      <c r="D84" s="704">
        <v>33</v>
      </c>
      <c r="E84" s="606" t="s">
        <v>1961</v>
      </c>
      <c r="F84" s="687" t="s">
        <v>194</v>
      </c>
      <c r="G84" s="705">
        <v>83230.320000000007</v>
      </c>
      <c r="H84" s="704">
        <v>21</v>
      </c>
      <c r="I84" s="705">
        <f>G84/H84</f>
        <v>3963.35</v>
      </c>
      <c r="J84" s="705">
        <f>D84*I84</f>
        <v>130790.55</v>
      </c>
      <c r="K84" s="608">
        <f>$K$120^(1/2)*$K$121*$K$122*$K$123*$K$124*$K$125*$K$126</f>
        <v>1.407</v>
      </c>
      <c r="L84" s="637">
        <f>J84*K84</f>
        <v>184022.3</v>
      </c>
      <c r="M84" s="637">
        <f t="shared" si="35"/>
        <v>220826.76</v>
      </c>
      <c r="N84" s="690"/>
    </row>
    <row r="85" spans="1:15" s="683" customFormat="1" ht="157.5" outlineLevel="1" x14ac:dyDescent="0.25">
      <c r="A85" s="700" t="s">
        <v>764</v>
      </c>
      <c r="B85" s="675" t="s">
        <v>316</v>
      </c>
      <c r="C85" s="685" t="s">
        <v>192</v>
      </c>
      <c r="D85" s="686">
        <f>2*4350</f>
        <v>8700</v>
      </c>
      <c r="E85" s="606" t="s">
        <v>314</v>
      </c>
      <c r="F85" s="606" t="s">
        <v>197</v>
      </c>
      <c r="G85" s="678">
        <v>26950.03</v>
      </c>
      <c r="H85" s="676">
        <v>20576</v>
      </c>
      <c r="I85" s="678">
        <f>G85/H85</f>
        <v>1.31</v>
      </c>
      <c r="J85" s="678">
        <f>I85*D85</f>
        <v>11397</v>
      </c>
      <c r="K85" s="608">
        <f>$K$124*$K$125*$K$126</f>
        <v>1.17</v>
      </c>
      <c r="L85" s="637">
        <f>J85*K85</f>
        <v>13334.49</v>
      </c>
      <c r="M85" s="637">
        <f>L85*1.2</f>
        <v>16001.39</v>
      </c>
      <c r="N85" s="690" t="s">
        <v>1168</v>
      </c>
    </row>
    <row r="86" spans="1:15" s="683" customFormat="1" ht="157.5" outlineLevel="1" x14ac:dyDescent="0.25">
      <c r="A86" s="700" t="s">
        <v>765</v>
      </c>
      <c r="B86" s="675" t="s">
        <v>1131</v>
      </c>
      <c r="C86" s="685" t="s">
        <v>195</v>
      </c>
      <c r="D86" s="686">
        <f>2*4350</f>
        <v>8700</v>
      </c>
      <c r="E86" s="606" t="s">
        <v>314</v>
      </c>
      <c r="F86" s="606" t="s">
        <v>197</v>
      </c>
      <c r="G86" s="678">
        <v>22910.16</v>
      </c>
      <c r="H86" s="676">
        <v>16253</v>
      </c>
      <c r="I86" s="678">
        <f>G86/H86</f>
        <v>1.41</v>
      </c>
      <c r="J86" s="678">
        <f>I86*D86</f>
        <v>12267</v>
      </c>
      <c r="K86" s="608">
        <f>$K$124*$K$125*$K$126</f>
        <v>1.17</v>
      </c>
      <c r="L86" s="637">
        <f>J86*K86</f>
        <v>14352.39</v>
      </c>
      <c r="M86" s="637">
        <f>L86*1.2</f>
        <v>17222.87</v>
      </c>
      <c r="N86" s="690" t="s">
        <v>1207</v>
      </c>
    </row>
    <row r="87" spans="1:15" s="683" customFormat="1" ht="18.75" x14ac:dyDescent="0.3">
      <c r="A87" s="724" t="s">
        <v>1257</v>
      </c>
      <c r="B87" s="735" t="s">
        <v>1174</v>
      </c>
      <c r="C87" s="726"/>
      <c r="D87" s="727"/>
      <c r="E87" s="728"/>
      <c r="F87" s="729"/>
      <c r="G87" s="730"/>
      <c r="H87" s="727"/>
      <c r="I87" s="730"/>
      <c r="J87" s="730"/>
      <c r="K87" s="731"/>
      <c r="L87" s="732">
        <f>SUM(L88:L110)</f>
        <v>237616.11</v>
      </c>
      <c r="M87" s="732">
        <f>SUM(M88:M110)</f>
        <v>285139.33</v>
      </c>
      <c r="N87" s="733"/>
    </row>
    <row r="88" spans="1:15" s="683" customFormat="1" ht="157.5" outlineLevel="1" x14ac:dyDescent="0.25">
      <c r="A88" s="700" t="s">
        <v>1181</v>
      </c>
      <c r="B88" s="675" t="s">
        <v>1271</v>
      </c>
      <c r="C88" s="685" t="s">
        <v>479</v>
      </c>
      <c r="D88" s="686">
        <f>0.1</f>
        <v>0.1</v>
      </c>
      <c r="E88" s="606" t="s">
        <v>328</v>
      </c>
      <c r="F88" s="687">
        <v>44197</v>
      </c>
      <c r="G88" s="688"/>
      <c r="H88" s="686"/>
      <c r="I88" s="688">
        <f>УНЦС!$F$37</f>
        <v>7618.62</v>
      </c>
      <c r="J88" s="688">
        <f>D88*I88</f>
        <v>761.86</v>
      </c>
      <c r="K88" s="608">
        <f>$K$125*$K$126</f>
        <v>1.1080000000000001</v>
      </c>
      <c r="L88" s="678">
        <f>J88*K88</f>
        <v>844.14</v>
      </c>
      <c r="M88" s="637">
        <f>L88*1.2</f>
        <v>1012.97</v>
      </c>
      <c r="N88" s="690" t="s">
        <v>1259</v>
      </c>
    </row>
    <row r="89" spans="1:15" s="683" customFormat="1" ht="141.75" outlineLevel="1" x14ac:dyDescent="0.25">
      <c r="A89" s="700" t="s">
        <v>1182</v>
      </c>
      <c r="B89" s="675" t="s">
        <v>1246</v>
      </c>
      <c r="C89" s="685" t="s">
        <v>475</v>
      </c>
      <c r="D89" s="686">
        <f>105*3600/1000</f>
        <v>378</v>
      </c>
      <c r="E89" s="606" t="s">
        <v>212</v>
      </c>
      <c r="F89" s="687">
        <v>44197</v>
      </c>
      <c r="G89" s="688"/>
      <c r="H89" s="686"/>
      <c r="I89" s="688">
        <f>УНЦС!$F$88</f>
        <v>61.96</v>
      </c>
      <c r="J89" s="688">
        <f>D89*I89</f>
        <v>23420.880000000001</v>
      </c>
      <c r="K89" s="608">
        <f>$K$125*$K$126</f>
        <v>1.1080000000000001</v>
      </c>
      <c r="L89" s="637">
        <f>J89*K89</f>
        <v>25950.34</v>
      </c>
      <c r="M89" s="637">
        <f>L89*1.2</f>
        <v>31140.41</v>
      </c>
      <c r="N89" s="690"/>
    </row>
    <row r="90" spans="1:15" s="683" customFormat="1" ht="157.5" outlineLevel="1" x14ac:dyDescent="0.25">
      <c r="A90" s="700" t="s">
        <v>1183</v>
      </c>
      <c r="B90" s="675" t="s">
        <v>1261</v>
      </c>
      <c r="C90" s="685" t="s">
        <v>479</v>
      </c>
      <c r="D90" s="686">
        <f>1.9*2</f>
        <v>3.8</v>
      </c>
      <c r="E90" s="606" t="s">
        <v>328</v>
      </c>
      <c r="F90" s="687">
        <v>44197</v>
      </c>
      <c r="G90" s="688"/>
      <c r="H90" s="686"/>
      <c r="I90" s="688">
        <f>УНЦС!$F$37</f>
        <v>7618.62</v>
      </c>
      <c r="J90" s="688">
        <f>D90*I90</f>
        <v>28950.76</v>
      </c>
      <c r="K90" s="608">
        <f>$K$125*$K$126</f>
        <v>1.1080000000000001</v>
      </c>
      <c r="L90" s="678">
        <f>J90*K90</f>
        <v>32077.439999999999</v>
      </c>
      <c r="M90" s="637">
        <f>L90*1.2</f>
        <v>38492.93</v>
      </c>
      <c r="N90" s="690" t="s">
        <v>1259</v>
      </c>
    </row>
    <row r="91" spans="1:15" s="683" customFormat="1" ht="110.25" outlineLevel="1" x14ac:dyDescent="0.25">
      <c r="A91" s="700" t="s">
        <v>1184</v>
      </c>
      <c r="B91" s="675" t="s">
        <v>1175</v>
      </c>
      <c r="C91" s="685" t="s">
        <v>1113</v>
      </c>
      <c r="D91" s="686">
        <v>34</v>
      </c>
      <c r="E91" s="606"/>
      <c r="F91" s="687"/>
      <c r="G91" s="705"/>
      <c r="H91" s="704"/>
      <c r="I91" s="705"/>
      <c r="J91" s="705"/>
      <c r="K91" s="608"/>
      <c r="L91" s="678"/>
      <c r="M91" s="637"/>
      <c r="N91" s="690" t="s">
        <v>1123</v>
      </c>
    </row>
    <row r="92" spans="1:15" s="683" customFormat="1" ht="94.5" outlineLevel="1" x14ac:dyDescent="0.25">
      <c r="A92" s="700" t="s">
        <v>1237</v>
      </c>
      <c r="B92" s="675" t="s">
        <v>2011</v>
      </c>
      <c r="C92" s="685" t="s">
        <v>313</v>
      </c>
      <c r="D92" s="686">
        <v>34</v>
      </c>
      <c r="E92" s="606" t="s">
        <v>1961</v>
      </c>
      <c r="F92" s="687" t="s">
        <v>194</v>
      </c>
      <c r="G92" s="705">
        <f>11865.561</f>
        <v>11865.56</v>
      </c>
      <c r="H92" s="704">
        <v>46</v>
      </c>
      <c r="I92" s="705">
        <f>G92/H92</f>
        <v>257.95</v>
      </c>
      <c r="J92" s="705">
        <f>D92*I92</f>
        <v>8770.2999999999993</v>
      </c>
      <c r="K92" s="608">
        <f>$K$120^(1/2)*$K$121*$K$122*$K$123*$K$124*$K$125*$K$126</f>
        <v>1.407</v>
      </c>
      <c r="L92" s="637">
        <f>J92*K92</f>
        <v>12339.81</v>
      </c>
      <c r="M92" s="637">
        <f t="shared" ref="M92" si="36">L92*1.2</f>
        <v>14807.77</v>
      </c>
      <c r="N92" s="690"/>
    </row>
    <row r="93" spans="1:15" s="683" customFormat="1" ht="94.5" outlineLevel="1" x14ac:dyDescent="0.25">
      <c r="A93" s="700" t="s">
        <v>1238</v>
      </c>
      <c r="B93" s="675" t="s">
        <v>2012</v>
      </c>
      <c r="C93" s="703" t="s">
        <v>313</v>
      </c>
      <c r="D93" s="704">
        <v>34</v>
      </c>
      <c r="E93" s="606" t="s">
        <v>1961</v>
      </c>
      <c r="F93" s="687" t="s">
        <v>194</v>
      </c>
      <c r="G93" s="705">
        <f>7918.794</f>
        <v>7918.79</v>
      </c>
      <c r="H93" s="704">
        <v>22</v>
      </c>
      <c r="I93" s="705">
        <f>G93/H93</f>
        <v>359.95</v>
      </c>
      <c r="J93" s="705">
        <f>D93*I93</f>
        <v>12238.3</v>
      </c>
      <c r="K93" s="608">
        <f>$K$120^(1/2)*$K$121*$K$122*$K$123*$K$124*$K$125*$K$126</f>
        <v>1.407</v>
      </c>
      <c r="L93" s="637">
        <f>J93*K93</f>
        <v>17219.29</v>
      </c>
      <c r="M93" s="637">
        <f t="shared" ref="M93" si="37">L93*1.2</f>
        <v>20663.150000000001</v>
      </c>
      <c r="N93" s="690"/>
    </row>
    <row r="94" spans="1:15" s="683" customFormat="1" ht="94.5" outlineLevel="1" x14ac:dyDescent="0.25">
      <c r="A94" s="700" t="s">
        <v>2010</v>
      </c>
      <c r="B94" s="675" t="s">
        <v>1239</v>
      </c>
      <c r="C94" s="685" t="s">
        <v>313</v>
      </c>
      <c r="D94" s="686">
        <v>17</v>
      </c>
      <c r="E94" s="606" t="s">
        <v>1961</v>
      </c>
      <c r="F94" s="687" t="s">
        <v>194</v>
      </c>
      <c r="G94" s="705">
        <f>52090.306</f>
        <v>52090.31</v>
      </c>
      <c r="H94" s="704">
        <v>10</v>
      </c>
      <c r="I94" s="705">
        <f>G94/H94</f>
        <v>5209.03</v>
      </c>
      <c r="J94" s="705">
        <f>D94*I94</f>
        <v>88553.51</v>
      </c>
      <c r="K94" s="608">
        <f>$K$120^(1/2)*$K$121*$K$122*$K$123*$K$124*$K$125*$K$126</f>
        <v>1.407</v>
      </c>
      <c r="L94" s="637">
        <f>J94*K94</f>
        <v>124594.79</v>
      </c>
      <c r="M94" s="637">
        <f t="shared" ref="M94:M95" si="38">L94*1.2</f>
        <v>149513.75</v>
      </c>
      <c r="N94" s="690" t="s">
        <v>2013</v>
      </c>
    </row>
    <row r="95" spans="1:15" s="683" customFormat="1" ht="173.25" outlineLevel="1" x14ac:dyDescent="0.25">
      <c r="A95" s="700" t="s">
        <v>1185</v>
      </c>
      <c r="B95" s="675" t="s">
        <v>1176</v>
      </c>
      <c r="C95" s="685" t="s">
        <v>1113</v>
      </c>
      <c r="D95" s="686">
        <v>2</v>
      </c>
      <c r="E95" s="606" t="s">
        <v>1961</v>
      </c>
      <c r="F95" s="687" t="s">
        <v>194</v>
      </c>
      <c r="G95" s="705">
        <f>11865.561</f>
        <v>11865.56</v>
      </c>
      <c r="H95" s="704">
        <v>46</v>
      </c>
      <c r="I95" s="705">
        <f>G95/H95</f>
        <v>257.95</v>
      </c>
      <c r="J95" s="705">
        <f>D95*I95</f>
        <v>515.9</v>
      </c>
      <c r="K95" s="608">
        <f>$K$120^(1/2)*$K$121*$K$122*$K$123*$K$124*$K$125*$K$126</f>
        <v>1.407</v>
      </c>
      <c r="L95" s="637">
        <f>J95*K95</f>
        <v>725.87</v>
      </c>
      <c r="M95" s="637">
        <f t="shared" si="38"/>
        <v>871.04</v>
      </c>
      <c r="N95" s="690" t="s">
        <v>1208</v>
      </c>
    </row>
    <row r="96" spans="1:15" s="683" customFormat="1" ht="110.25" outlineLevel="1" x14ac:dyDescent="0.25">
      <c r="A96" s="700" t="s">
        <v>1186</v>
      </c>
      <c r="B96" s="675" t="s">
        <v>1177</v>
      </c>
      <c r="C96" s="685" t="s">
        <v>1311</v>
      </c>
      <c r="D96" s="686">
        <f>1.5</f>
        <v>1.5</v>
      </c>
      <c r="E96" s="606" t="s">
        <v>1303</v>
      </c>
      <c r="F96" s="699">
        <v>44197</v>
      </c>
      <c r="G96" s="678"/>
      <c r="H96" s="676"/>
      <c r="I96" s="678">
        <f>УНЦС!$F$136</f>
        <v>613.23</v>
      </c>
      <c r="J96" s="678">
        <f>I96*D96</f>
        <v>919.85</v>
      </c>
      <c r="K96" s="608">
        <f>$K$125*$K$126</f>
        <v>1.1080000000000001</v>
      </c>
      <c r="L96" s="678">
        <f t="shared" ref="L96:L102" si="39">J96*K96</f>
        <v>1019.19</v>
      </c>
      <c r="M96" s="637">
        <f t="shared" ref="M96:M102" si="40">L96*1.2</f>
        <v>1223.03</v>
      </c>
      <c r="N96" s="690" t="s">
        <v>1166</v>
      </c>
      <c r="O96" s="772"/>
    </row>
    <row r="97" spans="1:14" s="683" customFormat="1" ht="78.75" outlineLevel="1" x14ac:dyDescent="0.25">
      <c r="A97" s="700" t="s">
        <v>1187</v>
      </c>
      <c r="B97" s="675" t="s">
        <v>1299</v>
      </c>
      <c r="C97" s="685" t="s">
        <v>1113</v>
      </c>
      <c r="D97" s="686">
        <v>1</v>
      </c>
      <c r="E97" s="606" t="s">
        <v>513</v>
      </c>
      <c r="F97" s="699">
        <v>44197</v>
      </c>
      <c r="G97" s="678"/>
      <c r="H97" s="676"/>
      <c r="I97" s="678">
        <f>УНЦС!$F$115</f>
        <v>2274.69</v>
      </c>
      <c r="J97" s="678">
        <f>D97*I97</f>
        <v>2274.69</v>
      </c>
      <c r="K97" s="608">
        <f>$K$125*$K$126</f>
        <v>1.1080000000000001</v>
      </c>
      <c r="L97" s="637">
        <f t="shared" si="39"/>
        <v>2520.36</v>
      </c>
      <c r="M97" s="637">
        <f t="shared" si="40"/>
        <v>3024.43</v>
      </c>
      <c r="N97" s="690"/>
    </row>
    <row r="98" spans="1:14" s="683" customFormat="1" ht="157.5" outlineLevel="1" x14ac:dyDescent="0.25">
      <c r="A98" s="700" t="s">
        <v>1188</v>
      </c>
      <c r="B98" s="675" t="s">
        <v>316</v>
      </c>
      <c r="C98" s="685" t="s">
        <v>192</v>
      </c>
      <c r="D98" s="686">
        <v>100</v>
      </c>
      <c r="E98" s="606" t="s">
        <v>314</v>
      </c>
      <c r="F98" s="606" t="s">
        <v>197</v>
      </c>
      <c r="G98" s="678">
        <v>26950.03</v>
      </c>
      <c r="H98" s="676">
        <v>20576</v>
      </c>
      <c r="I98" s="678">
        <f t="shared" ref="I98:I104" si="41">G98/H98</f>
        <v>1.31</v>
      </c>
      <c r="J98" s="678">
        <f t="shared" ref="J98:J104" si="42">I98*D98</f>
        <v>131</v>
      </c>
      <c r="K98" s="608">
        <f>$K$124*$K$125*$K$126</f>
        <v>1.17</v>
      </c>
      <c r="L98" s="637">
        <f t="shared" si="39"/>
        <v>153.27000000000001</v>
      </c>
      <c r="M98" s="637">
        <f t="shared" si="40"/>
        <v>183.92</v>
      </c>
      <c r="N98" s="690" t="s">
        <v>1209</v>
      </c>
    </row>
    <row r="99" spans="1:14" s="683" customFormat="1" ht="157.5" outlineLevel="1" x14ac:dyDescent="0.25">
      <c r="A99" s="700" t="s">
        <v>1189</v>
      </c>
      <c r="B99" s="675" t="s">
        <v>316</v>
      </c>
      <c r="C99" s="685" t="s">
        <v>192</v>
      </c>
      <c r="D99" s="686">
        <f>2*1900</f>
        <v>3800</v>
      </c>
      <c r="E99" s="606" t="s">
        <v>314</v>
      </c>
      <c r="F99" s="606" t="s">
        <v>197</v>
      </c>
      <c r="G99" s="678">
        <v>26950.03</v>
      </c>
      <c r="H99" s="676">
        <v>20576</v>
      </c>
      <c r="I99" s="678">
        <f t="shared" si="41"/>
        <v>1.31</v>
      </c>
      <c r="J99" s="678">
        <f t="shared" si="42"/>
        <v>4978</v>
      </c>
      <c r="K99" s="608">
        <f>$K$124*$K$125*$K$126</f>
        <v>1.17</v>
      </c>
      <c r="L99" s="637">
        <f t="shared" si="39"/>
        <v>5824.26</v>
      </c>
      <c r="M99" s="637">
        <f t="shared" si="40"/>
        <v>6989.11</v>
      </c>
      <c r="N99" s="690" t="s">
        <v>1168</v>
      </c>
    </row>
    <row r="100" spans="1:14" s="683" customFormat="1" ht="157.5" outlineLevel="1" x14ac:dyDescent="0.25">
      <c r="A100" s="700" t="s">
        <v>1190</v>
      </c>
      <c r="B100" s="675" t="s">
        <v>317</v>
      </c>
      <c r="C100" s="685" t="s">
        <v>195</v>
      </c>
      <c r="D100" s="686">
        <v>200</v>
      </c>
      <c r="E100" s="606" t="s">
        <v>314</v>
      </c>
      <c r="F100" s="606" t="s">
        <v>197</v>
      </c>
      <c r="G100" s="678">
        <v>7332.19</v>
      </c>
      <c r="H100" s="676">
        <v>10344</v>
      </c>
      <c r="I100" s="678">
        <f t="shared" si="41"/>
        <v>0.71</v>
      </c>
      <c r="J100" s="678">
        <f t="shared" si="42"/>
        <v>142</v>
      </c>
      <c r="K100" s="608">
        <f>$K$124*$K$125*$K$126</f>
        <v>1.17</v>
      </c>
      <c r="L100" s="678">
        <f t="shared" si="39"/>
        <v>166.14</v>
      </c>
      <c r="M100" s="637">
        <f t="shared" si="40"/>
        <v>199.37</v>
      </c>
      <c r="N100" s="690" t="s">
        <v>1210</v>
      </c>
    </row>
    <row r="101" spans="1:14" s="683" customFormat="1" ht="157.5" outlineLevel="1" x14ac:dyDescent="0.25">
      <c r="A101" s="700" t="s">
        <v>1191</v>
      </c>
      <c r="B101" s="675" t="s">
        <v>1131</v>
      </c>
      <c r="C101" s="685" t="s">
        <v>192</v>
      </c>
      <c r="D101" s="686">
        <f>2*100</f>
        <v>200</v>
      </c>
      <c r="E101" s="606" t="s">
        <v>314</v>
      </c>
      <c r="F101" s="606" t="s">
        <v>197</v>
      </c>
      <c r="G101" s="678">
        <v>22910.16</v>
      </c>
      <c r="H101" s="676">
        <v>16253</v>
      </c>
      <c r="I101" s="678">
        <f t="shared" si="41"/>
        <v>1.41</v>
      </c>
      <c r="J101" s="678">
        <f t="shared" si="42"/>
        <v>282</v>
      </c>
      <c r="K101" s="608">
        <f>$K$124*$K$125*$K$126</f>
        <v>1.17</v>
      </c>
      <c r="L101" s="637">
        <f t="shared" si="39"/>
        <v>329.94</v>
      </c>
      <c r="M101" s="637">
        <f t="shared" si="40"/>
        <v>395.93</v>
      </c>
      <c r="N101" s="690" t="s">
        <v>1211</v>
      </c>
    </row>
    <row r="102" spans="1:14" s="683" customFormat="1" ht="173.25" outlineLevel="1" x14ac:dyDescent="0.25">
      <c r="A102" s="700" t="s">
        <v>1192</v>
      </c>
      <c r="B102" s="675" t="s">
        <v>1131</v>
      </c>
      <c r="C102" s="685" t="s">
        <v>192</v>
      </c>
      <c r="D102" s="686">
        <f>4*1900</f>
        <v>7600</v>
      </c>
      <c r="E102" s="606" t="s">
        <v>314</v>
      </c>
      <c r="F102" s="606" t="s">
        <v>197</v>
      </c>
      <c r="G102" s="678">
        <v>22910.16</v>
      </c>
      <c r="H102" s="676">
        <v>16253</v>
      </c>
      <c r="I102" s="678">
        <f t="shared" si="41"/>
        <v>1.41</v>
      </c>
      <c r="J102" s="678">
        <f t="shared" si="42"/>
        <v>10716</v>
      </c>
      <c r="K102" s="608">
        <f>$K$124*$K$125*$K$126</f>
        <v>1.17</v>
      </c>
      <c r="L102" s="637">
        <f t="shared" si="39"/>
        <v>12537.72</v>
      </c>
      <c r="M102" s="637">
        <f t="shared" si="40"/>
        <v>15045.26</v>
      </c>
      <c r="N102" s="690" t="s">
        <v>1228</v>
      </c>
    </row>
    <row r="103" spans="1:14" s="683" customFormat="1" ht="173.25" outlineLevel="1" x14ac:dyDescent="0.25">
      <c r="A103" s="700" t="s">
        <v>1193</v>
      </c>
      <c r="B103" s="675" t="s">
        <v>1274</v>
      </c>
      <c r="C103" s="685" t="s">
        <v>195</v>
      </c>
      <c r="D103" s="686">
        <v>100</v>
      </c>
      <c r="E103" s="606" t="s">
        <v>523</v>
      </c>
      <c r="F103" s="606" t="s">
        <v>524</v>
      </c>
      <c r="G103" s="637">
        <f>1386.62*7*1.26</f>
        <v>12229.99</v>
      </c>
      <c r="H103" s="607">
        <v>8165</v>
      </c>
      <c r="I103" s="637">
        <f t="shared" si="41"/>
        <v>1.5</v>
      </c>
      <c r="J103" s="637">
        <f t="shared" si="42"/>
        <v>150</v>
      </c>
      <c r="K103" s="608">
        <f>$K$123^(1/2)*$K$124*$K$125*$K$126</f>
        <v>1.2090000000000001</v>
      </c>
      <c r="L103" s="637">
        <f t="shared" ref="L103" si="43">J103*K103</f>
        <v>181.35</v>
      </c>
      <c r="M103" s="637">
        <f t="shared" ref="M103" si="44">L103*1.2</f>
        <v>217.62</v>
      </c>
      <c r="N103" s="690"/>
    </row>
    <row r="104" spans="1:14" s="683" customFormat="1" ht="173.25" outlineLevel="1" x14ac:dyDescent="0.25">
      <c r="A104" s="700" t="s">
        <v>1194</v>
      </c>
      <c r="B104" s="675" t="s">
        <v>1960</v>
      </c>
      <c r="C104" s="685" t="s">
        <v>195</v>
      </c>
      <c r="D104" s="686">
        <v>100</v>
      </c>
      <c r="E104" s="606" t="s">
        <v>523</v>
      </c>
      <c r="F104" s="606" t="s">
        <v>524</v>
      </c>
      <c r="G104" s="637">
        <f>1386.62*7*1.26</f>
        <v>12229.99</v>
      </c>
      <c r="H104" s="607">
        <v>8165</v>
      </c>
      <c r="I104" s="637">
        <f t="shared" si="41"/>
        <v>1.5</v>
      </c>
      <c r="J104" s="637">
        <f t="shared" si="42"/>
        <v>150</v>
      </c>
      <c r="K104" s="608">
        <f>$K$123^(1/2)*$K$124*$K$125*$K$126</f>
        <v>1.2090000000000001</v>
      </c>
      <c r="L104" s="637">
        <f t="shared" ref="L104" si="45">J104*K104</f>
        <v>181.35</v>
      </c>
      <c r="M104" s="637">
        <f t="shared" ref="M104" si="46">L104*1.2</f>
        <v>217.62</v>
      </c>
      <c r="N104" s="690"/>
    </row>
    <row r="105" spans="1:14" s="683" customFormat="1" ht="78.75" outlineLevel="1" x14ac:dyDescent="0.25">
      <c r="A105" s="700" t="s">
        <v>1195</v>
      </c>
      <c r="B105" s="675" t="s">
        <v>1133</v>
      </c>
      <c r="C105" s="685" t="s">
        <v>489</v>
      </c>
      <c r="D105" s="686">
        <v>2</v>
      </c>
      <c r="E105" s="606"/>
      <c r="F105" s="687"/>
      <c r="G105" s="688"/>
      <c r="H105" s="686"/>
      <c r="I105" s="688"/>
      <c r="J105" s="688"/>
      <c r="K105" s="608"/>
      <c r="L105" s="678"/>
      <c r="M105" s="637"/>
      <c r="N105" s="690" t="s">
        <v>1212</v>
      </c>
    </row>
    <row r="106" spans="1:14" s="683" customFormat="1" ht="110.25" outlineLevel="1" x14ac:dyDescent="0.25">
      <c r="A106" s="700" t="s">
        <v>1196</v>
      </c>
      <c r="B106" s="675" t="s">
        <v>318</v>
      </c>
      <c r="C106" s="685" t="s">
        <v>319</v>
      </c>
      <c r="D106" s="686">
        <v>4</v>
      </c>
      <c r="E106" s="606" t="s">
        <v>327</v>
      </c>
      <c r="F106" s="606" t="s">
        <v>194</v>
      </c>
      <c r="G106" s="678">
        <f>1205.36/3</f>
        <v>401.79</v>
      </c>
      <c r="H106" s="676">
        <v>4</v>
      </c>
      <c r="I106" s="678">
        <f>G106/H106</f>
        <v>100.45</v>
      </c>
      <c r="J106" s="678">
        <f>I106*D106</f>
        <v>401.8</v>
      </c>
      <c r="K106" s="608">
        <f>$K$120^(1/2)*$K$121*$K$122*$K$123*$K$124*$K$125*$K$126</f>
        <v>1.407</v>
      </c>
      <c r="L106" s="637">
        <f>J106*K106</f>
        <v>565.33000000000004</v>
      </c>
      <c r="M106" s="637">
        <f t="shared" ref="M106" si="47">L106*1.2</f>
        <v>678.4</v>
      </c>
      <c r="N106" s="690" t="s">
        <v>1213</v>
      </c>
    </row>
    <row r="107" spans="1:14" s="683" customFormat="1" ht="78.75" outlineLevel="1" x14ac:dyDescent="0.25">
      <c r="A107" s="700" t="s">
        <v>1197</v>
      </c>
      <c r="B107" s="675" t="s">
        <v>1134</v>
      </c>
      <c r="C107" s="685" t="s">
        <v>489</v>
      </c>
      <c r="D107" s="686">
        <v>2</v>
      </c>
      <c r="E107" s="606"/>
      <c r="F107" s="687"/>
      <c r="G107" s="688"/>
      <c r="H107" s="686"/>
      <c r="I107" s="688"/>
      <c r="J107" s="688"/>
      <c r="K107" s="608"/>
      <c r="L107" s="678"/>
      <c r="M107" s="637"/>
      <c r="N107" s="701" t="s">
        <v>1212</v>
      </c>
    </row>
    <row r="108" spans="1:14" s="683" customFormat="1" ht="31.5" outlineLevel="1" x14ac:dyDescent="0.25">
      <c r="A108" s="700" t="s">
        <v>1198</v>
      </c>
      <c r="B108" s="675" t="s">
        <v>390</v>
      </c>
      <c r="C108" s="685" t="s">
        <v>527</v>
      </c>
      <c r="D108" s="686">
        <v>1</v>
      </c>
      <c r="E108" s="606" t="s">
        <v>199</v>
      </c>
      <c r="F108" s="699">
        <v>44197</v>
      </c>
      <c r="G108" s="678"/>
      <c r="H108" s="676"/>
      <c r="I108" s="678">
        <f>УНЦС!$F$128</f>
        <v>347.94</v>
      </c>
      <c r="J108" s="678">
        <f>D108*I108</f>
        <v>347.94</v>
      </c>
      <c r="K108" s="608">
        <f>$K$125*$K$126</f>
        <v>1.1080000000000001</v>
      </c>
      <c r="L108" s="637">
        <f>J108*K108</f>
        <v>385.52</v>
      </c>
      <c r="M108" s="637">
        <f>L108*1.2</f>
        <v>462.62</v>
      </c>
      <c r="N108" s="682"/>
    </row>
    <row r="109" spans="1:14" s="683" customFormat="1" ht="47.25" outlineLevel="1" x14ac:dyDescent="0.25">
      <c r="A109" s="700" t="s">
        <v>1199</v>
      </c>
      <c r="B109" s="675" t="s">
        <v>393</v>
      </c>
      <c r="C109" s="685" t="s">
        <v>490</v>
      </c>
      <c r="D109" s="686">
        <v>2</v>
      </c>
      <c r="E109" s="606"/>
      <c r="F109" s="687"/>
      <c r="G109" s="688"/>
      <c r="H109" s="686"/>
      <c r="I109" s="688"/>
      <c r="J109" s="688"/>
      <c r="K109" s="608"/>
      <c r="L109" s="678"/>
      <c r="M109" s="637"/>
      <c r="N109" s="682"/>
    </row>
    <row r="110" spans="1:14" s="683" customFormat="1" outlineLevel="1" x14ac:dyDescent="0.25">
      <c r="A110" s="700" t="s">
        <v>1959</v>
      </c>
      <c r="B110" s="675" t="s">
        <v>492</v>
      </c>
      <c r="C110" s="685" t="s">
        <v>493</v>
      </c>
      <c r="D110" s="686">
        <v>1</v>
      </c>
      <c r="E110" s="606"/>
      <c r="F110" s="687"/>
      <c r="G110" s="688"/>
      <c r="H110" s="686"/>
      <c r="I110" s="688"/>
      <c r="J110" s="688"/>
      <c r="K110" s="608"/>
      <c r="L110" s="678"/>
      <c r="M110" s="637"/>
      <c r="N110" s="682" t="s">
        <v>1214</v>
      </c>
    </row>
    <row r="111" spans="1:14" s="768" customFormat="1" ht="18.75" x14ac:dyDescent="0.25">
      <c r="A111" s="715" t="s">
        <v>1258</v>
      </c>
      <c r="B111" s="725" t="s">
        <v>1179</v>
      </c>
      <c r="C111" s="716"/>
      <c r="D111" s="717"/>
      <c r="E111" s="718"/>
      <c r="F111" s="719"/>
      <c r="G111" s="720"/>
      <c r="H111" s="717"/>
      <c r="I111" s="720"/>
      <c r="J111" s="720"/>
      <c r="K111" s="721"/>
      <c r="L111" s="722">
        <f>SUM(L112:L112)</f>
        <v>26011.41</v>
      </c>
      <c r="M111" s="722">
        <f>SUM(M112:M112)</f>
        <v>31213.69</v>
      </c>
      <c r="N111" s="723"/>
    </row>
    <row r="112" spans="1:14" s="683" customFormat="1" ht="78.75" outlineLevel="1" x14ac:dyDescent="0.25">
      <c r="A112" s="700" t="s">
        <v>1200</v>
      </c>
      <c r="B112" s="675" t="s">
        <v>1180</v>
      </c>
      <c r="C112" s="685" t="s">
        <v>1111</v>
      </c>
      <c r="D112" s="686">
        <v>200</v>
      </c>
      <c r="E112" s="606" t="s">
        <v>324</v>
      </c>
      <c r="F112" s="606" t="s">
        <v>325</v>
      </c>
      <c r="G112" s="678">
        <v>482652.09</v>
      </c>
      <c r="H112" s="676">
        <v>4112</v>
      </c>
      <c r="I112" s="678">
        <f>G112/H112</f>
        <v>117.38</v>
      </c>
      <c r="J112" s="678">
        <f>I112*D112</f>
        <v>23476</v>
      </c>
      <c r="K112" s="608">
        <f>$K$125*$K$126</f>
        <v>1.1080000000000001</v>
      </c>
      <c r="L112" s="637">
        <f>J112*K112</f>
        <v>26011.41</v>
      </c>
      <c r="M112" s="637">
        <f>L112*1.2</f>
        <v>31213.69</v>
      </c>
      <c r="N112" s="682"/>
    </row>
    <row r="113" spans="1:15" ht="18.75" x14ac:dyDescent="0.3">
      <c r="A113" s="714"/>
      <c r="B113" s="737"/>
      <c r="C113" s="714"/>
      <c r="D113" s="714"/>
      <c r="E113" s="733" t="s">
        <v>132</v>
      </c>
      <c r="F113" s="734"/>
      <c r="G113" s="734"/>
      <c r="H113" s="734"/>
      <c r="I113" s="734"/>
      <c r="J113" s="734"/>
      <c r="K113" s="734"/>
      <c r="L113" s="738">
        <f>L6+L52+L79+L87</f>
        <v>1131785.8700000001</v>
      </c>
      <c r="M113" s="738">
        <f>M6+M52+M79+M87</f>
        <v>1358143.06</v>
      </c>
      <c r="N113" s="714"/>
      <c r="O113" s="9">
        <f>M113/K126</f>
        <v>1292238.8772597499</v>
      </c>
    </row>
    <row r="114" spans="1:15" x14ac:dyDescent="0.25">
      <c r="L114" s="709"/>
      <c r="M114" s="40"/>
    </row>
    <row r="115" spans="1:15" x14ac:dyDescent="0.25">
      <c r="L115" s="709"/>
      <c r="M115" s="710"/>
    </row>
    <row r="118" spans="1:15" ht="15.75" customHeight="1" x14ac:dyDescent="0.25">
      <c r="A118" s="1023" t="s">
        <v>1275</v>
      </c>
      <c r="B118" s="1023"/>
      <c r="C118" s="1023"/>
      <c r="D118" s="1023"/>
      <c r="E118" s="1023"/>
      <c r="F118" s="1023"/>
      <c r="G118" s="1023"/>
      <c r="H118" s="1023"/>
      <c r="I118" s="1023"/>
      <c r="J118" s="672" t="s">
        <v>1291</v>
      </c>
      <c r="K118" s="711">
        <v>1.0489999999999999</v>
      </c>
      <c r="L118" s="712"/>
    </row>
    <row r="119" spans="1:15" x14ac:dyDescent="0.25">
      <c r="A119" s="1023"/>
      <c r="B119" s="1023"/>
      <c r="C119" s="1023"/>
      <c r="D119" s="1023"/>
      <c r="E119" s="1023"/>
      <c r="F119" s="1023"/>
      <c r="G119" s="1023"/>
      <c r="H119" s="1023"/>
      <c r="I119" s="1023"/>
      <c r="J119" s="672" t="s">
        <v>1290</v>
      </c>
      <c r="K119" s="711">
        <v>1.143</v>
      </c>
      <c r="L119" s="712"/>
    </row>
    <row r="120" spans="1:15" ht="37.5" customHeight="1" x14ac:dyDescent="0.25">
      <c r="A120" s="1023" t="s">
        <v>1276</v>
      </c>
      <c r="B120" s="1023"/>
      <c r="C120" s="1023"/>
      <c r="D120" s="1023"/>
      <c r="E120" s="1023"/>
      <c r="F120" s="1023"/>
      <c r="G120" s="1023"/>
      <c r="H120" s="1023"/>
      <c r="I120" s="1023"/>
      <c r="J120" s="672" t="s">
        <v>1289</v>
      </c>
      <c r="K120" s="711">
        <v>1.0629999999999999</v>
      </c>
      <c r="L120" s="712"/>
    </row>
    <row r="121" spans="1:15" ht="22.5" customHeight="1" x14ac:dyDescent="0.25">
      <c r="A121" s="1023" t="s">
        <v>1277</v>
      </c>
      <c r="B121" s="1023"/>
      <c r="C121" s="1023"/>
      <c r="D121" s="1023"/>
      <c r="E121" s="1023"/>
      <c r="F121" s="1023"/>
      <c r="G121" s="1023"/>
      <c r="H121" s="1023"/>
      <c r="I121" s="1023"/>
      <c r="J121" s="672" t="s">
        <v>1288</v>
      </c>
      <c r="K121" s="711">
        <v>1.0369999999999999</v>
      </c>
      <c r="L121" s="712"/>
    </row>
    <row r="122" spans="1:15" ht="40.5" customHeight="1" x14ac:dyDescent="0.25">
      <c r="A122" s="1023" t="s">
        <v>1278</v>
      </c>
      <c r="B122" s="1023"/>
      <c r="C122" s="1023"/>
      <c r="D122" s="1023"/>
      <c r="E122" s="1023"/>
      <c r="F122" s="1023"/>
      <c r="G122" s="1023"/>
      <c r="H122" s="1023"/>
      <c r="I122" s="1023"/>
      <c r="J122" s="672" t="s">
        <v>1287</v>
      </c>
      <c r="K122" s="711">
        <v>1.0529999999999999</v>
      </c>
      <c r="L122" s="712"/>
    </row>
    <row r="123" spans="1:15" ht="36.75" customHeight="1" x14ac:dyDescent="0.25">
      <c r="A123" s="1023" t="s">
        <v>1279</v>
      </c>
      <c r="B123" s="1023"/>
      <c r="C123" s="1023"/>
      <c r="D123" s="1023"/>
      <c r="E123" s="1023"/>
      <c r="F123" s="1023"/>
      <c r="G123" s="1023"/>
      <c r="H123" s="1023"/>
      <c r="I123" s="1023"/>
      <c r="J123" s="672" t="s">
        <v>1286</v>
      </c>
      <c r="K123" s="702">
        <v>1.0680000000000001</v>
      </c>
      <c r="L123" s="712"/>
    </row>
    <row r="124" spans="1:15" ht="33.75" customHeight="1" x14ac:dyDescent="0.25">
      <c r="A124" s="1023" t="s">
        <v>1280</v>
      </c>
      <c r="B124" s="1023"/>
      <c r="C124" s="1023"/>
      <c r="D124" s="1023"/>
      <c r="E124" s="1023"/>
      <c r="F124" s="1023"/>
      <c r="G124" s="1023"/>
      <c r="H124" s="1023"/>
      <c r="I124" s="1023"/>
      <c r="J124" s="672" t="s">
        <v>1285</v>
      </c>
      <c r="K124" s="702">
        <v>1.056</v>
      </c>
      <c r="L124" s="712"/>
    </row>
    <row r="125" spans="1:15" x14ac:dyDescent="0.25">
      <c r="A125" s="1023"/>
      <c r="B125" s="1023"/>
      <c r="C125" s="1023"/>
      <c r="D125" s="1023"/>
      <c r="E125" s="1023"/>
      <c r="F125" s="1023"/>
      <c r="G125" s="1023"/>
      <c r="H125" s="1023"/>
      <c r="I125" s="1023"/>
      <c r="J125" s="672" t="s">
        <v>1284</v>
      </c>
      <c r="K125" s="702">
        <v>1.054</v>
      </c>
      <c r="L125" s="712"/>
    </row>
    <row r="126" spans="1:15" x14ac:dyDescent="0.25">
      <c r="A126" s="1023"/>
      <c r="B126" s="1023"/>
      <c r="C126" s="1023"/>
      <c r="D126" s="1023"/>
      <c r="E126" s="1023"/>
      <c r="F126" s="1023"/>
      <c r="G126" s="1023"/>
      <c r="H126" s="1023"/>
      <c r="I126" s="1023"/>
      <c r="J126" s="672" t="s">
        <v>1283</v>
      </c>
      <c r="K126" s="702">
        <v>1.0509999999999999</v>
      </c>
      <c r="L126" s="712"/>
    </row>
    <row r="127" spans="1:15" x14ac:dyDescent="0.25">
      <c r="A127" s="1023"/>
      <c r="B127" s="1023"/>
      <c r="C127" s="1023"/>
      <c r="D127" s="1023"/>
      <c r="E127" s="1023"/>
      <c r="F127" s="1023"/>
      <c r="G127" s="1023"/>
      <c r="H127" s="1023"/>
      <c r="I127" s="1023"/>
      <c r="J127" s="672" t="s">
        <v>1282</v>
      </c>
      <c r="K127" s="702">
        <v>1.0489999999999999</v>
      </c>
      <c r="L127" s="712"/>
    </row>
    <row r="128" spans="1:15" x14ac:dyDescent="0.25">
      <c r="A128" s="1023"/>
      <c r="B128" s="1023"/>
      <c r="C128" s="1023"/>
      <c r="D128" s="1023"/>
      <c r="E128" s="1023"/>
      <c r="F128" s="1023"/>
      <c r="G128" s="1023"/>
      <c r="H128" s="1023"/>
      <c r="I128" s="1023"/>
      <c r="J128" s="672" t="s">
        <v>1281</v>
      </c>
      <c r="K128" s="702">
        <v>1.0469999999999999</v>
      </c>
      <c r="L128" s="712"/>
    </row>
    <row r="135" spans="1:15" s="683" customFormat="1" ht="78.75" x14ac:dyDescent="0.25">
      <c r="A135" s="684" t="s">
        <v>112</v>
      </c>
      <c r="B135" s="675" t="s">
        <v>343</v>
      </c>
      <c r="C135" s="685" t="s">
        <v>479</v>
      </c>
      <c r="D135" s="686">
        <v>0.2</v>
      </c>
      <c r="E135" s="606" t="s">
        <v>328</v>
      </c>
      <c r="F135" s="687">
        <v>44197</v>
      </c>
      <c r="G135" s="688"/>
      <c r="H135" s="686"/>
      <c r="I135" s="688">
        <f>УНЦС!F58</f>
        <v>11426.34</v>
      </c>
      <c r="J135" s="688">
        <f>D135*I135</f>
        <v>2285.27</v>
      </c>
      <c r="K135" s="608">
        <f>$K$125*$K$126</f>
        <v>1.1080000000000001</v>
      </c>
      <c r="L135" s="678">
        <f>J135*K135</f>
        <v>2532.08</v>
      </c>
      <c r="M135" s="637">
        <f>L135*1.2</f>
        <v>3038.5</v>
      </c>
      <c r="N135" s="682"/>
    </row>
    <row r="136" spans="1:15" s="683" customFormat="1" ht="63" x14ac:dyDescent="0.25">
      <c r="A136" s="674" t="s">
        <v>336</v>
      </c>
      <c r="B136" s="675" t="s">
        <v>473</v>
      </c>
      <c r="C136" s="606" t="s">
        <v>193</v>
      </c>
      <c r="D136" s="676">
        <v>50</v>
      </c>
      <c r="E136" s="606" t="s">
        <v>212</v>
      </c>
      <c r="F136" s="699">
        <v>44197</v>
      </c>
      <c r="G136" s="678"/>
      <c r="H136" s="676"/>
      <c r="I136" s="678">
        <f>УНЦС!$F$70</f>
        <v>32.83</v>
      </c>
      <c r="J136" s="688">
        <f>D136*I136</f>
        <v>1641.5</v>
      </c>
      <c r="K136" s="608">
        <f>$K$125*$K$126</f>
        <v>1.1080000000000001</v>
      </c>
      <c r="L136" s="678">
        <f>J136*K136</f>
        <v>1818.78</v>
      </c>
      <c r="M136" s="637">
        <f>L136*1.2</f>
        <v>2182.54</v>
      </c>
      <c r="N136" s="682"/>
    </row>
    <row r="137" spans="1:15" ht="78.75" x14ac:dyDescent="0.25">
      <c r="A137" s="674" t="s">
        <v>497</v>
      </c>
      <c r="B137" s="675" t="s">
        <v>480</v>
      </c>
      <c r="C137" s="1008" t="s">
        <v>323</v>
      </c>
      <c r="D137" s="1011">
        <v>360</v>
      </c>
      <c r="E137" s="1008" t="s">
        <v>326</v>
      </c>
      <c r="F137" s="1008" t="s">
        <v>211</v>
      </c>
      <c r="G137" s="1017">
        <v>18305.689999999999</v>
      </c>
      <c r="H137" s="1011">
        <v>108</v>
      </c>
      <c r="I137" s="1017">
        <f>G137/H137</f>
        <v>169.5</v>
      </c>
      <c r="J137" s="1017">
        <f>I137*D137</f>
        <v>61020</v>
      </c>
      <c r="K137" s="1020">
        <f>L121^9*K122*K123*K124*K125*K126</f>
        <v>0</v>
      </c>
      <c r="L137" s="1017">
        <f>J137*K137</f>
        <v>0</v>
      </c>
      <c r="M137" s="1014">
        <f>L137*1.2</f>
        <v>0</v>
      </c>
      <c r="N137" s="702"/>
    </row>
    <row r="138" spans="1:15" ht="31.5" x14ac:dyDescent="0.25">
      <c r="A138" s="674" t="s">
        <v>496</v>
      </c>
      <c r="B138" s="675" t="s">
        <v>315</v>
      </c>
      <c r="C138" s="1009"/>
      <c r="D138" s="1012"/>
      <c r="E138" s="1009"/>
      <c r="F138" s="1009"/>
      <c r="G138" s="1018"/>
      <c r="H138" s="1012"/>
      <c r="I138" s="1018"/>
      <c r="J138" s="1018"/>
      <c r="K138" s="1021"/>
      <c r="L138" s="1018"/>
      <c r="M138" s="1015"/>
      <c r="N138" s="702"/>
    </row>
    <row r="139" spans="1:15" ht="63" x14ac:dyDescent="0.25">
      <c r="A139" s="674" t="s">
        <v>497</v>
      </c>
      <c r="B139" s="675" t="s">
        <v>481</v>
      </c>
      <c r="C139" s="1010"/>
      <c r="D139" s="1013"/>
      <c r="E139" s="1010"/>
      <c r="F139" s="1010"/>
      <c r="G139" s="1019"/>
      <c r="H139" s="1013"/>
      <c r="I139" s="1019"/>
      <c r="J139" s="1019"/>
      <c r="K139" s="1022"/>
      <c r="L139" s="1019"/>
      <c r="M139" s="1016"/>
      <c r="N139" s="702"/>
    </row>
    <row r="140" spans="1:15" s="683" customFormat="1" ht="157.5" x14ac:dyDescent="0.25">
      <c r="A140" s="674" t="s">
        <v>500</v>
      </c>
      <c r="B140" s="675" t="s">
        <v>355</v>
      </c>
      <c r="C140" s="606" t="s">
        <v>192</v>
      </c>
      <c r="D140" s="676">
        <v>5500</v>
      </c>
      <c r="E140" s="606" t="s">
        <v>314</v>
      </c>
      <c r="F140" s="606" t="s">
        <v>197</v>
      </c>
      <c r="G140" s="678">
        <v>168316.37</v>
      </c>
      <c r="H140" s="676">
        <v>14302.85</v>
      </c>
      <c r="I140" s="678">
        <f>G140/H140</f>
        <v>11.77</v>
      </c>
      <c r="J140" s="678">
        <f>I140*D140</f>
        <v>64735</v>
      </c>
      <c r="K140" s="608">
        <f>$K$124*$K$125*$K$126</f>
        <v>1.17</v>
      </c>
      <c r="L140" s="678">
        <f t="shared" ref="L140:L145" si="48">J140*K140</f>
        <v>75739.95</v>
      </c>
      <c r="M140" s="637">
        <f>L140*1.2</f>
        <v>90887.94</v>
      </c>
      <c r="N140" s="682"/>
    </row>
    <row r="141" spans="1:15" s="683" customFormat="1" ht="173.25" outlineLevel="1" x14ac:dyDescent="0.25">
      <c r="A141" s="684" t="s">
        <v>500</v>
      </c>
      <c r="B141" s="675" t="s">
        <v>1235</v>
      </c>
      <c r="C141" s="703" t="s">
        <v>1113</v>
      </c>
      <c r="D141" s="704">
        <v>25</v>
      </c>
      <c r="E141" s="606" t="s">
        <v>314</v>
      </c>
      <c r="F141" s="606" t="s">
        <v>197</v>
      </c>
      <c r="G141" s="678">
        <v>738804.32</v>
      </c>
      <c r="H141" s="676">
        <v>165</v>
      </c>
      <c r="I141" s="678">
        <f>G141/H141</f>
        <v>4477.6000000000004</v>
      </c>
      <c r="J141" s="678">
        <f>I141*D141</f>
        <v>111940</v>
      </c>
      <c r="K141" s="608">
        <f>$K$124*$K$125*$K$126</f>
        <v>1.17</v>
      </c>
      <c r="L141" s="678">
        <f t="shared" si="48"/>
        <v>130969.8</v>
      </c>
      <c r="M141" s="637">
        <f t="shared" ref="M141" si="49">L141*1.2</f>
        <v>157163.76</v>
      </c>
      <c r="N141" s="690" t="s">
        <v>1123</v>
      </c>
      <c r="O141" s="773" t="s">
        <v>1313</v>
      </c>
    </row>
    <row r="142" spans="1:15" s="683" customFormat="1" ht="141.75" x14ac:dyDescent="0.25">
      <c r="A142" s="674" t="s">
        <v>501</v>
      </c>
      <c r="B142" s="675" t="s">
        <v>356</v>
      </c>
      <c r="C142" s="606" t="s">
        <v>475</v>
      </c>
      <c r="D142" s="676">
        <v>360</v>
      </c>
      <c r="E142" s="606" t="s">
        <v>212</v>
      </c>
      <c r="F142" s="699">
        <v>44197</v>
      </c>
      <c r="G142" s="678"/>
      <c r="H142" s="676"/>
      <c r="I142" s="678">
        <f>УНЦС!F82</f>
        <v>63.8</v>
      </c>
      <c r="J142" s="678">
        <f>D142*I142</f>
        <v>22968</v>
      </c>
      <c r="K142" s="608">
        <f>$K$125*$K$126</f>
        <v>1.1080000000000001</v>
      </c>
      <c r="L142" s="678">
        <f t="shared" si="48"/>
        <v>25448.54</v>
      </c>
      <c r="M142" s="637">
        <f>L142*1.2</f>
        <v>30538.25</v>
      </c>
      <c r="N142" s="682"/>
    </row>
    <row r="143" spans="1:15" s="683" customFormat="1" ht="157.5" x14ac:dyDescent="0.25">
      <c r="A143" s="674" t="s">
        <v>504</v>
      </c>
      <c r="B143" s="675" t="s">
        <v>359</v>
      </c>
      <c r="C143" s="606" t="s">
        <v>192</v>
      </c>
      <c r="D143" s="676">
        <v>6000</v>
      </c>
      <c r="E143" s="606" t="s">
        <v>314</v>
      </c>
      <c r="F143" s="606" t="s">
        <v>197</v>
      </c>
      <c r="G143" s="678">
        <v>168316.37</v>
      </c>
      <c r="H143" s="676">
        <v>14302.85</v>
      </c>
      <c r="I143" s="678">
        <f>G143/H143</f>
        <v>11.77</v>
      </c>
      <c r="J143" s="678">
        <f>I143*D143</f>
        <v>70620</v>
      </c>
      <c r="K143" s="608">
        <f>$K$124*$K$125*$K$126</f>
        <v>1.17</v>
      </c>
      <c r="L143" s="678">
        <f t="shared" si="48"/>
        <v>82625.399999999994</v>
      </c>
      <c r="M143" s="637">
        <f>L143*1.2</f>
        <v>99150.48</v>
      </c>
      <c r="N143" s="682"/>
    </row>
    <row r="144" spans="1:15" ht="157.5" x14ac:dyDescent="0.25">
      <c r="A144" s="706" t="s">
        <v>505</v>
      </c>
      <c r="B144" s="675" t="s">
        <v>528</v>
      </c>
      <c r="C144" s="606" t="s">
        <v>313</v>
      </c>
      <c r="D144" s="676">
        <v>74</v>
      </c>
      <c r="E144" s="606" t="s">
        <v>314</v>
      </c>
      <c r="F144" s="606" t="s">
        <v>197</v>
      </c>
      <c r="G144" s="678">
        <v>738804.32</v>
      </c>
      <c r="H144" s="676">
        <v>165</v>
      </c>
      <c r="I144" s="678">
        <f>G144/H144</f>
        <v>4477.6000000000004</v>
      </c>
      <c r="J144" s="678">
        <f>I144*D144</f>
        <v>331342.40000000002</v>
      </c>
      <c r="K144" s="608">
        <f>$K$124*$K$125*$K$126</f>
        <v>1.17</v>
      </c>
      <c r="L144" s="678">
        <f t="shared" si="48"/>
        <v>387670.61</v>
      </c>
      <c r="M144" s="637">
        <f>L144*1.2</f>
        <v>465204.73</v>
      </c>
      <c r="N144" s="707"/>
    </row>
    <row r="145" spans="1:14" s="683" customFormat="1" ht="157.5" x14ac:dyDescent="0.25">
      <c r="A145" s="706" t="s">
        <v>506</v>
      </c>
      <c r="B145" s="675" t="s">
        <v>507</v>
      </c>
      <c r="C145" s="606" t="s">
        <v>313</v>
      </c>
      <c r="D145" s="676">
        <v>6</v>
      </c>
      <c r="E145" s="606" t="s">
        <v>314</v>
      </c>
      <c r="F145" s="606" t="s">
        <v>197</v>
      </c>
      <c r="G145" s="678">
        <v>16788.82</v>
      </c>
      <c r="H145" s="676">
        <v>12</v>
      </c>
      <c r="I145" s="678">
        <f>G145/H145</f>
        <v>1399.07</v>
      </c>
      <c r="J145" s="678">
        <f>I145*D145</f>
        <v>8394.42</v>
      </c>
      <c r="K145" s="608">
        <f>$K$124*$K$125*$K$126</f>
        <v>1.17</v>
      </c>
      <c r="L145" s="678">
        <f t="shared" si="48"/>
        <v>9821.4699999999993</v>
      </c>
      <c r="M145" s="637">
        <f>L145*1.2</f>
        <v>11785.76</v>
      </c>
      <c r="N145" s="690"/>
    </row>
    <row r="146" spans="1:14" s="683" customFormat="1" ht="63" x14ac:dyDescent="0.25">
      <c r="A146" s="674" t="s">
        <v>308</v>
      </c>
      <c r="B146" s="675" t="s">
        <v>482</v>
      </c>
      <c r="C146" s="606" t="s">
        <v>313</v>
      </c>
      <c r="D146" s="676">
        <v>1</v>
      </c>
      <c r="E146" s="606" t="s">
        <v>513</v>
      </c>
      <c r="F146" s="699">
        <v>44197</v>
      </c>
      <c r="G146" s="678"/>
      <c r="H146" s="676"/>
      <c r="I146" s="678">
        <f>УНЦС!F94</f>
        <v>8049.83</v>
      </c>
      <c r="J146" s="678">
        <f>D146*I146</f>
        <v>8049.83</v>
      </c>
      <c r="K146" s="608">
        <f>$K$125*$K$126</f>
        <v>1.1080000000000001</v>
      </c>
      <c r="L146" s="678">
        <f t="shared" ref="L146" si="50">J146*K146</f>
        <v>8919.2099999999991</v>
      </c>
      <c r="M146" s="637">
        <f t="shared" ref="M146" si="51">L146*1.2</f>
        <v>10703.05</v>
      </c>
      <c r="N146" s="682" t="s">
        <v>522</v>
      </c>
    </row>
    <row r="147" spans="1:14" ht="110.25" x14ac:dyDescent="0.25">
      <c r="A147" s="700" t="s">
        <v>510</v>
      </c>
      <c r="B147" s="675" t="s">
        <v>1150</v>
      </c>
      <c r="C147" s="685" t="s">
        <v>1111</v>
      </c>
      <c r="D147" s="686">
        <v>150</v>
      </c>
      <c r="E147" s="606" t="s">
        <v>326</v>
      </c>
      <c r="F147" s="606" t="s">
        <v>211</v>
      </c>
      <c r="G147" s="678">
        <v>9743.26</v>
      </c>
      <c r="H147" s="676">
        <v>1616</v>
      </c>
      <c r="I147" s="678">
        <f>G147/H147</f>
        <v>6.03</v>
      </c>
      <c r="J147" s="678">
        <f>I147*D147</f>
        <v>904.5</v>
      </c>
      <c r="K147" s="608">
        <f>$K$121^(3/4)*$K$122*$K$123*$K$124*$K$125*$K$126</f>
        <v>1.3520000000000001</v>
      </c>
      <c r="L147" s="678">
        <f>J147*K147</f>
        <v>1222.8800000000001</v>
      </c>
      <c r="M147" s="637">
        <f>L147*1.2</f>
        <v>1467.46</v>
      </c>
      <c r="N147" s="690" t="s">
        <v>1166</v>
      </c>
    </row>
  </sheetData>
  <mergeCells count="29">
    <mergeCell ref="A123:I123"/>
    <mergeCell ref="A124:I128"/>
    <mergeCell ref="N4:N5"/>
    <mergeCell ref="A118:I119"/>
    <mergeCell ref="A120:I120"/>
    <mergeCell ref="A121:I121"/>
    <mergeCell ref="A122:I122"/>
    <mergeCell ref="A4:A5"/>
    <mergeCell ref="B4:B5"/>
    <mergeCell ref="C4:C5"/>
    <mergeCell ref="D4:D5"/>
    <mergeCell ref="E4:I4"/>
    <mergeCell ref="J4:J5"/>
    <mergeCell ref="C137:C139"/>
    <mergeCell ref="D137:D139"/>
    <mergeCell ref="E137:E139"/>
    <mergeCell ref="M137:M139"/>
    <mergeCell ref="H137:H139"/>
    <mergeCell ref="I137:I139"/>
    <mergeCell ref="J137:J139"/>
    <mergeCell ref="K137:K139"/>
    <mergeCell ref="L137:L139"/>
    <mergeCell ref="F137:F139"/>
    <mergeCell ref="G137:G139"/>
    <mergeCell ref="A1:M1"/>
    <mergeCell ref="A2:M2"/>
    <mergeCell ref="K4:K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15"/>
  <sheetViews>
    <sheetView workbookViewId="0">
      <selection activeCell="E22" sqref="E22"/>
    </sheetView>
  </sheetViews>
  <sheetFormatPr defaultRowHeight="15" x14ac:dyDescent="0.25"/>
  <cols>
    <col min="2" max="2" width="65.42578125" customWidth="1"/>
    <col min="3" max="3" width="30.5703125" customWidth="1"/>
    <col min="4" max="4" width="11.85546875" customWidth="1"/>
    <col min="5" max="5" width="15.5703125" customWidth="1"/>
    <col min="6" max="6" width="21.85546875" customWidth="1"/>
    <col min="7" max="7" width="25.42578125" customWidth="1"/>
  </cols>
  <sheetData>
    <row r="6" spans="1:7" ht="45" x14ac:dyDescent="0.25">
      <c r="A6" s="105"/>
      <c r="B6" s="553" t="s">
        <v>903</v>
      </c>
      <c r="C6" s="553" t="s">
        <v>1021</v>
      </c>
      <c r="E6" s="549" t="s">
        <v>1023</v>
      </c>
      <c r="F6" s="551" t="s">
        <v>1025</v>
      </c>
      <c r="G6" s="549" t="s">
        <v>1026</v>
      </c>
    </row>
    <row r="7" spans="1:7" x14ac:dyDescent="0.25">
      <c r="A7" s="546">
        <v>1</v>
      </c>
      <c r="B7" s="546" t="s">
        <v>113</v>
      </c>
      <c r="C7" s="547">
        <f>Геодезия!L57</f>
        <v>2218338</v>
      </c>
      <c r="E7" s="550">
        <f>Геодезия!N55/1.1</f>
        <v>1680559</v>
      </c>
      <c r="F7" s="557">
        <f>E7*10%</f>
        <v>168056</v>
      </c>
      <c r="G7" s="556">
        <f>E7+F7</f>
        <v>1848615</v>
      </c>
    </row>
    <row r="8" spans="1:7" s="138" customFormat="1" x14ac:dyDescent="0.25">
      <c r="A8" s="546">
        <v>2</v>
      </c>
      <c r="B8" s="546" t="s">
        <v>115</v>
      </c>
      <c r="C8" s="547">
        <f>Геология!L70</f>
        <v>23770199.23</v>
      </c>
      <c r="E8" s="554">
        <f>Геология!L67</f>
        <v>18007727</v>
      </c>
      <c r="F8" s="558">
        <f>E8*10%</f>
        <v>1800773</v>
      </c>
      <c r="G8" s="556">
        <f t="shared" ref="G8:G14" si="0">E8+F8</f>
        <v>19808500</v>
      </c>
    </row>
    <row r="9" spans="1:7" s="138" customFormat="1" x14ac:dyDescent="0.25">
      <c r="A9" s="546">
        <v>3</v>
      </c>
      <c r="B9" s="546" t="s">
        <v>338</v>
      </c>
      <c r="C9" s="547">
        <f>Геофизика!J58</f>
        <v>2833329.46</v>
      </c>
      <c r="E9" s="554">
        <f>Геофизика!J55</f>
        <v>2146462</v>
      </c>
      <c r="F9" s="557">
        <f>E9*10%</f>
        <v>214646</v>
      </c>
      <c r="G9" s="556">
        <f t="shared" si="0"/>
        <v>2361108</v>
      </c>
    </row>
    <row r="10" spans="1:7" x14ac:dyDescent="0.25">
      <c r="A10" s="546">
        <v>3</v>
      </c>
      <c r="B10" s="546" t="s">
        <v>118</v>
      </c>
      <c r="C10" s="547">
        <f>Гидромет!J49</f>
        <v>1033864.4</v>
      </c>
      <c r="E10" s="550">
        <f>Гидромет!J47/1.1</f>
        <v>783231</v>
      </c>
      <c r="F10" s="559">
        <f>E10*10%</f>
        <v>78323</v>
      </c>
      <c r="G10" s="556">
        <f t="shared" si="0"/>
        <v>861554</v>
      </c>
    </row>
    <row r="11" spans="1:7" x14ac:dyDescent="0.25">
      <c r="A11" s="546">
        <v>4</v>
      </c>
      <c r="B11" s="546" t="s">
        <v>190</v>
      </c>
      <c r="C11" s="547">
        <f>'Сели Лавины'!J46</f>
        <v>1021635</v>
      </c>
      <c r="E11" s="550">
        <f>'Сели Лавины'!J45/1.1</f>
        <v>773966</v>
      </c>
      <c r="F11" s="559">
        <f>E11*10%</f>
        <v>77397</v>
      </c>
      <c r="G11" s="556">
        <f t="shared" si="0"/>
        <v>851363</v>
      </c>
    </row>
    <row r="12" spans="1:7" x14ac:dyDescent="0.25">
      <c r="A12" s="546">
        <v>5</v>
      </c>
      <c r="B12" s="546" t="s">
        <v>191</v>
      </c>
      <c r="C12" s="547">
        <f>Экология!G111</f>
        <v>3479069.92</v>
      </c>
      <c r="E12" s="550">
        <f>Экология!G110</f>
        <v>2899225</v>
      </c>
      <c r="F12" s="559"/>
      <c r="G12" s="556">
        <f t="shared" si="0"/>
        <v>2899225</v>
      </c>
    </row>
    <row r="13" spans="1:7" x14ac:dyDescent="0.25">
      <c r="A13" s="546">
        <v>6</v>
      </c>
      <c r="B13" s="546" t="s">
        <v>281</v>
      </c>
      <c r="C13" s="547">
        <f>Археология!G31</f>
        <v>261570.43</v>
      </c>
      <c r="E13" s="550">
        <f>Археология!G30</f>
        <v>217975</v>
      </c>
      <c r="F13" s="559"/>
      <c r="G13" s="556">
        <f t="shared" si="0"/>
        <v>217975</v>
      </c>
    </row>
    <row r="14" spans="1:7" x14ac:dyDescent="0.25">
      <c r="A14" s="546">
        <v>7</v>
      </c>
      <c r="B14" s="546" t="s">
        <v>1022</v>
      </c>
      <c r="C14" s="547">
        <f>'ВОП по форме 3П'!G27</f>
        <v>134288.99</v>
      </c>
      <c r="E14" s="550">
        <f>'ВОП по форме 3П'!G25</f>
        <v>111907</v>
      </c>
      <c r="F14" s="559"/>
      <c r="G14" s="556">
        <f t="shared" si="0"/>
        <v>111907</v>
      </c>
    </row>
    <row r="15" spans="1:7" x14ac:dyDescent="0.25">
      <c r="A15" s="105"/>
      <c r="B15" s="545" t="s">
        <v>1024</v>
      </c>
      <c r="C15" s="552">
        <f>SUM(C7:C14)</f>
        <v>34752295.43</v>
      </c>
      <c r="D15" s="548"/>
      <c r="E15" s="555">
        <f>SUM(E7:E14)</f>
        <v>26621052</v>
      </c>
      <c r="F15" s="555">
        <f>SUM(F7:F14)</f>
        <v>2339195</v>
      </c>
      <c r="G15" s="555">
        <f>SUM(G7:G14)</f>
        <v>28960247</v>
      </c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29"/>
  <sheetViews>
    <sheetView zoomScale="120" zoomScaleNormal="120" workbookViewId="0">
      <selection activeCell="D30" sqref="D30"/>
    </sheetView>
  </sheetViews>
  <sheetFormatPr defaultColWidth="8.7109375" defaultRowHeight="12.75" x14ac:dyDescent="0.2"/>
  <cols>
    <col min="1" max="1" width="4.7109375" style="180" customWidth="1"/>
    <col min="2" max="2" width="24.7109375" style="180" customWidth="1"/>
    <col min="3" max="3" width="32.7109375" style="180" customWidth="1"/>
    <col min="4" max="4" width="14.28515625" style="180" customWidth="1"/>
    <col min="5" max="5" width="10.28515625" style="180" customWidth="1"/>
    <col min="6" max="6" width="20.85546875" style="180" customWidth="1"/>
    <col min="7" max="7" width="16.5703125" style="237" customWidth="1"/>
    <col min="8" max="8" width="28.5703125" style="180" hidden="1" customWidth="1"/>
    <col min="9" max="16384" width="8.7109375" style="180"/>
  </cols>
  <sheetData>
    <row r="1" spans="1:11" x14ac:dyDescent="0.2">
      <c r="A1" s="1409" t="s">
        <v>1942</v>
      </c>
      <c r="B1" s="1409"/>
      <c r="C1" s="1409"/>
      <c r="D1" s="1409"/>
      <c r="E1" s="1409"/>
      <c r="F1" s="1409"/>
      <c r="G1" s="1409"/>
      <c r="H1" s="179"/>
      <c r="I1" s="179"/>
    </row>
    <row r="2" spans="1:11" ht="28.9" customHeight="1" x14ac:dyDescent="0.2">
      <c r="A2" s="1410" t="s">
        <v>554</v>
      </c>
      <c r="B2" s="1410"/>
      <c r="C2" s="1410"/>
      <c r="D2" s="1410"/>
      <c r="E2" s="1410"/>
      <c r="F2" s="1410"/>
      <c r="G2" s="1410"/>
      <c r="H2" s="179"/>
      <c r="I2" s="179"/>
    </row>
    <row r="3" spans="1:11" ht="61.5" customHeight="1" x14ac:dyDescent="0.2">
      <c r="A3" s="181"/>
      <c r="B3" s="182" t="s">
        <v>555</v>
      </c>
      <c r="C3" s="1411" t="s">
        <v>556</v>
      </c>
      <c r="D3" s="1411"/>
      <c r="E3" s="1411"/>
      <c r="F3" s="1411"/>
      <c r="G3" s="184"/>
      <c r="H3" s="179"/>
      <c r="I3" s="179"/>
    </row>
    <row r="4" spans="1:11" s="188" customFormat="1" ht="22.9" customHeight="1" x14ac:dyDescent="0.2">
      <c r="A4" s="185" t="s">
        <v>557</v>
      </c>
      <c r="B4" s="185"/>
      <c r="C4" s="185"/>
      <c r="D4" s="185"/>
      <c r="E4" s="185"/>
      <c r="F4" s="185"/>
      <c r="G4" s="186"/>
      <c r="H4" s="185"/>
      <c r="I4" s="185"/>
      <c r="J4" s="187"/>
    </row>
    <row r="5" spans="1:11" s="188" customFormat="1" ht="18" customHeight="1" x14ac:dyDescent="0.2">
      <c r="A5" s="189" t="s">
        <v>1897</v>
      </c>
      <c r="B5" s="189"/>
      <c r="C5" s="189"/>
      <c r="D5" s="189"/>
      <c r="E5" s="189"/>
      <c r="F5" s="189"/>
      <c r="G5" s="190"/>
      <c r="H5" s="189"/>
      <c r="I5" s="189"/>
      <c r="J5" s="191"/>
      <c r="K5" s="192"/>
    </row>
    <row r="6" spans="1:11" x14ac:dyDescent="0.2">
      <c r="A6" s="1456" t="s">
        <v>558</v>
      </c>
      <c r="B6" s="1412"/>
      <c r="C6" s="1412"/>
      <c r="D6" s="1412"/>
      <c r="E6" s="1412"/>
      <c r="F6" s="1412"/>
      <c r="G6" s="1412"/>
      <c r="H6" s="179"/>
      <c r="I6" s="179"/>
    </row>
    <row r="7" spans="1:11" ht="25.5" x14ac:dyDescent="0.2">
      <c r="A7" s="193" t="s">
        <v>6</v>
      </c>
      <c r="B7" s="193" t="s">
        <v>559</v>
      </c>
      <c r="C7" s="193" t="s">
        <v>334</v>
      </c>
      <c r="D7" s="193" t="s">
        <v>560</v>
      </c>
      <c r="E7" s="193" t="s">
        <v>561</v>
      </c>
      <c r="F7" s="193" t="s">
        <v>562</v>
      </c>
      <c r="G7" s="194" t="s">
        <v>563</v>
      </c>
      <c r="H7" s="179"/>
      <c r="I7" s="179"/>
    </row>
    <row r="8" spans="1:11" x14ac:dyDescent="0.2">
      <c r="A8" s="195">
        <v>1</v>
      </c>
      <c r="B8" s="195">
        <v>2</v>
      </c>
      <c r="C8" s="195">
        <v>3</v>
      </c>
      <c r="D8" s="195">
        <v>4</v>
      </c>
      <c r="E8" s="195">
        <v>5</v>
      </c>
      <c r="F8" s="195">
        <v>6</v>
      </c>
      <c r="G8" s="196">
        <v>7</v>
      </c>
      <c r="H8" s="179"/>
      <c r="I8" s="179"/>
    </row>
    <row r="9" spans="1:11" x14ac:dyDescent="0.2">
      <c r="A9" s="1413" t="s">
        <v>564</v>
      </c>
      <c r="B9" s="1414"/>
      <c r="C9" s="1414"/>
      <c r="D9" s="1414"/>
      <c r="E9" s="1414"/>
      <c r="F9" s="1414"/>
      <c r="G9" s="1415"/>
      <c r="H9" s="179"/>
      <c r="I9" s="179"/>
    </row>
    <row r="10" spans="1:11" ht="23.25" customHeight="1" x14ac:dyDescent="0.2">
      <c r="A10" s="200">
        <v>1</v>
      </c>
      <c r="B10" s="198" t="s">
        <v>2148</v>
      </c>
      <c r="C10" s="198" t="s">
        <v>565</v>
      </c>
      <c r="D10" s="200" t="s">
        <v>566</v>
      </c>
      <c r="E10" s="200">
        <v>3</v>
      </c>
      <c r="F10" s="199">
        <v>2184</v>
      </c>
      <c r="G10" s="208">
        <f>E10*F10</f>
        <v>6552</v>
      </c>
      <c r="H10" s="179"/>
      <c r="I10" s="179"/>
    </row>
    <row r="11" spans="1:11" ht="26.25" thickBot="1" x14ac:dyDescent="0.25">
      <c r="A11" s="200">
        <v>2</v>
      </c>
      <c r="B11" s="201" t="s">
        <v>2147</v>
      </c>
      <c r="C11" s="202" t="s">
        <v>539</v>
      </c>
      <c r="D11" s="203" t="s">
        <v>566</v>
      </c>
      <c r="E11" s="203">
        <v>3</v>
      </c>
      <c r="F11" s="204">
        <v>3270</v>
      </c>
      <c r="G11" s="208">
        <f>E11*F11</f>
        <v>9810</v>
      </c>
      <c r="H11" s="205"/>
    </row>
    <row r="12" spans="1:11" ht="13.9" hidden="1" customHeight="1" x14ac:dyDescent="0.2">
      <c r="A12" s="849">
        <v>4</v>
      </c>
      <c r="B12" s="850" t="s">
        <v>567</v>
      </c>
      <c r="C12" s="850" t="s">
        <v>568</v>
      </c>
      <c r="D12" s="850" t="s">
        <v>569</v>
      </c>
      <c r="E12" s="851">
        <v>0</v>
      </c>
      <c r="F12" s="851">
        <v>680</v>
      </c>
      <c r="G12" s="852">
        <f>E12*F12</f>
        <v>0</v>
      </c>
    </row>
    <row r="13" spans="1:11" ht="20.25" customHeight="1" x14ac:dyDescent="0.2">
      <c r="A13" s="1416" t="s">
        <v>570</v>
      </c>
      <c r="B13" s="1417"/>
      <c r="C13" s="1417"/>
      <c r="D13" s="1417"/>
      <c r="E13" s="1417"/>
      <c r="F13" s="1418"/>
      <c r="G13" s="853">
        <f>SUM(G10:G12)</f>
        <v>16362</v>
      </c>
      <c r="H13" s="179"/>
      <c r="I13" s="179"/>
    </row>
    <row r="14" spans="1:11" ht="38.25" customHeight="1" x14ac:dyDescent="0.2">
      <c r="A14" s="200">
        <v>3</v>
      </c>
      <c r="B14" s="201" t="s">
        <v>2149</v>
      </c>
      <c r="C14" s="201" t="s">
        <v>2150</v>
      </c>
      <c r="D14" s="203" t="s">
        <v>571</v>
      </c>
      <c r="E14" s="204">
        <f>G11</f>
        <v>9810</v>
      </c>
      <c r="F14" s="848">
        <f>11.25%</f>
        <v>0.1125</v>
      </c>
      <c r="G14" s="208">
        <f>E14*F14</f>
        <v>1103.6300000000001</v>
      </c>
      <c r="H14" s="209"/>
      <c r="I14" s="179"/>
    </row>
    <row r="15" spans="1:11" ht="55.5" customHeight="1" x14ac:dyDescent="0.2">
      <c r="A15" s="210">
        <v>4</v>
      </c>
      <c r="B15" s="198" t="s">
        <v>2151</v>
      </c>
      <c r="C15" s="211" t="s">
        <v>2152</v>
      </c>
      <c r="D15" s="212" t="s">
        <v>571</v>
      </c>
      <c r="E15" s="204">
        <f>G11</f>
        <v>9810</v>
      </c>
      <c r="F15" s="213">
        <v>0.19600000000000001</v>
      </c>
      <c r="G15" s="199">
        <f>E15*F15</f>
        <v>1922.76</v>
      </c>
      <c r="H15" s="214"/>
      <c r="I15" s="179"/>
    </row>
    <row r="16" spans="1:11" x14ac:dyDescent="0.2">
      <c r="A16" s="200">
        <v>5</v>
      </c>
      <c r="B16" s="198" t="s">
        <v>572</v>
      </c>
      <c r="C16" s="201" t="s">
        <v>573</v>
      </c>
      <c r="D16" s="203" t="s">
        <v>574</v>
      </c>
      <c r="E16" s="215">
        <v>1</v>
      </c>
      <c r="F16" s="215"/>
      <c r="G16" s="208">
        <v>1800</v>
      </c>
      <c r="H16" s="216"/>
      <c r="I16" s="179"/>
    </row>
    <row r="17" spans="1:9" ht="29.25" customHeight="1" x14ac:dyDescent="0.2">
      <c r="A17" s="200">
        <v>6</v>
      </c>
      <c r="B17" s="198" t="s">
        <v>575</v>
      </c>
      <c r="C17" s="201" t="s">
        <v>576</v>
      </c>
      <c r="D17" s="217" t="s">
        <v>571</v>
      </c>
      <c r="E17" s="204">
        <f>G11+G14+G16</f>
        <v>12713.63</v>
      </c>
      <c r="F17" s="217">
        <v>0.06</v>
      </c>
      <c r="G17" s="208">
        <f>E17*6%</f>
        <v>762.82</v>
      </c>
      <c r="H17" s="216"/>
      <c r="I17" s="179"/>
    </row>
    <row r="18" spans="1:9" x14ac:dyDescent="0.2">
      <c r="A18" s="200">
        <v>7</v>
      </c>
      <c r="B18" s="201"/>
      <c r="C18" s="854" t="s">
        <v>570</v>
      </c>
      <c r="D18" s="201"/>
      <c r="E18" s="855"/>
      <c r="F18" s="856"/>
      <c r="G18" s="208">
        <f>SUM(G14:G17)</f>
        <v>5589.21</v>
      </c>
      <c r="H18" s="216"/>
      <c r="I18" s="179"/>
    </row>
    <row r="19" spans="1:9" x14ac:dyDescent="0.2">
      <c r="A19" s="200">
        <v>8</v>
      </c>
      <c r="B19" s="201"/>
      <c r="C19" s="854" t="s">
        <v>577</v>
      </c>
      <c r="D19" s="857"/>
      <c r="E19" s="857"/>
      <c r="F19" s="854"/>
      <c r="G19" s="853">
        <f>G13+G18</f>
        <v>21951.21</v>
      </c>
      <c r="H19" s="179"/>
      <c r="I19" s="179"/>
    </row>
    <row r="20" spans="1:9" s="225" customFormat="1" ht="15" customHeight="1" x14ac:dyDescent="0.2">
      <c r="A20" s="1453" t="s">
        <v>578</v>
      </c>
      <c r="B20" s="1454"/>
      <c r="C20" s="1454"/>
      <c r="D20" s="1454"/>
      <c r="E20" s="1454"/>
      <c r="F20" s="1454"/>
      <c r="G20" s="1455"/>
      <c r="H20" s="224"/>
      <c r="I20" s="224"/>
    </row>
    <row r="21" spans="1:9" ht="31.5" customHeight="1" x14ac:dyDescent="0.2">
      <c r="A21" s="200">
        <v>11</v>
      </c>
      <c r="B21" s="198" t="s">
        <v>579</v>
      </c>
      <c r="C21" s="858" t="s">
        <v>89</v>
      </c>
      <c r="D21" s="203" t="s">
        <v>571</v>
      </c>
      <c r="E21" s="859">
        <f>G13</f>
        <v>16362</v>
      </c>
      <c r="F21" s="217">
        <v>0.1</v>
      </c>
      <c r="G21" s="853">
        <f>E21*10%</f>
        <v>1636.2</v>
      </c>
      <c r="H21" s="179"/>
      <c r="I21" s="179"/>
    </row>
    <row r="22" spans="1:9" ht="13.5" customHeight="1" x14ac:dyDescent="0.2">
      <c r="A22" s="200"/>
      <c r="B22" s="198"/>
      <c r="C22" s="1403" t="s">
        <v>580</v>
      </c>
      <c r="D22" s="1404"/>
      <c r="E22" s="1404"/>
      <c r="F22" s="1405"/>
      <c r="G22" s="853">
        <f>G21+G19</f>
        <v>23587.41</v>
      </c>
      <c r="H22" s="179"/>
      <c r="I22" s="179"/>
    </row>
    <row r="23" spans="1:9" ht="29.25" customHeight="1" x14ac:dyDescent="0.2">
      <c r="A23" s="200"/>
      <c r="B23" s="198" t="s">
        <v>1899</v>
      </c>
      <c r="C23" s="858" t="s">
        <v>1898</v>
      </c>
      <c r="D23" s="203" t="s">
        <v>581</v>
      </c>
      <c r="E23" s="203">
        <v>4.82</v>
      </c>
      <c r="F23" s="860"/>
      <c r="G23" s="853">
        <f>G22*E23</f>
        <v>113691.32</v>
      </c>
      <c r="H23" s="179"/>
      <c r="I23" s="179"/>
    </row>
    <row r="24" spans="1:9" ht="19.5" customHeight="1" x14ac:dyDescent="0.2">
      <c r="A24" s="200"/>
      <c r="B24" s="198"/>
      <c r="C24" s="858" t="s">
        <v>582</v>
      </c>
      <c r="D24" s="203" t="s">
        <v>571</v>
      </c>
      <c r="E24" s="203"/>
      <c r="F24" s="217">
        <v>0.2</v>
      </c>
      <c r="G24" s="853">
        <f>G23*F24</f>
        <v>22738.26</v>
      </c>
      <c r="H24" s="179"/>
      <c r="I24" s="179"/>
    </row>
    <row r="25" spans="1:9" x14ac:dyDescent="0.2">
      <c r="A25" s="861"/>
      <c r="B25" s="862"/>
      <c r="C25" s="863" t="s">
        <v>32</v>
      </c>
      <c r="D25" s="862"/>
      <c r="E25" s="862"/>
      <c r="F25" s="862"/>
      <c r="G25" s="853">
        <f>G23+G24</f>
        <v>136429.57999999999</v>
      </c>
      <c r="H25" s="179"/>
      <c r="I25" s="179"/>
    </row>
    <row r="26" spans="1:9" ht="15" customHeight="1" x14ac:dyDescent="0.2">
      <c r="A26" s="230"/>
      <c r="B26" s="230"/>
      <c r="C26" s="231"/>
      <c r="D26" s="232"/>
      <c r="E26" s="232"/>
      <c r="F26" s="232"/>
      <c r="G26" s="233"/>
      <c r="H26" s="179"/>
      <c r="I26" s="179"/>
    </row>
    <row r="27" spans="1:9" x14ac:dyDescent="0.2">
      <c r="A27" s="234"/>
      <c r="B27" s="231"/>
      <c r="C27" s="231"/>
      <c r="D27" s="232"/>
      <c r="E27" s="232"/>
      <c r="F27" s="232"/>
      <c r="G27" s="233"/>
    </row>
    <row r="28" spans="1:9" x14ac:dyDescent="0.2">
      <c r="A28" s="232"/>
      <c r="B28" s="235"/>
      <c r="C28" s="236"/>
      <c r="D28" s="232"/>
      <c r="E28" s="232"/>
      <c r="F28" s="232"/>
      <c r="G28" s="233"/>
    </row>
    <row r="29" spans="1:9" x14ac:dyDescent="0.2">
      <c r="A29" s="232"/>
      <c r="B29" s="235"/>
      <c r="C29" s="235"/>
      <c r="D29" s="232"/>
      <c r="E29" s="232"/>
      <c r="F29" s="232"/>
      <c r="G29" s="233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16" workbookViewId="0">
      <selection activeCell="A10" sqref="A10:C10"/>
    </sheetView>
  </sheetViews>
  <sheetFormatPr defaultRowHeight="15" x14ac:dyDescent="0.25"/>
  <cols>
    <col min="1" max="1" width="4.425781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hidden="1" customWidth="1"/>
  </cols>
  <sheetData>
    <row r="1" spans="1:7" ht="42.75" customHeight="1" x14ac:dyDescent="0.25">
      <c r="A1" s="1029" t="s">
        <v>1029</v>
      </c>
      <c r="B1" s="1029"/>
      <c r="C1" s="1029"/>
      <c r="D1" s="1029"/>
      <c r="E1" s="1029"/>
      <c r="F1" s="1029"/>
      <c r="G1" s="1029"/>
    </row>
    <row r="2" spans="1:7" ht="42.75" customHeight="1" x14ac:dyDescent="0.25">
      <c r="A2" s="1030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B2" s="1030"/>
      <c r="C2" s="1030"/>
      <c r="D2" s="1030"/>
      <c r="E2" s="1030"/>
      <c r="F2" s="1030"/>
      <c r="G2" s="1030"/>
    </row>
    <row r="3" spans="1:7" x14ac:dyDescent="0.25">
      <c r="A3" s="118"/>
    </row>
    <row r="4" spans="1:7" ht="51" x14ac:dyDescent="0.25">
      <c r="A4" s="119" t="s">
        <v>0</v>
      </c>
      <c r="B4" s="120" t="s">
        <v>124</v>
      </c>
      <c r="C4" s="120" t="s">
        <v>125</v>
      </c>
      <c r="D4" s="120" t="s">
        <v>27</v>
      </c>
      <c r="E4" s="120" t="s">
        <v>126</v>
      </c>
      <c r="F4" s="121" t="s">
        <v>1030</v>
      </c>
      <c r="G4" s="121" t="s">
        <v>127</v>
      </c>
    </row>
    <row r="5" spans="1:7" ht="76.5" x14ac:dyDescent="0.25">
      <c r="A5" s="589" t="s">
        <v>34</v>
      </c>
      <c r="B5" s="564" t="s">
        <v>1224</v>
      </c>
      <c r="C5" s="565" t="s">
        <v>328</v>
      </c>
      <c r="D5" s="566" t="s">
        <v>479</v>
      </c>
      <c r="E5" s="566">
        <v>1</v>
      </c>
      <c r="F5" s="567">
        <f>F6*E7*E8*E9*E10</f>
        <v>8035.71</v>
      </c>
      <c r="G5" s="567">
        <f>E5*F5</f>
        <v>8035.71</v>
      </c>
    </row>
    <row r="6" spans="1:7" ht="25.5" x14ac:dyDescent="0.25">
      <c r="A6" s="568"/>
      <c r="B6" s="569" t="s">
        <v>1227</v>
      </c>
      <c r="C6" s="645" t="s">
        <v>1226</v>
      </c>
      <c r="D6" s="565" t="s">
        <v>479</v>
      </c>
      <c r="E6" s="565">
        <v>1</v>
      </c>
      <c r="F6" s="571">
        <v>11546.75</v>
      </c>
      <c r="G6" s="572">
        <f>E6*F6</f>
        <v>11546.75</v>
      </c>
    </row>
    <row r="7" spans="1:7" ht="38.25" x14ac:dyDescent="0.25">
      <c r="A7" s="651"/>
      <c r="B7" s="652" t="s">
        <v>1221</v>
      </c>
      <c r="C7" s="653" t="s">
        <v>1222</v>
      </c>
      <c r="D7" s="654"/>
      <c r="E7" s="654">
        <v>0.79</v>
      </c>
      <c r="F7" s="648"/>
      <c r="G7" s="649"/>
    </row>
    <row r="8" spans="1:7" ht="63" x14ac:dyDescent="0.25">
      <c r="A8" s="742"/>
      <c r="B8" s="743" t="s">
        <v>428</v>
      </c>
      <c r="C8" s="580" t="s">
        <v>329</v>
      </c>
      <c r="D8" s="591"/>
      <c r="E8" s="591">
        <v>0.89</v>
      </c>
      <c r="F8" s="591"/>
      <c r="G8" s="581"/>
    </row>
    <row r="9" spans="1:7" ht="47.25" x14ac:dyDescent="0.25">
      <c r="A9" s="747"/>
      <c r="B9" s="748" t="s">
        <v>130</v>
      </c>
      <c r="C9" s="593" t="s">
        <v>330</v>
      </c>
      <c r="D9" s="594"/>
      <c r="E9" s="594">
        <v>0.98</v>
      </c>
      <c r="F9" s="593"/>
      <c r="G9" s="741"/>
    </row>
    <row r="10" spans="1:7" ht="32.25" thickBot="1" x14ac:dyDescent="0.3">
      <c r="A10" s="662"/>
      <c r="B10" s="744" t="s">
        <v>131</v>
      </c>
      <c r="C10" s="745" t="s">
        <v>1265</v>
      </c>
      <c r="D10" s="746"/>
      <c r="E10" s="746">
        <v>1.01</v>
      </c>
      <c r="F10" s="745"/>
      <c r="G10" s="581"/>
    </row>
    <row r="11" spans="1:7" ht="76.5" x14ac:dyDescent="0.25">
      <c r="A11" s="666" t="s">
        <v>111</v>
      </c>
      <c r="B11" s="667" t="s">
        <v>1224</v>
      </c>
      <c r="C11" s="668" t="s">
        <v>328</v>
      </c>
      <c r="D11" s="669" t="s">
        <v>479</v>
      </c>
      <c r="E11" s="669">
        <v>1</v>
      </c>
      <c r="F11" s="670">
        <f>F12*E13*E14*E15*E16*E17</f>
        <v>9334.58</v>
      </c>
      <c r="G11" s="646">
        <f>E11*F11</f>
        <v>9334.58</v>
      </c>
    </row>
    <row r="12" spans="1:7" ht="25.5" x14ac:dyDescent="0.25">
      <c r="A12" s="655"/>
      <c r="B12" s="569" t="s">
        <v>1223</v>
      </c>
      <c r="C12" s="656" t="s">
        <v>1225</v>
      </c>
      <c r="D12" s="654" t="s">
        <v>479</v>
      </c>
      <c r="E12" s="654">
        <v>1</v>
      </c>
      <c r="F12" s="657">
        <v>7369.85</v>
      </c>
      <c r="G12" s="649">
        <f>E12*F12</f>
        <v>7369.85</v>
      </c>
    </row>
    <row r="13" spans="1:7" ht="63.75" x14ac:dyDescent="0.25">
      <c r="A13" s="651"/>
      <c r="B13" s="652" t="s">
        <v>1219</v>
      </c>
      <c r="C13" s="653" t="s">
        <v>1220</v>
      </c>
      <c r="D13" s="654"/>
      <c r="E13" s="654">
        <v>1.82</v>
      </c>
      <c r="F13" s="648"/>
      <c r="G13" s="649"/>
    </row>
    <row r="14" spans="1:7" ht="38.25" x14ac:dyDescent="0.25">
      <c r="A14" s="651"/>
      <c r="B14" s="652" t="s">
        <v>1221</v>
      </c>
      <c r="C14" s="653" t="s">
        <v>1222</v>
      </c>
      <c r="D14" s="654"/>
      <c r="E14" s="654">
        <v>0.79</v>
      </c>
      <c r="F14" s="648"/>
      <c r="G14" s="649"/>
    </row>
    <row r="15" spans="1:7" ht="63" x14ac:dyDescent="0.25">
      <c r="A15" s="742"/>
      <c r="B15" s="743" t="s">
        <v>428</v>
      </c>
      <c r="C15" s="580" t="s">
        <v>329</v>
      </c>
      <c r="D15" s="591"/>
      <c r="E15" s="591">
        <v>0.89</v>
      </c>
      <c r="F15" s="591"/>
      <c r="G15" s="581"/>
    </row>
    <row r="16" spans="1:7" ht="47.25" x14ac:dyDescent="0.25">
      <c r="A16" s="747"/>
      <c r="B16" s="748" t="s">
        <v>130</v>
      </c>
      <c r="C16" s="593" t="s">
        <v>330</v>
      </c>
      <c r="D16" s="594"/>
      <c r="E16" s="594">
        <v>0.98</v>
      </c>
      <c r="F16" s="593"/>
      <c r="G16" s="741"/>
    </row>
    <row r="17" spans="1:7" ht="32.25" thickBot="1" x14ac:dyDescent="0.3">
      <c r="A17" s="662"/>
      <c r="B17" s="744" t="s">
        <v>131</v>
      </c>
      <c r="C17" s="745" t="s">
        <v>1265</v>
      </c>
      <c r="D17" s="746"/>
      <c r="E17" s="746">
        <v>1.01</v>
      </c>
      <c r="F17" s="745"/>
      <c r="G17" s="581"/>
    </row>
    <row r="18" spans="1:7" ht="76.5" x14ac:dyDescent="0.25">
      <c r="A18" s="589" t="s">
        <v>497</v>
      </c>
      <c r="B18" s="564" t="s">
        <v>1224</v>
      </c>
      <c r="C18" s="565" t="s">
        <v>328</v>
      </c>
      <c r="D18" s="566" t="s">
        <v>479</v>
      </c>
      <c r="E18" s="566">
        <v>1</v>
      </c>
      <c r="F18" s="567">
        <f>F19*E20*E21*E22*E23</f>
        <v>4511.09</v>
      </c>
      <c r="G18" s="567">
        <f>E18*F18</f>
        <v>4511.09</v>
      </c>
    </row>
    <row r="19" spans="1:7" ht="25.5" x14ac:dyDescent="0.25">
      <c r="A19" s="568"/>
      <c r="B19" s="569" t="s">
        <v>1270</v>
      </c>
      <c r="C19" s="656" t="s">
        <v>1292</v>
      </c>
      <c r="D19" s="654" t="s">
        <v>479</v>
      </c>
      <c r="E19" s="654">
        <v>1</v>
      </c>
      <c r="F19" s="657">
        <v>6737.99</v>
      </c>
      <c r="G19" s="572">
        <f>E19*F19</f>
        <v>6737.99</v>
      </c>
    </row>
    <row r="20" spans="1:7" ht="38.25" x14ac:dyDescent="0.25">
      <c r="A20" s="651"/>
      <c r="B20" s="652" t="s">
        <v>1221</v>
      </c>
      <c r="C20" s="653" t="s">
        <v>1222</v>
      </c>
      <c r="D20" s="654"/>
      <c r="E20" s="654">
        <v>0.76</v>
      </c>
      <c r="F20" s="648"/>
      <c r="G20" s="649"/>
    </row>
    <row r="21" spans="1:7" ht="63" x14ac:dyDescent="0.25">
      <c r="A21" s="742"/>
      <c r="B21" s="743" t="s">
        <v>428</v>
      </c>
      <c r="C21" s="580" t="s">
        <v>329</v>
      </c>
      <c r="D21" s="591"/>
      <c r="E21" s="591">
        <v>0.89</v>
      </c>
      <c r="F21" s="591"/>
      <c r="G21" s="581"/>
    </row>
    <row r="22" spans="1:7" ht="47.25" x14ac:dyDescent="0.25">
      <c r="A22" s="747"/>
      <c r="B22" s="748" t="s">
        <v>130</v>
      </c>
      <c r="C22" s="593" t="s">
        <v>330</v>
      </c>
      <c r="D22" s="594"/>
      <c r="E22" s="594">
        <v>0.98</v>
      </c>
      <c r="F22" s="593"/>
      <c r="G22" s="741"/>
    </row>
    <row r="23" spans="1:7" ht="32.25" thickBot="1" x14ac:dyDescent="0.3">
      <c r="A23" s="662"/>
      <c r="B23" s="744" t="s">
        <v>131</v>
      </c>
      <c r="C23" s="745" t="s">
        <v>1265</v>
      </c>
      <c r="D23" s="746"/>
      <c r="E23" s="746">
        <v>1.01</v>
      </c>
      <c r="F23" s="745"/>
      <c r="G23" s="581"/>
    </row>
    <row r="24" spans="1:7" s="750" customFormat="1" ht="38.25" x14ac:dyDescent="0.25">
      <c r="A24" s="666" t="s">
        <v>498</v>
      </c>
      <c r="B24" s="667" t="s">
        <v>1297</v>
      </c>
      <c r="C24" s="668" t="s">
        <v>212</v>
      </c>
      <c r="D24" s="668" t="s">
        <v>475</v>
      </c>
      <c r="E24" s="669">
        <v>1</v>
      </c>
      <c r="F24" s="670">
        <f>F25*E28*E29</f>
        <v>40.31</v>
      </c>
      <c r="G24" s="646">
        <f>E24*F24</f>
        <v>40.31</v>
      </c>
    </row>
    <row r="25" spans="1:7" s="750" customFormat="1" ht="210" x14ac:dyDescent="0.25">
      <c r="A25" s="655"/>
      <c r="B25" s="569" t="s">
        <v>1244</v>
      </c>
      <c r="C25" s="656" t="s">
        <v>1298</v>
      </c>
      <c r="D25" s="654" t="s">
        <v>475</v>
      </c>
      <c r="E25" s="654">
        <v>1</v>
      </c>
      <c r="F25" s="754">
        <f>27.53-(580-378)*(27.53-56.97)/(580-280)</f>
        <v>47.35</v>
      </c>
      <c r="G25" s="649">
        <f>E25*F25</f>
        <v>47.35</v>
      </c>
    </row>
    <row r="26" spans="1:7" s="750" customFormat="1" ht="38.25" x14ac:dyDescent="0.25">
      <c r="A26" s="751"/>
      <c r="B26" s="652" t="s">
        <v>128</v>
      </c>
      <c r="C26" s="654"/>
      <c r="D26" s="654"/>
      <c r="E26" s="654"/>
      <c r="F26" s="649"/>
      <c r="G26" s="650">
        <f>G25</f>
        <v>47.35</v>
      </c>
    </row>
    <row r="27" spans="1:7" s="750" customFormat="1" ht="25.5" x14ac:dyDescent="0.25">
      <c r="A27" s="752"/>
      <c r="B27" s="755" t="s">
        <v>129</v>
      </c>
      <c r="C27" s="656"/>
      <c r="D27" s="656"/>
      <c r="E27" s="656"/>
      <c r="F27" s="647"/>
      <c r="G27" s="647"/>
    </row>
    <row r="28" spans="1:7" s="750" customFormat="1" ht="63" x14ac:dyDescent="0.25">
      <c r="A28" s="752"/>
      <c r="B28" s="756" t="s">
        <v>428</v>
      </c>
      <c r="C28" s="653" t="s">
        <v>187</v>
      </c>
      <c r="D28" s="757"/>
      <c r="E28" s="757">
        <v>0.86</v>
      </c>
      <c r="F28" s="753"/>
      <c r="G28" s="753"/>
    </row>
    <row r="29" spans="1:7" s="750" customFormat="1" ht="48" thickBot="1" x14ac:dyDescent="0.3">
      <c r="A29" s="758"/>
      <c r="B29" s="759" t="s">
        <v>130</v>
      </c>
      <c r="C29" s="760" t="s">
        <v>188</v>
      </c>
      <c r="D29" s="760"/>
      <c r="E29" s="760">
        <v>0.99</v>
      </c>
      <c r="F29" s="761"/>
      <c r="G29" s="753"/>
    </row>
    <row r="30" spans="1:7" ht="102" x14ac:dyDescent="0.25">
      <c r="A30" s="739" t="s">
        <v>499</v>
      </c>
      <c r="B30" s="658" t="s">
        <v>1262</v>
      </c>
      <c r="C30" s="659" t="s">
        <v>328</v>
      </c>
      <c r="D30" s="660" t="s">
        <v>479</v>
      </c>
      <c r="E30" s="660">
        <v>1</v>
      </c>
      <c r="F30" s="661">
        <f>F31*E34*E35*E36</f>
        <v>10996</v>
      </c>
      <c r="G30" s="586">
        <f>E30*F30</f>
        <v>10996</v>
      </c>
    </row>
    <row r="31" spans="1:7" ht="25.5" x14ac:dyDescent="0.25">
      <c r="A31" s="568"/>
      <c r="B31" s="569" t="s">
        <v>1264</v>
      </c>
      <c r="C31" s="645" t="s">
        <v>1263</v>
      </c>
      <c r="D31" s="565" t="s">
        <v>479</v>
      </c>
      <c r="E31" s="565">
        <v>1</v>
      </c>
      <c r="F31" s="571">
        <v>12482.38</v>
      </c>
      <c r="G31" s="572">
        <f>E31*F31</f>
        <v>12482.38</v>
      </c>
    </row>
    <row r="32" spans="1:7" ht="38.25" x14ac:dyDescent="0.25">
      <c r="A32" s="573"/>
      <c r="B32" s="574" t="s">
        <v>128</v>
      </c>
      <c r="C32" s="565"/>
      <c r="D32" s="565"/>
      <c r="E32" s="565"/>
      <c r="F32" s="572"/>
      <c r="G32" s="575">
        <f>G31</f>
        <v>12482.38</v>
      </c>
    </row>
    <row r="33" spans="1:7" ht="25.5" x14ac:dyDescent="0.25">
      <c r="A33" s="576"/>
      <c r="B33" s="577" t="s">
        <v>129</v>
      </c>
      <c r="C33" s="578"/>
      <c r="D33" s="578"/>
      <c r="E33" s="578"/>
      <c r="F33" s="578"/>
      <c r="G33" s="578"/>
    </row>
    <row r="34" spans="1:7" ht="63" x14ac:dyDescent="0.25">
      <c r="A34" s="576"/>
      <c r="B34" s="579" t="s">
        <v>428</v>
      </c>
      <c r="C34" s="580" t="s">
        <v>329</v>
      </c>
      <c r="D34" s="581"/>
      <c r="E34" s="581">
        <v>0.89</v>
      </c>
      <c r="F34" s="581"/>
      <c r="G34" s="581"/>
    </row>
    <row r="35" spans="1:7" ht="47.25" x14ac:dyDescent="0.25">
      <c r="A35" s="582"/>
      <c r="B35" s="583" t="s">
        <v>130</v>
      </c>
      <c r="C35" s="580" t="s">
        <v>330</v>
      </c>
      <c r="D35" s="581"/>
      <c r="E35" s="581">
        <v>0.98</v>
      </c>
      <c r="F35" s="584"/>
      <c r="G35" s="581"/>
    </row>
    <row r="36" spans="1:7" ht="32.25" thickBot="1" x14ac:dyDescent="0.3">
      <c r="A36" s="740"/>
      <c r="B36" s="663" t="s">
        <v>131</v>
      </c>
      <c r="C36" s="664" t="s">
        <v>1265</v>
      </c>
      <c r="D36" s="665"/>
      <c r="E36" s="665">
        <v>1.01</v>
      </c>
      <c r="F36" s="664"/>
      <c r="G36" s="581"/>
    </row>
    <row r="37" spans="1:7" ht="102" x14ac:dyDescent="0.25">
      <c r="A37" s="739" t="s">
        <v>332</v>
      </c>
      <c r="B37" s="658" t="s">
        <v>1262</v>
      </c>
      <c r="C37" s="659" t="s">
        <v>328</v>
      </c>
      <c r="D37" s="660" t="s">
        <v>479</v>
      </c>
      <c r="E37" s="660">
        <v>1</v>
      </c>
      <c r="F37" s="661">
        <f>F38*E41*E42*E43</f>
        <v>7618.62</v>
      </c>
      <c r="G37" s="586">
        <f>E37*F37</f>
        <v>7618.62</v>
      </c>
    </row>
    <row r="38" spans="1:7" ht="25.5" x14ac:dyDescent="0.25">
      <c r="A38" s="568"/>
      <c r="B38" s="569" t="s">
        <v>1267</v>
      </c>
      <c r="C38" s="645" t="s">
        <v>1268</v>
      </c>
      <c r="D38" s="565" t="s">
        <v>479</v>
      </c>
      <c r="E38" s="565">
        <v>1</v>
      </c>
      <c r="F38" s="571">
        <v>8648.4599999999991</v>
      </c>
      <c r="G38" s="572">
        <f>E38*F38</f>
        <v>8648.4599999999991</v>
      </c>
    </row>
    <row r="39" spans="1:7" ht="38.25" x14ac:dyDescent="0.25">
      <c r="A39" s="573"/>
      <c r="B39" s="574" t="s">
        <v>128</v>
      </c>
      <c r="C39" s="565"/>
      <c r="D39" s="565"/>
      <c r="E39" s="565"/>
      <c r="F39" s="572"/>
      <c r="G39" s="575">
        <f>G38</f>
        <v>8648.4599999999991</v>
      </c>
    </row>
    <row r="40" spans="1:7" ht="25.5" x14ac:dyDescent="0.25">
      <c r="A40" s="576"/>
      <c r="B40" s="577" t="s">
        <v>129</v>
      </c>
      <c r="C40" s="578"/>
      <c r="D40" s="578"/>
      <c r="E40" s="578"/>
      <c r="F40" s="578"/>
      <c r="G40" s="578"/>
    </row>
    <row r="41" spans="1:7" ht="63" x14ac:dyDescent="0.25">
      <c r="A41" s="576"/>
      <c r="B41" s="579" t="s">
        <v>428</v>
      </c>
      <c r="C41" s="580" t="s">
        <v>329</v>
      </c>
      <c r="D41" s="581"/>
      <c r="E41" s="581">
        <v>0.89</v>
      </c>
      <c r="F41" s="581"/>
      <c r="G41" s="581"/>
    </row>
    <row r="42" spans="1:7" ht="47.25" x14ac:dyDescent="0.25">
      <c r="A42" s="582"/>
      <c r="B42" s="583" t="s">
        <v>130</v>
      </c>
      <c r="C42" s="580" t="s">
        <v>330</v>
      </c>
      <c r="D42" s="581"/>
      <c r="E42" s="581">
        <v>0.98</v>
      </c>
      <c r="F42" s="584"/>
      <c r="G42" s="581"/>
    </row>
    <row r="43" spans="1:7" ht="32.25" thickBot="1" x14ac:dyDescent="0.3">
      <c r="A43" s="740"/>
      <c r="B43" s="663" t="s">
        <v>131</v>
      </c>
      <c r="C43" s="664" t="s">
        <v>1265</v>
      </c>
      <c r="D43" s="665"/>
      <c r="E43" s="665">
        <v>1.01</v>
      </c>
      <c r="F43" s="664"/>
      <c r="G43" s="581"/>
    </row>
    <row r="44" spans="1:7" ht="102" x14ac:dyDescent="0.25">
      <c r="A44" s="739" t="s">
        <v>1183</v>
      </c>
      <c r="B44" s="658" t="s">
        <v>1262</v>
      </c>
      <c r="C44" s="659" t="s">
        <v>328</v>
      </c>
      <c r="D44" s="660" t="s">
        <v>479</v>
      </c>
      <c r="E44" s="660">
        <v>1</v>
      </c>
      <c r="F44" s="661">
        <f>F45*E47*E48*E49*E50</f>
        <v>13408.77</v>
      </c>
      <c r="G44" s="586">
        <f>E44*F44</f>
        <v>13408.77</v>
      </c>
    </row>
    <row r="45" spans="1:7" ht="25.5" x14ac:dyDescent="0.25">
      <c r="A45" s="568"/>
      <c r="B45" s="569" t="s">
        <v>1267</v>
      </c>
      <c r="C45" s="645" t="s">
        <v>1268</v>
      </c>
      <c r="D45" s="565" t="s">
        <v>479</v>
      </c>
      <c r="E45" s="565">
        <v>1</v>
      </c>
      <c r="F45" s="571">
        <v>8648.4599999999991</v>
      </c>
      <c r="G45" s="572">
        <f>E45*F45</f>
        <v>8648.4599999999991</v>
      </c>
    </row>
    <row r="46" spans="1:7" ht="25.5" x14ac:dyDescent="0.25">
      <c r="A46" s="576"/>
      <c r="B46" s="577" t="s">
        <v>129</v>
      </c>
      <c r="C46" s="578"/>
      <c r="D46" s="578"/>
      <c r="E46" s="578"/>
      <c r="F46" s="578"/>
      <c r="G46" s="578"/>
    </row>
    <row r="47" spans="1:7" ht="63.75" x14ac:dyDescent="0.25">
      <c r="A47" s="651"/>
      <c r="B47" s="652" t="s">
        <v>1219</v>
      </c>
      <c r="C47" s="653" t="s">
        <v>1220</v>
      </c>
      <c r="D47" s="654"/>
      <c r="E47" s="654">
        <v>1.76</v>
      </c>
      <c r="F47" s="648"/>
      <c r="G47" s="649"/>
    </row>
    <row r="48" spans="1:7" ht="63" x14ac:dyDescent="0.25">
      <c r="A48" s="576"/>
      <c r="B48" s="579" t="s">
        <v>428</v>
      </c>
      <c r="C48" s="580" t="s">
        <v>329</v>
      </c>
      <c r="D48" s="581"/>
      <c r="E48" s="581">
        <v>0.89</v>
      </c>
      <c r="F48" s="581"/>
      <c r="G48" s="581"/>
    </row>
    <row r="49" spans="1:7" ht="47.25" x14ac:dyDescent="0.25">
      <c r="A49" s="582"/>
      <c r="B49" s="583" t="s">
        <v>130</v>
      </c>
      <c r="C49" s="580" t="s">
        <v>330</v>
      </c>
      <c r="D49" s="581"/>
      <c r="E49" s="581">
        <v>0.98</v>
      </c>
      <c r="F49" s="584"/>
      <c r="G49" s="581"/>
    </row>
    <row r="50" spans="1:7" ht="32.25" thickBot="1" x14ac:dyDescent="0.3">
      <c r="A50" s="740"/>
      <c r="B50" s="663" t="s">
        <v>131</v>
      </c>
      <c r="C50" s="664" t="s">
        <v>1265</v>
      </c>
      <c r="D50" s="665"/>
      <c r="E50" s="665">
        <v>1.01</v>
      </c>
      <c r="F50" s="664"/>
      <c r="G50" s="581"/>
    </row>
    <row r="51" spans="1:7" ht="102" x14ac:dyDescent="0.25">
      <c r="A51" s="739" t="s">
        <v>762</v>
      </c>
      <c r="B51" s="658" t="s">
        <v>1262</v>
      </c>
      <c r="C51" s="659" t="s">
        <v>328</v>
      </c>
      <c r="D51" s="660" t="s">
        <v>479</v>
      </c>
      <c r="E51" s="660">
        <v>1</v>
      </c>
      <c r="F51" s="661">
        <f>F52*E55*E56*E57</f>
        <v>9433.7199999999993</v>
      </c>
      <c r="G51" s="586">
        <f>E51*F51</f>
        <v>9433.7199999999993</v>
      </c>
    </row>
    <row r="52" spans="1:7" ht="25.5" x14ac:dyDescent="0.25">
      <c r="A52" s="568"/>
      <c r="B52" s="569" t="s">
        <v>1270</v>
      </c>
      <c r="C52" s="645" t="s">
        <v>1269</v>
      </c>
      <c r="D52" s="565" t="s">
        <v>479</v>
      </c>
      <c r="E52" s="565">
        <v>1</v>
      </c>
      <c r="F52" s="571">
        <v>10708.92</v>
      </c>
      <c r="G52" s="572">
        <f>E52*F52</f>
        <v>10708.92</v>
      </c>
    </row>
    <row r="53" spans="1:7" ht="38.25" x14ac:dyDescent="0.25">
      <c r="A53" s="573"/>
      <c r="B53" s="574" t="s">
        <v>128</v>
      </c>
      <c r="C53" s="565"/>
      <c r="D53" s="565"/>
      <c r="E53" s="565"/>
      <c r="F53" s="572"/>
      <c r="G53" s="575">
        <f>G52</f>
        <v>10708.92</v>
      </c>
    </row>
    <row r="54" spans="1:7" ht="25.5" x14ac:dyDescent="0.25">
      <c r="A54" s="576"/>
      <c r="B54" s="577" t="s">
        <v>129</v>
      </c>
      <c r="C54" s="578"/>
      <c r="D54" s="578"/>
      <c r="E54" s="578"/>
      <c r="F54" s="578"/>
      <c r="G54" s="578"/>
    </row>
    <row r="55" spans="1:7" ht="63" x14ac:dyDescent="0.25">
      <c r="A55" s="576"/>
      <c r="B55" s="579" t="s">
        <v>428</v>
      </c>
      <c r="C55" s="580" t="s">
        <v>329</v>
      </c>
      <c r="D55" s="581"/>
      <c r="E55" s="581">
        <v>0.89</v>
      </c>
      <c r="F55" s="581"/>
      <c r="G55" s="581"/>
    </row>
    <row r="56" spans="1:7" ht="47.25" x14ac:dyDescent="0.25">
      <c r="A56" s="582"/>
      <c r="B56" s="583" t="s">
        <v>130</v>
      </c>
      <c r="C56" s="580" t="s">
        <v>330</v>
      </c>
      <c r="D56" s="581"/>
      <c r="E56" s="581">
        <v>0.98</v>
      </c>
      <c r="F56" s="584"/>
      <c r="G56" s="581"/>
    </row>
    <row r="57" spans="1:7" ht="32.25" thickBot="1" x14ac:dyDescent="0.3">
      <c r="A57" s="740"/>
      <c r="B57" s="663" t="s">
        <v>131</v>
      </c>
      <c r="C57" s="664" t="s">
        <v>1265</v>
      </c>
      <c r="D57" s="665"/>
      <c r="E57" s="665">
        <v>1.01</v>
      </c>
      <c r="F57" s="664"/>
      <c r="G57" s="581"/>
    </row>
    <row r="58" spans="1:7" ht="76.5" x14ac:dyDescent="0.25">
      <c r="A58" s="658">
        <v>2</v>
      </c>
      <c r="B58" s="658" t="s">
        <v>343</v>
      </c>
      <c r="C58" s="659" t="s">
        <v>328</v>
      </c>
      <c r="D58" s="660" t="s">
        <v>479</v>
      </c>
      <c r="E58" s="660">
        <v>0.2</v>
      </c>
      <c r="F58" s="661">
        <f>F59*E62*E63</f>
        <v>11426.34</v>
      </c>
      <c r="G58" s="586">
        <f>E58*F58</f>
        <v>2285.27</v>
      </c>
    </row>
    <row r="59" spans="1:7" ht="102" x14ac:dyDescent="0.25">
      <c r="A59" s="568"/>
      <c r="B59" s="569" t="s">
        <v>478</v>
      </c>
      <c r="C59" s="570" t="s">
        <v>477</v>
      </c>
      <c r="D59" s="565" t="s">
        <v>479</v>
      </c>
      <c r="E59" s="565">
        <v>0.2</v>
      </c>
      <c r="F59" s="571">
        <v>13100.6</v>
      </c>
      <c r="G59" s="572">
        <f>E59*F59</f>
        <v>2620.12</v>
      </c>
    </row>
    <row r="60" spans="1:7" ht="38.25" x14ac:dyDescent="0.25">
      <c r="A60" s="573"/>
      <c r="B60" s="574" t="s">
        <v>128</v>
      </c>
      <c r="C60" s="565"/>
      <c r="D60" s="565"/>
      <c r="E60" s="565"/>
      <c r="F60" s="572"/>
      <c r="G60" s="575">
        <f>G59</f>
        <v>2620.12</v>
      </c>
    </row>
    <row r="61" spans="1:7" ht="25.5" x14ac:dyDescent="0.25">
      <c r="A61" s="576"/>
      <c r="B61" s="577" t="s">
        <v>129</v>
      </c>
      <c r="C61" s="578"/>
      <c r="D61" s="578"/>
      <c r="E61" s="578"/>
      <c r="F61" s="578"/>
      <c r="G61" s="578"/>
    </row>
    <row r="62" spans="1:7" ht="63" x14ac:dyDescent="0.25">
      <c r="A62" s="576"/>
      <c r="B62" s="579" t="s">
        <v>428</v>
      </c>
      <c r="C62" s="580" t="s">
        <v>329</v>
      </c>
      <c r="D62" s="581"/>
      <c r="E62" s="581">
        <v>0.89</v>
      </c>
      <c r="F62" s="581"/>
      <c r="G62" s="581"/>
    </row>
    <row r="63" spans="1:7" ht="47.25" x14ac:dyDescent="0.25">
      <c r="A63" s="582"/>
      <c r="B63" s="583" t="s">
        <v>130</v>
      </c>
      <c r="C63" s="580" t="s">
        <v>330</v>
      </c>
      <c r="D63" s="581"/>
      <c r="E63" s="581">
        <v>0.98</v>
      </c>
      <c r="F63" s="584"/>
      <c r="G63" s="581"/>
    </row>
    <row r="64" spans="1:7" ht="38.25" x14ac:dyDescent="0.25">
      <c r="A64" s="589" t="s">
        <v>496</v>
      </c>
      <c r="B64" s="564" t="s">
        <v>1295</v>
      </c>
      <c r="C64" s="585" t="s">
        <v>212</v>
      </c>
      <c r="D64" s="566" t="s">
        <v>213</v>
      </c>
      <c r="E64" s="566">
        <v>100</v>
      </c>
      <c r="F64" s="587">
        <f>F65*E68*E69</f>
        <v>21.12</v>
      </c>
      <c r="G64" s="567">
        <f>E64*F64</f>
        <v>2112</v>
      </c>
    </row>
    <row r="65" spans="1:7" x14ac:dyDescent="0.25">
      <c r="A65" s="568"/>
      <c r="B65" s="569" t="s">
        <v>1296</v>
      </c>
      <c r="C65" s="570" t="s">
        <v>472</v>
      </c>
      <c r="D65" s="565" t="s">
        <v>213</v>
      </c>
      <c r="E65" s="565">
        <v>100</v>
      </c>
      <c r="F65" s="565">
        <v>24.81</v>
      </c>
      <c r="G65" s="572">
        <f>E65*F65</f>
        <v>2481</v>
      </c>
    </row>
    <row r="66" spans="1:7" ht="38.25" x14ac:dyDescent="0.25">
      <c r="A66" s="573"/>
      <c r="B66" s="574" t="s">
        <v>128</v>
      </c>
      <c r="C66" s="565"/>
      <c r="D66" s="565"/>
      <c r="E66" s="565"/>
      <c r="F66" s="572"/>
      <c r="G66" s="575">
        <f>G65</f>
        <v>2481</v>
      </c>
    </row>
    <row r="67" spans="1:7" ht="25.5" x14ac:dyDescent="0.25">
      <c r="A67" s="576"/>
      <c r="B67" s="577" t="s">
        <v>129</v>
      </c>
      <c r="C67" s="578"/>
      <c r="D67" s="578"/>
      <c r="E67" s="578"/>
      <c r="F67" s="578"/>
      <c r="G67" s="578"/>
    </row>
    <row r="68" spans="1:7" ht="63" x14ac:dyDescent="0.25">
      <c r="A68" s="576"/>
      <c r="B68" s="579" t="s">
        <v>428</v>
      </c>
      <c r="C68" s="580" t="s">
        <v>187</v>
      </c>
      <c r="D68" s="581"/>
      <c r="E68" s="581">
        <v>0.86</v>
      </c>
      <c r="F68" s="581"/>
      <c r="G68" s="581"/>
    </row>
    <row r="69" spans="1:7" ht="47.25" x14ac:dyDescent="0.25">
      <c r="A69" s="582"/>
      <c r="B69" s="583" t="s">
        <v>130</v>
      </c>
      <c r="C69" s="580" t="s">
        <v>188</v>
      </c>
      <c r="D69" s="581"/>
      <c r="E69" s="581">
        <v>0.99</v>
      </c>
      <c r="F69" s="584"/>
      <c r="G69" s="581"/>
    </row>
    <row r="70" spans="1:7" ht="38.25" x14ac:dyDescent="0.25">
      <c r="A70" s="589" t="s">
        <v>279</v>
      </c>
      <c r="B70" s="564" t="s">
        <v>1295</v>
      </c>
      <c r="C70" s="585" t="s">
        <v>212</v>
      </c>
      <c r="D70" s="566" t="s">
        <v>213</v>
      </c>
      <c r="E70" s="566">
        <v>1</v>
      </c>
      <c r="F70" s="567">
        <f>F71*E74*E75</f>
        <v>32.83</v>
      </c>
      <c r="G70" s="586">
        <f>E70*F70</f>
        <v>32.83</v>
      </c>
    </row>
    <row r="71" spans="1:7" x14ac:dyDescent="0.25">
      <c r="A71" s="568"/>
      <c r="B71" s="569" t="s">
        <v>1294</v>
      </c>
      <c r="C71" s="570" t="s">
        <v>471</v>
      </c>
      <c r="D71" s="565" t="s">
        <v>213</v>
      </c>
      <c r="E71" s="565">
        <v>1</v>
      </c>
      <c r="F71" s="565">
        <v>38.56</v>
      </c>
      <c r="G71" s="572">
        <f>E71*F71</f>
        <v>38.56</v>
      </c>
    </row>
    <row r="72" spans="1:7" ht="38.25" x14ac:dyDescent="0.25">
      <c r="A72" s="573"/>
      <c r="B72" s="574" t="s">
        <v>128</v>
      </c>
      <c r="C72" s="565"/>
      <c r="D72" s="565"/>
      <c r="E72" s="565"/>
      <c r="F72" s="572"/>
      <c r="G72" s="575">
        <f>G71</f>
        <v>38.56</v>
      </c>
    </row>
    <row r="73" spans="1:7" ht="25.5" x14ac:dyDescent="0.25">
      <c r="A73" s="576"/>
      <c r="B73" s="577" t="s">
        <v>129</v>
      </c>
      <c r="C73" s="578"/>
      <c r="D73" s="578"/>
      <c r="E73" s="578"/>
      <c r="F73" s="578"/>
      <c r="G73" s="578"/>
    </row>
    <row r="74" spans="1:7" ht="63" x14ac:dyDescent="0.25">
      <c r="A74" s="576"/>
      <c r="B74" s="579" t="s">
        <v>428</v>
      </c>
      <c r="C74" s="580" t="s">
        <v>187</v>
      </c>
      <c r="D74" s="581"/>
      <c r="E74" s="581">
        <v>0.86</v>
      </c>
      <c r="F74" s="581"/>
      <c r="G74" s="581"/>
    </row>
    <row r="75" spans="1:7" ht="47.25" x14ac:dyDescent="0.25">
      <c r="A75" s="582"/>
      <c r="B75" s="583" t="s">
        <v>130</v>
      </c>
      <c r="C75" s="580" t="s">
        <v>188</v>
      </c>
      <c r="D75" s="581"/>
      <c r="E75" s="581">
        <v>0.99</v>
      </c>
      <c r="F75" s="584"/>
      <c r="G75" s="581"/>
    </row>
    <row r="76" spans="1:7" s="138" customFormat="1" ht="38.25" x14ac:dyDescent="0.25">
      <c r="A76" s="589" t="s">
        <v>35</v>
      </c>
      <c r="B76" s="564" t="s">
        <v>1215</v>
      </c>
      <c r="C76" s="585" t="s">
        <v>212</v>
      </c>
      <c r="D76" s="585" t="s">
        <v>1217</v>
      </c>
      <c r="E76" s="566">
        <v>1</v>
      </c>
      <c r="F76" s="567">
        <f>F77*E80*E81</f>
        <v>23.46</v>
      </c>
      <c r="G76" s="586">
        <f>E76*F76</f>
        <v>23.46</v>
      </c>
    </row>
    <row r="77" spans="1:7" s="138" customFormat="1" ht="210" x14ac:dyDescent="0.25">
      <c r="A77" s="568"/>
      <c r="B77" s="569" t="s">
        <v>1216</v>
      </c>
      <c r="C77" s="645" t="s">
        <v>1218</v>
      </c>
      <c r="D77" s="565" t="s">
        <v>1217</v>
      </c>
      <c r="E77" s="565">
        <v>1</v>
      </c>
      <c r="F77" s="588">
        <f>24.81-(100-90)*(24.81-38.56)/(100-50)</f>
        <v>27.56</v>
      </c>
      <c r="G77" s="572">
        <f>E77*F77</f>
        <v>27.56</v>
      </c>
    </row>
    <row r="78" spans="1:7" s="138" customFormat="1" ht="38.25" x14ac:dyDescent="0.25">
      <c r="A78" s="573"/>
      <c r="B78" s="574" t="s">
        <v>128</v>
      </c>
      <c r="C78" s="565"/>
      <c r="D78" s="565"/>
      <c r="E78" s="565"/>
      <c r="F78" s="572"/>
      <c r="G78" s="575">
        <f>G77</f>
        <v>27.56</v>
      </c>
    </row>
    <row r="79" spans="1:7" s="138" customFormat="1" ht="25.5" x14ac:dyDescent="0.25">
      <c r="A79" s="576"/>
      <c r="B79" s="577" t="s">
        <v>129</v>
      </c>
      <c r="C79" s="578"/>
      <c r="D79" s="578"/>
      <c r="E79" s="578"/>
      <c r="F79" s="578"/>
      <c r="G79" s="578"/>
    </row>
    <row r="80" spans="1:7" s="138" customFormat="1" ht="63" x14ac:dyDescent="0.25">
      <c r="A80" s="576"/>
      <c r="B80" s="579" t="s">
        <v>428</v>
      </c>
      <c r="C80" s="580" t="s">
        <v>187</v>
      </c>
      <c r="D80" s="581"/>
      <c r="E80" s="581">
        <v>0.86</v>
      </c>
      <c r="F80" s="581"/>
      <c r="G80" s="581"/>
    </row>
    <row r="81" spans="1:7" s="138" customFormat="1" ht="48" thickBot="1" x14ac:dyDescent="0.3">
      <c r="A81" s="662"/>
      <c r="B81" s="663" t="s">
        <v>130</v>
      </c>
      <c r="C81" s="664" t="s">
        <v>188</v>
      </c>
      <c r="D81" s="665"/>
      <c r="E81" s="665">
        <v>0.99</v>
      </c>
      <c r="F81" s="664"/>
      <c r="G81" s="581"/>
    </row>
    <row r="82" spans="1:7" s="138" customFormat="1" ht="51" x14ac:dyDescent="0.25">
      <c r="A82" s="658">
        <v>3</v>
      </c>
      <c r="B82" s="658" t="s">
        <v>474</v>
      </c>
      <c r="C82" s="659" t="s">
        <v>212</v>
      </c>
      <c r="D82" s="659" t="s">
        <v>475</v>
      </c>
      <c r="E82" s="660">
        <v>360</v>
      </c>
      <c r="F82" s="661">
        <f>F83*E86*E87</f>
        <v>63.8</v>
      </c>
      <c r="G82" s="586">
        <f>E82*F82</f>
        <v>22968</v>
      </c>
    </row>
    <row r="83" spans="1:7" s="138" customFormat="1" ht="210" x14ac:dyDescent="0.25">
      <c r="A83" s="568"/>
      <c r="B83" s="569" t="s">
        <v>474</v>
      </c>
      <c r="C83" s="570" t="s">
        <v>476</v>
      </c>
      <c r="D83" s="565" t="s">
        <v>475</v>
      </c>
      <c r="E83" s="565">
        <v>360</v>
      </c>
      <c r="F83" s="588">
        <f>41.27-(640-360)*(41.27-79.74)/(640-320)</f>
        <v>74.930000000000007</v>
      </c>
      <c r="G83" s="572">
        <f>E83*F83</f>
        <v>26974.799999999999</v>
      </c>
    </row>
    <row r="84" spans="1:7" s="138" customFormat="1" ht="38.25" x14ac:dyDescent="0.25">
      <c r="A84" s="573"/>
      <c r="B84" s="574" t="s">
        <v>128</v>
      </c>
      <c r="C84" s="565"/>
      <c r="D84" s="565"/>
      <c r="E84" s="565"/>
      <c r="F84" s="572"/>
      <c r="G84" s="575">
        <f>G83</f>
        <v>26974.799999999999</v>
      </c>
    </row>
    <row r="85" spans="1:7" s="138" customFormat="1" ht="25.5" x14ac:dyDescent="0.25">
      <c r="A85" s="576"/>
      <c r="B85" s="577" t="s">
        <v>129</v>
      </c>
      <c r="C85" s="578"/>
      <c r="D85" s="578"/>
      <c r="E85" s="578"/>
      <c r="F85" s="578"/>
      <c r="G85" s="578"/>
    </row>
    <row r="86" spans="1:7" s="138" customFormat="1" ht="63" x14ac:dyDescent="0.25">
      <c r="A86" s="576"/>
      <c r="B86" s="579" t="s">
        <v>428</v>
      </c>
      <c r="C86" s="580" t="s">
        <v>187</v>
      </c>
      <c r="D86" s="581"/>
      <c r="E86" s="581">
        <v>0.86</v>
      </c>
      <c r="F86" s="581"/>
      <c r="G86" s="581"/>
    </row>
    <row r="87" spans="1:7" s="138" customFormat="1" ht="47.25" x14ac:dyDescent="0.25">
      <c r="A87" s="582"/>
      <c r="B87" s="583" t="s">
        <v>130</v>
      </c>
      <c r="C87" s="580" t="s">
        <v>188</v>
      </c>
      <c r="D87" s="581"/>
      <c r="E87" s="581">
        <v>0.99</v>
      </c>
      <c r="F87" s="584"/>
      <c r="G87" s="581"/>
    </row>
    <row r="88" spans="1:7" s="138" customFormat="1" ht="38.25" x14ac:dyDescent="0.25">
      <c r="A88" s="739" t="s">
        <v>308</v>
      </c>
      <c r="B88" s="658" t="s">
        <v>1242</v>
      </c>
      <c r="C88" s="659" t="s">
        <v>212</v>
      </c>
      <c r="D88" s="659" t="s">
        <v>475</v>
      </c>
      <c r="E88" s="660">
        <v>1</v>
      </c>
      <c r="F88" s="661">
        <f>F89*E92*E93</f>
        <v>61.96</v>
      </c>
      <c r="G88" s="586">
        <f>E88*F88</f>
        <v>61.96</v>
      </c>
    </row>
    <row r="89" spans="1:7" s="138" customFormat="1" ht="210" x14ac:dyDescent="0.25">
      <c r="A89" s="568"/>
      <c r="B89" s="569" t="s">
        <v>1244</v>
      </c>
      <c r="C89" s="645" t="s">
        <v>1245</v>
      </c>
      <c r="D89" s="565" t="s">
        <v>475</v>
      </c>
      <c r="E89" s="565">
        <v>1</v>
      </c>
      <c r="F89" s="588">
        <f>41.27-(640-378)*(41.27-79.74)/(640-320)</f>
        <v>72.77</v>
      </c>
      <c r="G89" s="572">
        <f>E89*F89</f>
        <v>72.77</v>
      </c>
    </row>
    <row r="90" spans="1:7" s="138" customFormat="1" ht="38.25" x14ac:dyDescent="0.25">
      <c r="A90" s="573"/>
      <c r="B90" s="574" t="s">
        <v>128</v>
      </c>
      <c r="C90" s="565"/>
      <c r="D90" s="565"/>
      <c r="E90" s="565"/>
      <c r="F90" s="572"/>
      <c r="G90" s="575">
        <f>G89</f>
        <v>72.77</v>
      </c>
    </row>
    <row r="91" spans="1:7" s="138" customFormat="1" ht="25.5" x14ac:dyDescent="0.25">
      <c r="A91" s="576"/>
      <c r="B91" s="577" t="s">
        <v>129</v>
      </c>
      <c r="C91" s="578"/>
      <c r="D91" s="578"/>
      <c r="E91" s="578"/>
      <c r="F91" s="578"/>
      <c r="G91" s="578"/>
    </row>
    <row r="92" spans="1:7" s="138" customFormat="1" ht="63" x14ac:dyDescent="0.25">
      <c r="A92" s="576"/>
      <c r="B92" s="579" t="s">
        <v>428</v>
      </c>
      <c r="C92" s="580" t="s">
        <v>187</v>
      </c>
      <c r="D92" s="581"/>
      <c r="E92" s="581">
        <v>0.86</v>
      </c>
      <c r="F92" s="581"/>
      <c r="G92" s="581"/>
    </row>
    <row r="93" spans="1:7" s="138" customFormat="1" ht="47.25" x14ac:dyDescent="0.25">
      <c r="A93" s="582"/>
      <c r="B93" s="583" t="s">
        <v>130</v>
      </c>
      <c r="C93" s="580" t="s">
        <v>188</v>
      </c>
      <c r="D93" s="581"/>
      <c r="E93" s="581">
        <v>0.99</v>
      </c>
      <c r="F93" s="584"/>
      <c r="G93" s="581"/>
    </row>
    <row r="94" spans="1:7" ht="51" x14ac:dyDescent="0.25">
      <c r="A94" s="589" t="s">
        <v>308</v>
      </c>
      <c r="B94" s="564" t="s">
        <v>519</v>
      </c>
      <c r="C94" s="585" t="s">
        <v>513</v>
      </c>
      <c r="D94" s="585" t="s">
        <v>515</v>
      </c>
      <c r="E94" s="585">
        <v>1</v>
      </c>
      <c r="F94" s="586">
        <f>F95*E98*E99*E100</f>
        <v>8049.83</v>
      </c>
      <c r="G94" s="586">
        <f>E94*F94</f>
        <v>8049.83</v>
      </c>
    </row>
    <row r="95" spans="1:7" ht="51" x14ac:dyDescent="0.25">
      <c r="A95" s="568"/>
      <c r="B95" s="569" t="s">
        <v>520</v>
      </c>
      <c r="C95" s="570" t="s">
        <v>521</v>
      </c>
      <c r="D95" s="565" t="s">
        <v>515</v>
      </c>
      <c r="E95" s="565">
        <v>1</v>
      </c>
      <c r="F95" s="571">
        <v>9147.5300000000007</v>
      </c>
      <c r="G95" s="571">
        <f>E95*F95</f>
        <v>9147.5300000000007</v>
      </c>
    </row>
    <row r="96" spans="1:7" ht="38.25" x14ac:dyDescent="0.25">
      <c r="A96" s="573"/>
      <c r="B96" s="574" t="s">
        <v>128</v>
      </c>
      <c r="C96" s="565"/>
      <c r="D96" s="565"/>
      <c r="E96" s="565"/>
      <c r="F96" s="572"/>
      <c r="G96" s="590">
        <f>G95</f>
        <v>9147.5300000000007</v>
      </c>
    </row>
    <row r="97" spans="1:7" ht="25.5" x14ac:dyDescent="0.25">
      <c r="A97" s="576"/>
      <c r="B97" s="577" t="s">
        <v>129</v>
      </c>
      <c r="C97" s="578"/>
      <c r="D97" s="578"/>
      <c r="E97" s="578"/>
      <c r="F97" s="578"/>
      <c r="G97" s="578"/>
    </row>
    <row r="98" spans="1:7" ht="63" x14ac:dyDescent="0.25">
      <c r="A98" s="576"/>
      <c r="B98" s="579" t="s">
        <v>428</v>
      </c>
      <c r="C98" s="580" t="s">
        <v>517</v>
      </c>
      <c r="D98" s="581"/>
      <c r="E98" s="581">
        <v>0.88</v>
      </c>
      <c r="F98" s="581"/>
      <c r="G98" s="581"/>
    </row>
    <row r="99" spans="1:7" ht="47.25" x14ac:dyDescent="0.25">
      <c r="A99" s="582"/>
      <c r="B99" s="583" t="s">
        <v>130</v>
      </c>
      <c r="C99" s="580" t="s">
        <v>518</v>
      </c>
      <c r="D99" s="591"/>
      <c r="E99" s="591">
        <v>1</v>
      </c>
      <c r="F99" s="584"/>
      <c r="G99" s="581"/>
    </row>
    <row r="100" spans="1:7" ht="31.5" x14ac:dyDescent="0.25">
      <c r="A100" s="568"/>
      <c r="B100" s="592" t="s">
        <v>131</v>
      </c>
      <c r="C100" s="593" t="s">
        <v>214</v>
      </c>
      <c r="D100" s="594"/>
      <c r="E100" s="594">
        <v>1</v>
      </c>
      <c r="F100" s="595"/>
      <c r="G100" s="581"/>
    </row>
    <row r="101" spans="1:7" ht="51" x14ac:dyDescent="0.25">
      <c r="A101" s="589" t="s">
        <v>332</v>
      </c>
      <c r="B101" s="564" t="s">
        <v>483</v>
      </c>
      <c r="C101" s="585" t="s">
        <v>513</v>
      </c>
      <c r="D101" s="585" t="s">
        <v>515</v>
      </c>
      <c r="E101" s="585">
        <v>1</v>
      </c>
      <c r="F101" s="586">
        <f>F102*E105*E106*E107</f>
        <v>5058.92</v>
      </c>
      <c r="G101" s="586">
        <f>E101*F101</f>
        <v>5058.92</v>
      </c>
    </row>
    <row r="102" spans="1:7" ht="51" x14ac:dyDescent="0.25">
      <c r="A102" s="568"/>
      <c r="B102" s="569" t="s">
        <v>514</v>
      </c>
      <c r="C102" s="570" t="s">
        <v>516</v>
      </c>
      <c r="D102" s="565" t="s">
        <v>515</v>
      </c>
      <c r="E102" s="565">
        <v>1</v>
      </c>
      <c r="F102" s="571">
        <v>5748.77</v>
      </c>
      <c r="G102" s="571">
        <f>E102*F102</f>
        <v>5748.77</v>
      </c>
    </row>
    <row r="103" spans="1:7" ht="38.25" x14ac:dyDescent="0.25">
      <c r="A103" s="573"/>
      <c r="B103" s="574" t="s">
        <v>128</v>
      </c>
      <c r="C103" s="565"/>
      <c r="D103" s="565"/>
      <c r="E103" s="565"/>
      <c r="F103" s="572"/>
      <c r="G103" s="590">
        <f>G102</f>
        <v>5748.77</v>
      </c>
    </row>
    <row r="104" spans="1:7" ht="25.5" x14ac:dyDescent="0.25">
      <c r="A104" s="576"/>
      <c r="B104" s="577" t="s">
        <v>129</v>
      </c>
      <c r="C104" s="578"/>
      <c r="D104" s="578"/>
      <c r="E104" s="578"/>
      <c r="F104" s="578"/>
      <c r="G104" s="578"/>
    </row>
    <row r="105" spans="1:7" ht="63" x14ac:dyDescent="0.25">
      <c r="A105" s="576"/>
      <c r="B105" s="579" t="s">
        <v>428</v>
      </c>
      <c r="C105" s="580" t="s">
        <v>517</v>
      </c>
      <c r="D105" s="581"/>
      <c r="E105" s="581">
        <v>0.88</v>
      </c>
      <c r="F105" s="581"/>
      <c r="G105" s="581"/>
    </row>
    <row r="106" spans="1:7" ht="47.25" x14ac:dyDescent="0.25">
      <c r="A106" s="582"/>
      <c r="B106" s="583" t="s">
        <v>130</v>
      </c>
      <c r="C106" s="580" t="s">
        <v>518</v>
      </c>
      <c r="D106" s="591"/>
      <c r="E106" s="591">
        <v>1</v>
      </c>
      <c r="F106" s="584"/>
      <c r="G106" s="581"/>
    </row>
    <row r="107" spans="1:7" ht="31.5" x14ac:dyDescent="0.25">
      <c r="A107" s="568"/>
      <c r="B107" s="592" t="s">
        <v>131</v>
      </c>
      <c r="C107" s="593" t="s">
        <v>214</v>
      </c>
      <c r="D107" s="594"/>
      <c r="E107" s="594">
        <v>1</v>
      </c>
      <c r="F107" s="595"/>
      <c r="G107" s="581"/>
    </row>
    <row r="108" spans="1:7" s="138" customFormat="1" ht="51" x14ac:dyDescent="0.25">
      <c r="A108" s="589" t="s">
        <v>512</v>
      </c>
      <c r="B108" s="564" t="s">
        <v>1249</v>
      </c>
      <c r="C108" s="585" t="s">
        <v>513</v>
      </c>
      <c r="D108" s="585" t="s">
        <v>515</v>
      </c>
      <c r="E108" s="585">
        <v>1</v>
      </c>
      <c r="F108" s="586">
        <f>F109*E112*E113*E114</f>
        <v>2798.61</v>
      </c>
      <c r="G108" s="586">
        <f>E108*F108</f>
        <v>2798.61</v>
      </c>
    </row>
    <row r="109" spans="1:7" s="138" customFormat="1" ht="25.5" x14ac:dyDescent="0.25">
      <c r="A109" s="568"/>
      <c r="B109" s="569" t="s">
        <v>1250</v>
      </c>
      <c r="C109" s="645" t="s">
        <v>1248</v>
      </c>
      <c r="D109" s="565" t="s">
        <v>515</v>
      </c>
      <c r="E109" s="565">
        <v>1</v>
      </c>
      <c r="F109" s="571">
        <v>3180.24</v>
      </c>
      <c r="G109" s="571">
        <f>E109*F109</f>
        <v>3180.24</v>
      </c>
    </row>
    <row r="110" spans="1:7" s="138" customFormat="1" ht="38.25" x14ac:dyDescent="0.25">
      <c r="A110" s="573"/>
      <c r="B110" s="574" t="s">
        <v>128</v>
      </c>
      <c r="C110" s="565"/>
      <c r="D110" s="565"/>
      <c r="E110" s="565"/>
      <c r="F110" s="572"/>
      <c r="G110" s="590">
        <f>G109</f>
        <v>3180.24</v>
      </c>
    </row>
    <row r="111" spans="1:7" s="138" customFormat="1" ht="25.5" x14ac:dyDescent="0.25">
      <c r="A111" s="576"/>
      <c r="B111" s="577" t="s">
        <v>129</v>
      </c>
      <c r="C111" s="578"/>
      <c r="D111" s="578"/>
      <c r="E111" s="578"/>
      <c r="F111" s="578"/>
      <c r="G111" s="578"/>
    </row>
    <row r="112" spans="1:7" s="138" customFormat="1" ht="63" x14ac:dyDescent="0.25">
      <c r="A112" s="576"/>
      <c r="B112" s="579" t="s">
        <v>428</v>
      </c>
      <c r="C112" s="580" t="s">
        <v>517</v>
      </c>
      <c r="D112" s="581"/>
      <c r="E112" s="581">
        <v>0.88</v>
      </c>
      <c r="F112" s="581"/>
      <c r="G112" s="581"/>
    </row>
    <row r="113" spans="1:7" s="138" customFormat="1" ht="47.25" x14ac:dyDescent="0.25">
      <c r="A113" s="582"/>
      <c r="B113" s="583" t="s">
        <v>130</v>
      </c>
      <c r="C113" s="580" t="s">
        <v>518</v>
      </c>
      <c r="D113" s="591"/>
      <c r="E113" s="591">
        <v>1</v>
      </c>
      <c r="F113" s="584"/>
      <c r="G113" s="581"/>
    </row>
    <row r="114" spans="1:7" s="138" customFormat="1" ht="31.5" x14ac:dyDescent="0.25">
      <c r="A114" s="568"/>
      <c r="B114" s="592" t="s">
        <v>131</v>
      </c>
      <c r="C114" s="593" t="s">
        <v>214</v>
      </c>
      <c r="D114" s="594"/>
      <c r="E114" s="594">
        <v>1</v>
      </c>
      <c r="F114" s="595"/>
      <c r="G114" s="581"/>
    </row>
    <row r="115" spans="1:7" s="138" customFormat="1" ht="51" x14ac:dyDescent="0.25">
      <c r="A115" s="589" t="s">
        <v>1187</v>
      </c>
      <c r="B115" s="564" t="s">
        <v>1249</v>
      </c>
      <c r="C115" s="585" t="s">
        <v>513</v>
      </c>
      <c r="D115" s="585" t="s">
        <v>515</v>
      </c>
      <c r="E115" s="585">
        <v>1</v>
      </c>
      <c r="F115" s="586">
        <f>F116*E119*E120*E121</f>
        <v>2274.69</v>
      </c>
      <c r="G115" s="586">
        <f>E115*F115</f>
        <v>2274.69</v>
      </c>
    </row>
    <row r="116" spans="1:7" s="138" customFormat="1" ht="25.5" x14ac:dyDescent="0.25">
      <c r="A116" s="568"/>
      <c r="B116" s="569" t="s">
        <v>1252</v>
      </c>
      <c r="C116" s="645" t="s">
        <v>1253</v>
      </c>
      <c r="D116" s="565" t="s">
        <v>515</v>
      </c>
      <c r="E116" s="565">
        <v>1</v>
      </c>
      <c r="F116" s="571">
        <v>2584.87</v>
      </c>
      <c r="G116" s="571">
        <f>E116*F116</f>
        <v>2584.87</v>
      </c>
    </row>
    <row r="117" spans="1:7" s="138" customFormat="1" ht="38.25" x14ac:dyDescent="0.25">
      <c r="A117" s="573"/>
      <c r="B117" s="574" t="s">
        <v>128</v>
      </c>
      <c r="C117" s="565"/>
      <c r="D117" s="565"/>
      <c r="E117" s="565"/>
      <c r="F117" s="572"/>
      <c r="G117" s="590">
        <f>G116</f>
        <v>2584.87</v>
      </c>
    </row>
    <row r="118" spans="1:7" s="138" customFormat="1" ht="25.5" x14ac:dyDescent="0.25">
      <c r="A118" s="576"/>
      <c r="B118" s="577" t="s">
        <v>129</v>
      </c>
      <c r="C118" s="578"/>
      <c r="D118" s="578"/>
      <c r="E118" s="578"/>
      <c r="F118" s="578"/>
      <c r="G118" s="578"/>
    </row>
    <row r="119" spans="1:7" s="138" customFormat="1" ht="63" x14ac:dyDescent="0.25">
      <c r="A119" s="576"/>
      <c r="B119" s="579" t="s">
        <v>428</v>
      </c>
      <c r="C119" s="580" t="s">
        <v>517</v>
      </c>
      <c r="D119" s="581"/>
      <c r="E119" s="581">
        <v>0.88</v>
      </c>
      <c r="F119" s="581"/>
      <c r="G119" s="581"/>
    </row>
    <row r="120" spans="1:7" s="138" customFormat="1" ht="47.25" x14ac:dyDescent="0.25">
      <c r="A120" s="582"/>
      <c r="B120" s="583" t="s">
        <v>130</v>
      </c>
      <c r="C120" s="580" t="s">
        <v>518</v>
      </c>
      <c r="D120" s="591"/>
      <c r="E120" s="591">
        <v>1</v>
      </c>
      <c r="F120" s="584"/>
      <c r="G120" s="581"/>
    </row>
    <row r="121" spans="1:7" s="138" customFormat="1" ht="31.5" x14ac:dyDescent="0.25">
      <c r="A121" s="568"/>
      <c r="B121" s="592" t="s">
        <v>131</v>
      </c>
      <c r="C121" s="593" t="s">
        <v>214</v>
      </c>
      <c r="D121" s="594"/>
      <c r="E121" s="594">
        <v>1</v>
      </c>
      <c r="F121" s="595"/>
      <c r="G121" s="581"/>
    </row>
    <row r="122" spans="1:7" ht="15.75" x14ac:dyDescent="0.25">
      <c r="A122" s="596">
        <v>12</v>
      </c>
      <c r="B122" s="596" t="s">
        <v>331</v>
      </c>
      <c r="C122" s="597" t="s">
        <v>189</v>
      </c>
      <c r="D122" s="598" t="s">
        <v>193</v>
      </c>
      <c r="E122" s="598">
        <f>25*3</f>
        <v>75</v>
      </c>
      <c r="F122" s="599">
        <f>F123*E125*E126*E127</f>
        <v>13.92</v>
      </c>
      <c r="G122" s="599">
        <f>E122*F122</f>
        <v>1044</v>
      </c>
    </row>
    <row r="123" spans="1:7" ht="47.25" x14ac:dyDescent="0.25">
      <c r="A123" s="600"/>
      <c r="B123" s="601" t="s">
        <v>525</v>
      </c>
      <c r="C123" s="584" t="s">
        <v>526</v>
      </c>
      <c r="D123" s="581" t="s">
        <v>193</v>
      </c>
      <c r="E123" s="581">
        <v>75</v>
      </c>
      <c r="F123" s="602">
        <v>20.079999999999998</v>
      </c>
      <c r="G123" s="602"/>
    </row>
    <row r="124" spans="1:7" ht="25.5" x14ac:dyDescent="0.25">
      <c r="A124" s="576"/>
      <c r="B124" s="577" t="s">
        <v>129</v>
      </c>
      <c r="C124" s="603"/>
      <c r="D124" s="603"/>
      <c r="E124" s="603"/>
      <c r="F124" s="603"/>
      <c r="G124" s="603"/>
    </row>
    <row r="125" spans="1:7" ht="63" x14ac:dyDescent="0.25">
      <c r="A125" s="576"/>
      <c r="B125" s="579" t="s">
        <v>428</v>
      </c>
      <c r="C125" s="580" t="s">
        <v>484</v>
      </c>
      <c r="D125" s="581"/>
      <c r="E125" s="581">
        <v>0.68</v>
      </c>
      <c r="F125" s="581"/>
      <c r="G125" s="581"/>
    </row>
    <row r="126" spans="1:7" ht="47.25" x14ac:dyDescent="0.25">
      <c r="A126" s="604"/>
      <c r="B126" s="583" t="s">
        <v>130</v>
      </c>
      <c r="C126" s="580" t="s">
        <v>485</v>
      </c>
      <c r="D126" s="581"/>
      <c r="E126" s="581">
        <v>0.99</v>
      </c>
      <c r="F126" s="584"/>
      <c r="G126" s="581"/>
    </row>
    <row r="127" spans="1:7" ht="31.5" x14ac:dyDescent="0.25">
      <c r="A127" s="605"/>
      <c r="B127" s="583" t="s">
        <v>131</v>
      </c>
      <c r="C127" s="580" t="s">
        <v>486</v>
      </c>
      <c r="D127" s="591"/>
      <c r="E127" s="591">
        <v>1.03</v>
      </c>
      <c r="F127" s="584"/>
      <c r="G127" s="581"/>
    </row>
    <row r="128" spans="1:7" x14ac:dyDescent="0.25">
      <c r="A128" s="564" t="s">
        <v>198</v>
      </c>
      <c r="B128" s="564" t="s">
        <v>196</v>
      </c>
      <c r="C128" s="585" t="s">
        <v>199</v>
      </c>
      <c r="D128" s="585" t="s">
        <v>202</v>
      </c>
      <c r="E128" s="585">
        <v>1</v>
      </c>
      <c r="F128" s="567">
        <f>F129*E132*E133*E134</f>
        <v>347.94</v>
      </c>
      <c r="G128" s="586">
        <f>E128*F128</f>
        <v>347.94</v>
      </c>
    </row>
    <row r="129" spans="1:7" ht="114.75" x14ac:dyDescent="0.25">
      <c r="A129" s="568"/>
      <c r="B129" s="569" t="s">
        <v>200</v>
      </c>
      <c r="C129" s="578" t="s">
        <v>201</v>
      </c>
      <c r="D129" s="565" t="s">
        <v>202</v>
      </c>
      <c r="E129" s="565">
        <v>1</v>
      </c>
      <c r="F129" s="565">
        <v>468.6</v>
      </c>
      <c r="G129" s="572">
        <f>E129*F129</f>
        <v>468.6</v>
      </c>
    </row>
    <row r="130" spans="1:7" ht="38.25" x14ac:dyDescent="0.25">
      <c r="A130" s="573"/>
      <c r="B130" s="574" t="s">
        <v>128</v>
      </c>
      <c r="C130" s="565"/>
      <c r="D130" s="565"/>
      <c r="E130" s="565"/>
      <c r="F130" s="572"/>
      <c r="G130" s="575">
        <f>G129</f>
        <v>468.6</v>
      </c>
    </row>
    <row r="131" spans="1:7" ht="25.5" x14ac:dyDescent="0.25">
      <c r="A131" s="576"/>
      <c r="B131" s="577" t="s">
        <v>129</v>
      </c>
      <c r="C131" s="578"/>
      <c r="D131" s="578"/>
      <c r="E131" s="578"/>
      <c r="F131" s="578"/>
      <c r="G131" s="578"/>
    </row>
    <row r="132" spans="1:7" ht="63" x14ac:dyDescent="0.25">
      <c r="A132" s="576"/>
      <c r="B132" s="579" t="s">
        <v>428</v>
      </c>
      <c r="C132" s="580" t="s">
        <v>203</v>
      </c>
      <c r="D132" s="581"/>
      <c r="E132" s="581">
        <v>0.75</v>
      </c>
      <c r="F132" s="581"/>
      <c r="G132" s="581"/>
    </row>
    <row r="133" spans="1:7" ht="47.25" x14ac:dyDescent="0.25">
      <c r="A133" s="582"/>
      <c r="B133" s="583" t="s">
        <v>130</v>
      </c>
      <c r="C133" s="580" t="s">
        <v>204</v>
      </c>
      <c r="D133" s="591"/>
      <c r="E133" s="591">
        <v>0.99</v>
      </c>
      <c r="F133" s="584"/>
      <c r="G133" s="581"/>
    </row>
    <row r="134" spans="1:7" ht="31.5" x14ac:dyDescent="0.25">
      <c r="A134" s="568"/>
      <c r="B134" s="592" t="s">
        <v>131</v>
      </c>
      <c r="C134" s="593" t="s">
        <v>205</v>
      </c>
      <c r="D134" s="594"/>
      <c r="E134" s="594">
        <v>1</v>
      </c>
      <c r="F134" s="595"/>
      <c r="G134" s="581"/>
    </row>
    <row r="136" spans="1:7" ht="89.25" x14ac:dyDescent="0.25">
      <c r="A136" s="739"/>
      <c r="B136" s="658" t="s">
        <v>1300</v>
      </c>
      <c r="C136" s="659" t="s">
        <v>1303</v>
      </c>
      <c r="D136" s="660" t="s">
        <v>1302</v>
      </c>
      <c r="E136" s="660">
        <v>1</v>
      </c>
      <c r="F136" s="661">
        <f>F137*(E139+E140-1)*E141*E142</f>
        <v>613.23</v>
      </c>
      <c r="G136" s="586">
        <f>E136*F136</f>
        <v>613.23</v>
      </c>
    </row>
    <row r="137" spans="1:7" ht="45" x14ac:dyDescent="0.25">
      <c r="A137" s="568"/>
      <c r="B137" s="569" t="s">
        <v>1301</v>
      </c>
      <c r="C137" s="645" t="s">
        <v>1304</v>
      </c>
      <c r="D137" s="769" t="s">
        <v>1302</v>
      </c>
      <c r="E137" s="565">
        <v>1</v>
      </c>
      <c r="F137" s="571">
        <v>690.09</v>
      </c>
      <c r="G137" s="572">
        <f>E137*F137</f>
        <v>690.09</v>
      </c>
    </row>
    <row r="138" spans="1:7" ht="25.5" x14ac:dyDescent="0.25">
      <c r="A138" s="576"/>
      <c r="B138" s="577" t="s">
        <v>129</v>
      </c>
      <c r="C138" s="578"/>
      <c r="D138" s="578"/>
      <c r="E138" s="578"/>
      <c r="F138" s="578"/>
      <c r="G138" s="578"/>
    </row>
    <row r="139" spans="1:7" ht="98.25" customHeight="1" x14ac:dyDescent="0.25">
      <c r="A139" s="576"/>
      <c r="B139" s="579" t="s">
        <v>1306</v>
      </c>
      <c r="C139" s="580" t="s">
        <v>1305</v>
      </c>
      <c r="D139" s="578"/>
      <c r="E139" s="581">
        <v>1.01</v>
      </c>
      <c r="F139" s="578"/>
      <c r="G139" s="578"/>
    </row>
    <row r="140" spans="1:7" ht="114" customHeight="1" x14ac:dyDescent="0.25">
      <c r="A140" s="576"/>
      <c r="B140" s="579" t="s">
        <v>1307</v>
      </c>
      <c r="C140" s="580" t="s">
        <v>1310</v>
      </c>
      <c r="D140" s="578"/>
      <c r="E140" s="581">
        <v>1.01</v>
      </c>
      <c r="F140" s="578"/>
      <c r="G140" s="578"/>
    </row>
    <row r="141" spans="1:7" ht="63" x14ac:dyDescent="0.25">
      <c r="A141" s="576"/>
      <c r="B141" s="756" t="s">
        <v>428</v>
      </c>
      <c r="C141" s="653" t="s">
        <v>1308</v>
      </c>
      <c r="D141" s="753"/>
      <c r="E141" s="757">
        <v>0.88</v>
      </c>
      <c r="F141" s="753"/>
      <c r="G141" s="581"/>
    </row>
    <row r="142" spans="1:7" s="770" customFormat="1" ht="48" thickBot="1" x14ac:dyDescent="0.3">
      <c r="A142" s="771"/>
      <c r="B142" s="759" t="s">
        <v>130</v>
      </c>
      <c r="C142" s="760" t="s">
        <v>1309</v>
      </c>
      <c r="D142" s="760"/>
      <c r="E142" s="760">
        <v>0.99</v>
      </c>
      <c r="F142" s="760"/>
      <c r="G142" s="757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topLeftCell="A16" workbookViewId="0">
      <selection activeCell="C36" sqref="C36"/>
    </sheetView>
  </sheetViews>
  <sheetFormatPr defaultRowHeight="15.75" x14ac:dyDescent="0.25"/>
  <cols>
    <col min="1" max="3" width="40.7109375" style="9" customWidth="1"/>
    <col min="4" max="16384" width="9.140625" style="9"/>
  </cols>
  <sheetData>
    <row r="1" spans="1:3" x14ac:dyDescent="0.25">
      <c r="A1" s="1044" t="s">
        <v>12</v>
      </c>
      <c r="B1" s="1044"/>
      <c r="C1" s="1044"/>
    </row>
    <row r="2" spans="1:3" x14ac:dyDescent="0.25">
      <c r="A2" s="1044" t="s">
        <v>13</v>
      </c>
      <c r="B2" s="1044"/>
      <c r="C2" s="1044"/>
    </row>
    <row r="3" spans="1:3" ht="30" customHeight="1" x14ac:dyDescent="0.25">
      <c r="A3" s="1045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B3" s="1046"/>
      <c r="C3" s="1046"/>
    </row>
    <row r="4" spans="1:3" ht="171.75" customHeight="1" x14ac:dyDescent="0.25">
      <c r="A4" s="1047" t="s">
        <v>2159</v>
      </c>
      <c r="B4" s="1047"/>
      <c r="C4" s="1047"/>
    </row>
    <row r="5" spans="1:3" x14ac:dyDescent="0.25">
      <c r="A5" s="1042" t="s">
        <v>14</v>
      </c>
      <c r="B5" s="1042"/>
      <c r="C5" s="1042"/>
    </row>
    <row r="6" spans="1:3" ht="86.25" customHeight="1" x14ac:dyDescent="0.25">
      <c r="A6" s="1034" t="s">
        <v>96</v>
      </c>
      <c r="B6" s="1034"/>
      <c r="C6" s="1034"/>
    </row>
    <row r="7" spans="1:3" ht="31.5" customHeight="1" x14ac:dyDescent="0.25">
      <c r="A7" s="1035" t="s">
        <v>15</v>
      </c>
      <c r="B7" s="1035"/>
      <c r="C7" s="1035"/>
    </row>
    <row r="8" spans="1:3" ht="28.5" customHeight="1" x14ac:dyDescent="0.25">
      <c r="A8" s="1036" t="s">
        <v>1876</v>
      </c>
      <c r="B8" s="1037"/>
      <c r="C8" s="1037"/>
    </row>
    <row r="9" spans="1:3" ht="51.75" customHeight="1" x14ac:dyDescent="0.25">
      <c r="A9" s="1038" t="s">
        <v>1877</v>
      </c>
      <c r="B9" s="1038"/>
      <c r="C9" s="1038"/>
    </row>
    <row r="10" spans="1:3" ht="60.75" customHeight="1" x14ac:dyDescent="0.25">
      <c r="A10" s="1043" t="s">
        <v>2203</v>
      </c>
      <c r="B10" s="1043"/>
      <c r="C10" s="1043"/>
    </row>
    <row r="11" spans="1:3" ht="37.9" customHeight="1" x14ac:dyDescent="0.25">
      <c r="A11" s="1039" t="s">
        <v>311</v>
      </c>
      <c r="B11" s="1039"/>
      <c r="C11" s="1039"/>
    </row>
    <row r="12" spans="1:3" ht="20.25" customHeight="1" x14ac:dyDescent="0.25">
      <c r="A12" s="1040" t="s">
        <v>16</v>
      </c>
      <c r="B12" s="1040"/>
      <c r="C12" s="1040"/>
    </row>
    <row r="13" spans="1:3" ht="82.5" customHeight="1" x14ac:dyDescent="0.25">
      <c r="A13" s="1041" t="s">
        <v>97</v>
      </c>
      <c r="B13" s="1041"/>
      <c r="C13" s="1041"/>
    </row>
    <row r="14" spans="1:3" ht="30" customHeight="1" x14ac:dyDescent="0.25">
      <c r="A14" s="1031" t="s">
        <v>133</v>
      </c>
      <c r="B14" s="1031"/>
      <c r="C14" s="1031"/>
    </row>
    <row r="15" spans="1:3" ht="30" customHeight="1" x14ac:dyDescent="0.25">
      <c r="A15" s="1036" t="s">
        <v>1876</v>
      </c>
      <c r="B15" s="1037"/>
      <c r="C15" s="1037"/>
    </row>
    <row r="16" spans="1:3" ht="59.45" customHeight="1" x14ac:dyDescent="0.25">
      <c r="A16" s="1038" t="s">
        <v>1878</v>
      </c>
      <c r="B16" s="1038"/>
      <c r="C16" s="1038"/>
    </row>
    <row r="17" spans="1:3" ht="38.450000000000003" customHeight="1" x14ac:dyDescent="0.25">
      <c r="A17" s="1039" t="s">
        <v>311</v>
      </c>
      <c r="B17" s="1039"/>
      <c r="C17" s="1039"/>
    </row>
    <row r="18" spans="1:3" ht="21.6" customHeight="1" x14ac:dyDescent="0.25">
      <c r="A18" s="132" t="s">
        <v>98</v>
      </c>
      <c r="B18" s="68"/>
      <c r="C18" s="68"/>
    </row>
    <row r="19" spans="1:3" ht="15" customHeight="1" x14ac:dyDescent="0.25">
      <c r="A19" s="69" t="s">
        <v>63</v>
      </c>
      <c r="B19" s="70"/>
      <c r="C19" s="70"/>
    </row>
    <row r="20" spans="1:3" x14ac:dyDescent="0.25">
      <c r="A20" s="70"/>
      <c r="B20" s="70"/>
      <c r="C20" s="70"/>
    </row>
    <row r="21" spans="1:3" x14ac:dyDescent="0.25">
      <c r="A21" s="71" t="s">
        <v>64</v>
      </c>
      <c r="B21" s="72"/>
      <c r="C21" s="71"/>
    </row>
    <row r="22" spans="1:3" x14ac:dyDescent="0.25">
      <c r="A22" s="1032"/>
      <c r="B22" s="1033"/>
      <c r="C22" s="1033"/>
    </row>
    <row r="23" spans="1:3" x14ac:dyDescent="0.25">
      <c r="A23" s="71"/>
      <c r="B23" s="72">
        <f>НМЦ!E14</f>
        <v>64815692.399999999</v>
      </c>
      <c r="C23" s="71" t="s">
        <v>17</v>
      </c>
    </row>
    <row r="25" spans="1:3" ht="36.75" customHeight="1" x14ac:dyDescent="0.25">
      <c r="A25" s="1031" t="s">
        <v>1879</v>
      </c>
      <c r="B25" s="1031"/>
      <c r="C25" s="133" t="s">
        <v>312</v>
      </c>
    </row>
  </sheetData>
  <mergeCells count="19">
    <mergeCell ref="A5:C5"/>
    <mergeCell ref="A10:C10"/>
    <mergeCell ref="A1:C1"/>
    <mergeCell ref="A2:C2"/>
    <mergeCell ref="A3:C3"/>
    <mergeCell ref="A4:C4"/>
    <mergeCell ref="A25:B25"/>
    <mergeCell ref="A14:C14"/>
    <mergeCell ref="A22:C22"/>
    <mergeCell ref="A6:C6"/>
    <mergeCell ref="A7:C7"/>
    <mergeCell ref="A8:C8"/>
    <mergeCell ref="A9:C9"/>
    <mergeCell ref="A15:C15"/>
    <mergeCell ref="A16:C16"/>
    <mergeCell ref="A17:C17"/>
    <mergeCell ref="A12:C12"/>
    <mergeCell ref="A13:C13"/>
    <mergeCell ref="A11:C1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8" workbookViewId="0">
      <selection activeCell="N32" sqref="A1:O32"/>
    </sheetView>
  </sheetViews>
  <sheetFormatPr defaultRowHeight="15" x14ac:dyDescent="0.25"/>
  <cols>
    <col min="7" max="7" width="17.5703125" customWidth="1"/>
  </cols>
  <sheetData>
    <row r="1" spans="1:15" ht="15.75" x14ac:dyDescent="0.25">
      <c r="A1" s="1049" t="s">
        <v>100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7"/>
    </row>
    <row r="2" spans="1:15" ht="15.75" x14ac:dyDescent="0.25">
      <c r="A2" s="1049" t="s">
        <v>101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7"/>
    </row>
    <row r="3" spans="1:15" ht="15.7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</row>
    <row r="4" spans="1:15" ht="34.5" customHeight="1" x14ac:dyDescent="0.25">
      <c r="A4" s="67" t="s">
        <v>122</v>
      </c>
      <c r="B4" s="55"/>
      <c r="C4" s="1052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</row>
    <row r="5" spans="1:15" ht="15.7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7"/>
    </row>
    <row r="6" spans="1:15" ht="15.75" x14ac:dyDescent="0.25">
      <c r="A6" s="1050" t="s">
        <v>102</v>
      </c>
      <c r="B6" s="1050"/>
      <c r="C6" s="1050"/>
      <c r="D6" s="1050"/>
      <c r="E6" s="1050"/>
      <c r="F6" s="1050"/>
      <c r="G6" s="61">
        <f>НМЦ!E14</f>
        <v>64815692.399999999</v>
      </c>
      <c r="H6" s="60"/>
      <c r="I6" s="60"/>
      <c r="J6" s="60"/>
      <c r="K6" s="60"/>
      <c r="L6" s="60"/>
      <c r="M6" s="60"/>
      <c r="N6" s="60"/>
      <c r="O6" s="7"/>
    </row>
    <row r="7" spans="1:15" ht="15.75" x14ac:dyDescent="0.25">
      <c r="A7" s="1051" t="s">
        <v>2212</v>
      </c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7"/>
    </row>
    <row r="8" spans="1:15" ht="15.75" x14ac:dyDescent="0.25">
      <c r="A8" s="55" t="s">
        <v>103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"/>
    </row>
    <row r="9" spans="1:15" ht="15.75" x14ac:dyDescent="0.25">
      <c r="A9" s="62" t="s">
        <v>206</v>
      </c>
      <c r="B9" s="62"/>
      <c r="C9" s="62"/>
      <c r="D9" s="62"/>
      <c r="E9" s="62"/>
      <c r="F9" s="55"/>
      <c r="G9" s="55"/>
      <c r="H9" s="55"/>
      <c r="I9" s="55"/>
      <c r="J9" s="55"/>
      <c r="K9" s="55"/>
      <c r="L9" s="55"/>
      <c r="M9" s="55"/>
      <c r="N9" s="55"/>
      <c r="O9" s="7"/>
    </row>
    <row r="10" spans="1:15" ht="15.75" x14ac:dyDescent="0.25">
      <c r="A10" s="63"/>
      <c r="B10" s="64" t="s">
        <v>113</v>
      </c>
      <c r="C10" s="62"/>
      <c r="D10" s="62"/>
      <c r="E10" s="62"/>
      <c r="F10" s="55"/>
      <c r="G10" s="55"/>
      <c r="H10" s="55"/>
      <c r="I10" s="55"/>
      <c r="J10" s="55"/>
      <c r="K10" s="55"/>
      <c r="L10" s="55"/>
      <c r="M10" s="55"/>
      <c r="N10" s="55"/>
      <c r="O10" s="7"/>
    </row>
    <row r="11" spans="1:15" ht="15.75" x14ac:dyDescent="0.25">
      <c r="A11" s="63"/>
      <c r="B11" s="64" t="s">
        <v>115</v>
      </c>
      <c r="C11" s="62"/>
      <c r="D11" s="62"/>
      <c r="E11" s="62"/>
      <c r="F11" s="55"/>
      <c r="G11" s="55"/>
      <c r="H11" s="55"/>
      <c r="I11" s="55"/>
      <c r="J11" s="55"/>
      <c r="K11" s="55"/>
      <c r="L11" s="55"/>
      <c r="M11" s="55"/>
      <c r="N11" s="55"/>
      <c r="O11" s="7"/>
    </row>
    <row r="12" spans="1:15" ht="15.75" x14ac:dyDescent="0.25">
      <c r="A12" s="63"/>
      <c r="B12" s="64" t="s">
        <v>338</v>
      </c>
      <c r="C12" s="62"/>
      <c r="D12" s="62"/>
      <c r="E12" s="62"/>
      <c r="F12" s="55"/>
      <c r="G12" s="55"/>
      <c r="H12" s="55"/>
      <c r="I12" s="55"/>
      <c r="J12" s="55"/>
      <c r="K12" s="55"/>
      <c r="L12" s="55"/>
      <c r="M12" s="55"/>
      <c r="N12" s="55"/>
      <c r="O12" s="7"/>
    </row>
    <row r="13" spans="1:15" ht="15.75" x14ac:dyDescent="0.25">
      <c r="A13" s="63"/>
      <c r="B13" s="64" t="s">
        <v>118</v>
      </c>
      <c r="C13" s="62"/>
      <c r="D13" s="62"/>
      <c r="E13" s="62"/>
      <c r="F13" s="55"/>
      <c r="G13" s="55"/>
      <c r="H13" s="55"/>
      <c r="I13" s="55"/>
      <c r="J13" s="55"/>
      <c r="K13" s="55"/>
      <c r="L13" s="55"/>
      <c r="M13" s="55"/>
      <c r="N13" s="55"/>
      <c r="O13" s="7"/>
    </row>
    <row r="14" spans="1:15" ht="15.75" x14ac:dyDescent="0.25">
      <c r="A14" s="63"/>
      <c r="B14" s="64" t="s">
        <v>190</v>
      </c>
      <c r="C14" s="62"/>
      <c r="D14" s="62"/>
      <c r="E14" s="62"/>
      <c r="F14" s="55"/>
      <c r="G14" s="55"/>
      <c r="H14" s="55"/>
      <c r="I14" s="55"/>
      <c r="J14" s="55"/>
      <c r="K14" s="55"/>
      <c r="L14" s="55"/>
      <c r="M14" s="55"/>
      <c r="N14" s="55"/>
      <c r="O14" s="7"/>
    </row>
    <row r="15" spans="1:15" ht="15.75" x14ac:dyDescent="0.25">
      <c r="A15" s="63"/>
      <c r="B15" s="64" t="s">
        <v>191</v>
      </c>
      <c r="C15" s="62"/>
      <c r="D15" s="62"/>
      <c r="E15" s="62"/>
      <c r="F15" s="55"/>
      <c r="G15" s="55"/>
      <c r="H15" s="55"/>
      <c r="I15" s="55"/>
      <c r="J15" s="55"/>
      <c r="K15" s="55"/>
      <c r="L15" s="55"/>
      <c r="M15" s="55"/>
      <c r="N15" s="55"/>
      <c r="O15" s="7"/>
    </row>
    <row r="16" spans="1:15" ht="15.75" x14ac:dyDescent="0.25">
      <c r="A16" s="62"/>
      <c r="B16" s="241" t="s">
        <v>281</v>
      </c>
      <c r="C16" s="242"/>
      <c r="D16" s="242"/>
      <c r="E16" s="242"/>
      <c r="F16" s="55"/>
      <c r="G16" s="55"/>
      <c r="H16" s="55"/>
      <c r="I16" s="55"/>
      <c r="J16" s="55"/>
      <c r="K16" s="55"/>
      <c r="L16" s="55"/>
      <c r="M16" s="55"/>
      <c r="N16" s="55"/>
      <c r="O16" s="7"/>
    </row>
    <row r="17" spans="1:15" ht="15.75" x14ac:dyDescent="0.25">
      <c r="A17" s="62"/>
      <c r="B17" s="241" t="s">
        <v>585</v>
      </c>
      <c r="C17" s="242"/>
      <c r="D17" s="242"/>
      <c r="E17" s="242"/>
      <c r="F17" s="243"/>
      <c r="G17" s="243"/>
      <c r="H17" s="55"/>
      <c r="I17" s="55"/>
      <c r="J17" s="55"/>
      <c r="K17" s="55"/>
      <c r="L17" s="55"/>
      <c r="M17" s="55"/>
      <c r="N17" s="55"/>
      <c r="O17" s="7"/>
    </row>
    <row r="18" spans="1:15" ht="15.75" x14ac:dyDescent="0.25">
      <c r="A18" s="62" t="s">
        <v>207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7"/>
    </row>
    <row r="19" spans="1:15" ht="15.75" x14ac:dyDescent="0.25">
      <c r="A19" s="62" t="s">
        <v>1037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7"/>
    </row>
    <row r="20" spans="1:15" ht="15.75" x14ac:dyDescent="0.25">
      <c r="A20" s="62" t="s">
        <v>208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7"/>
    </row>
    <row r="21" spans="1:15" ht="15.75" x14ac:dyDescent="0.25">
      <c r="A21" s="62" t="s">
        <v>104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55"/>
      <c r="M21" s="55"/>
      <c r="N21" s="55"/>
      <c r="O21" s="7"/>
    </row>
    <row r="22" spans="1:15" ht="31.5" customHeight="1" x14ac:dyDescent="0.25">
      <c r="A22" s="1053" t="s">
        <v>209</v>
      </c>
      <c r="B22" s="1053"/>
      <c r="C22" s="1053"/>
      <c r="D22" s="1053"/>
      <c r="E22" s="1053"/>
      <c r="F22" s="1053"/>
      <c r="G22" s="1053"/>
      <c r="H22" s="1053"/>
      <c r="I22" s="1053"/>
      <c r="J22" s="1053"/>
      <c r="K22" s="1053"/>
      <c r="L22" s="1053"/>
      <c r="M22" s="1053"/>
      <c r="N22" s="1053"/>
      <c r="O22" s="7"/>
    </row>
    <row r="23" spans="1:15" ht="29.25" customHeight="1" x14ac:dyDescent="0.25">
      <c r="A23" s="1054" t="s">
        <v>210</v>
      </c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7"/>
    </row>
    <row r="24" spans="1:15" ht="15.6" customHeight="1" x14ac:dyDescent="0.25">
      <c r="A24" s="65" t="s">
        <v>310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55"/>
      <c r="M24" s="55"/>
      <c r="N24" s="55"/>
      <c r="O24" s="7"/>
    </row>
    <row r="25" spans="1:15" ht="15.75" x14ac:dyDescent="0.25">
      <c r="A25" s="62" t="s">
        <v>105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55"/>
      <c r="M25" s="55"/>
      <c r="N25" s="55"/>
      <c r="O25" s="7"/>
    </row>
    <row r="26" spans="1:15" ht="15.7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55"/>
      <c r="M26" s="55"/>
      <c r="N26" s="55"/>
      <c r="O26" s="7"/>
    </row>
    <row r="27" spans="1:15" ht="15.75" x14ac:dyDescent="0.25">
      <c r="A27" s="62" t="s">
        <v>106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55"/>
      <c r="M27" s="55"/>
      <c r="N27" s="55"/>
      <c r="O27" s="7"/>
    </row>
    <row r="28" spans="1:15" ht="15.75" x14ac:dyDescent="0.25">
      <c r="A28" s="62" t="s">
        <v>107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55"/>
      <c r="M28" s="55"/>
      <c r="N28" s="55"/>
      <c r="O28" s="7"/>
    </row>
    <row r="29" spans="1:15" ht="15.75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55"/>
      <c r="M29" s="55"/>
      <c r="N29" s="55"/>
      <c r="O29" s="7"/>
    </row>
    <row r="30" spans="1:15" ht="15.75" x14ac:dyDescent="0.25">
      <c r="A30" s="55" t="s">
        <v>108</v>
      </c>
      <c r="B30" s="55"/>
      <c r="C30" s="55"/>
      <c r="D30" s="55"/>
      <c r="E30" s="55"/>
      <c r="F30" s="55"/>
      <c r="G30" s="62"/>
      <c r="H30" s="62"/>
      <c r="I30" s="62"/>
      <c r="J30" s="1048"/>
      <c r="K30" s="1048"/>
      <c r="L30" s="1048"/>
      <c r="M30" s="1048"/>
      <c r="N30" s="1048"/>
      <c r="O30" s="7"/>
    </row>
    <row r="31" spans="1:15" ht="15.75" x14ac:dyDescent="0.25">
      <c r="A31" s="55"/>
      <c r="B31" s="55"/>
      <c r="C31" s="55"/>
      <c r="D31" s="55"/>
      <c r="E31" s="55"/>
      <c r="F31" s="55"/>
      <c r="G31" s="62"/>
      <c r="H31" s="62"/>
      <c r="I31" s="62"/>
      <c r="J31" s="66" t="s">
        <v>109</v>
      </c>
      <c r="K31" s="66"/>
      <c r="L31" s="66"/>
      <c r="M31" s="55"/>
      <c r="N31" s="55"/>
      <c r="O31" s="7"/>
    </row>
  </sheetData>
  <mergeCells count="8">
    <mergeCell ref="J30:N30"/>
    <mergeCell ref="A1:N1"/>
    <mergeCell ref="A2:N2"/>
    <mergeCell ref="A6:F6"/>
    <mergeCell ref="A7:N7"/>
    <mergeCell ref="C4:O4"/>
    <mergeCell ref="A22:N22"/>
    <mergeCell ref="A23:N2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60" zoomScaleNormal="100" workbookViewId="0">
      <selection activeCell="E17" sqref="A1:E17"/>
    </sheetView>
  </sheetViews>
  <sheetFormatPr defaultRowHeight="15" x14ac:dyDescent="0.25"/>
  <cols>
    <col min="1" max="1" width="5.7109375" customWidth="1"/>
    <col min="2" max="2" width="47.85546875" customWidth="1"/>
    <col min="3" max="3" width="16" customWidth="1"/>
    <col min="4" max="4" width="14.7109375" customWidth="1"/>
    <col min="5" max="5" width="18.7109375" customWidth="1"/>
    <col min="10" max="10" width="15.85546875" customWidth="1"/>
    <col min="14" max="14" width="12" customWidth="1"/>
  </cols>
  <sheetData>
    <row r="1" spans="1:14" ht="15.75" x14ac:dyDescent="0.25">
      <c r="A1" s="1058" t="s">
        <v>5</v>
      </c>
      <c r="B1" s="1058"/>
      <c r="C1" s="1058"/>
      <c r="D1" s="1058"/>
      <c r="E1" s="1058"/>
    </row>
    <row r="2" spans="1:14" ht="48.75" customHeight="1" x14ac:dyDescent="0.25">
      <c r="A2" s="1045" t="s">
        <v>423</v>
      </c>
      <c r="B2" s="1046"/>
      <c r="C2" s="1046"/>
      <c r="D2" s="1046"/>
      <c r="E2" s="1046"/>
    </row>
    <row r="3" spans="1:14" ht="32.25" customHeight="1" x14ac:dyDescent="0.25">
      <c r="A3" s="58"/>
      <c r="B3" s="59"/>
      <c r="C3" s="59"/>
      <c r="D3" s="59"/>
      <c r="E3" s="59"/>
    </row>
    <row r="4" spans="1:14" ht="15.75" x14ac:dyDescent="0.25">
      <c r="A4" s="1" t="s">
        <v>61</v>
      </c>
      <c r="B4" s="1"/>
      <c r="C4" s="999">
        <f>(C6-C5)/30.5</f>
        <v>12</v>
      </c>
      <c r="D4" s="71" t="s">
        <v>335</v>
      </c>
      <c r="E4" s="9"/>
    </row>
    <row r="5" spans="1:14" ht="15.75" x14ac:dyDescent="0.25">
      <c r="A5" s="1" t="s">
        <v>3</v>
      </c>
      <c r="B5" s="1"/>
      <c r="C5" s="563">
        <v>44621</v>
      </c>
      <c r="D5" s="9"/>
      <c r="E5" s="9"/>
    </row>
    <row r="6" spans="1:14" ht="15.75" x14ac:dyDescent="0.25">
      <c r="A6" s="1" t="s">
        <v>4</v>
      </c>
      <c r="B6" s="1"/>
      <c r="C6" s="563">
        <v>44985</v>
      </c>
      <c r="D6" s="9"/>
      <c r="E6" s="9"/>
    </row>
    <row r="7" spans="1:14" ht="15.75" x14ac:dyDescent="0.25">
      <c r="A7" s="1"/>
      <c r="B7" s="9"/>
      <c r="C7" s="9"/>
      <c r="D7" s="9"/>
      <c r="E7" s="9"/>
    </row>
    <row r="8" spans="1:14" ht="15.75" x14ac:dyDescent="0.25">
      <c r="A8" s="1055" t="s">
        <v>6</v>
      </c>
      <c r="B8" s="1056" t="s">
        <v>7</v>
      </c>
      <c r="C8" s="1055" t="s">
        <v>10</v>
      </c>
      <c r="D8" s="1055"/>
      <c r="E8" s="1055"/>
    </row>
    <row r="9" spans="1:14" ht="24.75" customHeight="1" x14ac:dyDescent="0.25">
      <c r="A9" s="1055"/>
      <c r="B9" s="1057"/>
      <c r="C9" s="44" t="s">
        <v>11</v>
      </c>
      <c r="D9" s="44" t="s">
        <v>62</v>
      </c>
      <c r="E9" s="44" t="s">
        <v>8</v>
      </c>
      <c r="N9" s="5"/>
    </row>
    <row r="10" spans="1:14" ht="15.75" x14ac:dyDescent="0.25">
      <c r="A10" s="44">
        <v>1</v>
      </c>
      <c r="B10" s="44">
        <v>2</v>
      </c>
      <c r="C10" s="44">
        <v>3</v>
      </c>
      <c r="D10" s="45">
        <v>4</v>
      </c>
      <c r="E10" s="46">
        <v>5</v>
      </c>
    </row>
    <row r="11" spans="1:14" ht="28.5" customHeight="1" x14ac:dyDescent="0.25">
      <c r="A11" s="47">
        <v>1</v>
      </c>
      <c r="B11" s="48" t="s">
        <v>30</v>
      </c>
      <c r="C11" s="49">
        <f>НМЦК!G12+НМЦК!G13</f>
        <v>29627267</v>
      </c>
      <c r="D11" s="37">
        <f>C11*0.2</f>
        <v>5925453.4000000004</v>
      </c>
      <c r="E11" s="37">
        <f>C11+D11</f>
        <v>35552720.399999999</v>
      </c>
    </row>
    <row r="12" spans="1:14" ht="33" customHeight="1" x14ac:dyDescent="0.25">
      <c r="A12" s="47">
        <v>2</v>
      </c>
      <c r="B12" s="48" t="s">
        <v>22</v>
      </c>
      <c r="C12" s="49">
        <f>НМЦК!G14*1.02-1</f>
        <v>24179909</v>
      </c>
      <c r="D12" s="37">
        <f>C12*0.2</f>
        <v>4835981.8</v>
      </c>
      <c r="E12" s="37">
        <f>C12+D12</f>
        <v>29015890.800000001</v>
      </c>
      <c r="H12" s="3"/>
      <c r="J12" s="4"/>
    </row>
    <row r="13" spans="1:14" ht="33" customHeight="1" x14ac:dyDescent="0.25">
      <c r="A13" s="47">
        <v>3</v>
      </c>
      <c r="B13" s="48" t="s">
        <v>1036</v>
      </c>
      <c r="C13" s="49">
        <f>НМЦК!G16</f>
        <v>205901</v>
      </c>
      <c r="D13" s="37">
        <f>C13*0.2</f>
        <v>41180.199999999997</v>
      </c>
      <c r="E13" s="37">
        <f>C13+D13</f>
        <v>247081.2</v>
      </c>
      <c r="H13" s="3"/>
      <c r="J13" s="4"/>
    </row>
    <row r="14" spans="1:14" ht="15.75" x14ac:dyDescent="0.25">
      <c r="A14" s="50"/>
      <c r="B14" s="50" t="s">
        <v>1</v>
      </c>
      <c r="C14" s="51">
        <f>C11+C12+C13</f>
        <v>54013077</v>
      </c>
      <c r="D14" s="52">
        <f>D11+D12+D13</f>
        <v>10802615.4</v>
      </c>
      <c r="E14" s="52">
        <f>E11+E12+E13</f>
        <v>64815692.399999999</v>
      </c>
      <c r="F14" s="2"/>
      <c r="G14" s="2"/>
      <c r="H14" s="638">
        <f>E14/('Расчет КВЛ'!M113*1000)</f>
        <v>4.7699999999999999E-2</v>
      </c>
      <c r="J14" s="2">
        <f>E14-НМЦК!G19</f>
        <v>0</v>
      </c>
    </row>
    <row r="15" spans="1:14" ht="32.25" customHeight="1" x14ac:dyDescent="0.25">
      <c r="A15" s="23"/>
      <c r="B15" s="53" t="s">
        <v>9</v>
      </c>
      <c r="C15" s="54">
        <f>НМЦК!G17-НМЦК!D17</f>
        <v>1211397</v>
      </c>
      <c r="D15" s="37">
        <f>C15*0.2</f>
        <v>242279.4</v>
      </c>
      <c r="E15" s="37">
        <f>C15+D15</f>
        <v>1453676.4</v>
      </c>
    </row>
    <row r="16" spans="1:14" ht="15.75" x14ac:dyDescent="0.25">
      <c r="A16" s="9"/>
      <c r="B16" s="9"/>
      <c r="C16" s="9"/>
      <c r="D16" s="9"/>
      <c r="E16" s="9"/>
    </row>
    <row r="17" spans="1:5" ht="15.75" x14ac:dyDescent="0.25">
      <c r="A17" s="55"/>
      <c r="B17" s="55" t="s">
        <v>99</v>
      </c>
      <c r="C17" s="56">
        <f>НМЦК!G15+НМЦК!G13</f>
        <v>2867187</v>
      </c>
      <c r="D17" s="57">
        <f>C17*0.2</f>
        <v>573437.4</v>
      </c>
      <c r="E17" s="57">
        <f>C17+D17</f>
        <v>3440624.4</v>
      </c>
    </row>
  </sheetData>
  <mergeCells count="5">
    <mergeCell ref="A8:A9"/>
    <mergeCell ref="B8:B9"/>
    <mergeCell ref="C8:E8"/>
    <mergeCell ref="A1:E1"/>
    <mergeCell ref="A2:E2"/>
  </mergeCells>
  <pageMargins left="0.7" right="0.7" top="0.75" bottom="0.75" header="0.3" footer="0.3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7" zoomScale="60" zoomScaleNormal="85" workbookViewId="0">
      <selection activeCell="G42" sqref="A1:G42"/>
    </sheetView>
  </sheetViews>
  <sheetFormatPr defaultRowHeight="15.75" x14ac:dyDescent="0.25"/>
  <cols>
    <col min="1" max="1" width="40.42578125" style="9" customWidth="1"/>
    <col min="2" max="2" width="25.140625" style="9" customWidth="1"/>
    <col min="3" max="3" width="18.28515625" style="9" customWidth="1"/>
    <col min="4" max="4" width="22" style="9" customWidth="1"/>
    <col min="5" max="5" width="15.28515625" style="9" customWidth="1"/>
    <col min="6" max="6" width="18.85546875" style="9" customWidth="1"/>
    <col min="7" max="7" width="26.7109375" style="9" customWidth="1"/>
    <col min="8" max="8" width="10.28515625" style="9" bestFit="1" customWidth="1"/>
    <col min="9" max="9" width="24.28515625" style="9" customWidth="1"/>
    <col min="10" max="16384" width="9.140625" style="9"/>
  </cols>
  <sheetData>
    <row r="1" spans="1:9" ht="45.75" customHeight="1" x14ac:dyDescent="0.25">
      <c r="A1" s="1066" t="s">
        <v>79</v>
      </c>
      <c r="B1" s="1066"/>
      <c r="C1" s="1066"/>
      <c r="D1" s="1066"/>
      <c r="E1" s="1066"/>
      <c r="F1" s="1066"/>
      <c r="G1" s="1066"/>
    </row>
    <row r="2" spans="1:9" ht="57" customHeight="1" x14ac:dyDescent="0.25">
      <c r="A2" s="26" t="s">
        <v>80</v>
      </c>
      <c r="B2" s="1067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C2" s="1068"/>
      <c r="D2" s="1068"/>
      <c r="E2" s="1068"/>
      <c r="F2" s="1068"/>
      <c r="G2" s="1068"/>
    </row>
    <row r="3" spans="1:9" ht="27" customHeight="1" x14ac:dyDescent="0.25">
      <c r="A3" s="26" t="s">
        <v>81</v>
      </c>
      <c r="B3" s="1034" t="s">
        <v>424</v>
      </c>
      <c r="C3" s="1034"/>
      <c r="D3" s="1034"/>
      <c r="E3" s="1034"/>
      <c r="F3" s="1034"/>
      <c r="G3" s="1034"/>
    </row>
    <row r="5" spans="1:9" x14ac:dyDescent="0.25">
      <c r="A5" s="25" t="s">
        <v>82</v>
      </c>
    </row>
    <row r="6" spans="1:9" x14ac:dyDescent="0.25">
      <c r="A6" s="25" t="s">
        <v>425</v>
      </c>
      <c r="B6" s="27"/>
      <c r="C6" s="27"/>
    </row>
    <row r="7" spans="1:9" x14ac:dyDescent="0.25">
      <c r="A7" s="25" t="s">
        <v>426</v>
      </c>
      <c r="B7" s="25"/>
      <c r="C7" s="25"/>
      <c r="D7" s="25"/>
      <c r="E7" s="25"/>
      <c r="F7" s="25"/>
      <c r="G7" s="25"/>
    </row>
    <row r="8" spans="1:9" x14ac:dyDescent="0.25">
      <c r="A8" s="562" t="s">
        <v>2210</v>
      </c>
      <c r="B8" s="562"/>
      <c r="C8" s="562"/>
      <c r="D8" s="562"/>
      <c r="E8" s="562"/>
      <c r="F8" s="562"/>
      <c r="G8" s="562"/>
    </row>
    <row r="9" spans="1:9" x14ac:dyDescent="0.25">
      <c r="G9" s="28" t="s">
        <v>40</v>
      </c>
    </row>
    <row r="10" spans="1:9" ht="128.25" customHeight="1" x14ac:dyDescent="0.25">
      <c r="A10" s="29" t="s">
        <v>83</v>
      </c>
      <c r="B10" s="30" t="s">
        <v>1869</v>
      </c>
      <c r="C10" s="30" t="s">
        <v>84</v>
      </c>
      <c r="D10" s="30" t="s">
        <v>470</v>
      </c>
      <c r="E10" s="30" t="s">
        <v>85</v>
      </c>
      <c r="F10" s="30" t="s">
        <v>86</v>
      </c>
      <c r="G10" s="30" t="s">
        <v>309</v>
      </c>
    </row>
    <row r="11" spans="1:9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31">
        <v>7</v>
      </c>
    </row>
    <row r="12" spans="1:9" x14ac:dyDescent="0.25">
      <c r="A12" s="128" t="s">
        <v>87</v>
      </c>
      <c r="B12" s="129">
        <f>'Сводная Изыскания'!E15</f>
        <v>26621052</v>
      </c>
      <c r="C12" s="130">
        <f>C21</f>
        <v>1</v>
      </c>
      <c r="D12" s="129">
        <f>B12*C12</f>
        <v>26621052</v>
      </c>
      <c r="E12" s="150">
        <f>$F$40</f>
        <v>1.0329032</v>
      </c>
      <c r="F12" s="129">
        <f>D12*E12</f>
        <v>27496970</v>
      </c>
      <c r="G12" s="131">
        <f>D12+(F12-D12)*(1-30/100)</f>
        <v>27234195</v>
      </c>
    </row>
    <row r="13" spans="1:9" ht="47.25" x14ac:dyDescent="0.25">
      <c r="A13" s="128" t="s">
        <v>1028</v>
      </c>
      <c r="B13" s="129">
        <f>'Сводная Изыскания'!F15</f>
        <v>2339195</v>
      </c>
      <c r="C13" s="130">
        <v>1</v>
      </c>
      <c r="D13" s="129">
        <f>B13*C13</f>
        <v>2339195</v>
      </c>
      <c r="E13" s="150">
        <f>$F$40</f>
        <v>1.0329032</v>
      </c>
      <c r="F13" s="129">
        <f>D13*E13</f>
        <v>2416162</v>
      </c>
      <c r="G13" s="131">
        <f>D13+(F13-D13)*(1-30/100)</f>
        <v>2393072</v>
      </c>
    </row>
    <row r="14" spans="1:9" x14ac:dyDescent="0.25">
      <c r="A14" s="36" t="s">
        <v>88</v>
      </c>
      <c r="B14" s="33">
        <f>'Сводная ПИР'!G27</f>
        <v>23172089</v>
      </c>
      <c r="C14" s="34">
        <f>C21</f>
        <v>1</v>
      </c>
      <c r="D14" s="33">
        <f>B14*C14</f>
        <v>23172089</v>
      </c>
      <c r="E14" s="150">
        <f>$F$40</f>
        <v>1.0329032</v>
      </c>
      <c r="F14" s="33">
        <f>D14*E14</f>
        <v>23934525</v>
      </c>
      <c r="G14" s="35">
        <f>D14+(F14-D14)*(1-30/100)</f>
        <v>23705794</v>
      </c>
      <c r="I14" s="116"/>
    </row>
    <row r="15" spans="1:9" ht="56.25" customHeight="1" x14ac:dyDescent="0.25">
      <c r="A15" s="32" t="s">
        <v>1027</v>
      </c>
      <c r="B15" s="33">
        <f>(B14)*0.02</f>
        <v>463442</v>
      </c>
      <c r="C15" s="34">
        <f>C21</f>
        <v>1</v>
      </c>
      <c r="D15" s="33">
        <f>B15*C15</f>
        <v>463442</v>
      </c>
      <c r="E15" s="150">
        <f>$F$40</f>
        <v>1.0329032</v>
      </c>
      <c r="F15" s="33">
        <f>D15*E15</f>
        <v>478691</v>
      </c>
      <c r="G15" s="35">
        <f>D15+(F15-D15)*(1-30/100)-1</f>
        <v>474115</v>
      </c>
    </row>
    <row r="16" spans="1:9" ht="47.25" x14ac:dyDescent="0.25">
      <c r="A16" s="32" t="s">
        <v>1032</v>
      </c>
      <c r="B16" s="33">
        <f>'Сводная ПИР'!G29</f>
        <v>205902</v>
      </c>
      <c r="C16" s="34">
        <v>1</v>
      </c>
      <c r="D16" s="33">
        <f>B16*C16</f>
        <v>205902</v>
      </c>
      <c r="E16" s="150">
        <v>1</v>
      </c>
      <c r="F16" s="33">
        <f>D16*E16</f>
        <v>205902</v>
      </c>
      <c r="G16" s="35">
        <f>D16+(F16-D16)*(1-30/100)-1</f>
        <v>205901</v>
      </c>
    </row>
    <row r="17" spans="1:11" x14ac:dyDescent="0.25">
      <c r="A17" s="36" t="s">
        <v>90</v>
      </c>
      <c r="B17" s="33">
        <f>SUM(B12:B16)</f>
        <v>52801680</v>
      </c>
      <c r="C17" s="34"/>
      <c r="D17" s="33">
        <f>SUM(D12:D16)</f>
        <v>52801680</v>
      </c>
      <c r="E17" s="33"/>
      <c r="F17" s="33">
        <f>SUM(F12:F16)</f>
        <v>54532250</v>
      </c>
      <c r="G17" s="33">
        <f>SUM(G12:G16)</f>
        <v>54013077</v>
      </c>
    </row>
    <row r="18" spans="1:11" x14ac:dyDescent="0.25">
      <c r="A18" s="36" t="s">
        <v>91</v>
      </c>
      <c r="B18" s="37">
        <f>B17*0.2</f>
        <v>10560336</v>
      </c>
      <c r="C18" s="34"/>
      <c r="D18" s="37">
        <f>D17*0.2</f>
        <v>10560336</v>
      </c>
      <c r="E18" s="37"/>
      <c r="F18" s="37">
        <f>F17*0.2</f>
        <v>10906450</v>
      </c>
      <c r="G18" s="38">
        <f>G17*0.2</f>
        <v>10802615.4</v>
      </c>
    </row>
    <row r="19" spans="1:11" x14ac:dyDescent="0.25">
      <c r="A19" s="36" t="s">
        <v>92</v>
      </c>
      <c r="B19" s="37">
        <f>B17+B18</f>
        <v>63362016</v>
      </c>
      <c r="C19" s="34"/>
      <c r="D19" s="37">
        <f>D17+D18</f>
        <v>63362016</v>
      </c>
      <c r="E19" s="37"/>
      <c r="F19" s="37">
        <f>F17+F18</f>
        <v>65438700</v>
      </c>
      <c r="G19" s="38">
        <f>G17+G18</f>
        <v>64815692.399999999</v>
      </c>
    </row>
    <row r="20" spans="1:11" x14ac:dyDescent="0.25">
      <c r="A20" s="39"/>
      <c r="B20" s="40"/>
      <c r="C20" s="40"/>
      <c r="D20" s="40"/>
      <c r="E20" s="40"/>
      <c r="F20" s="40"/>
    </row>
    <row r="21" spans="1:11" ht="45" customHeight="1" x14ac:dyDescent="0.25">
      <c r="A21" s="1041" t="s">
        <v>121</v>
      </c>
      <c r="B21" s="1041"/>
      <c r="C21" s="41">
        <v>1</v>
      </c>
    </row>
    <row r="22" spans="1:11" ht="18.600000000000001" customHeight="1" x14ac:dyDescent="0.25">
      <c r="A22" s="42" t="s">
        <v>110</v>
      </c>
      <c r="B22" s="42"/>
      <c r="C22" s="41"/>
    </row>
    <row r="23" spans="1:11" ht="23.45" customHeight="1" x14ac:dyDescent="0.25">
      <c r="A23" s="1065" t="s">
        <v>1868</v>
      </c>
      <c r="B23" s="1065"/>
      <c r="C23" s="1065"/>
      <c r="D23" s="1065"/>
      <c r="E23" s="1065"/>
      <c r="F23" s="1065"/>
      <c r="G23" s="25"/>
    </row>
    <row r="24" spans="1:11" ht="23.45" customHeight="1" x14ac:dyDescent="0.25">
      <c r="A24" s="43"/>
      <c r="B24" s="43"/>
      <c r="C24" s="43"/>
      <c r="D24" s="43"/>
      <c r="E24" s="43"/>
      <c r="F24" s="43"/>
      <c r="G24" s="25"/>
    </row>
    <row r="25" spans="1:11" x14ac:dyDescent="0.25">
      <c r="A25" s="1069" t="s">
        <v>93</v>
      </c>
      <c r="B25" s="1069"/>
      <c r="C25" s="1069"/>
      <c r="D25" s="1069"/>
      <c r="E25" s="27"/>
      <c r="F25" s="27"/>
      <c r="G25" s="27"/>
      <c r="H25" s="27"/>
      <c r="I25" s="27"/>
    </row>
    <row r="26" spans="1:11" x14ac:dyDescent="0.25">
      <c r="A26" s="25"/>
      <c r="B26" s="25"/>
      <c r="C26" s="25"/>
      <c r="D26" s="25"/>
      <c r="E26" s="25"/>
      <c r="F26" s="25"/>
      <c r="G26" s="25"/>
    </row>
    <row r="28" spans="1:11" customFormat="1" ht="15" x14ac:dyDescent="0.25">
      <c r="A28" s="1070" t="s">
        <v>1874</v>
      </c>
      <c r="B28" s="1070"/>
      <c r="C28" s="1070"/>
      <c r="D28" s="1070"/>
      <c r="E28" s="1070"/>
      <c r="F28" s="141">
        <v>44572</v>
      </c>
    </row>
    <row r="29" spans="1:11" customFormat="1" x14ac:dyDescent="0.25">
      <c r="A29" s="1071" t="s">
        <v>462</v>
      </c>
      <c r="B29" s="1072"/>
      <c r="C29" s="1072"/>
      <c r="D29" s="1072"/>
      <c r="E29" s="1073"/>
      <c r="F29" s="1000">
        <f>(F31-F30)/30.5</f>
        <v>12</v>
      </c>
    </row>
    <row r="30" spans="1:11" customFormat="1" x14ac:dyDescent="0.25">
      <c r="A30" s="1071" t="s">
        <v>94</v>
      </c>
      <c r="B30" s="1072"/>
      <c r="C30" s="1072"/>
      <c r="D30" s="1072"/>
      <c r="E30" s="1073"/>
      <c r="F30" s="141">
        <f>НМЦ!C5</f>
        <v>44621</v>
      </c>
      <c r="G30" s="9"/>
      <c r="H30" s="152">
        <v>44926</v>
      </c>
      <c r="I30" t="s">
        <v>463</v>
      </c>
      <c r="K30" s="639"/>
    </row>
    <row r="31" spans="1:11" customFormat="1" x14ac:dyDescent="0.25">
      <c r="A31" s="1071" t="s">
        <v>95</v>
      </c>
      <c r="B31" s="1072"/>
      <c r="C31" s="1072"/>
      <c r="D31" s="1072"/>
      <c r="E31" s="1073"/>
      <c r="F31" s="141">
        <f>НМЦ!C6</f>
        <v>44985</v>
      </c>
      <c r="G31" s="9"/>
      <c r="H31" s="152">
        <v>44927</v>
      </c>
      <c r="I31" t="s">
        <v>464</v>
      </c>
    </row>
    <row r="32" spans="1:11" customFormat="1" x14ac:dyDescent="0.25">
      <c r="A32" s="1074" t="s">
        <v>465</v>
      </c>
      <c r="B32" s="1074"/>
      <c r="C32" s="1074"/>
      <c r="D32" s="1074"/>
      <c r="E32" s="1074"/>
      <c r="F32" s="142">
        <f>(H30-F30)/30.5/F29</f>
        <v>0.83</v>
      </c>
    </row>
    <row r="33" spans="1:6" customFormat="1" x14ac:dyDescent="0.25">
      <c r="A33" s="1059" t="s">
        <v>2211</v>
      </c>
      <c r="B33" s="1059"/>
      <c r="C33" s="1059"/>
      <c r="D33" s="1059"/>
      <c r="E33" s="1059"/>
      <c r="F33" s="142">
        <f>1-F32</f>
        <v>0.17</v>
      </c>
    </row>
    <row r="34" spans="1:6" customFormat="1" ht="35.25" customHeight="1" x14ac:dyDescent="0.25">
      <c r="A34" s="1060" t="s">
        <v>1871</v>
      </c>
      <c r="B34" s="1061"/>
      <c r="C34" s="1061"/>
      <c r="D34" s="1061"/>
      <c r="E34" s="1062"/>
      <c r="F34" s="143">
        <v>1.0509999999999999</v>
      </c>
    </row>
    <row r="35" spans="1:6" customFormat="1" x14ac:dyDescent="0.25">
      <c r="A35" s="1063" t="s">
        <v>467</v>
      </c>
      <c r="B35" s="1063"/>
      <c r="C35" s="1063"/>
      <c r="D35" s="144">
        <f>F34</f>
        <v>1.0509999999999999</v>
      </c>
      <c r="E35" s="145" t="s">
        <v>466</v>
      </c>
      <c r="F35" s="146">
        <f>F34^(1/12)</f>
        <v>1.0041538000000001</v>
      </c>
    </row>
    <row r="36" spans="1:6" customFormat="1" ht="33" customHeight="1" x14ac:dyDescent="0.25">
      <c r="A36" s="1064" t="s">
        <v>1872</v>
      </c>
      <c r="B36" s="1064"/>
      <c r="C36" s="1064"/>
      <c r="D36" s="1064"/>
      <c r="E36" s="1064"/>
      <c r="F36" s="147">
        <v>1.0489999999999999</v>
      </c>
    </row>
    <row r="37" spans="1:6" customFormat="1" x14ac:dyDescent="0.25">
      <c r="A37" s="1063" t="s">
        <v>1870</v>
      </c>
      <c r="B37" s="1063"/>
      <c r="C37" s="1063"/>
      <c r="D37" s="144">
        <f>F36</f>
        <v>1.0489999999999999</v>
      </c>
      <c r="E37" s="145" t="s">
        <v>466</v>
      </c>
      <c r="F37" s="146">
        <f>F36^(1/12)</f>
        <v>1.0039944000000001</v>
      </c>
    </row>
    <row r="38" spans="1:6" customFormat="1" x14ac:dyDescent="0.25">
      <c r="A38" s="148" t="s">
        <v>468</v>
      </c>
      <c r="B38" s="148"/>
      <c r="C38" s="1075" t="str">
        <f>CONCATENATE("(",F35,"^",ROUND((F30-F28)/30.5,1),"+",F35,"^",ROUNDUP((H30-F28)/30.5,1),")","/2")</f>
        <v>(1,0041538^1,6+1,0041538^11,7)/2</v>
      </c>
      <c r="D38" s="1076"/>
      <c r="E38" s="1077"/>
      <c r="F38" s="151">
        <f>(F35^ROUND((F30-F28)/30.5,1)+F35^ROUNDUP((H30-F28)/30.5,1))/2</f>
        <v>1.0281742</v>
      </c>
    </row>
    <row r="39" spans="1:6" customFormat="1" x14ac:dyDescent="0.25">
      <c r="A39" s="148" t="s">
        <v>1873</v>
      </c>
      <c r="B39" s="148"/>
      <c r="C39" s="1075" t="str">
        <f>CONCATENATE(F35,"^",ROUNDUP((H30-F28)/30.5,1),"*","(",F37,"^1","+",F37,"^",ROUNDUP((F31-H31)/30.5,1),")","/2")</f>
        <v>1,0041538^11,7*(1,0039944^1+1,0039944^2)/2</v>
      </c>
      <c r="D39" s="1076"/>
      <c r="E39" s="1077"/>
      <c r="F39" s="151">
        <f>F35^ROUNDUP((H30-F28)/30.5,1)*(F37^1+F37^ROUNDUP((F31-H31)/30.5,1))/2</f>
        <v>1.0559917999999999</v>
      </c>
    </row>
    <row r="40" spans="1:6" customFormat="1" ht="34.5" customHeight="1" x14ac:dyDescent="0.25">
      <c r="A40" s="1078" t="s">
        <v>469</v>
      </c>
      <c r="B40" s="1079"/>
      <c r="C40" s="1075" t="str">
        <f>CONCATENATE(F32,"*",F38,"+",F33,"*",F39)</f>
        <v>0,83*1,0281742+0,17*1,0559918</v>
      </c>
      <c r="D40" s="1076"/>
      <c r="E40" s="1077"/>
      <c r="F40" s="149">
        <f>F32*F38+F33*F39</f>
        <v>1.0329032</v>
      </c>
    </row>
    <row r="42" spans="1:6" x14ac:dyDescent="0.25">
      <c r="A42" s="1065" t="s">
        <v>1875</v>
      </c>
      <c r="B42" s="1065"/>
      <c r="C42" s="1065"/>
      <c r="D42" s="1065"/>
      <c r="E42" s="1065"/>
      <c r="F42" s="1065"/>
    </row>
  </sheetData>
  <mergeCells count="21">
    <mergeCell ref="A42:F42"/>
    <mergeCell ref="A1:G1"/>
    <mergeCell ref="B2:G2"/>
    <mergeCell ref="B3:G3"/>
    <mergeCell ref="A25:D25"/>
    <mergeCell ref="A23:F23"/>
    <mergeCell ref="A21:B21"/>
    <mergeCell ref="A28:E28"/>
    <mergeCell ref="A29:E29"/>
    <mergeCell ref="A30:E30"/>
    <mergeCell ref="A31:E31"/>
    <mergeCell ref="A32:E32"/>
    <mergeCell ref="C38:E38"/>
    <mergeCell ref="C39:E39"/>
    <mergeCell ref="A40:B40"/>
    <mergeCell ref="C40:E40"/>
    <mergeCell ref="A33:E33"/>
    <mergeCell ref="A34:E34"/>
    <mergeCell ref="A35:C35"/>
    <mergeCell ref="A36:E36"/>
    <mergeCell ref="A37:C37"/>
  </mergeCells>
  <pageMargins left="0.7" right="0.7" top="0.75" bottom="0.75" header="0.3" footer="0.3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3" workbookViewId="0">
      <selection activeCell="A3" sqref="A3:K3"/>
    </sheetView>
  </sheetViews>
  <sheetFormatPr defaultRowHeight="15" x14ac:dyDescent="0.25"/>
  <cols>
    <col min="1" max="1" width="11" customWidth="1"/>
    <col min="8" max="8" width="12.140625" customWidth="1"/>
    <col min="9" max="9" width="12.7109375" customWidth="1"/>
    <col min="10" max="10" width="10.85546875" customWidth="1"/>
    <col min="11" max="11" width="11.140625" customWidth="1"/>
  </cols>
  <sheetData>
    <row r="1" spans="1:13" x14ac:dyDescent="0.25">
      <c r="A1" s="1110" t="s">
        <v>1056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</row>
    <row r="2" spans="1:13" ht="54.75" customHeight="1" x14ac:dyDescent="0.25">
      <c r="A2" s="1111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</row>
    <row r="3" spans="1:13" ht="54" customHeight="1" x14ac:dyDescent="0.25">
      <c r="A3" s="1113" t="s">
        <v>1057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</row>
    <row r="4" spans="1:13" x14ac:dyDescent="0.25">
      <c r="A4" s="611" t="s">
        <v>1058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</row>
    <row r="5" spans="1:13" x14ac:dyDescent="0.25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</row>
    <row r="6" spans="1:13" x14ac:dyDescent="0.25">
      <c r="A6" s="1092" t="s">
        <v>1059</v>
      </c>
      <c r="B6" s="1092"/>
      <c r="C6" s="1092"/>
      <c r="D6" s="1092"/>
      <c r="E6" s="1092"/>
      <c r="F6" s="1092"/>
      <c r="G6" s="1092"/>
      <c r="H6" s="1092"/>
      <c r="I6" s="1092"/>
      <c r="J6" s="1092"/>
      <c r="K6" s="1092"/>
    </row>
    <row r="7" spans="1:13" x14ac:dyDescent="0.25">
      <c r="A7" s="1092" t="s">
        <v>1060</v>
      </c>
      <c r="B7" s="1092"/>
      <c r="C7" s="1092"/>
      <c r="D7" s="1092"/>
      <c r="E7" s="1092"/>
      <c r="F7" s="1092"/>
      <c r="G7" s="1092"/>
      <c r="H7" s="1092"/>
      <c r="I7" s="1092"/>
      <c r="J7" s="1092"/>
      <c r="K7" s="1092"/>
    </row>
    <row r="8" spans="1:13" ht="92.25" customHeight="1" x14ac:dyDescent="0.25">
      <c r="A8" s="613" t="s">
        <v>1061</v>
      </c>
      <c r="B8" s="1092" t="s">
        <v>1062</v>
      </c>
      <c r="C8" s="1092"/>
      <c r="D8" s="1092"/>
      <c r="E8" s="1092"/>
      <c r="F8" s="1092"/>
      <c r="G8" s="1092"/>
      <c r="H8" s="1092"/>
      <c r="I8" s="1092"/>
      <c r="J8" s="1092"/>
      <c r="K8" s="1092"/>
    </row>
    <row r="9" spans="1:13" ht="33.75" customHeight="1" x14ac:dyDescent="0.25">
      <c r="A9" s="614"/>
      <c r="B9" s="1092" t="s">
        <v>1063</v>
      </c>
      <c r="C9" s="1092"/>
      <c r="D9" s="1092"/>
      <c r="E9" s="1092"/>
      <c r="F9" s="1092"/>
      <c r="G9" s="1092"/>
      <c r="H9" s="1092"/>
      <c r="I9" s="1092"/>
      <c r="J9" s="1092"/>
      <c r="K9" s="1092"/>
    </row>
    <row r="10" spans="1:13" x14ac:dyDescent="0.25">
      <c r="A10" s="613"/>
      <c r="B10" s="615" t="s">
        <v>1064</v>
      </c>
      <c r="C10" s="615"/>
      <c r="D10" s="615"/>
      <c r="E10" s="615"/>
      <c r="F10" s="615"/>
      <c r="G10" s="615"/>
      <c r="H10" s="615"/>
      <c r="I10" s="615"/>
      <c r="J10" s="615"/>
      <c r="K10" s="615"/>
    </row>
    <row r="11" spans="1:13" x14ac:dyDescent="0.25">
      <c r="A11" s="616"/>
      <c r="B11" s="1092" t="s">
        <v>1065</v>
      </c>
      <c r="C11" s="1092"/>
      <c r="D11" s="1092"/>
      <c r="E11" s="1092"/>
      <c r="F11" s="1092"/>
      <c r="G11" s="1092"/>
      <c r="H11" s="1092"/>
      <c r="I11" s="1092"/>
      <c r="J11" s="1092"/>
      <c r="K11" s="1092"/>
    </row>
    <row r="12" spans="1:13" x14ac:dyDescent="0.25">
      <c r="A12" s="617"/>
      <c r="B12" s="612"/>
      <c r="C12" s="612"/>
      <c r="D12" s="612"/>
      <c r="E12" s="612"/>
      <c r="F12" s="612"/>
      <c r="G12" s="612"/>
      <c r="H12" s="612"/>
      <c r="I12" s="612"/>
      <c r="J12" s="612"/>
      <c r="K12" s="612"/>
    </row>
    <row r="13" spans="1:13" ht="30" x14ac:dyDescent="0.25">
      <c r="A13" s="618" t="s">
        <v>67</v>
      </c>
      <c r="B13" s="1093" t="s">
        <v>1066</v>
      </c>
      <c r="C13" s="1094"/>
      <c r="D13" s="1094"/>
      <c r="E13" s="1094"/>
      <c r="F13" s="1094"/>
      <c r="G13" s="1095"/>
      <c r="H13" s="619" t="s">
        <v>1067</v>
      </c>
      <c r="I13" s="620" t="s">
        <v>1068</v>
      </c>
      <c r="J13" s="621" t="s">
        <v>1069</v>
      </c>
      <c r="K13" s="619" t="s">
        <v>1070</v>
      </c>
    </row>
    <row r="14" spans="1:13" ht="32.25" customHeight="1" x14ac:dyDescent="0.25">
      <c r="A14" s="622">
        <v>1</v>
      </c>
      <c r="B14" s="1096" t="s">
        <v>1071</v>
      </c>
      <c r="C14" s="1097"/>
      <c r="D14" s="1097"/>
      <c r="E14" s="1097"/>
      <c r="F14" s="1097"/>
      <c r="G14" s="1098"/>
      <c r="H14" s="623" t="s">
        <v>1072</v>
      </c>
      <c r="I14" s="623">
        <f>I15+I16</f>
        <v>6</v>
      </c>
      <c r="J14" s="623">
        <f>J15+J16</f>
        <v>40000</v>
      </c>
      <c r="K14" s="624">
        <f>K15+K16</f>
        <v>108000</v>
      </c>
    </row>
    <row r="15" spans="1:13" x14ac:dyDescent="0.25">
      <c r="A15" s="625" t="s">
        <v>33</v>
      </c>
      <c r="B15" s="1099" t="s">
        <v>1073</v>
      </c>
      <c r="C15" s="1100"/>
      <c r="D15" s="1100"/>
      <c r="E15" s="1100"/>
      <c r="F15" s="1100"/>
      <c r="G15" s="1101"/>
      <c r="H15" s="623" t="s">
        <v>1072</v>
      </c>
      <c r="I15" s="623">
        <v>1</v>
      </c>
      <c r="J15" s="626">
        <v>23000</v>
      </c>
      <c r="K15" s="624">
        <f>I15*J15</f>
        <v>23000</v>
      </c>
      <c r="L15" s="627" t="s">
        <v>1074</v>
      </c>
      <c r="M15" s="627"/>
    </row>
    <row r="16" spans="1:13" ht="30" customHeight="1" x14ac:dyDescent="0.25">
      <c r="A16" s="625" t="s">
        <v>34</v>
      </c>
      <c r="B16" s="1102" t="s">
        <v>1075</v>
      </c>
      <c r="C16" s="1103"/>
      <c r="D16" s="1103"/>
      <c r="E16" s="1103"/>
      <c r="F16" s="1103"/>
      <c r="G16" s="1104"/>
      <c r="H16" s="623" t="s">
        <v>1072</v>
      </c>
      <c r="I16" s="623">
        <v>5</v>
      </c>
      <c r="J16" s="623">
        <v>17000</v>
      </c>
      <c r="K16" s="624">
        <f>I16*J16</f>
        <v>85000</v>
      </c>
      <c r="L16" s="627" t="s">
        <v>1074</v>
      </c>
      <c r="M16" s="627"/>
    </row>
    <row r="17" spans="1:18" ht="52.9" customHeight="1" x14ac:dyDescent="0.25">
      <c r="A17" s="628" t="s">
        <v>1076</v>
      </c>
      <c r="B17" s="1105" t="s">
        <v>1077</v>
      </c>
      <c r="C17" s="1106"/>
      <c r="D17" s="1106"/>
      <c r="E17" s="1106"/>
      <c r="F17" s="1106"/>
      <c r="G17" s="1107"/>
      <c r="H17" s="629"/>
      <c r="I17" s="629"/>
      <c r="J17" s="105"/>
      <c r="K17" s="630">
        <f>J14*0.3</f>
        <v>12000</v>
      </c>
      <c r="L17" s="627"/>
      <c r="M17" s="627"/>
    </row>
    <row r="18" spans="1:18" x14ac:dyDescent="0.25">
      <c r="A18" s="623">
        <v>3</v>
      </c>
      <c r="B18" s="1108" t="s">
        <v>1078</v>
      </c>
      <c r="C18" s="1100"/>
      <c r="D18" s="1100"/>
      <c r="E18" s="1100"/>
      <c r="F18" s="1100"/>
      <c r="G18" s="1101"/>
      <c r="H18" s="629"/>
      <c r="I18" s="629"/>
      <c r="J18" s="105"/>
      <c r="K18" s="630">
        <f>K14+K17</f>
        <v>120000</v>
      </c>
      <c r="L18" s="627"/>
      <c r="M18" s="627"/>
    </row>
    <row r="19" spans="1:18" ht="55.5" customHeight="1" x14ac:dyDescent="0.25">
      <c r="A19" s="623">
        <v>4</v>
      </c>
      <c r="B19" s="1089" t="s">
        <v>1079</v>
      </c>
      <c r="C19" s="1090"/>
      <c r="D19" s="1090"/>
      <c r="E19" s="1090"/>
      <c r="F19" s="1090"/>
      <c r="G19" s="1091"/>
      <c r="H19" s="629"/>
      <c r="I19" s="629"/>
      <c r="J19" s="105"/>
      <c r="K19" s="630">
        <f>K20+K21+K22</f>
        <v>30900</v>
      </c>
      <c r="L19" s="627"/>
      <c r="M19" s="627"/>
    </row>
    <row r="20" spans="1:18" ht="66" customHeight="1" x14ac:dyDescent="0.25">
      <c r="A20" s="631"/>
      <c r="B20" s="1109" t="s">
        <v>1080</v>
      </c>
      <c r="C20" s="1109"/>
      <c r="D20" s="1109"/>
      <c r="E20" s="1109"/>
      <c r="F20" s="1109"/>
      <c r="G20" s="1109"/>
      <c r="H20" s="623" t="s">
        <v>1072</v>
      </c>
      <c r="I20" s="632">
        <f>I14</f>
        <v>6</v>
      </c>
      <c r="J20" s="105"/>
      <c r="K20" s="633">
        <f>(125*2)*I20</f>
        <v>1500</v>
      </c>
      <c r="L20" s="627"/>
      <c r="M20" s="627"/>
      <c r="N20" s="1081"/>
      <c r="O20" s="1081"/>
      <c r="P20" s="1081"/>
      <c r="Q20" s="1081"/>
      <c r="R20" s="1081"/>
    </row>
    <row r="21" spans="1:18" ht="15" customHeight="1" x14ac:dyDescent="0.25">
      <c r="A21" s="631"/>
      <c r="B21" s="1082" t="s">
        <v>1081</v>
      </c>
      <c r="C21" s="1083"/>
      <c r="D21" s="1083"/>
      <c r="E21" s="1083"/>
      <c r="F21" s="1083"/>
      <c r="G21" s="1084"/>
      <c r="H21" s="623" t="s">
        <v>1072</v>
      </c>
      <c r="I21" s="632">
        <f>I14</f>
        <v>6</v>
      </c>
      <c r="J21" s="105"/>
      <c r="K21" s="633">
        <f>3500*I21</f>
        <v>21000</v>
      </c>
      <c r="N21" s="634"/>
    </row>
    <row r="22" spans="1:18" ht="15" customHeight="1" x14ac:dyDescent="0.25">
      <c r="A22" s="631"/>
      <c r="B22" s="1082" t="s">
        <v>1082</v>
      </c>
      <c r="C22" s="1083"/>
      <c r="D22" s="1083"/>
      <c r="E22" s="1083"/>
      <c r="F22" s="1083"/>
      <c r="G22" s="1084"/>
      <c r="H22" s="623" t="s">
        <v>1072</v>
      </c>
      <c r="I22" s="632">
        <f>I14</f>
        <v>6</v>
      </c>
      <c r="J22" s="105"/>
      <c r="K22" s="633">
        <f>700*2*I22</f>
        <v>8400</v>
      </c>
      <c r="N22" s="1081"/>
      <c r="O22" s="1085"/>
      <c r="P22" s="1085"/>
      <c r="Q22" s="1085"/>
      <c r="R22" s="1085"/>
    </row>
    <row r="23" spans="1:18" x14ac:dyDescent="0.25">
      <c r="A23" s="631">
        <v>5</v>
      </c>
      <c r="B23" s="1086" t="s">
        <v>1083</v>
      </c>
      <c r="C23" s="1087"/>
      <c r="D23" s="1087"/>
      <c r="E23" s="1087"/>
      <c r="F23" s="1087"/>
      <c r="G23" s="1088"/>
      <c r="H23" s="629"/>
      <c r="I23" s="629"/>
      <c r="J23" s="105"/>
      <c r="K23" s="630">
        <f>K18*0.5</f>
        <v>60000</v>
      </c>
    </row>
    <row r="24" spans="1:18" ht="15" customHeight="1" x14ac:dyDescent="0.25">
      <c r="A24" s="626">
        <v>6</v>
      </c>
      <c r="B24" s="1089" t="s">
        <v>1084</v>
      </c>
      <c r="C24" s="1090"/>
      <c r="D24" s="1090"/>
      <c r="E24" s="1090"/>
      <c r="F24" s="1090"/>
      <c r="G24" s="1091"/>
      <c r="H24" s="629"/>
      <c r="I24" s="629"/>
      <c r="J24" s="105"/>
      <c r="K24" s="630">
        <f>K19+K23</f>
        <v>90900</v>
      </c>
    </row>
    <row r="25" spans="1:18" x14ac:dyDescent="0.25">
      <c r="A25" s="623">
        <v>7</v>
      </c>
      <c r="B25" s="1080" t="s">
        <v>1085</v>
      </c>
      <c r="C25" s="1080"/>
      <c r="D25" s="1080"/>
      <c r="E25" s="1080"/>
      <c r="F25" s="1080"/>
      <c r="G25" s="1080"/>
      <c r="H25" s="629"/>
      <c r="I25" s="629"/>
      <c r="J25" s="105"/>
      <c r="K25" s="635">
        <f>K18+K24</f>
        <v>210900</v>
      </c>
      <c r="M25" s="5"/>
    </row>
  </sheetData>
  <mergeCells count="23">
    <mergeCell ref="B8:K8"/>
    <mergeCell ref="A1:K1"/>
    <mergeCell ref="A2:K2"/>
    <mergeCell ref="A3:K3"/>
    <mergeCell ref="A6:K6"/>
    <mergeCell ref="A7:K7"/>
    <mergeCell ref="B16:G16"/>
    <mergeCell ref="B17:G17"/>
    <mergeCell ref="B18:G18"/>
    <mergeCell ref="B19:G19"/>
    <mergeCell ref="B20:G20"/>
    <mergeCell ref="B9:K9"/>
    <mergeCell ref="B11:K11"/>
    <mergeCell ref="B13:G13"/>
    <mergeCell ref="B14:G14"/>
    <mergeCell ref="B15:G15"/>
    <mergeCell ref="B25:G25"/>
    <mergeCell ref="N20:R20"/>
    <mergeCell ref="B22:G22"/>
    <mergeCell ref="N22:R22"/>
    <mergeCell ref="B23:G23"/>
    <mergeCell ref="B24:G24"/>
    <mergeCell ref="B21:G21"/>
  </mergeCells>
  <hyperlinks>
    <hyperlink ref="B23" r:id="rId1" location="block_25" display="http://base.garant.ru/70670884/8b6528c8dbf6f8d4de1266ff8ab5dff3/ - block_25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G14" sqref="G14"/>
    </sheetView>
  </sheetViews>
  <sheetFormatPr defaultRowHeight="15.75" x14ac:dyDescent="0.25"/>
  <cols>
    <col min="1" max="1" width="9.140625" style="9"/>
    <col min="2" max="2" width="48.7109375" style="9" customWidth="1"/>
    <col min="3" max="3" width="22.42578125" style="9" customWidth="1"/>
    <col min="4" max="4" width="19.42578125" style="9" customWidth="1"/>
    <col min="5" max="5" width="21.42578125" style="9" customWidth="1"/>
    <col min="6" max="6" width="18.42578125" style="9" customWidth="1"/>
    <col min="7" max="7" width="17" style="9" customWidth="1"/>
    <col min="8" max="16384" width="9.140625" style="9"/>
  </cols>
  <sheetData>
    <row r="1" spans="1:7" x14ac:dyDescent="0.25">
      <c r="A1" s="1119" t="s">
        <v>46</v>
      </c>
      <c r="B1" s="1119"/>
      <c r="C1" s="1119"/>
      <c r="D1" s="1119"/>
      <c r="E1" s="1119"/>
      <c r="F1" s="1119"/>
      <c r="G1" s="1119"/>
    </row>
    <row r="2" spans="1:7" x14ac:dyDescent="0.25">
      <c r="A2" s="1119" t="s">
        <v>19</v>
      </c>
      <c r="B2" s="1119"/>
      <c r="C2" s="1119"/>
      <c r="D2" s="1119"/>
      <c r="E2" s="1119"/>
      <c r="F2" s="1119"/>
      <c r="G2" s="1119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54" customHeight="1" x14ac:dyDescent="0.25">
      <c r="A4" s="1120" t="s">
        <v>47</v>
      </c>
      <c r="B4" s="1121"/>
      <c r="C4" s="1122" t="str">
        <f>НМЦ!A2</f>
        <v>Всесезонный туристско-рекреационный комплекс «Эльбрус», Кабардино-Балкарская Республика. Система искусственного снегообразования</v>
      </c>
      <c r="D4" s="1115"/>
      <c r="E4" s="1116"/>
      <c r="F4" s="1116"/>
      <c r="G4" s="1116"/>
    </row>
    <row r="5" spans="1:7" ht="32.25" customHeight="1" x14ac:dyDescent="0.25">
      <c r="A5" s="1114" t="s">
        <v>48</v>
      </c>
      <c r="B5" s="1114"/>
      <c r="C5" s="1115"/>
      <c r="D5" s="1115"/>
      <c r="E5" s="1116"/>
      <c r="F5" s="1116"/>
      <c r="G5" s="1116"/>
    </row>
    <row r="6" spans="1:7" x14ac:dyDescent="0.25">
      <c r="A6" s="1114" t="s">
        <v>49</v>
      </c>
      <c r="B6" s="1114"/>
      <c r="C6" s="1115" t="s">
        <v>1314</v>
      </c>
      <c r="D6" s="1115"/>
      <c r="E6" s="1116"/>
      <c r="F6" s="1116"/>
      <c r="G6" s="1116"/>
    </row>
    <row r="7" spans="1:7" x14ac:dyDescent="0.25">
      <c r="A7" s="11"/>
      <c r="B7" s="12"/>
      <c r="C7" s="11"/>
      <c r="D7" s="11"/>
      <c r="E7" s="11"/>
      <c r="F7" s="11"/>
      <c r="G7" s="13" t="s">
        <v>50</v>
      </c>
    </row>
    <row r="8" spans="1:7" x14ac:dyDescent="0.25">
      <c r="A8" s="1117" t="s">
        <v>0</v>
      </c>
      <c r="B8" s="1117" t="s">
        <v>31</v>
      </c>
      <c r="C8" s="1117" t="s">
        <v>51</v>
      </c>
      <c r="D8" s="1117" t="s">
        <v>52</v>
      </c>
      <c r="E8" s="1124" t="s">
        <v>53</v>
      </c>
      <c r="F8" s="1124"/>
      <c r="G8" s="1124"/>
    </row>
    <row r="9" spans="1:7" ht="31.5" x14ac:dyDescent="0.25">
      <c r="A9" s="1118"/>
      <c r="B9" s="1118"/>
      <c r="C9" s="1118"/>
      <c r="D9" s="1123"/>
      <c r="E9" s="14" t="s">
        <v>39</v>
      </c>
      <c r="F9" s="14" t="s">
        <v>54</v>
      </c>
      <c r="G9" s="14" t="s">
        <v>32</v>
      </c>
    </row>
    <row r="10" spans="1:7" x14ac:dyDescent="0.25">
      <c r="A10" s="15">
        <v>1</v>
      </c>
      <c r="B10" s="15">
        <v>2</v>
      </c>
      <c r="C10" s="15"/>
      <c r="D10" s="15"/>
      <c r="E10" s="15">
        <v>4</v>
      </c>
      <c r="F10" s="15">
        <v>5</v>
      </c>
      <c r="G10" s="15">
        <v>6</v>
      </c>
    </row>
    <row r="11" spans="1:7" x14ac:dyDescent="0.25">
      <c r="A11" s="1130" t="s">
        <v>55</v>
      </c>
      <c r="B11" s="1131"/>
      <c r="C11" s="1131"/>
      <c r="D11" s="1131"/>
      <c r="E11" s="1131"/>
      <c r="F11" s="1131"/>
      <c r="G11" s="1132"/>
    </row>
    <row r="12" spans="1:7" x14ac:dyDescent="0.25">
      <c r="A12" s="122" t="s">
        <v>33</v>
      </c>
      <c r="B12" s="123" t="s">
        <v>113</v>
      </c>
      <c r="C12" s="124" t="s">
        <v>56</v>
      </c>
      <c r="D12" s="122" t="s">
        <v>114</v>
      </c>
      <c r="E12" s="125">
        <f>'Сводная Изыскания'!G7</f>
        <v>1848615</v>
      </c>
      <c r="F12" s="126"/>
      <c r="G12" s="127">
        <f t="shared" ref="G12:G19" si="0">E12</f>
        <v>1848615</v>
      </c>
    </row>
    <row r="13" spans="1:7" x14ac:dyDescent="0.25">
      <c r="A13" s="122" t="s">
        <v>34</v>
      </c>
      <c r="B13" s="123" t="s">
        <v>115</v>
      </c>
      <c r="C13" s="124" t="s">
        <v>56</v>
      </c>
      <c r="D13" s="122" t="s">
        <v>116</v>
      </c>
      <c r="E13" s="125">
        <f>'Сводная Изыскания'!G8</f>
        <v>19808500</v>
      </c>
      <c r="F13" s="126"/>
      <c r="G13" s="127">
        <f t="shared" si="0"/>
        <v>19808500</v>
      </c>
    </row>
    <row r="14" spans="1:7" x14ac:dyDescent="0.25">
      <c r="A14" s="122" t="s">
        <v>35</v>
      </c>
      <c r="B14" s="123" t="s">
        <v>338</v>
      </c>
      <c r="C14" s="124" t="s">
        <v>56</v>
      </c>
      <c r="D14" s="122" t="s">
        <v>117</v>
      </c>
      <c r="E14" s="125">
        <f>'Сводная Изыскания'!G9</f>
        <v>2361108</v>
      </c>
      <c r="F14" s="126"/>
      <c r="G14" s="127">
        <f t="shared" ref="G14" si="1">E14</f>
        <v>2361108</v>
      </c>
    </row>
    <row r="15" spans="1:7" x14ac:dyDescent="0.25">
      <c r="A15" s="122" t="s">
        <v>111</v>
      </c>
      <c r="B15" s="123" t="s">
        <v>118</v>
      </c>
      <c r="C15" s="124" t="s">
        <v>56</v>
      </c>
      <c r="D15" s="122" t="s">
        <v>119</v>
      </c>
      <c r="E15" s="125">
        <f>'Сводная Изыскания'!G10</f>
        <v>861554</v>
      </c>
      <c r="F15" s="126"/>
      <c r="G15" s="127">
        <f t="shared" si="0"/>
        <v>861554</v>
      </c>
    </row>
    <row r="16" spans="1:7" x14ac:dyDescent="0.25">
      <c r="A16" s="122" t="s">
        <v>112</v>
      </c>
      <c r="B16" s="123" t="s">
        <v>190</v>
      </c>
      <c r="C16" s="124" t="s">
        <v>56</v>
      </c>
      <c r="D16" s="122" t="s">
        <v>120</v>
      </c>
      <c r="E16" s="125">
        <f>'Сводная Изыскания'!G11</f>
        <v>851363</v>
      </c>
      <c r="F16" s="126"/>
      <c r="G16" s="127">
        <f t="shared" si="0"/>
        <v>851363</v>
      </c>
    </row>
    <row r="17" spans="1:10" x14ac:dyDescent="0.25">
      <c r="A17" s="122" t="s">
        <v>279</v>
      </c>
      <c r="B17" s="123" t="s">
        <v>191</v>
      </c>
      <c r="C17" s="124" t="s">
        <v>56</v>
      </c>
      <c r="D17" s="122" t="s">
        <v>280</v>
      </c>
      <c r="E17" s="125">
        <f>'Сводная Изыскания'!G12</f>
        <v>2899225</v>
      </c>
      <c r="F17" s="126"/>
      <c r="G17" s="127">
        <f t="shared" si="0"/>
        <v>2899225</v>
      </c>
    </row>
    <row r="18" spans="1:10" x14ac:dyDescent="0.25">
      <c r="A18" s="122" t="s">
        <v>336</v>
      </c>
      <c r="B18" s="123" t="s">
        <v>281</v>
      </c>
      <c r="C18" s="124" t="s">
        <v>56</v>
      </c>
      <c r="D18" s="122" t="s">
        <v>337</v>
      </c>
      <c r="E18" s="125">
        <f>'Сводная Изыскания'!G13</f>
        <v>217975</v>
      </c>
      <c r="F18" s="126"/>
      <c r="G18" s="127">
        <f t="shared" si="0"/>
        <v>217975</v>
      </c>
    </row>
    <row r="19" spans="1:10" ht="31.5" x14ac:dyDescent="0.25">
      <c r="A19" s="122" t="s">
        <v>496</v>
      </c>
      <c r="B19" s="244" t="s">
        <v>583</v>
      </c>
      <c r="C19" s="124" t="s">
        <v>56</v>
      </c>
      <c r="D19" s="122" t="s">
        <v>584</v>
      </c>
      <c r="E19" s="125">
        <f>'Сводная Изыскания'!G14</f>
        <v>111907</v>
      </c>
      <c r="F19" s="126"/>
      <c r="G19" s="127">
        <f t="shared" si="0"/>
        <v>111907</v>
      </c>
    </row>
    <row r="20" spans="1:10" x14ac:dyDescent="0.25">
      <c r="A20" s="1127" t="s">
        <v>57</v>
      </c>
      <c r="B20" s="1128"/>
      <c r="C20" s="1128"/>
      <c r="D20" s="1128"/>
      <c r="E20" s="1128"/>
      <c r="F20" s="1129"/>
      <c r="G20" s="17">
        <f>SUM(G12:G19)</f>
        <v>28960247</v>
      </c>
    </row>
    <row r="21" spans="1:10" x14ac:dyDescent="0.25">
      <c r="A21" s="1125" t="s">
        <v>65</v>
      </c>
      <c r="B21" s="1126"/>
      <c r="C21" s="1126"/>
      <c r="D21" s="1126"/>
      <c r="E21" s="1126"/>
      <c r="F21" s="1126"/>
      <c r="G21" s="1126"/>
    </row>
    <row r="22" spans="1:10" x14ac:dyDescent="0.25">
      <c r="A22" s="8" t="s">
        <v>36</v>
      </c>
      <c r="B22" s="18" t="s">
        <v>88</v>
      </c>
      <c r="C22" s="19"/>
      <c r="D22" s="8" t="s">
        <v>18</v>
      </c>
      <c r="E22" s="19"/>
      <c r="F22" s="16">
        <f>ПД!$F$1275</f>
        <v>20998439</v>
      </c>
      <c r="G22" s="16">
        <f>F22</f>
        <v>20998439</v>
      </c>
    </row>
    <row r="23" spans="1:10" ht="78.75" x14ac:dyDescent="0.25">
      <c r="A23" s="122" t="s">
        <v>308</v>
      </c>
      <c r="B23" s="134" t="s">
        <v>1031</v>
      </c>
      <c r="C23" s="124" t="s">
        <v>56</v>
      </c>
      <c r="D23" s="122" t="s">
        <v>333</v>
      </c>
      <c r="E23" s="135"/>
      <c r="F23" s="127">
        <f>382380/1.2</f>
        <v>318650</v>
      </c>
      <c r="G23" s="127">
        <f>F23</f>
        <v>318650</v>
      </c>
    </row>
    <row r="24" spans="1:10" ht="68.25" customHeight="1" x14ac:dyDescent="0.25">
      <c r="A24" s="122" t="s">
        <v>332</v>
      </c>
      <c r="B24" s="872" t="s">
        <v>1086</v>
      </c>
      <c r="C24" s="124" t="s">
        <v>56</v>
      </c>
      <c r="D24" s="122" t="s">
        <v>2154</v>
      </c>
      <c r="E24" s="135"/>
      <c r="F24" s="561">
        <v>215000</v>
      </c>
      <c r="G24" s="127">
        <f>F24</f>
        <v>215000</v>
      </c>
      <c r="H24" s="26"/>
      <c r="I24" s="636"/>
      <c r="J24" s="636"/>
    </row>
    <row r="25" spans="1:10" ht="66.75" customHeight="1" x14ac:dyDescent="0.25">
      <c r="A25" s="122" t="s">
        <v>508</v>
      </c>
      <c r="B25" s="872" t="s">
        <v>1087</v>
      </c>
      <c r="C25" s="124" t="s">
        <v>56</v>
      </c>
      <c r="D25" s="122" t="s">
        <v>2154</v>
      </c>
      <c r="E25" s="135"/>
      <c r="F25" s="561">
        <v>190000</v>
      </c>
      <c r="G25" s="127">
        <f>F25</f>
        <v>190000</v>
      </c>
      <c r="H25" s="26"/>
      <c r="I25" s="636"/>
      <c r="J25" s="636"/>
    </row>
    <row r="26" spans="1:10" ht="96.75" customHeight="1" x14ac:dyDescent="0.25">
      <c r="A26" s="122" t="s">
        <v>509</v>
      </c>
      <c r="B26" s="872" t="s">
        <v>1088</v>
      </c>
      <c r="C26" s="124" t="s">
        <v>56</v>
      </c>
      <c r="D26" s="122" t="s">
        <v>2155</v>
      </c>
      <c r="E26" s="135"/>
      <c r="F26" s="561">
        <v>1450000</v>
      </c>
      <c r="G26" s="127">
        <f>F26</f>
        <v>1450000</v>
      </c>
      <c r="H26" s="26"/>
      <c r="I26" s="26"/>
      <c r="J26" s="636"/>
    </row>
    <row r="27" spans="1:10" x14ac:dyDescent="0.25">
      <c r="A27" s="1127" t="s">
        <v>58</v>
      </c>
      <c r="B27" s="1128"/>
      <c r="C27" s="1128"/>
      <c r="D27" s="1128"/>
      <c r="E27" s="1128"/>
      <c r="F27" s="1129"/>
      <c r="G27" s="17">
        <f>SUM(G22:G26)</f>
        <v>23172089</v>
      </c>
    </row>
    <row r="28" spans="1:10" x14ac:dyDescent="0.25">
      <c r="A28" s="1125" t="s">
        <v>1035</v>
      </c>
      <c r="B28" s="1126"/>
      <c r="C28" s="1126"/>
      <c r="D28" s="1126"/>
      <c r="E28" s="1126"/>
      <c r="F28" s="1126"/>
      <c r="G28" s="1126"/>
    </row>
    <row r="29" spans="1:10" ht="220.5" x14ac:dyDescent="0.25">
      <c r="A29" s="122" t="s">
        <v>762</v>
      </c>
      <c r="B29" s="134" t="s">
        <v>1032</v>
      </c>
      <c r="C29" s="122" t="s">
        <v>56</v>
      </c>
      <c r="D29" s="122" t="s">
        <v>1033</v>
      </c>
      <c r="E29" s="135"/>
      <c r="F29" s="560">
        <v>205902</v>
      </c>
      <c r="G29" s="561">
        <f>F29</f>
        <v>205902</v>
      </c>
    </row>
    <row r="30" spans="1:10" ht="15.75" customHeight="1" x14ac:dyDescent="0.25">
      <c r="A30" s="1127" t="s">
        <v>1034</v>
      </c>
      <c r="B30" s="1128"/>
      <c r="C30" s="1128"/>
      <c r="D30" s="1128"/>
      <c r="E30" s="1128"/>
      <c r="F30" s="1129"/>
      <c r="G30" s="561">
        <f>G29</f>
        <v>205902</v>
      </c>
    </row>
    <row r="31" spans="1:10" x14ac:dyDescent="0.25">
      <c r="A31" s="20"/>
      <c r="B31" s="20"/>
      <c r="C31" s="20"/>
      <c r="D31" s="20"/>
      <c r="E31" s="20"/>
      <c r="F31" s="20" t="s">
        <v>59</v>
      </c>
      <c r="G31" s="21">
        <f>G20+G27+G30</f>
        <v>52338238</v>
      </c>
    </row>
    <row r="32" spans="1:10" x14ac:dyDescent="0.25">
      <c r="A32" s="20"/>
      <c r="B32" s="20"/>
      <c r="C32" s="20"/>
      <c r="D32" s="20"/>
      <c r="E32" s="20"/>
      <c r="F32" s="20"/>
      <c r="G32" s="22"/>
    </row>
    <row r="33" spans="1:7" x14ac:dyDescent="0.25">
      <c r="A33" s="20"/>
      <c r="B33" s="20"/>
      <c r="C33" s="20"/>
      <c r="D33" s="20"/>
      <c r="E33" s="20"/>
      <c r="F33" s="20"/>
      <c r="G33" s="22"/>
    </row>
  </sheetData>
  <mergeCells count="19">
    <mergeCell ref="A28:G28"/>
    <mergeCell ref="A30:F30"/>
    <mergeCell ref="A11:G11"/>
    <mergeCell ref="A20:F20"/>
    <mergeCell ref="A21:G21"/>
    <mergeCell ref="A27:F27"/>
    <mergeCell ref="A6:B6"/>
    <mergeCell ref="C6:G6"/>
    <mergeCell ref="A8:A9"/>
    <mergeCell ref="B8:B9"/>
    <mergeCell ref="A1:G1"/>
    <mergeCell ref="A2:G2"/>
    <mergeCell ref="A4:B4"/>
    <mergeCell ref="C4:G4"/>
    <mergeCell ref="A5:B5"/>
    <mergeCell ref="C5:G5"/>
    <mergeCell ref="C8:C9"/>
    <mergeCell ref="D8:D9"/>
    <mergeCell ref="E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17</vt:i4>
      </vt:variant>
    </vt:vector>
  </HeadingPairs>
  <TitlesOfParts>
    <vt:vector size="38" baseType="lpstr">
      <vt:lpstr>Календарный план</vt:lpstr>
      <vt:lpstr>Расчет КВЛ</vt:lpstr>
      <vt:lpstr>УНЦС</vt:lpstr>
      <vt:lpstr>Пояснительная записка</vt:lpstr>
      <vt:lpstr>Протокол</vt:lpstr>
      <vt:lpstr>НМЦ</vt:lpstr>
      <vt:lpstr>НМЦК</vt:lpstr>
      <vt:lpstr>Экологическая экспертиза расчет</vt:lpstr>
      <vt:lpstr>Сводная ПИР</vt:lpstr>
      <vt:lpstr>ПД</vt:lpstr>
      <vt:lpstr>Экспертиза</vt:lpstr>
      <vt:lpstr>Геодезия</vt:lpstr>
      <vt:lpstr>Геология</vt:lpstr>
      <vt:lpstr>Геофизика</vt:lpstr>
      <vt:lpstr>Гидромет</vt:lpstr>
      <vt:lpstr>Сели Лавины</vt:lpstr>
      <vt:lpstr>Экология</vt:lpstr>
      <vt:lpstr>Археология</vt:lpstr>
      <vt:lpstr>ВОП по форме 3П</vt:lpstr>
      <vt:lpstr>Сводная Изыскания</vt:lpstr>
      <vt:lpstr>ВОП (для справки) </vt:lpstr>
      <vt:lpstr>Геодезия!SUM_</vt:lpstr>
      <vt:lpstr>ПД!Заголовки_для_печати</vt:lpstr>
      <vt:lpstr>Экология!Заголовки_для_печати</vt:lpstr>
      <vt:lpstr>Археология!Область_печати</vt:lpstr>
      <vt:lpstr>'ВОП (для справки) '!Область_печати</vt:lpstr>
      <vt:lpstr>'ВОП по форме 3П'!Область_печати</vt:lpstr>
      <vt:lpstr>Геодезия!Область_печати</vt:lpstr>
      <vt:lpstr>Геология!Область_печати</vt:lpstr>
      <vt:lpstr>'Календарный план'!Область_печати</vt:lpstr>
      <vt:lpstr>НМЦ!Область_печати</vt:lpstr>
      <vt:lpstr>НМЦК!Область_печати</vt:lpstr>
      <vt:lpstr>'Пояснительная записка'!Область_печати</vt:lpstr>
      <vt:lpstr>Протокол!Область_печати</vt:lpstr>
      <vt:lpstr>'Расчет КВЛ'!Область_печати</vt:lpstr>
      <vt:lpstr>'Сводная ПИР'!Область_печати</vt:lpstr>
      <vt:lpstr>Экспертиза!Область_печати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2022-01-11T14:47:21Z</dcterms:modified>
</cp:coreProperties>
</file>