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5"/>
  </bookViews>
  <sheets>
    <sheet name="Протокол" sheetId="15" r:id="rId1"/>
    <sheet name="Пояснительная записка" sheetId="6" r:id="rId2"/>
    <sheet name="НМЦ" sheetId="7" r:id="rId3"/>
    <sheet name="ВОР" sheetId="14" r:id="rId4"/>
    <sheet name="Смета контракта" sheetId="13" r:id="rId5"/>
    <sheet name="График" sheetId="22" r:id="rId6"/>
    <sheet name="НМЦК" sheetId="4" r:id="rId7"/>
    <sheet name="СР-1" sheetId="5" r:id="rId8"/>
    <sheet name="РД" sheetId="21" r:id="rId9"/>
    <sheet name="Экспертиза" sheetId="23" r:id="rId10"/>
    <sheet name="Сводная ПИР" sheetId="9" r:id="rId11"/>
    <sheet name="ПД" sheetId="20" r:id="rId12"/>
    <sheet name="Экология" sheetId="18" r:id="rId13"/>
    <sheet name="Гидромет" sheetId="17" r:id="rId14"/>
    <sheet name="Геодезия" sheetId="19" r:id="rId15"/>
    <sheet name="ГРО" sheetId="16" r:id="rId16"/>
    <sheet name="ориентировочно КВЛ" sheetId="24" r:id="rId17"/>
  </sheets>
  <externalReferences>
    <externalReference r:id="rId18"/>
  </externalReferences>
  <definedNames>
    <definedName name="_xlnm.Print_Area" localSheetId="5">График!$A$1:$BV$39</definedName>
    <definedName name="_xlnm.Print_Area" localSheetId="4">'Смета контракта'!$A$1:$H$55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4" l="1"/>
  <c r="C7" i="24"/>
  <c r="C6" i="24"/>
  <c r="C5" i="24"/>
  <c r="D15" i="23"/>
  <c r="H64" i="23"/>
  <c r="H63" i="23"/>
  <c r="H62" i="23"/>
  <c r="H61" i="23"/>
  <c r="H60" i="23"/>
  <c r="D17" i="23" l="1"/>
  <c r="D11" i="23"/>
  <c r="D13" i="23" s="1"/>
  <c r="C3" i="23"/>
  <c r="D18" i="23" l="1"/>
  <c r="H19" i="23" s="1"/>
  <c r="H20" i="23" s="1"/>
  <c r="H21" i="23" s="1"/>
  <c r="F20" i="9"/>
  <c r="D40" i="4" l="1"/>
  <c r="D33" i="4"/>
  <c r="F102" i="4" l="1"/>
  <c r="F92" i="4"/>
  <c r="F83" i="4"/>
  <c r="E14" i="9"/>
  <c r="E13" i="9"/>
  <c r="E15" i="9"/>
  <c r="D33" i="5" l="1"/>
  <c r="L20" i="4"/>
  <c r="F22" i="4" l="1"/>
  <c r="G15" i="9" l="1"/>
  <c r="G14" i="9"/>
  <c r="G13" i="9"/>
  <c r="L16" i="4" l="1"/>
  <c r="L17" i="4" s="1"/>
  <c r="E17" i="9"/>
  <c r="G17" i="9" s="1"/>
  <c r="G18" i="9" s="1"/>
  <c r="F74" i="16" l="1"/>
  <c r="I74" i="16" s="1"/>
  <c r="I76" i="16" s="1"/>
  <c r="I71" i="16"/>
  <c r="F71" i="16"/>
  <c r="I56" i="16"/>
  <c r="I50" i="16"/>
  <c r="I49" i="16"/>
  <c r="I48" i="16"/>
  <c r="I47" i="16"/>
  <c r="I46" i="16"/>
  <c r="I32" i="16"/>
  <c r="I31" i="16"/>
  <c r="I28" i="16"/>
  <c r="I26" i="16"/>
  <c r="I55" i="16" s="1"/>
  <c r="I24" i="16"/>
  <c r="I22" i="16"/>
  <c r="I20" i="16"/>
  <c r="I17" i="16"/>
  <c r="I13" i="16"/>
  <c r="I57" i="16" l="1"/>
  <c r="I58" i="16" s="1"/>
  <c r="I65" i="16"/>
  <c r="I62" i="16"/>
  <c r="C72" i="16" l="1"/>
  <c r="C75" i="16"/>
  <c r="I66" i="16"/>
  <c r="I68" i="16" s="1"/>
  <c r="I69" i="16" s="1"/>
  <c r="I67" i="16"/>
  <c r="I77" i="16" l="1"/>
  <c r="I78" i="16" s="1"/>
  <c r="I79" i="16" s="1"/>
  <c r="I80" i="16" s="1"/>
  <c r="L25" i="4" s="1"/>
  <c r="L60" i="4" l="1"/>
  <c r="E4" i="15" l="1"/>
  <c r="D45" i="4" l="1"/>
  <c r="E41" i="4"/>
  <c r="D41" i="4"/>
  <c r="E32" i="4"/>
  <c r="E26" i="4"/>
  <c r="D26" i="4"/>
  <c r="H38" i="4"/>
  <c r="G38" i="4"/>
  <c r="H44" i="4"/>
  <c r="G44" i="4"/>
  <c r="H40" i="4"/>
  <c r="H34" i="4"/>
  <c r="G34" i="4"/>
  <c r="H27" i="4"/>
  <c r="G27" i="4"/>
  <c r="H35" i="4"/>
  <c r="G35" i="4"/>
  <c r="H58" i="4"/>
  <c r="G58" i="4"/>
  <c r="H57" i="4"/>
  <c r="G57" i="4"/>
  <c r="H37" i="4"/>
  <c r="G37" i="4"/>
  <c r="H24" i="4"/>
  <c r="G24" i="4"/>
  <c r="H23" i="4"/>
  <c r="G23" i="4"/>
  <c r="H33" i="4"/>
  <c r="D32" i="4"/>
  <c r="H55" i="4"/>
  <c r="G55" i="4"/>
  <c r="H56" i="4"/>
  <c r="G56" i="4"/>
  <c r="H54" i="4"/>
  <c r="G54" i="4"/>
  <c r="H53" i="4"/>
  <c r="G53" i="4"/>
  <c r="H42" i="4"/>
  <c r="G42" i="4"/>
  <c r="H29" i="4"/>
  <c r="G29" i="4"/>
  <c r="H52" i="4"/>
  <c r="G52" i="4"/>
  <c r="H51" i="4"/>
  <c r="G51" i="4"/>
  <c r="H28" i="4"/>
  <c r="G28" i="4"/>
  <c r="H48" i="4"/>
  <c r="G48" i="4"/>
  <c r="H39" i="4"/>
  <c r="G39" i="4"/>
  <c r="H30" i="4"/>
  <c r="G30" i="4"/>
  <c r="H36" i="4"/>
  <c r="G36" i="4"/>
  <c r="H31" i="4"/>
  <c r="G31" i="4"/>
  <c r="H46" i="4"/>
  <c r="G46" i="4"/>
  <c r="H47" i="4"/>
  <c r="G47" i="4"/>
  <c r="H50" i="4"/>
  <c r="G50" i="4"/>
  <c r="H49" i="4"/>
  <c r="G49" i="4"/>
  <c r="H43" i="4"/>
  <c r="G43" i="4"/>
  <c r="E22" i="4" l="1"/>
  <c r="D22" i="4"/>
  <c r="I23" i="4"/>
  <c r="J23" i="4"/>
  <c r="I31" i="4"/>
  <c r="J31" i="4"/>
  <c r="I29" i="4"/>
  <c r="J29" i="4"/>
  <c r="I24" i="4"/>
  <c r="J24" i="4"/>
  <c r="I28" i="4"/>
  <c r="J28" i="4"/>
  <c r="I42" i="4"/>
  <c r="J42" i="4"/>
  <c r="I27" i="4"/>
  <c r="J27" i="4"/>
  <c r="I30" i="4"/>
  <c r="J30" i="4"/>
  <c r="I44" i="4"/>
  <c r="J44" i="4"/>
  <c r="I48" i="4"/>
  <c r="J48" i="4"/>
  <c r="I49" i="4"/>
  <c r="J49" i="4"/>
  <c r="I35" i="4"/>
  <c r="J35" i="4"/>
  <c r="I38" i="4"/>
  <c r="J38" i="4"/>
  <c r="I55" i="4"/>
  <c r="J55" i="4"/>
  <c r="I51" i="4"/>
  <c r="J51" i="4"/>
  <c r="I53" i="4"/>
  <c r="J53" i="4"/>
  <c r="I33" i="4"/>
  <c r="J33" i="4"/>
  <c r="I57" i="4"/>
  <c r="J57" i="4"/>
  <c r="I34" i="4"/>
  <c r="J34" i="4"/>
  <c r="I50" i="4"/>
  <c r="J50" i="4"/>
  <c r="I37" i="4"/>
  <c r="J37" i="4"/>
  <c r="I47" i="4"/>
  <c r="J47" i="4"/>
  <c r="I40" i="4"/>
  <c r="J40" i="4"/>
  <c r="I56" i="4"/>
  <c r="J56" i="4"/>
  <c r="I36" i="4"/>
  <c r="J36" i="4"/>
  <c r="I46" i="4"/>
  <c r="J46" i="4"/>
  <c r="I39" i="4"/>
  <c r="J39" i="4"/>
  <c r="I52" i="4"/>
  <c r="J52" i="4"/>
  <c r="I54" i="4"/>
  <c r="J54" i="4"/>
  <c r="I58" i="4"/>
  <c r="J58" i="4"/>
  <c r="I43" i="4"/>
  <c r="J43" i="4"/>
  <c r="G26" i="4"/>
  <c r="G41" i="4"/>
  <c r="G45" i="4"/>
  <c r="G40" i="4"/>
  <c r="H26" i="4"/>
  <c r="H41" i="4"/>
  <c r="G33" i="4"/>
  <c r="H45" i="4"/>
  <c r="H32" i="4"/>
  <c r="G24" i="9"/>
  <c r="G25" i="9"/>
  <c r="H24" i="9"/>
  <c r="I24" i="9" s="1"/>
  <c r="H22" i="4" l="1"/>
  <c r="K28" i="4"/>
  <c r="L28" i="4" s="1"/>
  <c r="K23" i="4"/>
  <c r="L23" i="4" s="1"/>
  <c r="K24" i="4"/>
  <c r="L24" i="4" s="1"/>
  <c r="K42" i="4"/>
  <c r="L42" i="4" s="1"/>
  <c r="I26" i="4"/>
  <c r="K31" i="4"/>
  <c r="K30" i="4"/>
  <c r="L30" i="4" s="1"/>
  <c r="K27" i="4"/>
  <c r="J26" i="4"/>
  <c r="K29" i="4"/>
  <c r="L29" i="4" s="1"/>
  <c r="K44" i="4"/>
  <c r="L44" i="4" s="1"/>
  <c r="J41" i="4"/>
  <c r="K49" i="4"/>
  <c r="L49" i="4" s="1"/>
  <c r="K53" i="4"/>
  <c r="L53" i="4" s="1"/>
  <c r="K36" i="4"/>
  <c r="L36" i="4" s="1"/>
  <c r="K38" i="4"/>
  <c r="L38" i="4" s="1"/>
  <c r="K52" i="4"/>
  <c r="L52" i="4" s="1"/>
  <c r="K34" i="4"/>
  <c r="L34" i="4" s="1"/>
  <c r="K35" i="4"/>
  <c r="L35" i="4" s="1"/>
  <c r="K39" i="4"/>
  <c r="L39" i="4" s="1"/>
  <c r="K33" i="4"/>
  <c r="L33" i="4" s="1"/>
  <c r="K57" i="4"/>
  <c r="L57" i="4" s="1"/>
  <c r="K55" i="4"/>
  <c r="L55" i="4" s="1"/>
  <c r="K50" i="4"/>
  <c r="L50" i="4" s="1"/>
  <c r="K48" i="4"/>
  <c r="L48" i="4" s="1"/>
  <c r="K56" i="4"/>
  <c r="L56" i="4" s="1"/>
  <c r="K51" i="4"/>
  <c r="L51" i="4" s="1"/>
  <c r="K37" i="4"/>
  <c r="L37" i="4" s="1"/>
  <c r="K58" i="4"/>
  <c r="L58" i="4" s="1"/>
  <c r="K46" i="4"/>
  <c r="K47" i="4"/>
  <c r="L47" i="4" s="1"/>
  <c r="K54" i="4"/>
  <c r="L54" i="4" s="1"/>
  <c r="I32" i="4"/>
  <c r="J45" i="4"/>
  <c r="J32" i="4"/>
  <c r="K40" i="4"/>
  <c r="I45" i="4"/>
  <c r="K43" i="4"/>
  <c r="L43" i="4" s="1"/>
  <c r="I41" i="4"/>
  <c r="G32" i="4"/>
  <c r="G22" i="4" s="1"/>
  <c r="F21" i="9"/>
  <c r="G21" i="9" s="1"/>
  <c r="I22" i="4" l="1"/>
  <c r="K26" i="4"/>
  <c r="J22" i="4"/>
  <c r="L31" i="4"/>
  <c r="L27" i="4"/>
  <c r="L26" i="4" s="1"/>
  <c r="K32" i="4"/>
  <c r="K45" i="4"/>
  <c r="L46" i="4"/>
  <c r="L45" i="4" s="1"/>
  <c r="K41" i="4"/>
  <c r="L40" i="4"/>
  <c r="L32" i="4" s="1"/>
  <c r="L41" i="4"/>
  <c r="G20" i="9"/>
  <c r="K22" i="4" l="1"/>
  <c r="G22" i="9"/>
  <c r="L10" i="4"/>
  <c r="C7" i="7"/>
  <c r="C6" i="7"/>
  <c r="F88" i="4"/>
  <c r="C89" i="4" s="1"/>
  <c r="D88" i="4"/>
  <c r="F86" i="4"/>
  <c r="G26" i="9" l="1"/>
  <c r="L18" i="4"/>
  <c r="L15" i="4" s="1"/>
  <c r="C5" i="7"/>
  <c r="L11" i="4" s="1"/>
  <c r="F89" i="4"/>
  <c r="M16" i="4" l="1"/>
  <c r="N16" i="4" s="1"/>
  <c r="M17" i="4"/>
  <c r="N17" i="4" s="1"/>
  <c r="O16" i="4"/>
  <c r="O17" i="4"/>
  <c r="M67" i="4"/>
  <c r="N67" i="4" s="1"/>
  <c r="M63" i="4"/>
  <c r="N63" i="4" s="1"/>
  <c r="M66" i="4"/>
  <c r="N66" i="4" s="1"/>
  <c r="M62" i="4"/>
  <c r="N62" i="4" s="1"/>
  <c r="M69" i="4"/>
  <c r="N69" i="4" s="1"/>
  <c r="M65" i="4"/>
  <c r="N65" i="4" s="1"/>
  <c r="M61" i="4"/>
  <c r="N61" i="4" s="1"/>
  <c r="M64" i="4"/>
  <c r="N64" i="4" s="1"/>
  <c r="M68" i="4"/>
  <c r="N68" i="4" s="1"/>
  <c r="M58" i="4"/>
  <c r="N58" i="4" s="1"/>
  <c r="M50" i="4"/>
  <c r="N50" i="4" s="1"/>
  <c r="M40" i="4"/>
  <c r="M31" i="4"/>
  <c r="N31" i="4" s="1"/>
  <c r="M21" i="4"/>
  <c r="M55" i="4"/>
  <c r="N55" i="4" s="1"/>
  <c r="M28" i="4"/>
  <c r="N28" i="4" s="1"/>
  <c r="M36" i="4"/>
  <c r="N36" i="4" s="1"/>
  <c r="M33" i="4"/>
  <c r="M57" i="4"/>
  <c r="N57" i="4" s="1"/>
  <c r="M49" i="4"/>
  <c r="N49" i="4" s="1"/>
  <c r="M39" i="4"/>
  <c r="N39" i="4" s="1"/>
  <c r="M30" i="4"/>
  <c r="M20" i="4"/>
  <c r="N20" i="4" s="1"/>
  <c r="M27" i="4"/>
  <c r="N27" i="4" s="1"/>
  <c r="M56" i="4"/>
  <c r="N56" i="4" s="1"/>
  <c r="M48" i="4"/>
  <c r="N48" i="4" s="1"/>
  <c r="M38" i="4"/>
  <c r="N38" i="4" s="1"/>
  <c r="M29" i="4"/>
  <c r="M37" i="4"/>
  <c r="N37" i="4" s="1"/>
  <c r="M54" i="4"/>
  <c r="N54" i="4" s="1"/>
  <c r="M18" i="4"/>
  <c r="N18" i="4" s="1"/>
  <c r="M59" i="4"/>
  <c r="M23" i="4"/>
  <c r="N23" i="4" s="1"/>
  <c r="M47" i="4"/>
  <c r="N47" i="4" s="1"/>
  <c r="M46" i="4"/>
  <c r="N46" i="4" s="1"/>
  <c r="M51" i="4"/>
  <c r="N51" i="4" s="1"/>
  <c r="M70" i="4"/>
  <c r="M53" i="4"/>
  <c r="N53" i="4" s="1"/>
  <c r="M44" i="4"/>
  <c r="N44" i="4" s="1"/>
  <c r="M35" i="4"/>
  <c r="M25" i="4"/>
  <c r="N25" i="4" s="1"/>
  <c r="M52" i="4"/>
  <c r="N52" i="4" s="1"/>
  <c r="M43" i="4"/>
  <c r="M34" i="4"/>
  <c r="N34" i="4" s="1"/>
  <c r="M24" i="4"/>
  <c r="N24" i="4" s="1"/>
  <c r="M42" i="4"/>
  <c r="N42" i="4" s="1"/>
  <c r="O18" i="4"/>
  <c r="N15" i="4" l="1"/>
  <c r="P17" i="4"/>
  <c r="F8" i="13" s="1"/>
  <c r="G8" i="13" s="1"/>
  <c r="C14" i="7" s="1"/>
  <c r="D14" i="7" s="1"/>
  <c r="E14" i="7" s="1"/>
  <c r="P16" i="4"/>
  <c r="F7" i="13" s="1"/>
  <c r="N60" i="4"/>
  <c r="N35" i="4"/>
  <c r="N30" i="4"/>
  <c r="N43" i="4"/>
  <c r="N41" i="4" s="1"/>
  <c r="N29" i="4"/>
  <c r="N40" i="4"/>
  <c r="N33" i="4"/>
  <c r="N45" i="4"/>
  <c r="F111" i="4"/>
  <c r="D111" i="4"/>
  <c r="F109" i="4"/>
  <c r="D109" i="4"/>
  <c r="F105" i="4"/>
  <c r="F106" i="4" s="1"/>
  <c r="F97" i="4"/>
  <c r="F98" i="4" s="1"/>
  <c r="D97" i="4"/>
  <c r="F95" i="4"/>
  <c r="G7" i="13" l="1"/>
  <c r="N32" i="4"/>
  <c r="N26" i="4"/>
  <c r="F113" i="4"/>
  <c r="O21" i="4"/>
  <c r="O20" i="4"/>
  <c r="P20" i="4" s="1"/>
  <c r="F11" i="13" s="1"/>
  <c r="F107" i="4"/>
  <c r="C98" i="4"/>
  <c r="F112" i="4"/>
  <c r="C113" i="4"/>
  <c r="C112" i="4"/>
  <c r="G11" i="13" l="1"/>
  <c r="F114" i="4"/>
  <c r="C114" i="4"/>
  <c r="O67" i="4" l="1"/>
  <c r="P67" i="4" s="1"/>
  <c r="O63" i="4"/>
  <c r="P63" i="4" s="1"/>
  <c r="O66" i="4"/>
  <c r="P66" i="4" s="1"/>
  <c r="O62" i="4"/>
  <c r="P62" i="4" s="1"/>
  <c r="O69" i="4"/>
  <c r="P69" i="4" s="1"/>
  <c r="O65" i="4"/>
  <c r="P65" i="4" s="1"/>
  <c r="O61" i="4"/>
  <c r="P61" i="4" s="1"/>
  <c r="O68" i="4"/>
  <c r="P68" i="4" s="1"/>
  <c r="O64" i="4"/>
  <c r="P64" i="4" s="1"/>
  <c r="O56" i="4"/>
  <c r="P56" i="4" s="1"/>
  <c r="F47" i="13" s="1"/>
  <c r="G47" i="13" s="1"/>
  <c r="O48" i="4"/>
  <c r="P48" i="4" s="1"/>
  <c r="F39" i="13" s="1"/>
  <c r="G39" i="13" s="1"/>
  <c r="O38" i="4"/>
  <c r="P38" i="4" s="1"/>
  <c r="F29" i="13" s="1"/>
  <c r="G29" i="13" s="1"/>
  <c r="O29" i="4"/>
  <c r="O25" i="4"/>
  <c r="P25" i="4" s="1"/>
  <c r="F16" i="13" s="1"/>
  <c r="G16" i="13" s="1"/>
  <c r="O55" i="4"/>
  <c r="P55" i="4" s="1"/>
  <c r="F46" i="13" s="1"/>
  <c r="G46" i="13" s="1"/>
  <c r="O47" i="4"/>
  <c r="P47" i="4" s="1"/>
  <c r="F38" i="13" s="1"/>
  <c r="G38" i="13" s="1"/>
  <c r="O37" i="4"/>
  <c r="P37" i="4" s="1"/>
  <c r="F28" i="13" s="1"/>
  <c r="G28" i="13" s="1"/>
  <c r="O28" i="4"/>
  <c r="P28" i="4" s="1"/>
  <c r="F19" i="13" s="1"/>
  <c r="G19" i="13" s="1"/>
  <c r="O44" i="4"/>
  <c r="P44" i="4" s="1"/>
  <c r="F35" i="13" s="1"/>
  <c r="G35" i="13" s="1"/>
  <c r="O43" i="4"/>
  <c r="O54" i="4"/>
  <c r="P54" i="4" s="1"/>
  <c r="F45" i="13" s="1"/>
  <c r="G45" i="13" s="1"/>
  <c r="O46" i="4"/>
  <c r="P46" i="4" s="1"/>
  <c r="O36" i="4"/>
  <c r="P36" i="4" s="1"/>
  <c r="F27" i="13" s="1"/>
  <c r="G27" i="13" s="1"/>
  <c r="O27" i="4"/>
  <c r="P27" i="4" s="1"/>
  <c r="O53" i="4"/>
  <c r="P53" i="4" s="1"/>
  <c r="F44" i="13" s="1"/>
  <c r="G44" i="13" s="1"/>
  <c r="O52" i="4"/>
  <c r="P52" i="4" s="1"/>
  <c r="F43" i="13" s="1"/>
  <c r="G43" i="13" s="1"/>
  <c r="O24" i="4"/>
  <c r="P24" i="4" s="1"/>
  <c r="F15" i="13" s="1"/>
  <c r="G15" i="13" s="1"/>
  <c r="O70" i="4"/>
  <c r="O35" i="4"/>
  <c r="O34" i="4"/>
  <c r="P34" i="4" s="1"/>
  <c r="F25" i="13" s="1"/>
  <c r="G25" i="13" s="1"/>
  <c r="O59" i="4"/>
  <c r="O51" i="4"/>
  <c r="P51" i="4" s="1"/>
  <c r="F42" i="13" s="1"/>
  <c r="G42" i="13" s="1"/>
  <c r="O42" i="4"/>
  <c r="P42" i="4" s="1"/>
  <c r="O33" i="4"/>
  <c r="O23" i="4"/>
  <c r="P23" i="4" s="1"/>
  <c r="F14" i="13" s="1"/>
  <c r="O58" i="4"/>
  <c r="P58" i="4" s="1"/>
  <c r="F49" i="13" s="1"/>
  <c r="G49" i="13" s="1"/>
  <c r="O50" i="4"/>
  <c r="P50" i="4" s="1"/>
  <c r="F41" i="13" s="1"/>
  <c r="G41" i="13" s="1"/>
  <c r="O40" i="4"/>
  <c r="O31" i="4"/>
  <c r="P31" i="4" s="1"/>
  <c r="O57" i="4"/>
  <c r="P57" i="4" s="1"/>
  <c r="F48" i="13" s="1"/>
  <c r="G48" i="13" s="1"/>
  <c r="O49" i="4"/>
  <c r="P49" i="4" s="1"/>
  <c r="O39" i="4"/>
  <c r="P39" i="4" s="1"/>
  <c r="F30" i="13" s="1"/>
  <c r="G30" i="13" s="1"/>
  <c r="O30" i="4"/>
  <c r="K19" i="4"/>
  <c r="I19" i="4"/>
  <c r="H19" i="4"/>
  <c r="G19" i="4"/>
  <c r="F19" i="4"/>
  <c r="E19" i="4"/>
  <c r="D19" i="4"/>
  <c r="P60" i="4" l="1"/>
  <c r="F51" i="13" s="1"/>
  <c r="G51" i="13" s="1"/>
  <c r="F22" i="13"/>
  <c r="F40" i="13"/>
  <c r="P40" i="4"/>
  <c r="F31" i="13" s="1"/>
  <c r="G31" i="13" s="1"/>
  <c r="H31" i="13"/>
  <c r="P35" i="4"/>
  <c r="F26" i="13" s="1"/>
  <c r="G26" i="13" s="1"/>
  <c r="H26" i="13"/>
  <c r="P29" i="4"/>
  <c r="F20" i="13" s="1"/>
  <c r="G20" i="13" s="1"/>
  <c r="H20" i="13"/>
  <c r="P30" i="4"/>
  <c r="F21" i="13" s="1"/>
  <c r="G21" i="13" s="1"/>
  <c r="H21" i="13"/>
  <c r="P43" i="4"/>
  <c r="F34" i="13" s="1"/>
  <c r="G34" i="13" s="1"/>
  <c r="H34" i="13"/>
  <c r="H32" i="13" s="1"/>
  <c r="P33" i="4"/>
  <c r="H24" i="13"/>
  <c r="F18" i="13"/>
  <c r="F37" i="13"/>
  <c r="P45" i="4"/>
  <c r="G14" i="13"/>
  <c r="F33" i="13"/>
  <c r="G22" i="13" l="1"/>
  <c r="G40" i="13"/>
  <c r="P32" i="4"/>
  <c r="P41" i="4"/>
  <c r="H23" i="13"/>
  <c r="H17" i="13"/>
  <c r="P26" i="4"/>
  <c r="F24" i="13"/>
  <c r="F23" i="13" s="1"/>
  <c r="G37" i="13"/>
  <c r="G36" i="13" s="1"/>
  <c r="F36" i="13"/>
  <c r="F32" i="13"/>
  <c r="G33" i="13"/>
  <c r="G32" i="13" s="1"/>
  <c r="F17" i="13"/>
  <c r="G18" i="13"/>
  <c r="G17" i="13" s="1"/>
  <c r="D30" i="5"/>
  <c r="D31" i="5" s="1"/>
  <c r="D32" i="5" s="1"/>
  <c r="L59" i="4" s="1"/>
  <c r="L70" i="4" s="1"/>
  <c r="L22" i="4" s="1"/>
  <c r="D29" i="5"/>
  <c r="D22" i="5"/>
  <c r="H52" i="13" l="1"/>
  <c r="H13" i="13" s="1"/>
  <c r="G24" i="13"/>
  <c r="G23" i="13" s="1"/>
  <c r="N59" i="4"/>
  <c r="L21" i="4"/>
  <c r="N70" i="4" l="1"/>
  <c r="N22" i="4" s="1"/>
  <c r="L19" i="4"/>
  <c r="N21" i="4"/>
  <c r="P21" i="4" s="1"/>
  <c r="P59" i="4"/>
  <c r="P70" i="4" l="1"/>
  <c r="P22" i="4" s="1"/>
  <c r="F12" i="13"/>
  <c r="G12" i="13" s="1"/>
  <c r="G10" i="13" s="1"/>
  <c r="C17" i="7"/>
  <c r="D17" i="7" s="1"/>
  <c r="E17" i="7" s="1"/>
  <c r="F50" i="13"/>
  <c r="N19" i="4"/>
  <c r="L71" i="4"/>
  <c r="L72" i="4" s="1"/>
  <c r="L73" i="4" s="1"/>
  <c r="P19" i="4"/>
  <c r="C15" i="7" s="1"/>
  <c r="D15" i="7" l="1"/>
  <c r="E15" i="7" s="1"/>
  <c r="N71" i="4"/>
  <c r="N72" i="4" s="1"/>
  <c r="N73" i="4" s="1"/>
  <c r="C23" i="7"/>
  <c r="F52" i="13"/>
  <c r="F13" i="13" s="1"/>
  <c r="C22" i="7"/>
  <c r="F10" i="13"/>
  <c r="C18" i="7"/>
  <c r="D18" i="7" s="1"/>
  <c r="E18" i="7" s="1"/>
  <c r="G50" i="13"/>
  <c r="P18" i="4"/>
  <c r="P15" i="4" s="1"/>
  <c r="D22" i="7" l="1"/>
  <c r="E22" i="7" s="1"/>
  <c r="C27" i="7"/>
  <c r="D27" i="7" s="1"/>
  <c r="E27" i="7" s="1"/>
  <c r="C19" i="7"/>
  <c r="D19" i="7" s="1"/>
  <c r="G52" i="13"/>
  <c r="G13" i="13" s="1"/>
  <c r="C28" i="7"/>
  <c r="D28" i="7" s="1"/>
  <c r="E28" i="7" s="1"/>
  <c r="D23" i="7"/>
  <c r="E23" i="7" s="1"/>
  <c r="F9" i="13"/>
  <c r="F6" i="13" s="1"/>
  <c r="P71" i="4"/>
  <c r="P72" i="4" s="1"/>
  <c r="P73" i="4" s="1"/>
  <c r="E19" i="7" l="1"/>
  <c r="F53" i="13"/>
  <c r="G9" i="13"/>
  <c r="G6" i="13" s="1"/>
  <c r="C12" i="7" s="1"/>
  <c r="G53" i="13" l="1"/>
  <c r="G54" i="13" s="1"/>
  <c r="G55" i="13" s="1"/>
  <c r="F54" i="13"/>
  <c r="F55" i="13" s="1"/>
  <c r="D12" i="7" l="1"/>
  <c r="D24" i="7" s="1"/>
  <c r="C24" i="7"/>
  <c r="E12" i="7" l="1"/>
  <c r="E24" i="7" s="1"/>
  <c r="B37" i="6" s="1"/>
  <c r="H53" i="13"/>
  <c r="H54" i="13" s="1"/>
  <c r="H55" i="13" s="1"/>
  <c r="C21" i="7"/>
  <c r="G6" i="15" l="1"/>
  <c r="C26" i="7"/>
  <c r="D26" i="7" s="1"/>
  <c r="E26" i="7" s="1"/>
  <c r="D21" i="7"/>
  <c r="E21" i="7" s="1"/>
  <c r="A7" i="15"/>
</calcChain>
</file>

<file path=xl/sharedStrings.xml><?xml version="1.0" encoding="utf-8"?>
<sst xmlns="http://schemas.openxmlformats.org/spreadsheetml/2006/main" count="4933" uniqueCount="1314">
  <si>
    <t>№ п/п</t>
  </si>
  <si>
    <t>Обоснование</t>
  </si>
  <si>
    <t>Подготовительные работы. Блочные трансформаторные подстанции</t>
  </si>
  <si>
    <t>3</t>
  </si>
  <si>
    <t>Разбивка осей</t>
  </si>
  <si>
    <t>02-01</t>
  </si>
  <si>
    <t>Сети водоснабжения В1</t>
  </si>
  <si>
    <t>02-03</t>
  </si>
  <si>
    <t>Канализационные очистные сооружения</t>
  </si>
  <si>
    <t>Внутриплощадочные сети канализации К1</t>
  </si>
  <si>
    <t>04-01</t>
  </si>
  <si>
    <t>Распределительные и трансформаторные подстанции 10-0,4кВ</t>
  </si>
  <si>
    <t>04-02</t>
  </si>
  <si>
    <t>Внутриплощадочные сети 10кВ</t>
  </si>
  <si>
    <t>Кабельные линии электропередач 0,4кВ. КОС</t>
  </si>
  <si>
    <t>Вертикальная планировка.КОС</t>
  </si>
  <si>
    <t>Малые формы. КОС</t>
  </si>
  <si>
    <t>Малые формы. Распределительные и трансформаторные подстанции</t>
  </si>
  <si>
    <t>Ограждение.КОС</t>
  </si>
  <si>
    <t>Озеленение. Распределительные и трансформаторные подстанции</t>
  </si>
  <si>
    <t>Озеленение.КОС</t>
  </si>
  <si>
    <t>Покрытие. КОС</t>
  </si>
  <si>
    <t>Покрытие. Распределительные и трансформаторные подстанции</t>
  </si>
  <si>
    <t>№ п\п</t>
  </si>
  <si>
    <t>"Всесезонный туристско-рекреационный комплекс "Мамисон". Инженерные сети"</t>
  </si>
  <si>
    <t>Количество</t>
  </si>
  <si>
    <t>Оборудование</t>
  </si>
  <si>
    <t>Камеры водоснабжения</t>
  </si>
  <si>
    <t>Оборудование в камерах , колодцах</t>
  </si>
  <si>
    <t>Дренажный трубопровод</t>
  </si>
  <si>
    <t>Итого</t>
  </si>
  <si>
    <t>объект:</t>
  </si>
  <si>
    <t>по адресу:</t>
  </si>
  <si>
    <t>Основания для расчета: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</si>
  <si>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</si>
  <si>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</si>
  <si>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месяцев (в том числе с учетом получения положительного заключения государственной экспертизы).</t>
  </si>
  <si>
    <t>Наименование работ и затрат</t>
  </si>
  <si>
    <t xml:space="preserve">Индекс фактической инфляции* </t>
  </si>
  <si>
    <t>Стоимость работ в ценах на дату формирования начальной (максимальной) цены контракта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</si>
  <si>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</si>
  <si>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</si>
  <si>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 xml:space="preserve">Резерв средств на непредвиденные работы и затраты для проектных работ </t>
  </si>
  <si>
    <t>Стоимость без учета НДС</t>
  </si>
  <si>
    <t>НДС-20%</t>
  </si>
  <si>
    <t>Стоимость с учетом НДС</t>
  </si>
  <si>
    <t>4. Продолжительность строительства</t>
  </si>
  <si>
    <t>3. Ведомости объемов строительно-монтажных работ</t>
  </si>
  <si>
    <t xml:space="preserve">Расчет начальной (максимальной) цены контракта, предметом которого одновременно является
подготовка проектной документации и выполнение
инженерных изысканий, выполнение работ по строительству объектов
капитального строительства
</t>
  </si>
  <si>
    <t>Строительство</t>
  </si>
  <si>
    <t>Проектно-изыскательские работы стадии "Рабочая документация"</t>
  </si>
  <si>
    <t>Разработка рабочей документации</t>
  </si>
  <si>
    <t>1.1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</si>
  <si>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</si>
  <si>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</si>
  <si>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</si>
  <si>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</si>
  <si>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</si>
  <si>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</si>
  <si>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</si>
  <si>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</si>
  <si>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</si>
  <si>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</si>
  <si>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</si>
  <si>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</si>
  <si>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</si>
  <si>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</si>
  <si>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</si>
  <si>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</si>
  <si>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</si>
  <si>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</si>
  <si>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</si>
  <si>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</si>
  <si>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</si>
  <si>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</si>
  <si>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</si>
  <si>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</si>
  <si>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Сводная смета ПИР</t>
  </si>
  <si>
    <t xml:space="preserve">Приложение N 2
к Порядку определения НМЦК,
утвержденному приказом
Минстрой РФ
от 23 декабря 2019 г. N 841/пр, п. 179 б) Методики по приказу Минстрой РФ № 421 от 04.08.2020
</t>
  </si>
  <si>
    <t>Подготовительные работы КОС</t>
  </si>
  <si>
    <t>01-01-03</t>
  </si>
  <si>
    <t>СМР</t>
  </si>
  <si>
    <t>Прочие</t>
  </si>
  <si>
    <t>ВЗИС - 3,1%</t>
  </si>
  <si>
    <t xml:space="preserve"> ЗУ - 0,5%</t>
  </si>
  <si>
    <t>Очистные сооружения</t>
  </si>
  <si>
    <t>Выпуск хозяйственно-бытовой канализации</t>
  </si>
  <si>
    <t>Подпорная стена ПС на территории ИЛО</t>
  </si>
  <si>
    <t>Фундаменты ИЛО</t>
  </si>
  <si>
    <t>Емкость усреднителя</t>
  </si>
  <si>
    <t>Сети связи</t>
  </si>
  <si>
    <t>Внутриплощадочные сети канализации</t>
  </si>
  <si>
    <t>Общестрительные работы . Блочные трансформаторный подстанции</t>
  </si>
  <si>
    <t>Блочные комплектные трансформаторные подстанции (БКТП)</t>
  </si>
  <si>
    <t>Устройство заземлени контуров</t>
  </si>
  <si>
    <t>Внутриплощадочные сети 10кВ. Общестроительные работы</t>
  </si>
  <si>
    <t>Внеплощадочные сети электроснабжения  10кВ</t>
  </si>
  <si>
    <t>04-03-01</t>
  </si>
  <si>
    <t>07-01-01</t>
  </si>
  <si>
    <t>07-01-02</t>
  </si>
  <si>
    <t>07-01-03</t>
  </si>
  <si>
    <t>07-01-04</t>
  </si>
  <si>
    <t>07-01-05</t>
  </si>
  <si>
    <t>07-01-06</t>
  </si>
  <si>
    <t>07-01-07</t>
  </si>
  <si>
    <t>07-01-08</t>
  </si>
  <si>
    <t>07-01-09</t>
  </si>
  <si>
    <t>07-01-10</t>
  </si>
  <si>
    <t>Расчет СР 1</t>
  </si>
  <si>
    <t>Расчет выполнен согласно "Методических рекомендаций для определения затрат, связанных с осуществлением строительных и монтажных работ вахтовым методом / Росстрой / Москва 2007, приложение 7"</t>
  </si>
  <si>
    <t>Исходные данные</t>
  </si>
  <si>
    <t>Срок строительства объекта, мес</t>
  </si>
  <si>
    <t>Наименование пункта сбора кадров</t>
  </si>
  <si>
    <t>г. Владикавказ</t>
  </si>
  <si>
    <t>Транспортная схема перевозок:</t>
  </si>
  <si>
    <t xml:space="preserve"> - продолжительность времени переезда от пункта сбора до временного поселка строителей,</t>
  </si>
  <si>
    <t>Рабочие перевозятся автомобильным транспортом из г. Владикавказ до курорт Мамисон- 110 км, 1 раз в день туда, 1 раз в день - обратно</t>
  </si>
  <si>
    <t xml:space="preserve"> - вид транспорта для доставки работников,</t>
  </si>
  <si>
    <t>автомобильный</t>
  </si>
  <si>
    <t xml:space="preserve"> - потребность в гостиничном фонде в пунктах сбора и пересадок работников,</t>
  </si>
  <si>
    <t xml:space="preserve"> - потребность в организации диспетчерских служб по авиаперевозкам работников</t>
  </si>
  <si>
    <t xml:space="preserve"> - не требуется</t>
  </si>
  <si>
    <t>Расчет затрат по перевозке работников автомобильным транспортом</t>
  </si>
  <si>
    <t>Расчет затрат на проезд работников от г.Владикавказ до курорта Мамисон (104 км)</t>
  </si>
  <si>
    <t>Ед.изм</t>
  </si>
  <si>
    <t>Приложение N 7
к Методике  утвержденной
приказом Министерства строительства РФ
от 15 июня 2020 г. N 318/пр</t>
  </si>
  <si>
    <t>П - среднесписочная численность рабочих</t>
  </si>
  <si>
    <t>чел.</t>
  </si>
  <si>
    <t>Количество машин в наличии:</t>
  </si>
  <si>
    <t>1. автобус КАВЗ-4238 «Аврора»</t>
  </si>
  <si>
    <t>шт</t>
  </si>
  <si>
    <t>Вместимость машин</t>
  </si>
  <si>
    <t>Количество рабочих, перевозимых за 1 рейс 35*1</t>
  </si>
  <si>
    <t>Необходимое количество рейсов для перевозки рабочих в один конец</t>
  </si>
  <si>
    <t>Количество рабочих дней в месяц</t>
  </si>
  <si>
    <t>С - скорость перемещения транспортного средства, км/ч;</t>
  </si>
  <si>
    <t>км/час</t>
  </si>
  <si>
    <t>Пп - плечо перевозки, км</t>
  </si>
  <si>
    <t>км</t>
  </si>
  <si>
    <t>СЦЭ - сметная цена на эксплуатацию автотранспортного средства с учетом заработной платы машиниста, накладных расходов и сметной прибыли, руб./маш.-ч;</t>
  </si>
  <si>
    <t>маш.-ч</t>
  </si>
  <si>
    <t>ФСЭМ91.13.03-011</t>
  </si>
  <si>
    <t>Количество месяцев</t>
  </si>
  <si>
    <t>шт.</t>
  </si>
  <si>
    <t>руб.</t>
  </si>
  <si>
    <t>Расчет № СР-1</t>
  </si>
  <si>
    <t>Затраты, связанные с доставкой рабочих до объекта</t>
  </si>
  <si>
    <t>коэффициент, учитывающий расстояние обратного (порожнего) пробега</t>
  </si>
  <si>
    <t>коэффициент, учитывающий подготовительно-заключительное время для выполнения необходимых работ перед выездом на линию и по возвращении на автотранспортное предприятие, а также на проведение предрейсового медицинского осмотра;</t>
  </si>
  <si>
    <t>7,25*22</t>
  </si>
  <si>
    <t>(110*2/51+0)*1,035*56,81/35</t>
  </si>
  <si>
    <t>Итого перевозка всего количества рабочих за весь период</t>
  </si>
  <si>
    <t>Итого стоимость проезда  в обе стороны (на 1 работника в месяц)</t>
  </si>
  <si>
    <t>Итого стоимость проезда в обе стороны ( на 1 работника в день)</t>
  </si>
  <si>
    <t>Затраты на проезд рабочих</t>
  </si>
  <si>
    <t xml:space="preserve">месяцев </t>
  </si>
  <si>
    <t xml:space="preserve"> п. 179 б) Методики по приказу Минстрой РФ № 421 от 04.08.2020
</t>
  </si>
  <si>
    <t>Резерв средств на непредвиденные работы и затраты для строительства - 3%</t>
  </si>
  <si>
    <t>Вертикальная планировка. Распределительные и трансформаторные подстанции</t>
  </si>
  <si>
    <t>Ограждение. Распределительные и трансформаторные подстанции</t>
  </si>
  <si>
    <t>Корректировка проектной документации</t>
  </si>
  <si>
    <t>Проектно-изыскательские работы стадии "Проектная документация". Корректировка</t>
  </si>
  <si>
    <t>ПОЯСНИТЕЛЬНАЯ ЗАПИСКА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</si>
  <si>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</si>
  <si>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</si>
  <si>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</si>
  <si>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</si>
  <si>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</si>
  <si>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</si>
  <si>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 xml:space="preserve">к расчету начальной максимальной цены договора, предметом которого одновременно является
подготовка проектной документации и выполнение
инженерных изысканий, выполнение работ по строительству объектов
капитального строительства
</t>
  </si>
  <si>
    <t>Определение стоимости проектных работ</t>
  </si>
  <si>
    <t>Описание метода расчета стоимости  строительства</t>
  </si>
  <si>
    <t xml:space="preserve">Начальная максимальная цена договора (далее - НМЦД) определена в соответствии с требованием Федерального Закона от 18.07.2011 N 223-ФЗ  "О закупках товаров, работ, услуг отдельными видами юридических лиц" , Положением о закупке товаров, работ, услуг акционерного общества "КАВКАЗ.РФ", введенным в действие приказом АО "КАВКАЗ.РФ" от 16.09.2022,  Порядком определения начальной (максимальной) цены контракта, предметом которого одновременно являются подготовка проектной документации и (или) выполнение инженерных изысканий, выполнение работ по строительству, реконструкции и (или) капитальному ремонту объекта капитального строительства, включенного в перечни объектов капитального строительства, утвержденным приказом Министерства строительства и жилищно-коммунального хозяйства Российской Федерации от 30 марта 2020 г. N 175/пр (далее- Порядок определения НМЦК № 175/пр).
</t>
  </si>
  <si>
    <t xml:space="preserve">В соответствии с пунктом 6 Порядка определения НМЦК № 175/пр при определении НМЦК затраты на выполнение подрядных работ определяются на основании расчетов, выполненных с использованием укрупненных нормативов цены строительства, для которых в Отделе 2 соответствующего сборника укрупненных нормативов цены строительства имеется информация о стоимости фундаментов, и (или) технологического оборудования, и (или) проектных и изыскательских работ, и (или) удельных показателях стоимости строительства здания (сооружения) на 1 м3 и 1 м2, и (или) основных технических характеристиках конструктивных решений и видах работ объекта - представителя (далее - НЦС).
</t>
  </si>
  <si>
    <t xml:space="preserve">В соответствии с п. 8 Порядка определения НМЦК № 175/пр определение НМЦК с использованием показателей НЦС осуществляется при условии сопоставимости назначения, проектной мощности и иных характеристик объекта-представителя, учтенного в показателе НЦС, и планируемого к строительству объекта капитального строительства.
</t>
  </si>
  <si>
    <t>Проектная мощность  объектов строительства и иные характеристики объектов-представителей, учтенные в показателях НЦС, не совпадают с требуемыми характеристиками. Кроме того,  сборниками НЦС не предусмотрено выполнение работ в горной местности на высотах от 1500 м до 3000 м над уровнем моря.</t>
  </si>
  <si>
    <t>11. При отсутствии необходимых для расчета НМЦК показателей НЦС (а также в случае, если для соответствующего показателя НЦС в Отделе 2 соответствующего сборника НЦС отсутствует информация о стоимости устройства фундаментов, и (или) технологического оборудования, и (или) проектных и изыскательских работ, и (или) удельных показателях стоимости строительства здания (сооружения) на 1 м3 и 1 м2, и (или) основных технических характеристиках конструктивных решений и видах работ объекта - представителя) для определенны затрат на выполнение подрядных работ используются стоимостные показатели, принятые по сметной документации, входящей в состав проектной документации объекта капитального строительства, аналогичного по назначению, проектной мощности, конструктивным решениям, природным и иным условиям территории, на которой планируется осуществлять строительство (далее - стоимостные показатели объектов-аналогов), имеющей заключение государственной экспертизы о достоверности определения сметной стоимости строительства, реконструкции или капитального ремонта объекта капитального строительства.</t>
  </si>
  <si>
    <t xml:space="preserve">В соответствии с пунктами 11 и 12  Порядка определения НМЦК № 175/пр: 
</t>
  </si>
  <si>
    <t xml:space="preserve">12. При определении НМЦК на основании стоимостных показателей объектов-аналогов используется сметная документация объектов-аналогов, соответствующих критериям, на основании которых устанавливается аналогичность проектируемого объекта капитального строительства и объекта капитального строительства, применительно к которому подготовлена проектная документация, в отношении которой принято решение о применении типовой проектной документации, утверждаемым в соответствии с частью 4 статьи 48.2 Градостроительного кодекса Российской Федерации (Собрание законодательства Российской Федерации, 2005, N 1, ст. 16; 2021, N 27, ст. 5103).
</t>
  </si>
  <si>
    <t xml:space="preserve">Для линейных объектов в качестве аналогичных принимаются объекты, аналогичные по назначению и конструктивным решениям объекту, для которого определяется НМЦК. Стоимость планируемого к строительству линейного объекта определяется как произведение его протяженности на стоимость единицы протяженности объекта-аналога.
</t>
  </si>
  <si>
    <t>Объекты - аналоги, соответствующие конструктивным решениям объекту, для которого определяется НМЦК, отсутствуют.</t>
  </si>
  <si>
    <r>
      <t xml:space="preserve">На основании пункта 16. Порядка определения НМЦК N 175/пр., в осутствие в сметной документации, входящей в состав проектной документации объекта капитального строительства, используемой для определения стоимостных показателей конструктивных решений-аналогов отдельных стоимостных показателей конструктивных решений-аналогов (идентичных по составу затрат и используемых строительных ресурсов в соответствии с требованием п. 17 Порядка определения НМЦК N 175/пр.), необходимых для определения НМЦК </t>
    </r>
    <r>
      <rPr>
        <b/>
        <sz val="12"/>
        <rFont val="Times New Roman"/>
        <family val="1"/>
        <charset val="204"/>
      </rPr>
      <t xml:space="preserve">, стоимость строительства определена на основании расчетов, выполненных с использованием сметных нормативов, сведения о которых включены в федеральный реестр сметных нормативов.
</t>
    </r>
    <r>
      <rPr>
        <sz val="12"/>
        <rFont val="Times New Roman"/>
        <family val="1"/>
        <charset val="204"/>
      </rPr>
      <t xml:space="preserve">
</t>
    </r>
  </si>
  <si>
    <t xml:space="preserve">Виды и объемы строительно-монтажных работ в локальных сметных расчетах назначены в соответствии с предварительными ведомостями объемов работ. </t>
  </si>
  <si>
    <t>В расчете учтены затраты на временные здания и сооружения в размерах: 3,1% от суммы строительно-монтажных работ на основании п. 55 Приложения №1 Методики, утвержденной приказом Минстрой РФ от 19.06.2020 № 332/пр, зимнее удорожание в размере 0,5% от суммы строительно-монтажных работ согласно Приложению 1 п. 85 Методики, утвержденной приказом Минстрой РФ от 25. 06.2021 г. № 325/пр, непредвиденные затраты в размере 3 %  от итоговой суммы затрат по смете контракта согласно п. 179 б) Методики, утвержденной приказом Минстрой РФ от 04.08.2020 № 421/пр и возврат от разборки временных зданий и сооружений в размере 15% от суммы затрат на их возведение.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</si>
  <si>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</si>
  <si>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</si>
  <si>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>Индексы прогнозной инфляции для пересчета из уровня цен на дату определения НМЦК в уровень цен соответствующего периода разработки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 по письму Минэкономразвития России от 28.09.2022 № 36804-ПК/Д03и.</t>
  </si>
  <si>
    <t>Цена работ учитывает все затраты Подрядчика, включая стоимость корректировки проектной документации стадии "Проектная документация",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(разбивку осей сооружений, пусконаладку, затраты на проезд рабочих), накладных расходов, сметной прибыли, затрат по оплате налога на добавленную стоимость.</t>
  </si>
  <si>
    <t>Расчет стоимости проектных работ выполнен проектно-сметным методом (Расчет с использованием УНЦС и объектов-аналогов не примененим (см. пояснения в разделе описания метода расчета стоимости строительства).</t>
  </si>
  <si>
    <t>Расчет стоимости строительства выполнен проектно-сметным методом.</t>
  </si>
  <si>
    <t>Прогнозный индекс для РД на период выполнения работ:</t>
  </si>
  <si>
    <t>Дата формирования НМЦК</t>
  </si>
  <si>
    <t>Начало работ</t>
  </si>
  <si>
    <t>Окончание работ</t>
  </si>
  <si>
    <t>Период от даты определения НМЦК до даты окончания работ, мес.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</si>
  <si>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</si>
  <si>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</si>
  <si>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</si>
  <si>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</si>
  <si>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Стройки на период выполнения работ: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</si>
  <si>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</si>
  <si>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</si>
  <si>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</si>
  <si>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</si>
  <si>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</si>
  <si>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</si>
  <si>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</si>
  <si>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2023 =</t>
  </si>
  <si>
    <t>К на 2024 =</t>
  </si>
  <si>
    <t/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</si>
  <si>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</si>
  <si>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Расчет индекса фактической инфляции</t>
  </si>
  <si>
    <t>Прогнозный индекс для корректировки ПД на период выполнения работ:</t>
  </si>
  <si>
    <t>РАСЧЕТ НАЧАЛЬНОЙ МАКСИМАЛЬНОЙ ЦЕНЫ ДОГОВОРА</t>
  </si>
  <si>
    <t>по объекту: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</si>
  <si>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</si>
  <si>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</si>
  <si>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</si>
  <si>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</si>
  <si>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</si>
  <si>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</si>
  <si>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</si>
  <si>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</si>
  <si>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</si>
  <si>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1</t>
  </si>
  <si>
    <t xml:space="preserve">Разработка рабочей документации </t>
  </si>
  <si>
    <t>В том числе:</t>
  </si>
  <si>
    <t>Непредвиденные затраты</t>
  </si>
  <si>
    <t xml:space="preserve">Инфляционная составляющая </t>
  </si>
  <si>
    <t>2</t>
  </si>
  <si>
    <t>Строительство (строительные работы, оборудование, прочие затраты)</t>
  </si>
  <si>
    <t xml:space="preserve">Оборудование </t>
  </si>
  <si>
    <t xml:space="preserve">Непредвиденные расходы </t>
  </si>
  <si>
    <t xml:space="preserve">Корректировка проектной документации </t>
  </si>
  <si>
    <t xml:space="preserve">ВСЕГО </t>
  </si>
  <si>
    <t>3. Продолжительность корректировки прооекта:</t>
  </si>
  <si>
    <t xml:space="preserve">СВОДНАЯ  СМЕТА 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</si>
  <si>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</si>
  <si>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</si>
  <si>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</si>
  <si>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</si>
  <si>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АО "КАВКАЗ.РФ"</t>
  </si>
  <si>
    <t>Руб.</t>
  </si>
  <si>
    <t>Перечень выполняемых работ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</si>
  <si>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</si>
  <si>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</si>
  <si>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</si>
  <si>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Примечание</t>
  </si>
  <si>
    <t>Изыскательские работы</t>
  </si>
  <si>
    <t>Проектные работы</t>
  </si>
  <si>
    <t>комплекс</t>
  </si>
  <si>
    <t>ИТОГО по разделу 1:</t>
  </si>
  <si>
    <t>2. ПРОЕКТНЫЕ РАБОТЫ СТАДИИ ПД</t>
  </si>
  <si>
    <t>Проектная документация</t>
  </si>
  <si>
    <t>Смета № 1-пд</t>
  </si>
  <si>
    <t>ИТОГО по разделу 2:</t>
  </si>
  <si>
    <t>Оценка воздействия на водные биологические ресурсы (2 водных объекта)</t>
  </si>
  <si>
    <t>Прейскурант ФГБУ "Главрыбвод" от 29.12.2022 № 299, п. 1.3.2</t>
  </si>
  <si>
    <t>1. ИНЖЕНЕРНЫЕ ИЗЫСКАНИЯ</t>
  </si>
  <si>
    <t>3. ПРОЧИЕ ЗАТРАТЫ</t>
  </si>
  <si>
    <t>ИТОГО по разделу 3:</t>
  </si>
  <si>
    <t>ВСЕГО:</t>
  </si>
  <si>
    <t>Постановление правительства РФ от 15.07.2009г № 569
МИНИСТЕРСТВО КУЛЬТУРЫ РОССИЙСКОЙ ФЕДЕРАЦИИ
ПИСЬМО от 18 июля 2017 г.  №210-01.1-39-ВА
Разъяснение о стоимости государственной историко-культурной экспертизы. Продолжительность работ ориентировочно 15 дней.</t>
  </si>
  <si>
    <t xml:space="preserve"> </t>
  </si>
  <si>
    <r>
      <t xml:space="preserve">Раздел по обеспечению сохранности объектов культурного наследия </t>
    </r>
    <r>
      <rPr>
        <sz val="12"/>
        <color rgb="FFFF0000"/>
        <rFont val="Times New Roman"/>
        <family val="1"/>
        <charset val="204"/>
      </rPr>
      <t>(при необходимости)</t>
    </r>
  </si>
  <si>
    <r>
      <t xml:space="preserve">Выполнение историко-культурной экспертизы с получением Акта историко-культурной экспертизы </t>
    </r>
    <r>
      <rPr>
        <sz val="12"/>
        <color rgb="FFFF0000"/>
        <rFont val="Times New Roman"/>
        <family val="1"/>
        <charset val="204"/>
      </rPr>
      <t>(при необходимости)</t>
    </r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</si>
  <si>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</si>
  <si>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</si>
  <si>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</si>
  <si>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</si>
  <si>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</si>
  <si>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 xml:space="preserve">, '"Всесезонный туристско-рекреационный комплекс "Мамисон". Инженерные сети", Проектные работы стадии "Проектная документация", 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</si>
  <si>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</si>
  <si>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</si>
  <si>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</si>
  <si>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</si>
  <si>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</si>
  <si>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</si>
  <si>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Раздел 1. Система электроснабжения</t>
  </si>
  <si>
    <t xml:space="preserve">Кабельные линии напряжением до 35 кВ с интервалами протяженности:свыше 5000 м ( КЛ 10 кВ), 41190(м) </t>
  </si>
  <si>
    <t xml:space="preserve">СБЦП "Коммунальные инженерные сети и сооружения (2012)" табл.17 п.5
(СБЦП07-17-5) </t>
  </si>
  <si>
    <t>Сейсмичность 9 баллов К=1,3 и скальные грунты К =1,15 ( К общ = 1+0,3+0,15=1,45) к 71,4 % разделов проектирования (ППО- 2% ТХ- 24,5%; КР-27,5%; Искуств.-соор.-1,5%; Обустройстиво- 2,5%; Электроснабж- 10%, сметы 5%*0,68=3,4%); Кобщ=(0,714 *1,45+0,286)=1,32;</t>
  </si>
  <si>
    <t>К4=1,32 СБЦП МУ(2009) п.3.7;</t>
  </si>
  <si>
    <t>Стадийность проектирования;</t>
  </si>
  <si>
    <t>Ки1=0,4 ;</t>
  </si>
  <si>
    <t>Пояснительная записка;</t>
  </si>
  <si>
    <t xml:space="preserve"> 2%;</t>
  </si>
  <si>
    <t>Проект полосы отвода;</t>
  </si>
  <si>
    <t>Здания и сооружения, входящие в инфраструктуру объекта;</t>
  </si>
  <si>
    <t xml:space="preserve"> 6%;</t>
  </si>
  <si>
    <t>Проект организации строительства;</t>
  </si>
  <si>
    <t>Проект организации работ по сносу (демонтажу);</t>
  </si>
  <si>
    <t xml:space="preserve"> 1%;</t>
  </si>
  <si>
    <t>Мероприятия по охране окружающей среды;</t>
  </si>
  <si>
    <t xml:space="preserve"> 9%;</t>
  </si>
  <si>
    <t>Мероприятия по обеспечению пожарной безопасности;</t>
  </si>
  <si>
    <t xml:space="preserve"> 3%;</t>
  </si>
  <si>
    <t>Смета на строительство;</t>
  </si>
  <si>
    <t xml:space="preserve"> 5%;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</si>
  <si>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решения;</t>
  </si>
  <si>
    <t xml:space="preserve">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</si>
  <si>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решения;</t>
  </si>
  <si>
    <t xml:space="preserve">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</si>
  <si>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сооружения;</t>
  </si>
  <si>
    <t xml:space="preserve">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</si>
  <si>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Обустройство;</t>
  </si>
  <si>
    <t xml:space="preserve"> 2,5%;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</si>
  <si>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Электроснабжение;</t>
  </si>
  <si>
    <t xml:space="preserve"> 10%;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</si>
  <si>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</si>
  <si>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АСУ;</t>
  </si>
  <si>
    <t>Итого "Коэфф. относительной стоимости"</t>
  </si>
  <si>
    <t>Котн=100%</t>
  </si>
  <si>
    <t xml:space="preserve">Распределительные пункты 6-20 кВ, закрытый, совмещенный с подстанцией 6-20/0,4 кВ, мощностью до 2х630 кВ•А с количеством ячеек до 16 мм (РП-ТП1 с мощностью трансформаторов 2*1000 кВА), 1(1 пункт) </t>
  </si>
  <si>
    <t xml:space="preserve">СБЦП "Коммунальные инженерные сети и сооружения (2012)" табл.37 п.9
(СБЦП07-37-9) </t>
  </si>
  <si>
    <t>К2=0,5 ;</t>
  </si>
  <si>
    <t>Сейсмичность 9 баллов К=1,3 и скальные грунты К =1,15 ( К общ = 1+0,3+0,15=1,45) к 53,5 % разделов проектирования (СПЗУ- 2% ТХ-30%; КР-11%;Электроснабж.-7%, сметы 7%*0,5=3,5%); Кобщ=(0,535*1,45+0,465)=1,24;</t>
  </si>
  <si>
    <t>К3=1,24 СБЦП МУ(2009) п.3.7;</t>
  </si>
  <si>
    <t>Для подстанций с единичной мощностью трансформаторов более указанной;</t>
  </si>
  <si>
    <t>К1=1,1 ТЧ п.2.8.7.1;</t>
  </si>
  <si>
    <t>Схема планировочной организации земельного участка;</t>
  </si>
  <si>
    <t>Архитектурные решения;</t>
  </si>
  <si>
    <t>Конструктивные и объемно-планировочные решения;</t>
  </si>
  <si>
    <t xml:space="preserve"> 11%;</t>
  </si>
  <si>
    <t>Раздел "Инженерное оборудование, сети, инженерно-технические мероприятия, технологические решения": Система электроснабжения;</t>
  </si>
  <si>
    <t xml:space="preserve"> 7%;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</si>
  <si>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</si>
  <si>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</si>
  <si>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воздуха;</t>
  </si>
  <si>
    <t>Раздел "Инженерное оборудование, сети, инженерно-технические мероприятия, технологические решения": Сети связи;</t>
  </si>
  <si>
    <t>Раздел "Инженерное оборудование, сети, инженерно-технические мероприятия, технологические решения": Система газоснабжения;</t>
  </si>
  <si>
    <t>Раздел "Инженерное оборудование, сети, инженерно-технические мероприятия, технологические решения": Технологические решения;</t>
  </si>
  <si>
    <t xml:space="preserve"> 30%;</t>
  </si>
  <si>
    <t xml:space="preserve"> 8%;</t>
  </si>
  <si>
    <t>Мероприятия по обеспечению доступа инвалидов;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</si>
  <si>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ресурсов;</t>
  </si>
  <si>
    <t xml:space="preserve">Распределительные пункты 6-20 кВ, закрытый, совмещенный с подстанцией 6-20/0,4 кВ, мощностью до 2х630 кВ•А с количеством ячеек до 16 мм (РП-ТП2 с мощностью трансформаторов 2*2000 кВА), 1(1 пункт)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</si>
  <si>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(ТП1 с мощностью трансформаторов 2*630 кВА), 1(1 подстанция) </t>
  </si>
  <si>
    <t xml:space="preserve">СБЦП "Коммунальные инженерные сети и сооружения (2012)" табл.37 п.2
(СБЦП07-37-2)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</si>
  <si>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(ТП2 с мощностью трансформаторов 2*1000 кВА), 1(1 подстанция)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</si>
  <si>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(ТП3 с мощностью трансформаторов 2*250 кВА), 1(1 подстанция)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</si>
  <si>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(ТП4 с мощностью трансформаторов 2*1000 кВА), 1(1 подстанция)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</si>
  <si>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(ТП5 с мощностью трансформаторов 2*1000 кВА), 1(1 подстанция)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</si>
  <si>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(ТП6 с мощностью трансформаторов 2*1600 кВА), 1(1 подстанция) 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</si>
  <si>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 (ТП7 с мощностью трансформаторов 2*1000 кВА), 1(1 подстанция) </t>
  </si>
  <si>
    <t xml:space="preserve">Кабельные линии напряжением до 35 кВ с интервалами протяженности:свыше 100 до 500 м ( КЛ- 0,4 кВ), 214(м) </t>
  </si>
  <si>
    <t xml:space="preserve">СБЦП "Коммунальные инженерные сети и сооружения (2012)" табл.17 п.2
(СБЦП07-17-2) </t>
  </si>
  <si>
    <t xml:space="preserve">Пешеходный переход (технологическая эстакада) шириной до 3 м над железнодорожным или автодорожным проездом, из типовых конструкций пролетных строений и опор, размер наибольшего пролета до 42 м, полной длиной: свыше 25 до 600 м (Надземный кабельный переход. Ферма металлическая., 27(м) </t>
  </si>
  <si>
    <t xml:space="preserve">СБЦП "Искусственные сооружения (2015)" табл.1 п.4.2-1
(СБЦП16-1-4.2-1) </t>
  </si>
  <si>
    <t>Сейсмичность 9 баллов К=1,3 и скальные грунты К =1,15 ( К общ = 1+0,3+0,15=1,45) к 50,5% разделов проектирования (Опоры-40%, пролетные строения - 8%, сметы- 5/95*48=2,5%); Кобщ=(0,505 *1,45+0,495)=1,23;</t>
  </si>
  <si>
    <t>К4=1,23 СБЦП МУ(2009) п.3.7;</t>
  </si>
  <si>
    <t>К1=0,3 ;</t>
  </si>
  <si>
    <t>Пояснительная записка (общие вопросы проектирования);</t>
  </si>
  <si>
    <t xml:space="preserve"> 22%;</t>
  </si>
  <si>
    <t>Конструктивные решения. Искусственные сооружения: опоры;</t>
  </si>
  <si>
    <t xml:space="preserve"> 40%;</t>
  </si>
  <si>
    <t>Конструктивные решения. Искусственные сооружения: проелтные строения;</t>
  </si>
  <si>
    <t xml:space="preserve"> 18%;</t>
  </si>
  <si>
    <t>Иная документация (архитектурные решения);</t>
  </si>
  <si>
    <t>Раздел 2. Система водоснабжения</t>
  </si>
  <si>
    <t xml:space="preserve">Городской водопровод, сооружаемый открытым способом диаметром до 315 мм, протяженностью:свыше 1000 до 2000 м (диаметр 250), 1092(м) </t>
  </si>
  <si>
    <t xml:space="preserve">СБЦП "Коммунальные инженерные сети и сооружения (2012)" табл.4 п.2
(СБЦП07-4-2) </t>
  </si>
  <si>
    <t>К6=0,5 ТЧ п.2.3.4;</t>
  </si>
  <si>
    <t>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</si>
  <si>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К8=1,1 ТЧ п.2.3.3;</t>
  </si>
  <si>
    <t>Сейсмичность 9 баллов К=1,3 и скальные грунты К =1,15 ( К общ = 1+0,3+0,15=1,45) к 63,5 % разделов проектирования (ППО- 2% ТХ- 24,5%; КР-27,5%; Искуств.-соор.-1,5%; Обустройстиво- 2,5%; Водоснабж.-2,5%, сметы 5%*0,605=3%); Кобщ=(0,635 *1,45+0,365)=1,29;</t>
  </si>
  <si>
    <t>К9=1,29 	СБЦП МУ(2009) п.3.7	;</t>
  </si>
  <si>
    <t xml:space="preserve">Городской водопровод, сооружаемый открытым способом диаметром до 315 мм, протяженностью:свыше 5000 м (диаметр 315), 6604(м) </t>
  </si>
  <si>
    <t xml:space="preserve">СБЦП "Коммунальные инженерные сети и сооружения (2012)" табл.4 п.4
(СБЦП07-4-4) </t>
  </si>
  <si>
    <t xml:space="preserve">Городской водопровод, сооружаемый открытым способом диаметром свыше 315 мм до 630 мм, протяженностью:от 100 до 1000 м (диаметр 325), 162(м) </t>
  </si>
  <si>
    <t xml:space="preserve">СБЦП "Коммунальные инженерные сети и сооружения (2012)" табл.4 п.5
(СБЦП07-4-5) </t>
  </si>
  <si>
    <t xml:space="preserve">Узлы управления (камеры, колодцы, коверы) для обслуживания задвижек, гидрантов, воздушников, спускников диаметром: до 300 мм (Водопроводные камеры Габаритом 5м*4м*2,4м - 1 шт), 1(объект) </t>
  </si>
  <si>
    <t xml:space="preserve">СБЦП "Коммунальные инженерные сети и сооружения (2012)" табл.4 п.18
(СБЦП07-4-18) </t>
  </si>
  <si>
    <t>К7=0,5 ТЧ п.2.3.4;</t>
  </si>
  <si>
    <t>Сейсмичность 9 баллов К=1,3 и К=1,15 скальные грунты  к 63,5 % разделов проектирования (ППО- 2% ТХ- 24,5%; КР-27,5%; Искуств.-соор.-1,5%; Обустройстиво- 2,5%; Водоснабж.-2,5%, сметы 5%*0,605=3%); Кобщ=(0,635 *1,45+0,365)=1,29;</t>
  </si>
  <si>
    <t>Раздел "Инженерное оборудование, сети, инженерно-технические мероприятия, технологические решения": Система водоснабжения;</t>
  </si>
  <si>
    <t>Раздел "Инженерное оборудование, сети, инженерно-технические мероприятия, технологические решения": Система водоотведения;</t>
  </si>
  <si>
    <t xml:space="preserve">Узлы управления (камеры, колодцы, коверы) для обслуживания задвижек, гидрантов, воздушников, спускников диаметром: до 300 мм  (Водопроводные камеры Габаритом 5м*4м*2,4м - 5 шт), 5(объект) </t>
  </si>
  <si>
    <t>Привязка типовой или повторно применяемой проектной документации, без внесения изменений в надземную часть здания - от 0,2 до 0,35;</t>
  </si>
  <si>
    <t>К1=0,2 СБЦП МУ(2009) п.3.2;</t>
  </si>
  <si>
    <t>К2=1,29 	СБЦП МУ(2009) п.3.7	;</t>
  </si>
  <si>
    <t xml:space="preserve">Узлы управления (камеры, колодцы, коверы) для обслуживания задвижек, гидрантов, воздушников, спускников диаметром: до 300 мм (Водопроводные камеры Габаритом 3м*4м*2,4м - 1 шт), 1(объект) </t>
  </si>
  <si>
    <t xml:space="preserve">Узлы управления (камеры, колодцы, коверы) для обслуживания задвижек, гидрантов, воздушников, спускников диаметром: до 300 мм (Водопроводные камеры Габаритом 3м*3,5м*2,4м - 1 шт), 1(объект) </t>
  </si>
  <si>
    <t xml:space="preserve">Узлы управления (камеры, колодцы, коверы) для обслуживания задвижек, гидрантов, воздушников, спускников диаметром: до 300 мм  (Водопроводные камеры Габаритом 3м*3,5м*2,4м - 1 шт), 1(объект) </t>
  </si>
  <si>
    <t xml:space="preserve">Узлы управления (камеры, колодцы, коверы) для обслуживания задвижек, гидрантов, воздушников, спускников диаметром: до 300 мм  (Водопроводные колодцы д. 2 м-1 шт), 1(объект) </t>
  </si>
  <si>
    <t xml:space="preserve">Узлы управления (камеры, колодцы, коверы) для обслуживания задвижек, гидрантов, воздушников, спускников диаметром: до 300 мм  (Водопроводные колодцы д. 2 м-3 шт), 3(объект) </t>
  </si>
  <si>
    <t xml:space="preserve">Узлы управления (камеры, колодцы, коверы) для обслуживания задвижек, гидрантов, воздушников, спускников диаметром: до 300 мм  (Водопроводные колодцы д. 1,5 м-1 шт), 1(объект) </t>
  </si>
  <si>
    <t xml:space="preserve">Канализационные коллекторы, прокладываемые методом горизонтального направленного бурения, протяженностью: от 100 до 1000 м (Подземный переход-дюкер), 47,2(1 м) </t>
  </si>
  <si>
    <t xml:space="preserve">СБЦП "Объекты водоснабжения и канализации (2015)" табл.8 п.13
(СБЦП17-8-13) </t>
  </si>
  <si>
    <t>К7=0,6 ТЧ п.2.3.4;</t>
  </si>
  <si>
    <t>Сейсмичность 9 баллов К=1,3 и скальные грунты К=1,15  к 79,2 % разделов проектирования (ППО-4%, ТХ-33%, КР-37%, Смета-7*0,74=5,2%); Кобщ=(0,792*1,45+0,208)=1,36;</t>
  </si>
  <si>
    <t>К9=1,36 	СБЦП МУ(2009) п.3.7	;</t>
  </si>
  <si>
    <t xml:space="preserve"> 4%;</t>
  </si>
  <si>
    <t>Технологические и конструктивные решения линейного объекта. Искусственные сооружения (инженерное обустройство, сети): Технологические решения;</t>
  </si>
  <si>
    <t xml:space="preserve"> 33%;</t>
  </si>
  <si>
    <t>Технологические и конструктивные решения линейного объекта. Искусственные сооружения (инженерное обустройство, сети): Конструктивные решения;</t>
  </si>
  <si>
    <t xml:space="preserve"> 37%;</t>
  </si>
  <si>
    <t>Раздел 3. Система водоотведения</t>
  </si>
  <si>
    <t xml:space="preserve">Канализация (бытовая, дождевая, общесплавная), сооружаемая открытым способом диаметром до 300 мм, протяженностью:от 100 до 500 м (Диаметр 200), 192(м) </t>
  </si>
  <si>
    <t xml:space="preserve">СБЦП "Коммунальные инженерные сети и сооружения (2012)" табл.5 п.1
(СБЦП07-5-1) </t>
  </si>
  <si>
    <t>Сейсмичность 9 баллов К=1,3 и скальные грунты К =1,15 ( К общ = 1+0,3+0,15=1,45) к 63,5 % разделов проектирования (ППО- 2% ТХ- 24,5%; КР-27,5%; Искуств.-соор.-1,5%; Обустройстиво- 2,5%; Водоотв.-2,5%, сметы 5%*0,605=3%); Кобщ=(0,635 *1,45+0,365)=1,29;</t>
  </si>
  <si>
    <t>К5=1,29 СБЦП МУ(2009) п.3.7;</t>
  </si>
  <si>
    <t>К7=0,5 ;</t>
  </si>
  <si>
    <t>При проектировании городской канализации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</si>
  <si>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К8=1,1 ТЧ п.2.4.8;</t>
  </si>
  <si>
    <t xml:space="preserve">Канализация, сооружаемая открытым способом диаметром от 300 до 500 мм, протяженностью: свыше 1000 до 5000 м (Диаметр 400 мм), 2394(м) </t>
  </si>
  <si>
    <t xml:space="preserve">СБЦП "Коммунальные инженерные сети и сооружения (2012)" табл.5 п.4
(СБЦП07-5-4) </t>
  </si>
  <si>
    <t xml:space="preserve">Сооружения биологической очистки городских сточных вод производительностью: свыше 1 до 2 тыс.м3/сут, 1,5(1 тыс.м3/сут) </t>
  </si>
  <si>
    <t xml:space="preserve">СБЦП "Объекты водоснабжения и канализации (2015)" табл.10 п.4
(СБЦП17-10-4) </t>
  </si>
  <si>
    <t>Стадийность  проектирования;</t>
  </si>
  <si>
    <t>К8=0,6 ОП п.1.7;</t>
  </si>
  <si>
    <t>При проектировании зданий и сооружений   с ограждающими и несущими конструкциями из монолитного железобетона к разделу КР=18% применяется К=1,4 (усложняющий);</t>
  </si>
  <si>
    <t>К10= ОП п.1.18;</t>
  </si>
  <si>
    <t>Сейсмичность 9 баллов К=1,3 и скальные грунты К =1,15 ( К общ = 1+0,3+0,15=1,45) к 50,3 % разделов проектирования (ПЗУ- 2% ТХ- 25%; КР-18%; Водоснабж.-2%, сметы 7%*0,47=3,3%) и  К=1,4 к КР-18%.  Кобщ=(0,323 *1,45+0,18*1,85+0,497)=1,298;</t>
  </si>
  <si>
    <t>К11=1,298 СБЦП МУ(2009) п.3.7;</t>
  </si>
  <si>
    <t>Конструктивные и объемнопланировочные решения;</t>
  </si>
  <si>
    <t>Инженерное оборудование, сети, инженерно-технические мероприятия, технологические решения: Система электроснабжения;</t>
  </si>
  <si>
    <t>Инженерное оборудование, сети, инженерно-технические мероприятия, технологические решения: Система водоснабжения;</t>
  </si>
  <si>
    <t>Инженерное оборудование, сети, инженерно-технические мероприятия, технологические решения: Система водоотведения;</t>
  </si>
  <si>
    <t>Инженерное оборудование, сети, инженерно-технические мероприятия, технологические решения: Отопление, вентиляция;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</si>
  <si>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оповещения;</t>
  </si>
  <si>
    <t>Инженерное оборудование, сети, инженерно-технические мероприятия, технологические решения: Технологические решения;</t>
  </si>
  <si>
    <t xml:space="preserve"> 25%;</t>
  </si>
  <si>
    <t>Перечень мероприятий по охране окружающей среды;</t>
  </si>
  <si>
    <t>Требования к обеспечению безопасной эксплуатации объекта капитального строительства;</t>
  </si>
  <si>
    <t>Раздел 4. Слаботочные сети</t>
  </si>
  <si>
    <t xml:space="preserve">Прокладка бронированного кабеля связи в земле, протяженностью: до 250 м (ВОЛС)- 85 м., 1(объект) </t>
  </si>
  <si>
    <t xml:space="preserve">СБЦП "Коммунальные инженерные сети и сооружения (2012)" табл.1 п.42
(СБЦП07-1-42) </t>
  </si>
  <si>
    <t>При проектировании кабелей уплотненных, междугородних, оптических, телемеханики, кабельного телевидения, до;</t>
  </si>
  <si>
    <t>К2=1,2 ТЧ п.2.1.2;</t>
  </si>
  <si>
    <t xml:space="preserve">Проектируемая кабельная канализация связи емкостью до 12 отверстий включительно и протяженностью: до 250 м, 15(1 м) </t>
  </si>
  <si>
    <t xml:space="preserve">СБЦП "Объекты связи (2010)" табл.1 п.19
(СБЦП02-1-19) </t>
  </si>
  <si>
    <t>Понижающий коэффициент (15/(0.5*250));</t>
  </si>
  <si>
    <t>Кпониж=0,12;</t>
  </si>
  <si>
    <t>К3=0,36 ;</t>
  </si>
  <si>
    <t>Сейсмичность 9 баллов К=1,3  для 79,8% разделов  (связь- 1%; ТХ=22%, КР=27%; электрика -15%; смета - 5%*0,65=3,3%). К= (0,683*1,3+0,317)=1,2;</t>
  </si>
  <si>
    <t>К1=1,2 МУ п. 3.7;</t>
  </si>
  <si>
    <t>Технологические решения;</t>
  </si>
  <si>
    <t>Конструктивные решения;</t>
  </si>
  <si>
    <t xml:space="preserve"> 27%;</t>
  </si>
  <si>
    <t>Искусственные сооружения;</t>
  </si>
  <si>
    <t>Обустройство;</t>
  </si>
  <si>
    <t>Электроснабжение;</t>
  </si>
  <si>
    <t xml:space="preserve"> 15%;</t>
  </si>
  <si>
    <t>Водоснабжение и водоотведение;</t>
  </si>
  <si>
    <t>Связь, сигнализация, АСУ;</t>
  </si>
  <si>
    <t>Проект организация строительства;</t>
  </si>
  <si>
    <t>Охрана окружающей среды (ООС);</t>
  </si>
  <si>
    <t xml:space="preserve">Прокладка первого кабеля связи в проектируемой кабельной канализации при длине участка прокладки: до 250 м, 15(1 м) </t>
  </si>
  <si>
    <t xml:space="preserve">СБЦП "Объекты связи (2010)" табл.1 п.44
(СБЦП02-1-44) </t>
  </si>
  <si>
    <t>Раздел 5. Сети связи и комплексная система безопасности</t>
  </si>
  <si>
    <t xml:space="preserve">Установки периметральной охранной сигнализации при протяженности: до 0.2 км (197 п.м), 1(объект) </t>
  </si>
  <si>
    <t xml:space="preserve">СБЦ "Системы противопожарной и охранной защиты (1999)" табл.6 п.1
(СБЦ1-6-1) </t>
  </si>
  <si>
    <t>К2=0,25 ТЧ п.2.7;</t>
  </si>
  <si>
    <t>Сейсмичность 9 баллов К=1,3 для 99,9% разделов (ТР- 30%; Автом-67%; Сметы 3%* 0,97=2,91%). К= (0,991*1,3+0,009)=1,3;</t>
  </si>
  <si>
    <t>К6=1,3 МУ п. 3.7;</t>
  </si>
  <si>
    <t>Принципиальные технические решения, технико-экономический анализ;</t>
  </si>
  <si>
    <t>Автоматика и сигнализация;</t>
  </si>
  <si>
    <t xml:space="preserve"> 67%;</t>
  </si>
  <si>
    <t>Сметная документация;</t>
  </si>
  <si>
    <t xml:space="preserve">Установка промышленного телевизионного оборудования в готовом здании с числом камер от 2 до 12 (Система охранного видеонаблюдения СОТ наружные установки), 3(1 камера) </t>
  </si>
  <si>
    <t xml:space="preserve">СБЦП "Объекты связи (2010)" табл.20 п.7
(СБЦП02-20-7) </t>
  </si>
  <si>
    <t>Проектирование наружных установок промышленного телевизионного оборудования на территории объекта;</t>
  </si>
  <si>
    <t>К1=1,1 ТЧ п.2.45;</t>
  </si>
  <si>
    <t>Сейсмичность 9 баллов К=1,3 для 38,9% разделов (связь- 2%; ТХ=18%, электрика -16%, смета - 8%*0,36=2,9%) К= (0,389*1,3+0,611)=1,12</t>
  </si>
  <si>
    <t>К3=1,12 МУ п. 3.7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</si>
  <si>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СБ), 6(1 канал) </t>
  </si>
  <si>
    <t xml:space="preserve">СБЦП "Объекты связи (2010)" табл.2 п.2
(СБЦП02-2-2) </t>
  </si>
  <si>
    <t>К1=0,42 ;</t>
  </si>
  <si>
    <t>К2=1,12 МУ п. 3.7</t>
  </si>
  <si>
    <t xml:space="preserve">   Итого</t>
  </si>
  <si>
    <t xml:space="preserve">   ВСЕГО по смете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</si>
  <si>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</si>
  <si>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</si>
  <si>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</si>
  <si>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</si>
  <si>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</si>
  <si>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>(87265+22*(0.4*5000+0.6*41190))*1,32*0,4
(A+B*(0.4*X2+0.6*X))*К4*Ки1</t>
  </si>
  <si>
    <t>356 385,74</t>
  </si>
  <si>
    <t xml:space="preserve">7 127,71 </t>
  </si>
  <si>
    <t xml:space="preserve">21 383,14 </t>
  </si>
  <si>
    <t xml:space="preserve">3 563,86 </t>
  </si>
  <si>
    <t xml:space="preserve">32 074,72 </t>
  </si>
  <si>
    <t xml:space="preserve">10 691,57 </t>
  </si>
  <si>
    <t xml:space="preserve">17 819,29 </t>
  </si>
  <si>
    <t xml:space="preserve">87 314,51 </t>
  </si>
  <si>
    <t xml:space="preserve">98 006,08 </t>
  </si>
  <si>
    <t xml:space="preserve">5 345,79 </t>
  </si>
  <si>
    <t xml:space="preserve">8 909,64 </t>
  </si>
  <si>
    <t xml:space="preserve">35 638,57 </t>
  </si>
  <si>
    <t>(210540*1)*0,5*1,24*1,1
(A*X)*К2*К3*К1</t>
  </si>
  <si>
    <t>143 588,28</t>
  </si>
  <si>
    <t xml:space="preserve">2 871,77 </t>
  </si>
  <si>
    <t xml:space="preserve">7 179,41 </t>
  </si>
  <si>
    <t xml:space="preserve">15 794,71 </t>
  </si>
  <si>
    <t xml:space="preserve">10 051,18 </t>
  </si>
  <si>
    <t xml:space="preserve">8 615,30 </t>
  </si>
  <si>
    <t xml:space="preserve">1 435,88 </t>
  </si>
  <si>
    <t xml:space="preserve">43 076,48 </t>
  </si>
  <si>
    <t xml:space="preserve">4 307,65 </t>
  </si>
  <si>
    <t xml:space="preserve">11 487,06 </t>
  </si>
  <si>
    <t>(20800*1)*0,5*1,24
(A*X)*К2*К3</t>
  </si>
  <si>
    <t>12 896,00</t>
  </si>
  <si>
    <t xml:space="preserve">1 418,56 </t>
  </si>
  <si>
    <t xml:space="preserve">3 868,80 </t>
  </si>
  <si>
    <t xml:space="preserve">1 031,68 </t>
  </si>
  <si>
    <t>(20800*1)*0,5*1,24*1,1
(A*X)*К2*К3*К1</t>
  </si>
  <si>
    <t>14 185,60</t>
  </si>
  <si>
    <t xml:space="preserve">1 560,42 </t>
  </si>
  <si>
    <t xml:space="preserve">4 255,68 </t>
  </si>
  <si>
    <t xml:space="preserve">1 134,85 </t>
  </si>
  <si>
    <t>(7763+42*214)*1,32*0,4
(A+B*X)*К4*Ки1</t>
  </si>
  <si>
    <t>8 844,53</t>
  </si>
  <si>
    <t xml:space="preserve">2 166,91 </t>
  </si>
  <si>
    <t xml:space="preserve">2 432,25 </t>
  </si>
  <si>
    <t>(67100+660*27)*1,23*0,3
(A+B*X)*К4*К1</t>
  </si>
  <si>
    <t>31 335,48</t>
  </si>
  <si>
    <t xml:space="preserve">6 893,81 </t>
  </si>
  <si>
    <t xml:space="preserve">12 534,19 </t>
  </si>
  <si>
    <t xml:space="preserve">2 506,84 </t>
  </si>
  <si>
    <t xml:space="preserve">5 640,39 </t>
  </si>
  <si>
    <t xml:space="preserve">1 566,77 </t>
  </si>
  <si>
    <t xml:space="preserve">2 193,48 </t>
  </si>
  <si>
    <t>(90000+58*1092)*0,5*1,1*1,29
(A+B*X)*К6*К8*К9</t>
  </si>
  <si>
    <t>108 791,89</t>
  </si>
  <si>
    <t xml:space="preserve">2 175,84 </t>
  </si>
  <si>
    <t xml:space="preserve">6 527,51 </t>
  </si>
  <si>
    <t xml:space="preserve">1 087,92 </t>
  </si>
  <si>
    <t xml:space="preserve">9 791,27 </t>
  </si>
  <si>
    <t xml:space="preserve">3 263,76 </t>
  </si>
  <si>
    <t xml:space="preserve">5 439,59 </t>
  </si>
  <si>
    <t xml:space="preserve">26 654,01 </t>
  </si>
  <si>
    <t xml:space="preserve">29 917,77 </t>
  </si>
  <si>
    <t xml:space="preserve">1 631,88 </t>
  </si>
  <si>
    <t xml:space="preserve">2 719,80 </t>
  </si>
  <si>
    <t xml:space="preserve">10 879,19 </t>
  </si>
  <si>
    <t>(199000+20*(0.4*5000+0.6*6604))*0,5*1,1*1,29
(A+B*(0.4*X2+0.6*X))*К6*К8*К9</t>
  </si>
  <si>
    <t>225 796,96</t>
  </si>
  <si>
    <t xml:space="preserve">4 515,94 </t>
  </si>
  <si>
    <t xml:space="preserve">13 547,82 </t>
  </si>
  <si>
    <t xml:space="preserve">2 257,97 </t>
  </si>
  <si>
    <t xml:space="preserve">20 321,73 </t>
  </si>
  <si>
    <t xml:space="preserve">6 773,91 </t>
  </si>
  <si>
    <t xml:space="preserve">11 289,85 </t>
  </si>
  <si>
    <t xml:space="preserve">55 320,26 </t>
  </si>
  <si>
    <t xml:space="preserve">62 094,16 </t>
  </si>
  <si>
    <t xml:space="preserve">3 386,95 </t>
  </si>
  <si>
    <t xml:space="preserve">5 644,92 </t>
  </si>
  <si>
    <t xml:space="preserve">22 579,70 </t>
  </si>
  <si>
    <t>(25240+183*162)*0,5*1,1*1,29
(A+B*X)*К6*К8*К9</t>
  </si>
  <si>
    <t>38 941,62</t>
  </si>
  <si>
    <t xml:space="preserve">2 336,50 </t>
  </si>
  <si>
    <t xml:space="preserve">3 504,75 </t>
  </si>
  <si>
    <t xml:space="preserve">1 168,25 </t>
  </si>
  <si>
    <t xml:space="preserve">1 947,08 </t>
  </si>
  <si>
    <t xml:space="preserve">9 540,70 </t>
  </si>
  <si>
    <t xml:space="preserve">10 708,95 </t>
  </si>
  <si>
    <t xml:space="preserve">3 894,16 </t>
  </si>
  <si>
    <t>(30000*1)*0,5*1,29
(A*X)*К7*К9</t>
  </si>
  <si>
    <t>19 350,00</t>
  </si>
  <si>
    <t xml:space="preserve">1 741,50 </t>
  </si>
  <si>
    <t xml:space="preserve">1 161,00 </t>
  </si>
  <si>
    <t xml:space="preserve">4 740,75 </t>
  </si>
  <si>
    <t xml:space="preserve">5 321,25 </t>
  </si>
  <si>
    <t xml:space="preserve">1 935,00 </t>
  </si>
  <si>
    <t>(30000*5)*0,5*0,2*1,29
(A*X)*К7*К1*К2</t>
  </si>
  <si>
    <t>(30000*1)*0,5*1,29
(A*X)*К7*К2</t>
  </si>
  <si>
    <t>(30000*1)*0,5*0,2*1,29
(A*X)*К7*К1*К2</t>
  </si>
  <si>
    <t>3 870,00</t>
  </si>
  <si>
    <t xml:space="preserve">1 064,25 </t>
  </si>
  <si>
    <t>(30000*3)*0,5*0,2*1,29
(A*X)*К7*К1*К2</t>
  </si>
  <si>
    <t>11 610,00</t>
  </si>
  <si>
    <t xml:space="preserve">1 044,90 </t>
  </si>
  <si>
    <t xml:space="preserve">2 844,45 </t>
  </si>
  <si>
    <t xml:space="preserve">3 192,75 </t>
  </si>
  <si>
    <t>(47800+180*47,2)*0,6*1,36
(A+B*X)*К7*К9</t>
  </si>
  <si>
    <t>45 937,54</t>
  </si>
  <si>
    <t xml:space="preserve">1 837,50 </t>
  </si>
  <si>
    <t xml:space="preserve">15 159,39 </t>
  </si>
  <si>
    <t xml:space="preserve">16 996,89 </t>
  </si>
  <si>
    <t xml:space="preserve">3 215,63 </t>
  </si>
  <si>
    <t xml:space="preserve">4 134,38 </t>
  </si>
  <si>
    <t>(33000+128*192)*1,29*0,5*1,1
(A+B*X)*К5*К7*К8</t>
  </si>
  <si>
    <t>40 850,17</t>
  </si>
  <si>
    <t xml:space="preserve">2 451,01 </t>
  </si>
  <si>
    <t xml:space="preserve">3 676,52 </t>
  </si>
  <si>
    <t xml:space="preserve">1 225,51 </t>
  </si>
  <si>
    <t xml:space="preserve">2 042,51 </t>
  </si>
  <si>
    <t xml:space="preserve">10 008,29 </t>
  </si>
  <si>
    <t xml:space="preserve">11 233,80 </t>
  </si>
  <si>
    <t xml:space="preserve">1 021,25 </t>
  </si>
  <si>
    <t xml:space="preserve">4 085,02 </t>
  </si>
  <si>
    <t>(148040+120*2394)*1,29*0,5*1,1
(A+B*X)*К5*К7*К8</t>
  </si>
  <si>
    <t>308 859,54</t>
  </si>
  <si>
    <t xml:space="preserve">6 177,19 </t>
  </si>
  <si>
    <t xml:space="preserve">18 531,57 </t>
  </si>
  <si>
    <t xml:space="preserve">3 088,60 </t>
  </si>
  <si>
    <t xml:space="preserve">27 797,36 </t>
  </si>
  <si>
    <t xml:space="preserve">9 265,79 </t>
  </si>
  <si>
    <t xml:space="preserve">15 442,98 </t>
  </si>
  <si>
    <t xml:space="preserve">75 670,59 </t>
  </si>
  <si>
    <t xml:space="preserve">84 936,37 </t>
  </si>
  <si>
    <t xml:space="preserve">4 632,89 </t>
  </si>
  <si>
    <t xml:space="preserve">7 721,49 </t>
  </si>
  <si>
    <t xml:space="preserve">30 885,95 </t>
  </si>
  <si>
    <t>(1564910+231920*1,5)*0,6*1,298
(A+B*X)*К8*К11</t>
  </si>
  <si>
    <t>1 489 680,85</t>
  </si>
  <si>
    <t xml:space="preserve">29 793,62 </t>
  </si>
  <si>
    <t xml:space="preserve">74 484,04 </t>
  </si>
  <si>
    <t xml:space="preserve">268 142,55 </t>
  </si>
  <si>
    <t xml:space="preserve">119 174,47 </t>
  </si>
  <si>
    <t xml:space="preserve">89 380,85 </t>
  </si>
  <si>
    <t xml:space="preserve">372 420,21 </t>
  </si>
  <si>
    <t xml:space="preserve">59 587,23 </t>
  </si>
  <si>
    <t xml:space="preserve">14 896,81 </t>
  </si>
  <si>
    <t xml:space="preserve">104 277,66 </t>
  </si>
  <si>
    <t>((39000+0*(0.4*250+0.6*0.5*250))*0,12)*0,36*1,2
((A+B*(0.4*X1+0.6*0.5*X1))*Кпониж)*К3*К1</t>
  </si>
  <si>
    <t>2 021,76</t>
  </si>
  <si>
    <t>((31000+0*(0.4*250+0.6*0.5*250))*0,12)*0,36*1,2
((A+B*(0.4*X1+0.6*0.5*X1))*Кпониж)*К3*К1</t>
  </si>
  <si>
    <t>1 607,04</t>
  </si>
  <si>
    <t>(800*1)*0,25*1,3
(A*X)*К2*К6</t>
  </si>
  <si>
    <t>(36610+4570*3)*1,1*0,5*1,12
(A+B*X)*К1*К2*К3</t>
  </si>
  <si>
    <t>30 997,12</t>
  </si>
  <si>
    <t>(25980+4623*6)*0,42*1,12
(A+B*X)*К1*К2</t>
  </si>
  <si>
    <t>25 268,95</t>
  </si>
  <si>
    <t xml:space="preserve">, '"Всесезонный туристско-рекреационный комплекс "Мамисон". Инженерные сети", Проектные работы стадии "Рабочая документация", </t>
  </si>
  <si>
    <t>(87265+22*(0.4*5000+0.6*41190))*1,34*0,6
(A+B*(0.4*X2+0.6*X))*К4*Ки1</t>
  </si>
  <si>
    <t>542 678,29</t>
  </si>
  <si>
    <t>Сейсмичность 9 баллов К=1,3 и скальные грунты К =1,15 ( К общ = 1+0,3+0,15=1,45) к 76,7 % разделов проектирования ( ТХ- 24,5%; КР-23,5%; Искуств.-соор.-1,5%; Обустройстиво- 2,5%; Электроснабж- 17%, сметы 10%/0,9*0,69=7,7%); Кобщ=(0,767 *1,45+0,233)=1,34;</t>
  </si>
  <si>
    <t>К4=1,34 СБЦП МУ(2009) п.3.7;</t>
  </si>
  <si>
    <t>Ки1=0,6 ;</t>
  </si>
  <si>
    <t xml:space="preserve">43 414,26 </t>
  </si>
  <si>
    <t xml:space="preserve">27 133,91 </t>
  </si>
  <si>
    <t xml:space="preserve">54 267,83 </t>
  </si>
  <si>
    <t xml:space="preserve">132 956,18 </t>
  </si>
  <si>
    <t xml:space="preserve"> 23,5%;</t>
  </si>
  <si>
    <t xml:space="preserve">127 529,40 </t>
  </si>
  <si>
    <t xml:space="preserve">8 140,17 </t>
  </si>
  <si>
    <t xml:space="preserve">13 566,96 </t>
  </si>
  <si>
    <t xml:space="preserve"> 17%;</t>
  </si>
  <si>
    <t xml:space="preserve">92 255,31 </t>
  </si>
  <si>
    <t xml:space="preserve"> 5,5%;</t>
  </si>
  <si>
    <t xml:space="preserve">29 847,31 </t>
  </si>
  <si>
    <t>(210540*1)*0,5*1,27*1,1
(A*X)*К2*К3*К1</t>
  </si>
  <si>
    <t>147 062,19</t>
  </si>
  <si>
    <t>Сейсмичность 9 баллов К=1,3 и скальные грунты К =1,15 ( К общ = 1+0,3+0,15=1,45) к 60,2 % разделов проектирования (СПЗУ- 2% ТХ-30%; КР-15%;Электроснабж.-9%, сметы 7%/0,93*0,56=4,2%); Кобщ=(0,602*1,45+0,398)=1,27;</t>
  </si>
  <si>
    <t>К3=1,27 СБЦП МУ(2009) п.3.7;</t>
  </si>
  <si>
    <t xml:space="preserve">2 941,24 </t>
  </si>
  <si>
    <t xml:space="preserve">8 823,73 </t>
  </si>
  <si>
    <t xml:space="preserve">22 059,33 </t>
  </si>
  <si>
    <t xml:space="preserve">13 235,60 </t>
  </si>
  <si>
    <t xml:space="preserve">4 411,87 </t>
  </si>
  <si>
    <t xml:space="preserve">10 294,35 </t>
  </si>
  <si>
    <t xml:space="preserve">1 470,62 </t>
  </si>
  <si>
    <t xml:space="preserve">44 118,66 </t>
  </si>
  <si>
    <t xml:space="preserve">7 353,11 </t>
  </si>
  <si>
    <t>(210540*1)*0,5*1,1*1,27
(A*X)*К2*К1*К3</t>
  </si>
  <si>
    <t>(20800*1)*0,5*1,27
(A*X)*К2*К3</t>
  </si>
  <si>
    <t>13 208,00</t>
  </si>
  <si>
    <t xml:space="preserve">1 981,20 </t>
  </si>
  <si>
    <t xml:space="preserve">1 188,72 </t>
  </si>
  <si>
    <t xml:space="preserve">3 962,40 </t>
  </si>
  <si>
    <t>(20800*1)*0,5*1,1*1,27
(A*X)*К2*К1*К3</t>
  </si>
  <si>
    <t>14 528,80</t>
  </si>
  <si>
    <t xml:space="preserve">2 179,32 </t>
  </si>
  <si>
    <t xml:space="preserve">1 307,59 </t>
  </si>
  <si>
    <t xml:space="preserve">1 017,02 </t>
  </si>
  <si>
    <t xml:space="preserve">4 358,64 </t>
  </si>
  <si>
    <t>(7763+42*214)*1,34*0,6
(A+B*X)*К4*Ки1</t>
  </si>
  <si>
    <t>13 467,80</t>
  </si>
  <si>
    <t xml:space="preserve">1 077,42 </t>
  </si>
  <si>
    <t xml:space="preserve">1 346,78 </t>
  </si>
  <si>
    <t xml:space="preserve">3 299,61 </t>
  </si>
  <si>
    <t xml:space="preserve">3 164,93 </t>
  </si>
  <si>
    <t xml:space="preserve">2 289,53 </t>
  </si>
  <si>
    <t>(67100+660*27)*1,37*0,7
(A+B*X)*К4*К1</t>
  </si>
  <si>
    <t>81 438,28</t>
  </si>
  <si>
    <t>Сейсмичность 9 баллов К=1,3 и скальные грунты К =1,15 ( К общ = 1+0,3+0,15=1,45) к 83% разделов проектирования (Опоры-66%, пролетные строения - 12%, сметы- 6/0,94*0,78=5%); Кобщ=(0,83*1,45+0,17)=1,37;</t>
  </si>
  <si>
    <t>К4=1,37 СБЦП МУ(2009) п.3.7;</t>
  </si>
  <si>
    <t>К1=0,7 ;</t>
  </si>
  <si>
    <t xml:space="preserve"> 12%;</t>
  </si>
  <si>
    <t xml:space="preserve">9 772,59 </t>
  </si>
  <si>
    <t xml:space="preserve"> 66%;</t>
  </si>
  <si>
    <t xml:space="preserve">53 749,26 </t>
  </si>
  <si>
    <t xml:space="preserve">4 886,30 </t>
  </si>
  <si>
    <t xml:space="preserve">3 257,53 </t>
  </si>
  <si>
    <t>Сейсмичность 9 баллов К=1,3 и скальные грунты К =1,15 ( К общ = 1+0,3+0,15=1,45) к 63,9 % разделов проектирования ( ТХ- 24,5%; КР-23,5%; Искуств.-соор.-1,5%; Обустройстиво- 2,5%; Водоснабж.-5,5%, сметы 10%/0,9**0,575=6,4%); Кобщ=(0,639 *1,45+0,361)=1,29;</t>
  </si>
  <si>
    <t xml:space="preserve">8 703,35 </t>
  </si>
  <si>
    <t xml:space="preserve">25 566,09 </t>
  </si>
  <si>
    <t xml:space="preserve">18 494,62 </t>
  </si>
  <si>
    <t xml:space="preserve">5 983,55 </t>
  </si>
  <si>
    <t>(199000+20*(0.4*5000+0.6*6604))*0,5*1,1*1,29
(A+B*(0.4*X2+0.6*X))*К6*К8*К1</t>
  </si>
  <si>
    <t>К1=1,29 	СБЦП МУ(2009) п.3.7	;</t>
  </si>
  <si>
    <t xml:space="preserve">18 063,76 </t>
  </si>
  <si>
    <t xml:space="preserve">53 062,29 </t>
  </si>
  <si>
    <t xml:space="preserve">38 385,48 </t>
  </si>
  <si>
    <t xml:space="preserve">12 418,83 </t>
  </si>
  <si>
    <t>(25240+183*162)*0,5*1,1*1,29
(A+B*X)*К6*К8*К1</t>
  </si>
  <si>
    <t xml:space="preserve">3 115,33 </t>
  </si>
  <si>
    <t xml:space="preserve">9 151,28 </t>
  </si>
  <si>
    <t xml:space="preserve">6 620,08 </t>
  </si>
  <si>
    <t xml:space="preserve">2 141,79 </t>
  </si>
  <si>
    <t>(30000*1)*0,5*1,24
(A*X)*К7*К9</t>
  </si>
  <si>
    <t>18 600,00</t>
  </si>
  <si>
    <t>Сейсмичность 9 баллов К=1,3 и К=1,15 скальные грунты  к 53,8 % разделов проектирования (СПЗУ- 2% ТХ- 30%; КР-15%; Водоснабж.-3%, сметы 7%/0,93*0,5=3,8%); Кобщ=(0,538 *1,45+0,462)=1,24;</t>
  </si>
  <si>
    <t>К9=1,24 	СБЦП МУ(2009) п.3.7	;</t>
  </si>
  <si>
    <t xml:space="preserve">1 116,00 </t>
  </si>
  <si>
    <t xml:space="preserve">2 790,00 </t>
  </si>
  <si>
    <t xml:space="preserve">1 674,00 </t>
  </si>
  <si>
    <t xml:space="preserve">1 302,00 </t>
  </si>
  <si>
    <t xml:space="preserve">5 580,00 </t>
  </si>
  <si>
    <t>(30000*5)*0,5*0,2*1,24
(A*X)*К7*К1*К9</t>
  </si>
  <si>
    <t>(30000*1)*0,5*0,2*1,24
(A*X)*К7*К1*К9</t>
  </si>
  <si>
    <t>3 720,00</t>
  </si>
  <si>
    <t>(30000*3)*0,5*0,2*1,24
(A*X)*К7*К1*К9</t>
  </si>
  <si>
    <t>11 160,00</t>
  </si>
  <si>
    <t xml:space="preserve">1 004,40 </t>
  </si>
  <si>
    <t xml:space="preserve">3 348,00 </t>
  </si>
  <si>
    <t>(47800+180*47,2)*0,4*1,45
(A+B*X)*К7*К9</t>
  </si>
  <si>
    <t>32 651,68</t>
  </si>
  <si>
    <t>К7=0,4 ТЧ п.2.3.4;</t>
  </si>
  <si>
    <t>Сейсмичность 9 баллов К=1,3 и скальные грунты К=1,15  к 100 % разделов проектирования ( ТХ-46%, КР-44%, Смета-10%); Кобщ=1,45;</t>
  </si>
  <si>
    <t>К9=1,45 	СБЦП МУ(2009) п.3.7	;</t>
  </si>
  <si>
    <t xml:space="preserve"> 46%;</t>
  </si>
  <si>
    <t xml:space="preserve">15 019,77 </t>
  </si>
  <si>
    <t xml:space="preserve"> 44%;</t>
  </si>
  <si>
    <t xml:space="preserve">14 366,74 </t>
  </si>
  <si>
    <t xml:space="preserve">3 265,17 </t>
  </si>
  <si>
    <t>(33000+128*192)*0,5*1,1*1,29
(A+B*X)*К7*К8*К1</t>
  </si>
  <si>
    <t>Сейсмичность 9 баллов К=1,3 и скальные грунты К =1,15 ( К общ = 1+0,3+0,15=1,45) к 63,9 % разделов проектирования ( ТХ- 24,5%; КР-23,5%; Искуств.-соор.-1,5%; Обустройстиво- 2,5%; Водоотв.-5,5%, сметы 10%/0,9**0,575=6,4%); Кобщ=(0,639 *1,45+0,361)=1,29;</t>
  </si>
  <si>
    <t xml:space="preserve">3 268,01 </t>
  </si>
  <si>
    <t xml:space="preserve">9 599,79 </t>
  </si>
  <si>
    <t xml:space="preserve">6 944,53 </t>
  </si>
  <si>
    <t xml:space="preserve">2 246,76 </t>
  </si>
  <si>
    <t>(148040+120*2394)*0,5*1,1*1,29
(A+B*X)*К7*К8*К1</t>
  </si>
  <si>
    <t xml:space="preserve">24 708,76 </t>
  </si>
  <si>
    <t xml:space="preserve">72 581,99 </t>
  </si>
  <si>
    <t xml:space="preserve">52 506,12 </t>
  </si>
  <si>
    <t xml:space="preserve">16 987,27 </t>
  </si>
  <si>
    <t>(1564910+231920*1,5)*0,4*1,265
(A+B*X)*К8*К9</t>
  </si>
  <si>
    <t>967 871,74</t>
  </si>
  <si>
    <t>К8=0,4 ОП п.1.7;</t>
  </si>
  <si>
    <t>Сейсмичность 9 баллов К=1,3 и скальные грунты К=1,15  к 58,9 % разделов проектирования ( ТХ-20%, КР-33%, Смета-10/0,9*0,53=5,9%); Кобщ=(0,589*1,45+0,411)=1,265;</t>
  </si>
  <si>
    <t>К9=1,265 	СБЦП МУ(2009) п.3.7	;</t>
  </si>
  <si>
    <t xml:space="preserve">48 393,59 </t>
  </si>
  <si>
    <t xml:space="preserve">96 787,17 </t>
  </si>
  <si>
    <t xml:space="preserve">319 397,67 </t>
  </si>
  <si>
    <t xml:space="preserve">29 036,15 </t>
  </si>
  <si>
    <t xml:space="preserve">67 751,02 </t>
  </si>
  <si>
    <t xml:space="preserve">19 357,43 </t>
  </si>
  <si>
    <t xml:space="preserve"> 20%;</t>
  </si>
  <si>
    <t xml:space="preserve">193 574,35 </t>
  </si>
  <si>
    <t>((33000+0*(0.4*250+0.6*0.5*250))*0,1)*1,2*1,34*0,6
((A+B*(0.4*X1+0.6*0.5*X1))*Кпониж)*К2*К1*Ки1</t>
  </si>
  <si>
    <t>3 183,84</t>
  </si>
  <si>
    <t>Понижающий коэффициент;</t>
  </si>
  <si>
    <t>Кпониж=0,1;</t>
  </si>
  <si>
    <t>К1=1,34 СБЦП МУ(2009) п.3.7;</t>
  </si>
  <si>
    <t>((39000+0*(0.4*250+0.6*0.5*250))*0,12)*0,64*1,23
((A+B*(0.4*X1+0.6*0.5*X1))*Кпониж)*К3*К1</t>
  </si>
  <si>
    <t>3 684,10</t>
  </si>
  <si>
    <t>К3=0,64 ;</t>
  </si>
  <si>
    <t>Сейсмичность 9 баллов К=1,3  для 76,7% разделов  (связь- 2%; ТХ=23%, КР=27%; электрика -17%; смета - 10%/0,9*0,69=7,7%). К= (0,767*1,3+0,233)=1,23;</t>
  </si>
  <si>
    <t>К1=1,23 МУ п. 3.7;</t>
  </si>
  <si>
    <t xml:space="preserve"> 23%;</t>
  </si>
  <si>
    <t>((31000+0*(0.4*250+0.6*0.5*250))*0,12)*0,64*1,23
((A+B*(0.4*X1+0.6*0.5*X1))*Кпониж)*К3*К2</t>
  </si>
  <si>
    <t>2 928,38</t>
  </si>
  <si>
    <t>К2=1,23 МУ п. 3.7;</t>
  </si>
  <si>
    <t>(800*1)*0,75*1,3
(A*X)*К2*К6</t>
  </si>
  <si>
    <t>К2=0,75 ТЧ п.2.7;</t>
  </si>
  <si>
    <t>Сейсмичность 9 баллов К=1,3 для 100% разделов (ТР- 20%; Автом-73%; Сметы 7%).;</t>
  </si>
  <si>
    <t xml:space="preserve"> 73%;</t>
  </si>
  <si>
    <t>(36610+4570*3)*1,1*0,5*1,13
(A+B*X)*К1*К2*К3</t>
  </si>
  <si>
    <t>31 273,88</t>
  </si>
  <si>
    <t>Сейсмичность 9 баллов К=1,3 для 42,4% разделов (связь- 2%; ТХ=20%, электрика -17%, смета - 8%/0,92*0,39=3,4%) К= (0,424*1,3+0,576)=1,13;</t>
  </si>
  <si>
    <t>К3=1,13 МУ п. 3.7;</t>
  </si>
  <si>
    <t xml:space="preserve">1 876,43 </t>
  </si>
  <si>
    <t xml:space="preserve"> 16%;</t>
  </si>
  <si>
    <t xml:space="preserve">5 003,82 </t>
  </si>
  <si>
    <t>Инженерное оборудование, сети, инженерно-технические мероприятия, технологические решения: Электроснабжение;</t>
  </si>
  <si>
    <t xml:space="preserve">5 316,56 </t>
  </si>
  <si>
    <t>Инженерное оборудование, сети, инженерно-технические мероприятия, технологические решения: Водоснабжение;</t>
  </si>
  <si>
    <t>Инженерное оборудование, сети, инженерно-технические мероприятия, технологические решения: Водоотведение;</t>
  </si>
  <si>
    <t>Инженерное оборудование, сети, инженерно-технические мероприятия, технологические решения: Отопление, вентиляция, кондиционирование воздуха;</t>
  </si>
  <si>
    <t xml:space="preserve">3 440,13 </t>
  </si>
  <si>
    <t>Инженерное оборудование, сети, инженерно-технические мероприятия, технологические решения: Связь;</t>
  </si>
  <si>
    <t>Инженерное оборудование, сети, инженерно-технические мероприятия, технологические решения: Газоснабжение;</t>
  </si>
  <si>
    <t xml:space="preserve">6 254,78 </t>
  </si>
  <si>
    <t xml:space="preserve">3 127,39 </t>
  </si>
  <si>
    <t xml:space="preserve">2 501,91 </t>
  </si>
  <si>
    <t>(25980+4623*6)*0,58*1,13
(A+B*X)*К1*К3</t>
  </si>
  <si>
    <t>35 206,78</t>
  </si>
  <si>
    <t>К1=0,58 ;</t>
  </si>
  <si>
    <t>Сейсмичность 9 баллов К=1,3 для 42,4% разделов (связь- 2%; ТХ=20%, электрика -17%, смета - 8%/0,92*0,39=3,4%) К= (0,424*1,3+0,576)=1,13</t>
  </si>
  <si>
    <t>К3=1,13 МУ п. 3.7</t>
  </si>
  <si>
    <t>ВСЕГО по смете</t>
  </si>
  <si>
    <t>Сети водопровода</t>
  </si>
  <si>
    <t>по объекту '"Всесезонный туристско-рекреационный комплекс "Мамисон". Инженерные сети"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</si>
  <si>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</si>
  <si>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</si>
  <si>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</si>
  <si>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Цена, руб</t>
  </si>
  <si>
    <t>В том числе оборудование, руб.</t>
  </si>
  <si>
    <t>На единицу измерения</t>
  </si>
  <si>
    <t>Всего</t>
  </si>
  <si>
    <t>Ведомость объемов конструктивных решений (элементов) и комплексов (видов) работ</t>
  </si>
  <si>
    <t>02-01-01</t>
  </si>
  <si>
    <t>02-01-02</t>
  </si>
  <si>
    <t>02-01-03</t>
  </si>
  <si>
    <t>02-01-04</t>
  </si>
  <si>
    <t>02-02-01</t>
  </si>
  <si>
    <t>02-03-01</t>
  </si>
  <si>
    <t>02-03-02</t>
  </si>
  <si>
    <t>02-03-03</t>
  </si>
  <si>
    <t>02-03-04</t>
  </si>
  <si>
    <t>02-03-05</t>
  </si>
  <si>
    <t>02-03-06</t>
  </si>
  <si>
    <t>02-03-07</t>
  </si>
  <si>
    <t>02-03-08</t>
  </si>
  <si>
    <t>04-01-01</t>
  </si>
  <si>
    <t>04-01-02</t>
  </si>
  <si>
    <t>04-01-03</t>
  </si>
  <si>
    <t>04-02-01</t>
  </si>
  <si>
    <t>04-02-02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</si>
  <si>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</si>
  <si>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</si>
  <si>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</si>
  <si>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</si>
  <si>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руб. с учетом НДС</t>
  </si>
  <si>
    <t>Начальная (максимальная ) цена контракта включает в себя расходы:</t>
  </si>
  <si>
    <t>1.</t>
  </si>
  <si>
    <t>2.</t>
  </si>
  <si>
    <t>Создание геодезической разбивочной основы</t>
  </si>
  <si>
    <t>3.</t>
  </si>
  <si>
    <t>Затраты на оплату труда рабочих-строителей и рабочих, обслуживающих строительные машины и механизмы</t>
  </si>
  <si>
    <t>4.</t>
  </si>
  <si>
    <t>Затраты на эксплуатацию машин и механизмов</t>
  </si>
  <si>
    <t>5.</t>
  </si>
  <si>
    <t>Затраты на приобретение материалов, изделий и конструкций.</t>
  </si>
  <si>
    <t>6.</t>
  </si>
  <si>
    <t>Затраты на приобретение оборудования</t>
  </si>
  <si>
    <t>7.</t>
  </si>
  <si>
    <t xml:space="preserve">Накладные расходы </t>
  </si>
  <si>
    <t>8.</t>
  </si>
  <si>
    <t>Сметную прибыль</t>
  </si>
  <si>
    <t>9.</t>
  </si>
  <si>
    <t>Затраты на строительство временных зданий и сооружений (ВЗИС) с учетом возврата от разборки ВЗИС в размере 15 % от суммы затрат на их возведение</t>
  </si>
  <si>
    <t>10.</t>
  </si>
  <si>
    <t>Пусконаладочные работы (вхолостую)</t>
  </si>
  <si>
    <t>11.</t>
  </si>
  <si>
    <t>12.</t>
  </si>
  <si>
    <t xml:space="preserve">Резерв средств на непредвиденные работы и затраты </t>
  </si>
  <si>
    <t>13.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</si>
  <si>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</t>
  </si>
  <si>
    <t>14.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</si>
  <si>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</t>
  </si>
  <si>
    <t>15.</t>
  </si>
  <si>
    <t>Налог на добавленную стоимость в размере 20%</t>
  </si>
  <si>
    <t>Приложение:</t>
  </si>
  <si>
    <t>Расчет начальной (максимальной) цены контракта.</t>
  </si>
  <si>
    <t>Возврат от разборки ВЗИС - 15%</t>
  </si>
  <si>
    <t>Затраты на удорожание работ в зимнее время</t>
  </si>
  <si>
    <t xml:space="preserve">Затраты на проезд рабочих </t>
  </si>
  <si>
    <t>Пусконаладочные работы БКТП</t>
  </si>
  <si>
    <t>Конъюнктурный анализ</t>
  </si>
  <si>
    <t>Пусконаладочные работы РП-ТП1</t>
  </si>
  <si>
    <t>Пусконаладочные работы РП-ТП2</t>
  </si>
  <si>
    <t>Пусконаладочные работы ТП1</t>
  </si>
  <si>
    <t>Пусконаладочные работы ТП2</t>
  </si>
  <si>
    <t>Пусконаладочные работы ТП3</t>
  </si>
  <si>
    <t>Пусконаладочные работы ТП4</t>
  </si>
  <si>
    <t>Пусконаладочные работы ТП5</t>
  </si>
  <si>
    <t>Пусконаладочные работы ТП6</t>
  </si>
  <si>
    <t>Пусконаладочные работы ТП7</t>
  </si>
  <si>
    <t>01-01-01</t>
  </si>
  <si>
    <t>01-01-02</t>
  </si>
  <si>
    <t>СМЕТА № 01-01-03</t>
  </si>
  <si>
    <t>на выполнение работ по созданию геодезической разбивочной основы по объекту:</t>
  </si>
  <si>
    <t>Наименование организации-заказчика: АО "КАВКАЗ.РФ"</t>
  </si>
  <si>
    <t>Наименование исполнителя:</t>
  </si>
  <si>
    <t>Составлено по:</t>
  </si>
  <si>
    <t>1. “Справочнику базовых цен на инженерные изыскания для строительства. Инженерно-геодезические изыскания при строительстве и эксплуатации зданий и сооружений”, Москва 2006 г.,</t>
  </si>
  <si>
    <t>Обоснование стоимости</t>
  </si>
  <si>
    <t>Едини-ца измерения</t>
  </si>
  <si>
    <t>Коли-чество</t>
  </si>
  <si>
    <t>Цена</t>
  </si>
  <si>
    <t>Коэффициент</t>
  </si>
  <si>
    <t>Стоимость</t>
  </si>
  <si>
    <t xml:space="preserve">Вынос в натуру и закрепление на местности проектного положения площадки </t>
  </si>
  <si>
    <t>Т.16.п 4</t>
  </si>
  <si>
    <t>Закрепление основной оси системы водоснабжения и водоотведения: Протяженность основной трассы водопровода составляет 7858 м Протяженность основной трассы канализации – 2586 м.</t>
  </si>
  <si>
    <t>Кат.сложности  II</t>
  </si>
  <si>
    <t>Горный р-н.отметка уч. +2125</t>
  </si>
  <si>
    <t>коэф</t>
  </si>
  <si>
    <t>Т. 16, п. 4</t>
  </si>
  <si>
    <t xml:space="preserve">Закрепление основной оси системы электроснабжения : Трасcа КЛ 10 кВ протяженность - 10724 м и 0,4 кВ протяженность - 214 м </t>
  </si>
  <si>
    <t>Т.10, п.6</t>
  </si>
  <si>
    <t>Изготовление знаков закрепления оси Трассы электроснабжения, водоснабжения и водоотведения</t>
  </si>
  <si>
    <t>Кат. грунтов III,</t>
  </si>
  <si>
    <t>знак</t>
  </si>
  <si>
    <t>Т.10, п.5</t>
  </si>
  <si>
    <t xml:space="preserve">Изготовление и закладка временных пунктов разбивочный сети вдоль линейного объекта. 1 пункт через 0,5 км трассы. </t>
  </si>
  <si>
    <t>Кат.грунтов III</t>
  </si>
  <si>
    <t>Т.61, п.1</t>
  </si>
  <si>
    <t xml:space="preserve">Проложение теодолитного хода </t>
  </si>
  <si>
    <t>Кат. сложности III</t>
  </si>
  <si>
    <t>Т.61, п.2</t>
  </si>
  <si>
    <t xml:space="preserve"> Нивелирование  IV Класса для временных реперов </t>
  </si>
  <si>
    <t>Кат. сложности  III</t>
  </si>
  <si>
    <t>Рубка просек и визирок на залесенных территориях</t>
  </si>
  <si>
    <t xml:space="preserve">   </t>
  </si>
  <si>
    <t>Кат. II Кат. леса III</t>
  </si>
  <si>
    <t>Восстановление закрепления оси Трассы электроснабжения</t>
  </si>
  <si>
    <t>Кат. III</t>
  </si>
  <si>
    <t>камеральные</t>
  </si>
  <si>
    <t>Т.10, п.1</t>
  </si>
  <si>
    <t>Изготовление и установка центров : Центр полигонометрии 1 и 2 разрядов типа 5 г.р. с установкой на глубину 0,7 м</t>
  </si>
  <si>
    <t>Т. 7, п. 3</t>
  </si>
  <si>
    <t>Комплекс работ по установке грунтовых реперов</t>
  </si>
  <si>
    <t>1 знак</t>
  </si>
  <si>
    <t>Т. 15, п.8</t>
  </si>
  <si>
    <t>Создание осей сооружений ходами полигонометрии 2 разряд Кат. III</t>
  </si>
  <si>
    <t>Камеральные</t>
  </si>
  <si>
    <t>Т.9, п.6</t>
  </si>
  <si>
    <t>Нивелировка III кл. осей площадки Кат. III</t>
  </si>
  <si>
    <t>штатив</t>
  </si>
  <si>
    <t xml:space="preserve">При выполнении полевых работ в горных условиях (К-1,20) </t>
  </si>
  <si>
    <t>То же с районным коэффициентом</t>
  </si>
  <si>
    <t>То же с коэффициентом за неблагоприятный период</t>
  </si>
  <si>
    <t>Сопутствующие затраты.</t>
  </si>
  <si>
    <t>Итого по разделу</t>
  </si>
  <si>
    <t>Транспорт, организация и ликвидация работ</t>
  </si>
  <si>
    <t>Т. 4, п.3</t>
  </si>
  <si>
    <t>Внутренний транспорт</t>
  </si>
  <si>
    <t>%</t>
  </si>
  <si>
    <t>Т. 5, п.5</t>
  </si>
  <si>
    <t>Внешний транспорт</t>
  </si>
  <si>
    <t>п.13, прим.1</t>
  </si>
  <si>
    <t>Организация и ликвидация работ.</t>
  </si>
  <si>
    <t>Всего полевых работ, камеральных работ, сопутствующих затрат, транспорт, орган. ликв</t>
  </si>
  <si>
    <t>Т. 67, п.3</t>
  </si>
  <si>
    <t>Составление программы.</t>
  </si>
  <si>
    <t>программа</t>
  </si>
  <si>
    <t xml:space="preserve"> 
3400+2,4% от</t>
  </si>
  <si>
    <t>Т. 68, п.3</t>
  </si>
  <si>
    <t>Составление технического отчета.</t>
  </si>
  <si>
    <t>отчет</t>
  </si>
  <si>
    <t xml:space="preserve"> 
6600+3,6% от</t>
  </si>
  <si>
    <t>п.18 .ОУ</t>
  </si>
  <si>
    <t>Непредвиденные расходы (учет мат. на изготовление металлических закрепительных знаков).</t>
  </si>
  <si>
    <t>Итого камеральные, полевые и сопутствующие работы</t>
  </si>
  <si>
    <t xml:space="preserve">ИТОГО в базовых ценах 2001г. </t>
  </si>
  <si>
    <t xml:space="preserve">Наименование объекта изысканий: </t>
  </si>
  <si>
    <t>Заказчик: АО "КАВКАЗ.РФ"</t>
  </si>
  <si>
    <t xml:space="preserve">Подрядчик: </t>
  </si>
  <si>
    <t>Кол-во</t>
  </si>
  <si>
    <t>Расчет стоимости, руб.</t>
  </si>
  <si>
    <t>Стоимость, 
руб.</t>
  </si>
  <si>
    <t>Раздел 1. Полевые работы</t>
  </si>
  <si>
    <t>Рекогносцировочное обследование реки: категория сложности 2, полевые работы</t>
  </si>
  <si>
    <t>1 км реки</t>
  </si>
  <si>
    <t>СБЦ104-43-1-2-1</t>
  </si>
  <si>
    <t>(30*10)*1,2*1,4</t>
  </si>
  <si>
    <t>К3=1,2 ОУ п.8а; При выполнении изысканий в горных и высокогорных районах с абсолютными высотами поверхности участка над уровнем моря от 2000 до 3000 м;</t>
  </si>
  <si>
    <t>К4=1,4 ОУ п.8г При выполнении полевых изыскательских работ в неблагоприятный период года продолжительностью 8-мес.</t>
  </si>
  <si>
    <t>Рекогносцировочное обследование бассейна реки: категория сложности 2, полевые работы</t>
  </si>
  <si>
    <t>1 км маршрута</t>
  </si>
  <si>
    <t>СБЦ104-43-2-2-1</t>
  </si>
  <si>
    <t>(20*12)*1,2*1,4</t>
  </si>
  <si>
    <t>Фотоработы, ширина реки: до 20 м</t>
  </si>
  <si>
    <t>1 снимок</t>
  </si>
  <si>
    <t>СБЦ104-48-15-1</t>
  </si>
  <si>
    <t>(7*25)*1,2*1,4</t>
  </si>
  <si>
    <t xml:space="preserve">   Итого Поз. 1-3</t>
  </si>
  <si>
    <t>1 201,20</t>
  </si>
  <si>
    <t xml:space="preserve">   Итого по разделу 1 Полевые работы</t>
  </si>
  <si>
    <t>Раздел 2. Камеральные работы</t>
  </si>
  <si>
    <t>Рекогносцировочное обследование реки: категория сложности 2, камеральные работы</t>
  </si>
  <si>
    <t xml:space="preserve">СБЦ104-43-1-2-2 </t>
  </si>
  <si>
    <t>10*10</t>
  </si>
  <si>
    <t>Рекогносцировочное обследование бассейна реки: категория сложности 2, камеральные работы</t>
  </si>
  <si>
    <t xml:space="preserve">СБЦ104-43-2-2-2 </t>
  </si>
  <si>
    <t>7*12</t>
  </si>
  <si>
    <t>Составление схемы гидрометеорологической изученности бассейна реки при числе пунктов наблюдений: до 50</t>
  </si>
  <si>
    <t>1 схема</t>
  </si>
  <si>
    <t xml:space="preserve">СБЦ104-51-3 </t>
  </si>
  <si>
    <t>61*1</t>
  </si>
  <si>
    <t>Определение максимального расхода воды по формуле предельной интенсивности по готовым гидрографическим характеристикам (Расчет селевых потоков)</t>
  </si>
  <si>
    <t>1 расчет</t>
  </si>
  <si>
    <t xml:space="preserve">СБЦ104-56-1 </t>
  </si>
  <si>
    <t>77*3</t>
  </si>
  <si>
    <t>Определение максимального расхода воды по формуле предельной интенсивности по готовым гидрографическим характеристикам (Расчет параметров лавин)</t>
  </si>
  <si>
    <t>Обоснование проекта (ТЭО) производства гидрологических работ, стоимость камеральных работ: до 2 тыс.руб.(Составление программы работ)</t>
  </si>
  <si>
    <t>1 программа</t>
  </si>
  <si>
    <t xml:space="preserve">СБЦ104-53-1-2 </t>
  </si>
  <si>
    <t>450*1</t>
  </si>
  <si>
    <t>Составление технического отчета (в % от стоимости камеральных работ), стоимость камеральных работ св. 1000 до 2000 руб.: степень гидрометеорологической изученности территории - недостаточно изученная - 70%</t>
  </si>
  <si>
    <t>1 отчет</t>
  </si>
  <si>
    <t xml:space="preserve">СБЦ104-62-3-2 </t>
  </si>
  <si>
    <t>707*0,7</t>
  </si>
  <si>
    <t xml:space="preserve">   Итого Поз. 4-10</t>
  </si>
  <si>
    <t>1 651,90</t>
  </si>
  <si>
    <t xml:space="preserve">   Итого по разделу 2 Камеральные работы</t>
  </si>
  <si>
    <t>Раздел 3. Лабораторные работы</t>
  </si>
  <si>
    <t>Раздел 4. Прочие затраты</t>
  </si>
  <si>
    <t>Расходы по внутреннему транспорту при расстоянии от базы до участка изысканий 10-15 км, при сметной стоимости полевых изыскательских работ до 5 тыс. руб.</t>
  </si>
  <si>
    <t>значение</t>
  </si>
  <si>
    <t xml:space="preserve">СБЦ 103 Табл. 4 </t>
  </si>
  <si>
    <t>1201,2*0,1375</t>
  </si>
  <si>
    <t>Расходы по внешнему транспорту при расстоянии проезда в одном направлении 1000-2000 км, при экспедиционных условиях продолжительностью до 2 мес.</t>
  </si>
  <si>
    <t xml:space="preserve">СБЦ 103 Табл. 5 </t>
  </si>
  <si>
    <t>1366,37*0,322</t>
  </si>
  <si>
    <t>Расходы по организации и ликвидации работ</t>
  </si>
  <si>
    <t>СБЦ 103 ОУ п. 13</t>
  </si>
  <si>
    <t>(1366,37*0,06)*2,5</t>
  </si>
  <si>
    <t>К1=2,5 П 13. ОУ Примечание 1 При сметной стоимости до 2 тыс. руб. или при  изысканиях, выполняемых в районах Крайнего Севера и приравненных к ним местностях, а также в малонаселенных (необжитых) районах (высокогорных, пустынных, таежных и тундровых)</t>
  </si>
  <si>
    <t>Итого по разделу 4 Прочие затраты</t>
  </si>
  <si>
    <t xml:space="preserve">   Итого Поз. 11-13</t>
  </si>
  <si>
    <t xml:space="preserve">   Итого по разделу 4 Прочие затраты</t>
  </si>
  <si>
    <t xml:space="preserve">   Итого Поз. 1-13</t>
  </si>
  <si>
    <t>3 663,20</t>
  </si>
  <si>
    <t>СМЕТА № №1-из   Инженерно-геодезические изыскания</t>
  </si>
  <si>
    <t>Создание инженерно-топографического плана на незастроенной территории, масштаб съемки 1:1000, высота сечения рельефа 1,0 м: 3 категории сложности - полевые работы</t>
  </si>
  <si>
    <t>га</t>
  </si>
  <si>
    <t>СБЦ102-9-15-1-1</t>
  </si>
  <si>
    <t>(1380*16)*1,4*1,2*1,2</t>
  </si>
  <si>
    <t>44 513,28</t>
  </si>
  <si>
    <t>К2=1,4 ОУ п.8в; При выполнении полевых изыскательских работ, а также выполняемых в условиях полевого лагеря камеральных работ в неблагоприятный период года, при продолжительности неблагоприятного периода 8-9,5 мес.;</t>
  </si>
  <si>
    <t>К3=1,2 ОУ п.8а; При выполнении изысканий в горных и высокогорных районах с абсолютными высотами поверхности участка над уровнем моря: от 2000 до 3000 м;</t>
  </si>
  <si>
    <t>К1=1,2 прим.4 Для планов подземных коммуникаций на незастроенных территориях с применением трубокабелеискателей</t>
  </si>
  <si>
    <t>Итого по разделу 1 Полевые работы</t>
  </si>
  <si>
    <t xml:space="preserve">   Итого Поз. 1</t>
  </si>
  <si>
    <t>Создание инженерно-топографического плана на незастроенной территории, масштаб съемки 1:1000, высота сечения рельефа 1,0 м: 3 категории сложности - камеральные работы</t>
  </si>
  <si>
    <t xml:space="preserve">СБЦ102-9-15-1-2 </t>
  </si>
  <si>
    <t>422*16</t>
  </si>
  <si>
    <t>6 752,00</t>
  </si>
  <si>
    <t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до 100 тыс.руб. - цена = 4,3% (Программа)</t>
  </si>
  <si>
    <t xml:space="preserve">СБЦ102-78-1 </t>
  </si>
  <si>
    <t>51265,28*0,043</t>
  </si>
  <si>
    <t>2 204,41</t>
  </si>
  <si>
    <t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до 100 тыс.руб. - цена = 10,0% (Технический отчет)</t>
  </si>
  <si>
    <t>1 технический отчет</t>
  </si>
  <si>
    <t xml:space="preserve">СБЦ102-79-1 </t>
  </si>
  <si>
    <t>51265,28*0,1</t>
  </si>
  <si>
    <t>5 126,53</t>
  </si>
  <si>
    <t>Итого по разделу 2 Камеральные работы</t>
  </si>
  <si>
    <t xml:space="preserve">   Итого Поз. 2-4</t>
  </si>
  <si>
    <t>14 082,94</t>
  </si>
  <si>
    <t>Раздел 3. Прочие затраты</t>
  </si>
  <si>
    <t>Расходы по внутреннему транспорту при расстоянии от базы до участка изысканий 10-15 км, при сметной стоимости полевых изыскательских работ до 75 тыс. руб.</t>
  </si>
  <si>
    <t xml:space="preserve">СБЦ102 </t>
  </si>
  <si>
    <t>44513,28*0,1375</t>
  </si>
  <si>
    <t>6 120,58</t>
  </si>
  <si>
    <t>Расходы по внешнему транспорту при расстоянии проезда в одном направлении 1000-2000 км, при экспедиционных условиях продолжительностью до 1 мес.</t>
  </si>
  <si>
    <t>50633,86*0,364</t>
  </si>
  <si>
    <t>18 430,73</t>
  </si>
  <si>
    <t>СБЦ102</t>
  </si>
  <si>
    <t>(50633,86*0,06)*2,5</t>
  </si>
  <si>
    <t>7 595,08</t>
  </si>
  <si>
    <t>Итого по разделу 3 Прочие затраты</t>
  </si>
  <si>
    <t xml:space="preserve">   Итого Поз. 5-7</t>
  </si>
  <si>
    <t>32 146,39</t>
  </si>
  <si>
    <t xml:space="preserve">   Итого по разделу 3 Прочие затраты</t>
  </si>
  <si>
    <t xml:space="preserve">   Итого Поз. 1-7</t>
  </si>
  <si>
    <t>90 742,61</t>
  </si>
  <si>
    <t>СМЕТА № №3-из   Инженерно-экологические изыскания</t>
  </si>
  <si>
    <t>Рекогносцировочное почвенное обследование при проходимости плохой: 3 категория сложности, полевые работы</t>
  </si>
  <si>
    <t>СБЦ103-9-6-3-1</t>
  </si>
  <si>
    <t>(8,49*17)*1,4*1,2</t>
  </si>
  <si>
    <t>К2=1,4 ОУ п.8г; При выполнении полевых изыскательских работ в неблагоприятный период года: при продолжительности неблагоприятного периода 8-9,5 мес.;</t>
  </si>
  <si>
    <t>К1=1,2 ОУ п.8а При выполнении изысканий в горных и высокогорных районах с абсолютными высотами поверхности участка над уровнем моря: св. 2000 до 3000 м</t>
  </si>
  <si>
    <t>Отбор точечных проб для анализа на загрязненность по химическим показателям: почво-грунтов (методами конверта, по диагонали и т.п.)</t>
  </si>
  <si>
    <t>1 проба</t>
  </si>
  <si>
    <t>СБЦ103-60-7</t>
  </si>
  <si>
    <t>(6,9*7)*1,4*1,2</t>
  </si>
  <si>
    <t>К3=1,4 ОУ п.8г; При выполнении полевых изыскательских работ в неблагоприятный период года: при продолжительности неблагоприятного периода 8-9,5 мес.;</t>
  </si>
  <si>
    <t>К4=1,2 ОУ п.8а При выполнении изысканий в горных и высокогорных районах с абсолютными высотами поверхности участка над уровнем моря: св. 2000 до 3000 м</t>
  </si>
  <si>
    <t>Отбор точечных проб для анализа на загрязненность по химическим показателям: донных отложений из поверхностного слоя</t>
  </si>
  <si>
    <t>СБЦ103-60-5</t>
  </si>
  <si>
    <t>(6,1*7)*1,4*1,2</t>
  </si>
  <si>
    <t>Отбор проб для бактериологического анализа: почво-грунтов с одной пробной площадки</t>
  </si>
  <si>
    <t>СБЦ103-60-10</t>
  </si>
  <si>
    <t>(37,7*5)*1,4*1,2</t>
  </si>
  <si>
    <t>Отбор проб для бактериологического анализа: донных отложений</t>
  </si>
  <si>
    <t>СБЦ103-60-11</t>
  </si>
  <si>
    <t>(20,3*5)*1,4*1,2</t>
  </si>
  <si>
    <t>Отбор проб для бактериологического анализа: воды</t>
  </si>
  <si>
    <t>СБЦ103-60-9</t>
  </si>
  <si>
    <t>(18,8*5)*1,4*1,2</t>
  </si>
  <si>
    <t xml:space="preserve">   Итого Поз. 1-6</t>
  </si>
  <si>
    <t>1 040,47</t>
  </si>
  <si>
    <t>Рекогносцировочное почвенное обследование при проходимости плохой: 3 категория сложности, камеральные работы</t>
  </si>
  <si>
    <t xml:space="preserve">СБЦ103-9-6-3-2 </t>
  </si>
  <si>
    <t>2,41*17</t>
  </si>
  <si>
    <t>Составление программы производства работ, средняя глубина исследования: 5-10м, исследуемая площадь до 1км2</t>
  </si>
  <si>
    <t>СБЦ103-81-2-1</t>
  </si>
  <si>
    <t>(500*1)*1,4</t>
  </si>
  <si>
    <t>К1=1,4 прим.1 для районов 3 категории сложности инженерно-геологических условий</t>
  </si>
  <si>
    <t>Составление технического отчета (заключения) о результатах выполненных работ,  категория сложности инженерно-геологических условий 3, при стоимости камеральных работ: до 5 тыс. руб. - 25%</t>
  </si>
  <si>
    <t>СБЦ103-87-1-3</t>
  </si>
  <si>
    <t>(40,97*0,25)*1,5</t>
  </si>
  <si>
    <t>К1=1,5 МП.стр. 76 При составлении инженерно-геологических карт и разрезов с применением компьютерных технологий</t>
  </si>
  <si>
    <t xml:space="preserve">   Итого Поз. 7-9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</si>
  <si>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</t>
  </si>
  <si>
    <t>1 образец</t>
  </si>
  <si>
    <t xml:space="preserve">СБЦ103-70-57 </t>
  </si>
  <si>
    <t>7,8*7</t>
  </si>
  <si>
    <t>Единичные определения химического состава грунтов (почв): определение радионуклидов хроматомасс-спектрометрическим методом</t>
  </si>
  <si>
    <t xml:space="preserve">СБЦ103-70-69 </t>
  </si>
  <si>
    <t>147,4*7</t>
  </si>
  <si>
    <t>1 031,80</t>
  </si>
  <si>
    <t>Единичные определения химического состава грунтов (почв): определение нефтяных углеводородов хроматографическим методом</t>
  </si>
  <si>
    <t xml:space="preserve">СБЦ103-70-63 </t>
  </si>
  <si>
    <t>19,7*5</t>
  </si>
  <si>
    <t>Полный анализ воды</t>
  </si>
  <si>
    <t xml:space="preserve">СБЦ103-73-1 </t>
  </si>
  <si>
    <t>96,2*5</t>
  </si>
  <si>
    <t>Итого по разделу 3 Лабораторные работы</t>
  </si>
  <si>
    <t xml:space="preserve">   Итого Поз. 10-13</t>
  </si>
  <si>
    <t>1 665,90</t>
  </si>
  <si>
    <t xml:space="preserve">   Итого по разделу 3 Лабораторные работы</t>
  </si>
  <si>
    <t>1040,47*0,1375</t>
  </si>
  <si>
    <t>1183,53*0,364</t>
  </si>
  <si>
    <t>(1183,53*0,06)*2,5</t>
  </si>
  <si>
    <t xml:space="preserve">   Итого Поз. 14-16</t>
  </si>
  <si>
    <t xml:space="preserve">   Итого Поз. 1-16</t>
  </si>
  <si>
    <t>4 214,09</t>
  </si>
  <si>
    <t>Инженерно-геодезические изыскания</t>
  </si>
  <si>
    <t xml:space="preserve">СМЕТА №1-из   </t>
  </si>
  <si>
    <t xml:space="preserve">СМЕТА №2-из   </t>
  </si>
  <si>
    <t xml:space="preserve">СМЕТА №3-из   </t>
  </si>
  <si>
    <t>1.2</t>
  </si>
  <si>
    <t>Инженерные изыскания</t>
  </si>
  <si>
    <t xml:space="preserve">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</si>
  <si>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1.3</t>
  </si>
  <si>
    <t>Инженерно-гидрометеорологические изыскания</t>
  </si>
  <si>
    <t>Инженерно-экологические изыскания</t>
  </si>
  <si>
    <t>1.4</t>
  </si>
  <si>
    <t>1.5</t>
  </si>
  <si>
    <t>Резерв средств на непредвиденные затраты по инженерным изысканиям - 10%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</si>
  <si>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</si>
  <si>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</si>
  <si>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</si>
  <si>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Описание метода расчета стоимости изыскательских работ</t>
  </si>
  <si>
    <t>16.</t>
  </si>
  <si>
    <t>17.</t>
  </si>
  <si>
    <t>18.</t>
  </si>
  <si>
    <t>((33000+0*(0.4*250+0.6*0.5*250))*0,1)*1,2*1,32*0,4
((A+B*(0.4*X1+0.6*0.5*X1))*Кпониж)*К2*К4*Ки1</t>
  </si>
  <si>
    <t>2 090,88</t>
  </si>
  <si>
    <t xml:space="preserve">   Итого Поз. 1-31, 33-34 Индекс изменения сметной стоимости проектных работ на II квартал 2023 года к уровню цен по состоянию на 01.01.2001 по Письму Минстроя России от 02.05.2023 N24756-ИФ/09 5,4200</t>
  </si>
  <si>
    <t>17 543 220,93</t>
  </si>
  <si>
    <t xml:space="preserve">   Итого Поз. 32 Индекс изменения сметной стоимости проектных работ на II квартал 2023 к уровню цен по состоянию на 01.01.1995 по Письму Минстроя России от от 02.05.2023 N24756-ИФ/09 41,4800</t>
  </si>
  <si>
    <t>10 784,80</t>
  </si>
  <si>
    <t>17 554 005,73</t>
  </si>
  <si>
    <t>Итого по расчету: 16 081 024,97 руб.</t>
  </si>
  <si>
    <t>16 048 670,57</t>
  </si>
  <si>
    <t>32 354,40</t>
  </si>
  <si>
    <t>16 081 024,97</t>
  </si>
  <si>
    <t xml:space="preserve">СМЕТА № 1-РД   </t>
  </si>
  <si>
    <t>Стоимость работ в ценах  сметной документации
II квартала 2023 г.</t>
  </si>
  <si>
    <t>Итого с учетом индекса перевода в текущие цены на II  кв. 2023 г. (Письмо Минстроя России от 11.05.2023 г. №26728-ИФ/09, подземная прокладка кабеля с алюминиевыми жилами, эксплуатация машин и механизмов- 8,62)</t>
  </si>
  <si>
    <t xml:space="preserve">   Всего c учетом "ИТОГО  в текущих ценах на II квартал 2023 года к уровню цен по состоянию на 01.01.1991 по Письму Минстроя России от 02.05.2023 N24756-ИФ/09 62,1900"</t>
  </si>
  <si>
    <t>64 706,83</t>
  </si>
  <si>
    <t>47 036,16</t>
  </si>
  <si>
    <t>103 602,32</t>
  </si>
  <si>
    <t>46 728,94</t>
  </si>
  <si>
    <t>262 074,26</t>
  </si>
  <si>
    <t xml:space="preserve">   Всего c учетом "Индекс изменения сметной стоимости проектных работ на II квартал 2023 года к уровню цен по состоянию на 01.01.2001 по Письму Минстроя России от 02.05.2023 N24756-ИФ/09 5,4600"</t>
  </si>
  <si>
    <t>243 042,51</t>
  </si>
  <si>
    <t>76 892,85</t>
  </si>
  <si>
    <t>175 519,29</t>
  </si>
  <si>
    <t>495 454,65</t>
  </si>
  <si>
    <t>СМЕТА № №2-из   Гидрометеорологические изыскания</t>
  </si>
  <si>
    <t>74 702,63</t>
  </si>
  <si>
    <t>102 731,66</t>
  </si>
  <si>
    <t>50 380,12</t>
  </si>
  <si>
    <t>227 814,41</t>
  </si>
  <si>
    <t>Сметный расчет составлен по Справочнику базовых цен на инженерно-геологические и инженерно-экологические изыскания для строительства, 1998 г.</t>
  </si>
  <si>
    <t>Сметный расчет составлен по Справочнику базовых цен на инженерно-гидрографические и инженерно-гидрометеорологические изыскания на реках,2000 г.</t>
  </si>
  <si>
    <t>Сметный расчет составлен по Справочнику базовых цен на инженерно-геодезические изыскания,2004 г.</t>
  </si>
  <si>
    <t xml:space="preserve">   Всего c учетом "Индекс изменения сметной стоимости проектных работ на II квартал 2023 года к уровню цен по состоянию на 01.01.2001 по Письму Минстроя России от 02.05.2023 N24756-ИФ/09 5,46"</t>
  </si>
  <si>
    <t>Уровень цен в сметных расчетах  - на 01.07.2023</t>
  </si>
  <si>
    <t>Индекс пересчета в текущие цены на  II квартал 2023 года по Письму Минстроя России от 02.05.2023 N24756-ИФ/09</t>
  </si>
  <si>
    <t>Индекс пересчета в текущие цены на II квартал 2023 года по Письму Минстроя России от 02.05.2023 N24756-ИФ/09</t>
  </si>
  <si>
    <t xml:space="preserve">Локальные сметные расчеты выполнены базисно-индексным методом с использованием сметно-нормативной базы ФЕР 2020 с изменениями 1-9 с КСР по приказу Минстрой рФ № 969/пр от 17.11.2022, с пересчетом в уровень цен II квартал 2023 года по Письму Минстроя России от 11.05.2023 г. №26728-ИФ/09 (оплата труда, материалы, эксплуатация машин, оборудование) для Северной Осетии- Алании к соответствующим видам работ. </t>
  </si>
  <si>
    <t>Согласовано:</t>
  </si>
  <si>
    <t>Утверждаю:</t>
  </si>
  <si>
    <t>______________________________________</t>
  </si>
  <si>
    <t>_________________________________</t>
  </si>
  <si>
    <t>График производства работ по объекту:</t>
  </si>
  <si>
    <t xml:space="preserve">«Проектирование объекта капитального строительства»           </t>
  </si>
  <si>
    <t xml:space="preserve">«Всесезонный туристско-рекреационный комплекс «Мамисон», (инженерные сети). Корректировка»           </t>
  </si>
  <si>
    <t>Наименование работ (затрат)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</si>
  <si>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</si>
  <si>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</si>
  <si>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</si>
  <si>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</si>
  <si>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</si>
  <si>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</si>
  <si>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</si>
  <si>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</si>
  <si>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</si>
  <si>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</si>
  <si>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</si>
  <si>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</si>
  <si>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Работы подготовительного периода (мобилизация)</t>
  </si>
  <si>
    <t>Корректировка проектной документации стадии П</t>
  </si>
  <si>
    <t>Разработка проектной документации стадии Р</t>
  </si>
  <si>
    <t>Подготовка территории строительства</t>
  </si>
  <si>
    <t>4.1.</t>
  </si>
  <si>
    <t>4.2.</t>
  </si>
  <si>
    <t>Подготовительные работы .КОС</t>
  </si>
  <si>
    <t>4.3.</t>
  </si>
  <si>
    <t>Разбивка осей (ГРО)</t>
  </si>
  <si>
    <t>Основные объекты строительства</t>
  </si>
  <si>
    <t>5.1.</t>
  </si>
  <si>
    <t>5.2.</t>
  </si>
  <si>
    <t>Объекты энергетического хозяйства</t>
  </si>
  <si>
    <t>6.1.</t>
  </si>
  <si>
    <t>6.2.</t>
  </si>
  <si>
    <t>6.3.</t>
  </si>
  <si>
    <t>Благоустройство и озеленение территории</t>
  </si>
  <si>
    <t>7.1.</t>
  </si>
  <si>
    <t>7.2.</t>
  </si>
  <si>
    <t>Вертикальная планировка.Распределительные и трансформаторные подстанции</t>
  </si>
  <si>
    <t>7.3.</t>
  </si>
  <si>
    <t>7.4.</t>
  </si>
  <si>
    <t>7.5.</t>
  </si>
  <si>
    <t>7.6.</t>
  </si>
  <si>
    <t>Ограждение.Распределительные и трансформаторные подстанции</t>
  </si>
  <si>
    <t>7.7.</t>
  </si>
  <si>
    <t>7.8.</t>
  </si>
  <si>
    <t>7.9.</t>
  </si>
  <si>
    <t>7.10.</t>
  </si>
  <si>
    <t>Прочие работы и Непредвиденные затраты</t>
  </si>
  <si>
    <t>ПНР и Сдача объекта</t>
  </si>
  <si>
    <t>9.1.</t>
  </si>
  <si>
    <t>Пусконаладочные работы</t>
  </si>
  <si>
    <t>9.2.</t>
  </si>
  <si>
    <t>Сдача объекта в эксплуатацию</t>
  </si>
  <si>
    <t>Дата назначена исходя из уровня цен в сметных насчетах - на 01.07.2023</t>
  </si>
  <si>
    <t>Итого по расчету: 3 510 801,15 руб.</t>
  </si>
  <si>
    <t xml:space="preserve">   Коэффициент корректировки проекта 0,2</t>
  </si>
  <si>
    <t>-14 043 204,58</t>
  </si>
  <si>
    <t xml:space="preserve">Главный инженер проекта ______________ </t>
  </si>
  <si>
    <t>Расчет затрат на проведение экспертизы проектных решений и материалов инженерных изысканий</t>
  </si>
  <si>
    <t>Наименование предприятия, здания, сооружения</t>
  </si>
  <si>
    <t>Стадия проектирования</t>
  </si>
  <si>
    <t>Вид проектных или
изыскательских работ</t>
  </si>
  <si>
    <t>Экспертиза проектно-изыскательских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</si>
  <si>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</si>
  <si>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</si>
  <si>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</si>
  <si>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</si>
  <si>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</si>
  <si>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</si>
  <si>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Стоимость инж.изыск.в ценах 2 кв.2023</t>
  </si>
  <si>
    <t>рублей</t>
  </si>
  <si>
    <t>Коэф.2 кв.2023</t>
  </si>
  <si>
    <t>Стоимость инж.изыск. в уровне цен 01.01.2001 г. без НДС</t>
  </si>
  <si>
    <t>Стоимость проектных работ в ценах 2 кв.2023</t>
  </si>
  <si>
    <t>Стоимость проектных работ в уровне цен 01.01.2001 г. без НДС</t>
  </si>
  <si>
    <t xml:space="preserve">  </t>
  </si>
  <si>
    <t>Итого: ИЗ+ПД</t>
  </si>
  <si>
    <t>Постановление Правительства РФ от 05.03.2007 № 145</t>
  </si>
  <si>
    <t>% от суммы Спд и Сиж</t>
  </si>
  <si>
    <t>Индекс пересчета в текущие цены 2023 г</t>
  </si>
  <si>
    <t>С учетом НДС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</si>
  <si>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</si>
  <si>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</si>
  <si>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</si>
  <si>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</si>
  <si>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</si>
  <si>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</si>
  <si>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</si>
  <si>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</si>
  <si>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</si>
  <si>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</si>
  <si>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</si>
  <si>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</si>
  <si>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</si>
  <si>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</si>
  <si>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</si>
  <si>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</si>
  <si>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</si>
  <si>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</si>
  <si>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</si>
  <si>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</si>
  <si>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</si>
  <si>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</si>
  <si>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</si>
  <si>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</si>
  <si>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</si>
  <si>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</si>
  <si>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</si>
  <si>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</si>
  <si>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</si>
  <si>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</si>
  <si>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</si>
  <si>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</si>
  <si>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более 0,75 до 1 млн</t>
  </si>
  <si>
    <t xml:space="preserve">Затраты на первичную государственную экспертизу проекта согласно ССРСС в базовом уровне 2000 г. составляют </t>
  </si>
  <si>
    <t>58. За проведение повторной государственной экспертизы взимается плата в размере 30 процентов размера платы за проведение первичной государственной экспертизы, рассчитанной на дату заключения договора о проведении повторной государственной экспертизы.</t>
  </si>
  <si>
    <t>Согласно Постановлению Правительства РФ от 05.03.2007 N 145 (ред. от 06.05.2023) "О порядке организации и проведения государственной экспертизы проектной документации и результатов инженерных изысканий":</t>
  </si>
  <si>
    <t>В текущем уровне цен с К=6,92</t>
  </si>
  <si>
    <t xml:space="preserve"> тыс. руб.</t>
  </si>
  <si>
    <t>Затраты на повторную государственную экспертизу- 30%</t>
  </si>
  <si>
    <t>Итого:</t>
  </si>
  <si>
    <t>НДС - 20 %</t>
  </si>
  <si>
    <t>Итого с учетом НДС</t>
  </si>
  <si>
    <t>Справочно: при проведении ГЭ в том же учреждении, в котором  ПД проходила первичную ГГЭ.</t>
  </si>
  <si>
    <t>Стоимость подрядных работ</t>
  </si>
  <si>
    <t>Строительный контроль</t>
  </si>
  <si>
    <t>Затраты на ГГЭ</t>
  </si>
  <si>
    <t>Ориентировочно КВЛ</t>
  </si>
  <si>
    <t>Проект сметы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</si>
</sst>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00"/>
    <numFmt numFmtId="165" formatCode="_-* #,##0.00_р_._-;\-* #,##0.00_р_._-;_-* &quot;-&quot;??_р_._-;_-@_-"/>
    <numFmt numFmtId="166" formatCode="#,##0.00_ ;\-#,##0.00\ "/>
    <numFmt numFmtId="167" formatCode="0.0"/>
    <numFmt numFmtId="168" formatCode="0.0000000"/>
    <numFmt numFmtId="169" formatCode="0.0000"/>
    <numFmt numFmtId="170" formatCode="0.0%"/>
    <numFmt numFmtId="171" formatCode="#,##0.0000"/>
    <numFmt numFmtId="172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6" fillId="0" borderId="0" applyFont="0" applyFill="0" applyBorder="0" applyAlignment="0" applyProtection="0"/>
    <xf numFmtId="0" fontId="22" fillId="0" borderId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43" fontId="7" fillId="0" borderId="0" applyFont="0" applyFill="0" applyBorder="0" applyAlignment="0" applyProtection="0"/>
    <xf numFmtId="0" fontId="4" fillId="0" borderId="0"/>
    <xf numFmtId="0" fontId="32" fillId="0" borderId="0">
      <alignment horizontal="right" vertical="top" wrapText="1"/>
    </xf>
    <xf numFmtId="0" fontId="32" fillId="0" borderId="1">
      <alignment horizontal="center" wrapText="1"/>
    </xf>
    <xf numFmtId="0" fontId="23" fillId="0" borderId="1" applyBorder="0" applyAlignment="0">
      <alignment horizontal="center" wrapText="1"/>
    </xf>
    <xf numFmtId="0" fontId="32" fillId="0" borderId="0">
      <alignment horizontal="center"/>
    </xf>
    <xf numFmtId="0" fontId="32" fillId="0" borderId="0">
      <alignment horizontal="left" vertical="top"/>
    </xf>
    <xf numFmtId="0" fontId="23" fillId="0" borderId="0"/>
    <xf numFmtId="0" fontId="3" fillId="0" borderId="0"/>
    <xf numFmtId="0" fontId="2" fillId="0" borderId="0"/>
    <xf numFmtId="0" fontId="1" fillId="0" borderId="0"/>
    <xf numFmtId="0" fontId="58" fillId="0" borderId="0">
      <alignment horizontal="center" vertical="center"/>
    </xf>
    <xf numFmtId="0" fontId="1" fillId="0" borderId="0"/>
    <xf numFmtId="0" fontId="59" fillId="0" borderId="0">
      <alignment horizontal="center" vertical="top"/>
    </xf>
    <xf numFmtId="0" fontId="60" fillId="0" borderId="0">
      <alignment horizontal="left" vertical="top"/>
    </xf>
    <xf numFmtId="0" fontId="59" fillId="0" borderId="0">
      <alignment horizontal="left" vertical="top"/>
    </xf>
    <xf numFmtId="0" fontId="59" fillId="0" borderId="0">
      <alignment horizontal="left" vertical="center"/>
    </xf>
    <xf numFmtId="0" fontId="60" fillId="0" borderId="0">
      <alignment horizontal="left" vertical="center"/>
    </xf>
    <xf numFmtId="0" fontId="59" fillId="0" borderId="1">
      <alignment horizontal="center" vertical="center"/>
    </xf>
    <xf numFmtId="0" fontId="59" fillId="0" borderId="1">
      <alignment horizontal="left" vertical="center"/>
    </xf>
    <xf numFmtId="0" fontId="59" fillId="0" borderId="8">
      <alignment horizontal="left" vertical="top"/>
    </xf>
  </cellStyleXfs>
  <cellXfs count="87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3" fillId="0" borderId="0" xfId="0" applyFont="1"/>
    <xf numFmtId="0" fontId="9" fillId="7" borderId="1" xfId="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4" fontId="0" fillId="0" borderId="0" xfId="0" applyNumberFormat="1"/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/>
    <xf numFmtId="4" fontId="9" fillId="0" borderId="0" xfId="0" applyNumberFormat="1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9" fillId="3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 applyProtection="1">
      <alignment horizontal="center" vertical="top" wrapText="1"/>
    </xf>
    <xf numFmtId="49" fontId="9" fillId="5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0" xfId="8" applyFont="1" applyFill="1" applyAlignment="1">
      <alignment horizontal="center" vertical="center"/>
    </xf>
    <xf numFmtId="0" fontId="18" fillId="0" borderId="0" xfId="8" applyFont="1" applyFill="1"/>
    <xf numFmtId="0" fontId="20" fillId="0" borderId="0" xfId="8" applyFont="1" applyFill="1"/>
    <xf numFmtId="0" fontId="19" fillId="0" borderId="0" xfId="6" applyFont="1" applyFill="1" applyBorder="1" applyAlignment="1">
      <alignment horizontal="right" vertical="center" wrapText="1"/>
    </xf>
    <xf numFmtId="0" fontId="18" fillId="0" borderId="0" xfId="6" applyFont="1" applyFill="1" applyBorder="1" applyAlignment="1">
      <alignment horizontal="left" vertical="center" wrapText="1"/>
    </xf>
    <xf numFmtId="3" fontId="18" fillId="0" borderId="0" xfId="6" applyNumberFormat="1" applyFont="1" applyFill="1" applyBorder="1" applyAlignment="1">
      <alignment horizontal="left" vertical="center"/>
    </xf>
    <xf numFmtId="0" fontId="19" fillId="0" borderId="0" xfId="6" applyFont="1" applyFill="1" applyBorder="1" applyAlignment="1">
      <alignment vertical="center"/>
    </xf>
    <xf numFmtId="0" fontId="18" fillId="0" borderId="0" xfId="6" applyFont="1" applyFill="1" applyAlignment="1">
      <alignment horizontal="left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4" fontId="9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Fill="1" applyBorder="1"/>
    <xf numFmtId="4" fontId="9" fillId="0" borderId="1" xfId="6" applyNumberFormat="1" applyFont="1" applyFill="1" applyBorder="1" applyAlignment="1">
      <alignment horizontal="center" wrapText="1"/>
    </xf>
    <xf numFmtId="4" fontId="9" fillId="0" borderId="1" xfId="6" applyNumberFormat="1" applyFont="1" applyFill="1" applyBorder="1" applyAlignment="1">
      <alignment vertical="top" wrapText="1"/>
    </xf>
    <xf numFmtId="0" fontId="9" fillId="0" borderId="1" xfId="6" applyFont="1" applyFill="1" applyBorder="1" applyAlignment="1">
      <alignment vertical="center"/>
    </xf>
    <xf numFmtId="49" fontId="9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 wrapText="1"/>
    </xf>
    <xf numFmtId="1" fontId="16" fillId="0" borderId="1" xfId="6" applyNumberFormat="1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1" fontId="9" fillId="0" borderId="1" xfId="6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4" fontId="16" fillId="0" borderId="1" xfId="6" applyNumberFormat="1" applyFont="1" applyFill="1" applyBorder="1" applyAlignment="1">
      <alignment horizontal="left" vertical="center" wrapText="1"/>
    </xf>
    <xf numFmtId="4" fontId="13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 wrapText="1"/>
    </xf>
    <xf numFmtId="1" fontId="13" fillId="0" borderId="1" xfId="6" applyNumberFormat="1" applyFont="1" applyFill="1" applyBorder="1" applyAlignment="1">
      <alignment horizontal="center" vertical="center"/>
    </xf>
    <xf numFmtId="164" fontId="9" fillId="0" borderId="1" xfId="6" applyNumberFormat="1" applyFont="1" applyFill="1" applyBorder="1" applyAlignment="1">
      <alignment horizontal="center" vertical="center"/>
    </xf>
    <xf numFmtId="4" fontId="16" fillId="0" borderId="1" xfId="6" applyNumberFormat="1" applyFont="1" applyFill="1" applyBorder="1" applyAlignment="1">
      <alignment horizontal="center" vertical="center" wrapText="1"/>
    </xf>
    <xf numFmtId="166" fontId="8" fillId="0" borderId="1" xfId="9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left" vertical="center" wrapText="1"/>
    </xf>
    <xf numFmtId="4" fontId="16" fillId="5" borderId="1" xfId="0" applyNumberFormat="1" applyFont="1" applyFill="1" applyBorder="1" applyAlignment="1">
      <alignment horizontal="left" vertical="center"/>
    </xf>
    <xf numFmtId="4" fontId="12" fillId="5" borderId="1" xfId="0" applyNumberFormat="1" applyFont="1" applyFill="1" applyBorder="1" applyAlignment="1" applyProtection="1">
      <alignment horizontal="left" vertical="top" wrapText="1"/>
    </xf>
    <xf numFmtId="4" fontId="17" fillId="5" borderId="1" xfId="0" applyNumberFormat="1" applyFont="1" applyFill="1" applyBorder="1" applyAlignment="1" applyProtection="1">
      <alignment horizontal="left" vertical="top" wrapText="1"/>
    </xf>
    <xf numFmtId="4" fontId="16" fillId="5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22" fillId="0" borderId="0" xfId="10"/>
    <xf numFmtId="0" fontId="16" fillId="0" borderId="0" xfId="10" applyFont="1" applyBorder="1" applyAlignment="1">
      <alignment vertical="center" wrapText="1"/>
    </xf>
    <xf numFmtId="0" fontId="15" fillId="0" borderId="0" xfId="10" applyFont="1" applyBorder="1"/>
    <xf numFmtId="4" fontId="15" fillId="0" borderId="0" xfId="10" applyNumberFormat="1" applyFont="1" applyBorder="1" applyAlignment="1">
      <alignment horizontal="right"/>
    </xf>
    <xf numFmtId="0" fontId="16" fillId="0" borderId="0" xfId="10" applyFont="1"/>
    <xf numFmtId="0" fontId="9" fillId="0" borderId="0" xfId="5" applyFont="1" applyAlignment="1">
      <alignment horizontal="right" vertical="center"/>
    </xf>
    <xf numFmtId="0" fontId="9" fillId="0" borderId="0" xfId="5" applyFont="1" applyAlignment="1">
      <alignment vertical="center"/>
    </xf>
    <xf numFmtId="0" fontId="16" fillId="0" borderId="0" xfId="0" applyFont="1" applyAlignment="1">
      <alignment vertical="top" wrapText="1"/>
    </xf>
    <xf numFmtId="0" fontId="7" fillId="0" borderId="0" xfId="5" applyBorder="1"/>
    <xf numFmtId="0" fontId="9" fillId="0" borderId="0" xfId="5" applyFont="1" applyBorder="1"/>
    <xf numFmtId="10" fontId="16" fillId="9" borderId="5" xfId="0" applyNumberFormat="1" applyFont="1" applyFill="1" applyBorder="1" applyAlignment="1">
      <alignment vertical="center"/>
    </xf>
    <xf numFmtId="0" fontId="16" fillId="9" borderId="7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27" fillId="0" borderId="0" xfId="4" applyNumberFormat="1" applyFont="1" applyFill="1" applyBorder="1" applyAlignment="1" applyProtection="1"/>
    <xf numFmtId="0" fontId="27" fillId="0" borderId="0" xfId="4" applyNumberFormat="1" applyFont="1" applyFill="1" applyBorder="1" applyAlignment="1" applyProtection="1">
      <alignment horizontal="right" vertical="top" wrapText="1"/>
    </xf>
    <xf numFmtId="0" fontId="27" fillId="0" borderId="0" xfId="4" applyNumberFormat="1" applyFont="1" applyFill="1" applyBorder="1" applyAlignment="1" applyProtection="1">
      <alignment horizontal="right" vertical="top"/>
    </xf>
    <xf numFmtId="4" fontId="27" fillId="0" borderId="0" xfId="4" applyNumberFormat="1" applyFont="1" applyFill="1" applyBorder="1" applyAlignment="1" applyProtection="1">
      <alignment horizontal="right" vertical="top"/>
    </xf>
    <xf numFmtId="14" fontId="9" fillId="8" borderId="1" xfId="0" applyNumberFormat="1" applyFont="1" applyFill="1" applyBorder="1"/>
    <xf numFmtId="14" fontId="9" fillId="0" borderId="0" xfId="0" applyNumberFormat="1" applyFont="1" applyBorder="1"/>
    <xf numFmtId="14" fontId="9" fillId="0" borderId="0" xfId="0" applyNumberFormat="1" applyFont="1"/>
    <xf numFmtId="167" fontId="9" fillId="0" borderId="1" xfId="0" applyNumberFormat="1" applyFont="1" applyBorder="1"/>
    <xf numFmtId="10" fontId="9" fillId="0" borderId="1" xfId="0" applyNumberFormat="1" applyFont="1" applyBorder="1"/>
    <xf numFmtId="168" fontId="9" fillId="0" borderId="1" xfId="0" applyNumberFormat="1" applyFont="1" applyBorder="1"/>
    <xf numFmtId="169" fontId="15" fillId="10" borderId="1" xfId="0" applyNumberFormat="1" applyFont="1" applyFill="1" applyBorder="1" applyAlignment="1">
      <alignment horizontal="center" vertical="center"/>
    </xf>
    <xf numFmtId="169" fontId="9" fillId="0" borderId="0" xfId="0" applyNumberFormat="1" applyFont="1"/>
    <xf numFmtId="0" fontId="9" fillId="0" borderId="0" xfId="0" applyFont="1" applyAlignment="1"/>
    <xf numFmtId="0" fontId="27" fillId="0" borderId="0" xfId="4" applyNumberFormat="1" applyFont="1" applyFill="1" applyBorder="1" applyAlignment="1" applyProtection="1">
      <alignment horizontal="right"/>
    </xf>
    <xf numFmtId="2" fontId="9" fillId="0" borderId="1" xfId="0" applyNumberFormat="1" applyFont="1" applyBorder="1"/>
    <xf numFmtId="170" fontId="9" fillId="0" borderId="1" xfId="11" applyNumberFormat="1" applyFont="1" applyBorder="1"/>
    <xf numFmtId="168" fontId="9" fillId="0" borderId="1" xfId="0" applyNumberFormat="1" applyFont="1" applyFill="1" applyBorder="1"/>
    <xf numFmtId="168" fontId="9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25" fillId="0" borderId="0" xfId="4" applyNumberFormat="1" applyFont="1" applyFill="1" applyBorder="1" applyAlignment="1" applyProtection="1">
      <alignment horizontal="right" vertical="center"/>
    </xf>
    <xf numFmtId="171" fontId="25" fillId="0" borderId="0" xfId="4" applyNumberFormat="1" applyFont="1" applyFill="1" applyBorder="1" applyAlignment="1" applyProtection="1">
      <alignment horizontal="right" vertical="center"/>
    </xf>
    <xf numFmtId="0" fontId="16" fillId="0" borderId="1" xfId="0" applyFont="1" applyBorder="1"/>
    <xf numFmtId="171" fontId="9" fillId="0" borderId="1" xfId="0" applyNumberFormat="1" applyFont="1" applyBorder="1" applyAlignment="1">
      <alignment horizontal="center" vertical="center"/>
    </xf>
    <xf numFmtId="171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/>
    </xf>
    <xf numFmtId="167" fontId="29" fillId="0" borderId="0" xfId="10" applyNumberFormat="1" applyFont="1" applyAlignment="1">
      <alignment horizontal="center" vertical="center"/>
    </xf>
    <xf numFmtId="0" fontId="29" fillId="0" borderId="0" xfId="10" applyFont="1" applyAlignment="1">
      <alignment vertical="center"/>
    </xf>
    <xf numFmtId="14" fontId="29" fillId="0" borderId="0" xfId="10" applyNumberFormat="1" applyFont="1" applyFill="1" applyAlignment="1">
      <alignment horizontal="center" vertical="center"/>
    </xf>
    <xf numFmtId="0" fontId="9" fillId="0" borderId="0" xfId="10" applyFont="1"/>
    <xf numFmtId="0" fontId="9" fillId="2" borderId="1" xfId="10" applyFont="1" applyFill="1" applyBorder="1" applyAlignment="1">
      <alignment horizontal="center" vertical="center" wrapText="1"/>
    </xf>
    <xf numFmtId="0" fontId="16" fillId="2" borderId="1" xfId="10" applyFont="1" applyFill="1" applyBorder="1" applyAlignment="1">
      <alignment horizontal="center"/>
    </xf>
    <xf numFmtId="49" fontId="8" fillId="12" borderId="1" xfId="14" applyNumberFormat="1" applyFont="1" applyFill="1" applyBorder="1" applyAlignment="1">
      <alignment horizontal="center" vertical="center" wrapText="1"/>
    </xf>
    <xf numFmtId="0" fontId="8" fillId="12" borderId="1" xfId="14" applyFont="1" applyFill="1" applyBorder="1" applyAlignment="1">
      <alignment horizontal="left" vertical="center" wrapText="1"/>
    </xf>
    <xf numFmtId="4" fontId="8" fillId="12" borderId="1" xfId="10" applyNumberFormat="1" applyFont="1" applyFill="1" applyBorder="1" applyAlignment="1">
      <alignment horizontal="center" vertical="center" wrapText="1"/>
    </xf>
    <xf numFmtId="4" fontId="15" fillId="12" borderId="1" xfId="10" applyNumberFormat="1" applyFont="1" applyFill="1" applyBorder="1" applyAlignment="1">
      <alignment horizontal="center" vertical="center"/>
    </xf>
    <xf numFmtId="49" fontId="9" fillId="4" borderId="1" xfId="14" applyNumberFormat="1" applyFont="1" applyFill="1" applyBorder="1" applyAlignment="1">
      <alignment horizontal="center" vertical="center" wrapText="1"/>
    </xf>
    <xf numFmtId="0" fontId="30" fillId="0" borderId="1" xfId="10" applyFont="1" applyFill="1" applyBorder="1" applyAlignment="1">
      <alignment vertical="center" wrapText="1"/>
    </xf>
    <xf numFmtId="4" fontId="17" fillId="4" borderId="1" xfId="10" applyNumberFormat="1" applyFont="1" applyFill="1" applyBorder="1" applyAlignment="1">
      <alignment horizontal="center" vertical="center" wrapText="1"/>
    </xf>
    <xf numFmtId="4" fontId="17" fillId="4" borderId="1" xfId="10" applyNumberFormat="1" applyFont="1" applyFill="1" applyBorder="1" applyAlignment="1">
      <alignment horizontal="center" vertical="center"/>
    </xf>
    <xf numFmtId="0" fontId="17" fillId="4" borderId="1" xfId="10" applyFont="1" applyFill="1" applyBorder="1" applyAlignment="1">
      <alignment horizontal="left" vertical="center" wrapText="1"/>
    </xf>
    <xf numFmtId="49" fontId="8" fillId="12" borderId="1" xfId="10" applyNumberFormat="1" applyFont="1" applyFill="1" applyBorder="1" applyAlignment="1">
      <alignment horizontal="center" vertical="center" wrapText="1"/>
    </xf>
    <xf numFmtId="0" fontId="8" fillId="12" borderId="1" xfId="10" applyFont="1" applyFill="1" applyBorder="1" applyAlignment="1">
      <alignment horizontal="left" vertical="center" wrapText="1"/>
    </xf>
    <xf numFmtId="49" fontId="17" fillId="4" borderId="1" xfId="10" applyNumberFormat="1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vertical="center" wrapText="1"/>
    </xf>
    <xf numFmtId="4" fontId="8" fillId="2" borderId="1" xfId="10" applyNumberFormat="1" applyFont="1" applyFill="1" applyBorder="1" applyAlignment="1">
      <alignment horizontal="center" vertical="center" wrapText="1"/>
    </xf>
    <xf numFmtId="3" fontId="30" fillId="0" borderId="1" xfId="10" applyNumberFormat="1" applyFont="1" applyFill="1" applyBorder="1" applyAlignment="1">
      <alignment horizontal="center" vertical="center" wrapText="1"/>
    </xf>
    <xf numFmtId="4" fontId="30" fillId="0" borderId="1" xfId="10" applyNumberFormat="1" applyFont="1" applyFill="1" applyBorder="1" applyAlignment="1">
      <alignment horizontal="center" vertical="center" wrapText="1"/>
    </xf>
    <xf numFmtId="0" fontId="17" fillId="0" borderId="1" xfId="10" applyFont="1" applyBorder="1" applyAlignment="1">
      <alignment horizontal="right" vertical="top"/>
    </xf>
    <xf numFmtId="4" fontId="17" fillId="0" borderId="1" xfId="10" applyNumberFormat="1" applyFont="1" applyBorder="1" applyAlignment="1">
      <alignment horizontal="center" vertical="center"/>
    </xf>
    <xf numFmtId="0" fontId="17" fillId="0" borderId="1" xfId="10" applyFont="1" applyBorder="1"/>
    <xf numFmtId="0" fontId="17" fillId="0" borderId="1" xfId="10" applyFont="1" applyBorder="1" applyAlignment="1">
      <alignment vertical="center" wrapText="1"/>
    </xf>
    <xf numFmtId="0" fontId="9" fillId="0" borderId="0" xfId="5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167" fontId="16" fillId="0" borderId="0" xfId="0" applyNumberFormat="1" applyFont="1" applyAlignment="1">
      <alignment horizontal="center" vertical="center"/>
    </xf>
    <xf numFmtId="0" fontId="24" fillId="0" borderId="0" xfId="4" applyNumberFormat="1" applyFont="1" applyFill="1" applyBorder="1" applyAlignment="1" applyProtection="1">
      <alignment horizont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4" borderId="0" xfId="1" applyFont="1" applyFill="1"/>
    <xf numFmtId="0" fontId="32" fillId="4" borderId="0" xfId="1" applyFont="1" applyFill="1"/>
    <xf numFmtId="0" fontId="33" fillId="4" borderId="0" xfId="1" applyFont="1" applyFill="1" applyAlignment="1">
      <alignment horizontal="left" vertical="center" wrapText="1"/>
    </xf>
    <xf numFmtId="0" fontId="32" fillId="4" borderId="0" xfId="1" applyFont="1" applyFill="1" applyAlignment="1">
      <alignment vertical="center"/>
    </xf>
    <xf numFmtId="0" fontId="16" fillId="4" borderId="2" xfId="1" applyFont="1" applyFill="1" applyBorder="1"/>
    <xf numFmtId="0" fontId="16" fillId="4" borderId="0" xfId="1" applyFont="1" applyFill="1" applyAlignment="1">
      <alignment vertical="center"/>
    </xf>
    <xf numFmtId="0" fontId="15" fillId="4" borderId="2" xfId="1" applyFont="1" applyFill="1" applyBorder="1" applyAlignment="1">
      <alignment horizontal="right"/>
    </xf>
    <xf numFmtId="49" fontId="15" fillId="4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33" fillId="4" borderId="1" xfId="1" applyFont="1" applyFill="1" applyBorder="1" applyAlignment="1">
      <alignment horizontal="center"/>
    </xf>
    <xf numFmtId="0" fontId="32" fillId="4" borderId="1" xfId="1" applyFont="1" applyFill="1" applyBorder="1"/>
    <xf numFmtId="49" fontId="16" fillId="4" borderId="1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4" fontId="16" fillId="4" borderId="1" xfId="1" applyNumberFormat="1" applyFont="1" applyFill="1" applyBorder="1" applyAlignment="1">
      <alignment horizontal="center" vertical="center" wrapText="1"/>
    </xf>
    <xf numFmtId="4" fontId="15" fillId="4" borderId="1" xfId="1" applyNumberFormat="1" applyFont="1" applyFill="1" applyBorder="1" applyAlignment="1">
      <alignment horizontal="center" vertical="center" wrapText="1"/>
    </xf>
    <xf numFmtId="49" fontId="16" fillId="4" borderId="6" xfId="1" applyNumberFormat="1" applyFont="1" applyFill="1" applyBorder="1" applyAlignment="1">
      <alignment horizontal="left" vertical="center" wrapText="1"/>
    </xf>
    <xf numFmtId="4" fontId="34" fillId="4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top" wrapText="1"/>
    </xf>
    <xf numFmtId="4" fontId="32" fillId="4" borderId="0" xfId="1" applyNumberFormat="1" applyFont="1" applyFill="1" applyAlignment="1">
      <alignment horizontal="center" vertical="center"/>
    </xf>
    <xf numFmtId="4" fontId="32" fillId="4" borderId="0" xfId="1" applyNumberFormat="1" applyFont="1" applyFill="1" applyAlignment="1">
      <alignment horizontal="center"/>
    </xf>
    <xf numFmtId="43" fontId="35" fillId="0" borderId="1" xfId="15" applyFont="1" applyBorder="1" applyAlignment="1">
      <alignment horizontal="center" vertical="center" wrapText="1"/>
    </xf>
    <xf numFmtId="43" fontId="36" fillId="0" borderId="1" xfId="15" applyFont="1" applyBorder="1" applyAlignment="1">
      <alignment horizontal="center" vertical="center"/>
    </xf>
    <xf numFmtId="0" fontId="12" fillId="0" borderId="1" xfId="13" applyFont="1" applyBorder="1" applyAlignment="1">
      <alignment vertical="center" wrapText="1"/>
    </xf>
    <xf numFmtId="0" fontId="16" fillId="4" borderId="1" xfId="1" applyFont="1" applyFill="1" applyBorder="1"/>
    <xf numFmtId="0" fontId="12" fillId="0" borderId="1" xfId="13" applyFont="1" applyBorder="1" applyAlignment="1">
      <alignment vertical="top" wrapText="1"/>
    </xf>
    <xf numFmtId="166" fontId="12" fillId="0" borderId="1" xfId="15" applyNumberFormat="1" applyFont="1" applyBorder="1" applyAlignment="1">
      <alignment horizontal="center" vertical="center" wrapText="1"/>
    </xf>
    <xf numFmtId="4" fontId="12" fillId="5" borderId="1" xfId="0" applyNumberFormat="1" applyFont="1" applyFill="1" applyBorder="1" applyAlignment="1" applyProtection="1">
      <alignment horizontal="center" vertical="top" wrapText="1"/>
    </xf>
    <xf numFmtId="4" fontId="12" fillId="4" borderId="1" xfId="0" applyNumberFormat="1" applyFont="1" applyFill="1" applyBorder="1" applyAlignment="1" applyProtection="1">
      <alignment horizontal="center" vertical="top" wrapText="1"/>
    </xf>
    <xf numFmtId="171" fontId="17" fillId="0" borderId="1" xfId="0" applyNumberFormat="1" applyFont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top" wrapText="1"/>
    </xf>
    <xf numFmtId="49" fontId="12" fillId="4" borderId="1" xfId="0" applyNumberFormat="1" applyFont="1" applyFill="1" applyBorder="1" applyAlignment="1" applyProtection="1">
      <alignment horizontal="center" vertical="top" wrapText="1"/>
    </xf>
    <xf numFmtId="0" fontId="17" fillId="4" borderId="1" xfId="0" applyNumberFormat="1" applyFont="1" applyFill="1" applyBorder="1" applyAlignment="1" applyProtection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9" fontId="17" fillId="5" borderId="1" xfId="0" applyNumberFormat="1" applyFont="1" applyFill="1" applyBorder="1" applyAlignment="1" applyProtection="1">
      <alignment horizontal="center" vertical="top" wrapText="1"/>
    </xf>
    <xf numFmtId="0" fontId="15" fillId="0" borderId="0" xfId="22" applyFont="1" applyAlignment="1"/>
    <xf numFmtId="0" fontId="23" fillId="0" borderId="0" xfId="22"/>
    <xf numFmtId="0" fontId="7" fillId="0" borderId="0" xfId="5"/>
    <xf numFmtId="0" fontId="16" fillId="0" borderId="0" xfId="22" applyFont="1"/>
    <xf numFmtId="0" fontId="16" fillId="0" borderId="0" xfId="22" applyFont="1" applyAlignment="1">
      <alignment vertical="center"/>
    </xf>
    <xf numFmtId="0" fontId="15" fillId="0" borderId="0" xfId="22" applyFont="1" applyAlignment="1">
      <alignment vertical="center" wrapText="1"/>
    </xf>
    <xf numFmtId="4" fontId="15" fillId="0" borderId="0" xfId="22" applyNumberFormat="1" applyFont="1" applyAlignment="1">
      <alignment horizontal="center" vertical="center" wrapText="1"/>
    </xf>
    <xf numFmtId="0" fontId="15" fillId="0" borderId="0" xfId="22" applyFont="1"/>
    <xf numFmtId="0" fontId="29" fillId="0" borderId="0" xfId="22" applyFont="1"/>
    <xf numFmtId="0" fontId="29" fillId="0" borderId="0" xfId="22" applyFont="1" applyFill="1" applyAlignment="1">
      <alignment vertical="center" wrapText="1"/>
    </xf>
    <xf numFmtId="0" fontId="16" fillId="0" borderId="0" xfId="22" applyFont="1" applyAlignment="1">
      <alignment horizontal="center"/>
    </xf>
    <xf numFmtId="49" fontId="16" fillId="0" borderId="0" xfId="22" applyNumberFormat="1" applyFont="1"/>
    <xf numFmtId="0" fontId="9" fillId="0" borderId="0" xfId="5" applyFont="1"/>
    <xf numFmtId="0" fontId="46" fillId="0" borderId="0" xfId="22" applyFont="1" applyBorder="1" applyAlignment="1">
      <alignment horizontal="center"/>
    </xf>
    <xf numFmtId="0" fontId="45" fillId="0" borderId="0" xfId="22" applyFont="1" applyBorder="1" applyAlignment="1"/>
    <xf numFmtId="49" fontId="17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justify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67" fontId="32" fillId="0" borderId="8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Fill="1" applyBorder="1" applyAlignment="1">
      <alignment horizontal="center" vertical="center" wrapText="1"/>
    </xf>
    <xf numFmtId="172" fontId="32" fillId="0" borderId="9" xfId="0" applyNumberFormat="1" applyFont="1" applyFill="1" applyBorder="1" applyAlignment="1">
      <alignment horizontal="center" vertical="center" wrapText="1"/>
    </xf>
    <xf numFmtId="4" fontId="35" fillId="0" borderId="9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172" fontId="32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3" fontId="35" fillId="0" borderId="9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" fontId="32" fillId="0" borderId="2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1" fontId="32" fillId="0" borderId="4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wrapText="1"/>
    </xf>
    <xf numFmtId="2" fontId="32" fillId="0" borderId="4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172" fontId="32" fillId="0" borderId="4" xfId="0" applyNumberFormat="1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167" fontId="32" fillId="0" borderId="0" xfId="0" applyNumberFormat="1" applyFont="1" applyFill="1" applyBorder="1" applyAlignment="1">
      <alignment horizontal="center" vertical="center" wrapText="1"/>
    </xf>
    <xf numFmtId="167" fontId="32" fillId="0" borderId="6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justify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172" fontId="35" fillId="0" borderId="4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172" fontId="35" fillId="0" borderId="1" xfId="0" applyNumberFormat="1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center" vertical="center" wrapText="1"/>
    </xf>
    <xf numFmtId="172" fontId="35" fillId="0" borderId="3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3" fontId="36" fillId="0" borderId="7" xfId="0" applyNumberFormat="1" applyFont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6" fillId="0" borderId="7" xfId="0" applyNumberFormat="1" applyFont="1" applyFill="1" applyBorder="1" applyAlignment="1">
      <alignment horizontal="center" vertical="center" wrapText="1"/>
    </xf>
    <xf numFmtId="3" fontId="33" fillId="0" borderId="7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17" fontId="35" fillId="0" borderId="4" xfId="0" applyNumberFormat="1" applyFont="1" applyFill="1" applyBorder="1" applyAlignment="1">
      <alignment horizontal="center" vertical="center" wrapText="1"/>
    </xf>
    <xf numFmtId="2" fontId="35" fillId="0" borderId="4" xfId="0" applyNumberFormat="1" applyFont="1" applyFill="1" applyBorder="1" applyAlignment="1">
      <alignment horizontal="center" vertical="center" wrapText="1"/>
    </xf>
    <xf numFmtId="3" fontId="35" fillId="0" borderId="4" xfId="0" applyNumberFormat="1" applyFont="1" applyFill="1" applyBorder="1" applyAlignment="1">
      <alignment horizontal="center" vertical="center" wrapText="1"/>
    </xf>
    <xf numFmtId="16" fontId="35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172" fontId="35" fillId="0" borderId="9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172" fontId="35" fillId="0" borderId="4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9" fontId="35" fillId="0" borderId="1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172" fontId="36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 vertical="justify"/>
    </xf>
    <xf numFmtId="4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51" fillId="0" borderId="0" xfId="1" applyFont="1" applyAlignment="1">
      <alignment horizontal="center" vertical="center"/>
    </xf>
    <xf numFmtId="0" fontId="51" fillId="0" borderId="0" xfId="1" applyFont="1"/>
    <xf numFmtId="0" fontId="52" fillId="0" borderId="0" xfId="2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" fontId="16" fillId="4" borderId="1" xfId="1" applyNumberFormat="1" applyFont="1" applyFill="1" applyBorder="1" applyAlignment="1">
      <alignment horizontal="center" vertical="center" wrapText="1"/>
    </xf>
    <xf numFmtId="49" fontId="16" fillId="4" borderId="6" xfId="1" applyNumberFormat="1" applyFont="1" applyFill="1" applyBorder="1" applyAlignment="1">
      <alignment horizontal="center" vertical="center" wrapText="1"/>
    </xf>
    <xf numFmtId="49" fontId="16" fillId="4" borderId="5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37" fillId="2" borderId="3" xfId="24" applyFont="1" applyFill="1" applyBorder="1" applyAlignment="1">
      <alignment vertical="top" wrapText="1"/>
    </xf>
    <xf numFmtId="0" fontId="23" fillId="2" borderId="3" xfId="24" applyNumberFormat="1" applyFont="1" applyFill="1" applyBorder="1" applyAlignment="1">
      <alignment horizontal="right" vertical="top" wrapText="1"/>
    </xf>
    <xf numFmtId="0" fontId="37" fillId="2" borderId="1" xfId="24" applyFont="1" applyFill="1" applyBorder="1" applyAlignment="1">
      <alignment vertical="top" wrapText="1"/>
    </xf>
    <xf numFmtId="4" fontId="38" fillId="2" borderId="1" xfId="24" applyNumberFormat="1" applyFont="1" applyFill="1" applyBorder="1" applyAlignment="1">
      <alignment horizontal="right" vertical="top" wrapText="1"/>
    </xf>
    <xf numFmtId="0" fontId="2" fillId="0" borderId="0" xfId="24"/>
    <xf numFmtId="0" fontId="37" fillId="0" borderId="0" xfId="24" applyFont="1"/>
    <xf numFmtId="0" fontId="23" fillId="0" borderId="0" xfId="24" applyFont="1"/>
    <xf numFmtId="0" fontId="23" fillId="0" borderId="0" xfId="24" applyFont="1" applyAlignment="1">
      <alignment vertical="top"/>
    </xf>
    <xf numFmtId="0" fontId="23" fillId="0" borderId="0" xfId="24" applyFont="1" applyAlignment="1">
      <alignment horizontal="left" indent="1"/>
    </xf>
    <xf numFmtId="0" fontId="23" fillId="0" borderId="0" xfId="20" applyFont="1" applyBorder="1">
      <alignment horizontal="center"/>
    </xf>
    <xf numFmtId="0" fontId="23" fillId="0" borderId="0" xfId="20" applyFont="1" applyBorder="1" applyAlignment="1">
      <alignment horizontal="right"/>
    </xf>
    <xf numFmtId="0" fontId="23" fillId="0" borderId="0" xfId="20" applyFont="1" applyBorder="1" applyAlignment="1">
      <alignment horizontal="left" vertical="top" wrapText="1"/>
    </xf>
    <xf numFmtId="0" fontId="39" fillId="0" borderId="1" xfId="24" applyFont="1" applyBorder="1" applyAlignment="1">
      <alignment horizontal="center" vertical="center" wrapText="1"/>
    </xf>
    <xf numFmtId="0" fontId="37" fillId="0" borderId="0" xfId="24" applyFont="1" applyAlignment="1">
      <alignment horizontal="right"/>
    </xf>
    <xf numFmtId="0" fontId="23" fillId="0" borderId="2" xfId="20" applyFont="1" applyBorder="1" applyAlignment="1">
      <alignment vertical="top" wrapText="1"/>
    </xf>
    <xf numFmtId="0" fontId="41" fillId="0" borderId="0" xfId="24" applyFont="1" applyBorder="1"/>
    <xf numFmtId="0" fontId="23" fillId="0" borderId="0" xfId="24" applyFont="1" applyAlignment="1"/>
    <xf numFmtId="0" fontId="39" fillId="0" borderId="5" xfId="24" applyFont="1" applyBorder="1" applyAlignment="1">
      <alignment horizontal="center" vertical="center" wrapText="1"/>
    </xf>
    <xf numFmtId="0" fontId="23" fillId="0" borderId="0" xfId="20" applyFont="1" applyBorder="1" applyAlignment="1">
      <alignment wrapText="1"/>
    </xf>
    <xf numFmtId="0" fontId="42" fillId="0" borderId="0" xfId="24" applyFont="1" applyAlignment="1">
      <alignment vertical="top"/>
    </xf>
    <xf numFmtId="0" fontId="41" fillId="0" borderId="2" xfId="24" applyFont="1" applyBorder="1"/>
    <xf numFmtId="0" fontId="38" fillId="0" borderId="0" xfId="20" applyFont="1" applyAlignment="1">
      <alignment horizontal="left"/>
    </xf>
    <xf numFmtId="0" fontId="39" fillId="0" borderId="1" xfId="20" applyFont="1" applyBorder="1" applyAlignment="1">
      <alignment horizontal="center" vertical="center" wrapText="1"/>
    </xf>
    <xf numFmtId="0" fontId="23" fillId="0" borderId="3" xfId="19" applyBorder="1">
      <alignment horizontal="center" wrapText="1"/>
    </xf>
    <xf numFmtId="0" fontId="23" fillId="0" borderId="10" xfId="19" applyBorder="1" applyAlignment="1">
      <alignment horizontal="center" wrapText="1"/>
    </xf>
    <xf numFmtId="0" fontId="37" fillId="0" borderId="3" xfId="24" applyFont="1" applyBorder="1" applyAlignment="1">
      <alignment vertical="top" wrapText="1"/>
    </xf>
    <xf numFmtId="0" fontId="23" fillId="0" borderId="3" xfId="24" applyFont="1" applyBorder="1" applyAlignment="1">
      <alignment horizontal="left" vertical="top" wrapText="1"/>
    </xf>
    <xf numFmtId="0" fontId="23" fillId="0" borderId="3" xfId="21" applyFont="1" applyBorder="1" applyAlignment="1">
      <alignment horizontal="left" vertical="top" wrapText="1"/>
    </xf>
    <xf numFmtId="0" fontId="23" fillId="0" borderId="3" xfId="24" applyFont="1" applyBorder="1" applyAlignment="1">
      <alignment horizontal="center" vertical="top" wrapText="1"/>
    </xf>
    <xf numFmtId="0" fontId="23" fillId="0" borderId="3" xfId="24" applyNumberFormat="1" applyFont="1" applyBorder="1" applyAlignment="1">
      <alignment horizontal="right" vertical="top" wrapText="1"/>
    </xf>
    <xf numFmtId="0" fontId="44" fillId="0" borderId="9" xfId="24" applyFont="1" applyBorder="1" applyAlignment="1">
      <alignment horizontal="left" vertical="top" wrapText="1"/>
    </xf>
    <xf numFmtId="0" fontId="44" fillId="0" borderId="9" xfId="21" applyFont="1" applyBorder="1" applyAlignment="1">
      <alignment horizontal="left" vertical="top" wrapText="1"/>
    </xf>
    <xf numFmtId="0" fontId="44" fillId="0" borderId="9" xfId="24" applyFont="1" applyBorder="1" applyAlignment="1">
      <alignment horizontal="center" vertical="top" wrapText="1"/>
    </xf>
    <xf numFmtId="0" fontId="44" fillId="0" borderId="9" xfId="24" applyNumberFormat="1" applyFont="1" applyBorder="1" applyAlignment="1">
      <alignment horizontal="right" vertical="top" wrapText="1"/>
    </xf>
    <xf numFmtId="0" fontId="38" fillId="0" borderId="3" xfId="24" applyNumberFormat="1" applyFont="1" applyBorder="1" applyAlignment="1">
      <alignment horizontal="right" vertical="top" wrapText="1"/>
    </xf>
    <xf numFmtId="0" fontId="2" fillId="0" borderId="0" xfId="24"/>
    <xf numFmtId="0" fontId="37" fillId="0" borderId="0" xfId="24" applyFont="1"/>
    <xf numFmtId="0" fontId="23" fillId="0" borderId="0" xfId="24" applyFont="1"/>
    <xf numFmtId="0" fontId="23" fillId="0" borderId="0" xfId="20" applyFont="1" applyBorder="1">
      <alignment horizontal="center"/>
    </xf>
    <xf numFmtId="0" fontId="23" fillId="0" borderId="0" xfId="20" applyFont="1" applyBorder="1" applyAlignment="1">
      <alignment horizontal="right"/>
    </xf>
    <xf numFmtId="0" fontId="39" fillId="0" borderId="1" xfId="24" applyFont="1" applyBorder="1" applyAlignment="1">
      <alignment horizontal="center" vertical="center" wrapText="1"/>
    </xf>
    <xf numFmtId="0" fontId="37" fillId="0" borderId="0" xfId="24" applyFont="1" applyAlignment="1">
      <alignment horizontal="right"/>
    </xf>
    <xf numFmtId="0" fontId="41" fillId="0" borderId="0" xfId="24" applyFont="1"/>
    <xf numFmtId="0" fontId="39" fillId="0" borderId="5" xfId="24" applyFont="1" applyBorder="1" applyAlignment="1">
      <alignment horizontal="center" vertical="center" wrapText="1"/>
    </xf>
    <xf numFmtId="0" fontId="23" fillId="0" borderId="0" xfId="20" applyFont="1" applyBorder="1" applyAlignment="1">
      <alignment wrapText="1"/>
    </xf>
    <xf numFmtId="0" fontId="23" fillId="0" borderId="0" xfId="24" applyFont="1" applyAlignment="1">
      <alignment horizontal="left" vertical="top" wrapText="1"/>
    </xf>
    <xf numFmtId="0" fontId="23" fillId="0" borderId="0" xfId="24" applyFont="1" applyAlignment="1">
      <alignment horizontal="center" vertical="top" wrapText="1"/>
    </xf>
    <xf numFmtId="0" fontId="39" fillId="0" borderId="1" xfId="20" applyFont="1" applyBorder="1" applyAlignment="1">
      <alignment horizontal="center" vertical="center" wrapText="1"/>
    </xf>
    <xf numFmtId="0" fontId="39" fillId="0" borderId="0" xfId="21" applyFont="1">
      <alignment horizontal="left" vertical="top"/>
    </xf>
    <xf numFmtId="0" fontId="23" fillId="0" borderId="0" xfId="24" applyNumberFormat="1" applyFont="1" applyAlignment="1">
      <alignment horizontal="right" vertical="top" wrapText="1"/>
    </xf>
    <xf numFmtId="0" fontId="23" fillId="0" borderId="0" xfId="21" applyFont="1" applyAlignment="1">
      <alignment horizontal="center" vertical="top" wrapText="1"/>
    </xf>
    <xf numFmtId="49" fontId="37" fillId="0" borderId="0" xfId="24" applyNumberFormat="1" applyFont="1" applyAlignment="1">
      <alignment vertical="top" wrapText="1"/>
    </xf>
    <xf numFmtId="0" fontId="41" fillId="0" borderId="0" xfId="24" applyNumberFormat="1" applyFont="1" applyAlignment="1">
      <alignment horizontal="right" vertical="top"/>
    </xf>
    <xf numFmtId="0" fontId="37" fillId="0" borderId="0" xfId="24" applyFont="1" applyAlignment="1">
      <alignment horizontal="left"/>
    </xf>
    <xf numFmtId="0" fontId="23" fillId="0" borderId="0" xfId="17" applyFont="1" applyAlignment="1">
      <alignment horizontal="left" vertical="top" wrapText="1"/>
    </xf>
    <xf numFmtId="0" fontId="23" fillId="0" borderId="0" xfId="24" applyFont="1" applyAlignment="1">
      <alignment vertical="top"/>
    </xf>
    <xf numFmtId="164" fontId="23" fillId="0" borderId="0" xfId="17" applyNumberFormat="1" applyFont="1">
      <alignment horizontal="right" vertical="top" wrapText="1"/>
    </xf>
    <xf numFmtId="0" fontId="23" fillId="0" borderId="0" xfId="24" applyFont="1" applyAlignment="1">
      <alignment horizontal="right" vertical="top" wrapText="1"/>
    </xf>
    <xf numFmtId="0" fontId="41" fillId="0" borderId="0" xfId="24" applyFont="1" applyAlignment="1">
      <alignment horizontal="right" vertical="top"/>
    </xf>
    <xf numFmtId="0" fontId="23" fillId="0" borderId="3" xfId="19" applyBorder="1">
      <alignment horizontal="center" wrapText="1"/>
    </xf>
    <xf numFmtId="0" fontId="23" fillId="0" borderId="10" xfId="19" applyBorder="1" applyAlignment="1">
      <alignment horizontal="center" wrapText="1"/>
    </xf>
    <xf numFmtId="49" fontId="37" fillId="0" borderId="3" xfId="24" applyNumberFormat="1" applyFont="1" applyBorder="1" applyAlignment="1">
      <alignment vertical="top" wrapText="1"/>
    </xf>
    <xf numFmtId="0" fontId="23" fillId="0" borderId="3" xfId="24" applyFont="1" applyBorder="1" applyAlignment="1">
      <alignment horizontal="left" vertical="top" wrapText="1"/>
    </xf>
    <xf numFmtId="0" fontId="23" fillId="0" borderId="3" xfId="21" applyFont="1" applyBorder="1" applyAlignment="1">
      <alignment horizontal="center" vertical="top" wrapText="1"/>
    </xf>
    <xf numFmtId="0" fontId="23" fillId="0" borderId="3" xfId="24" applyFont="1" applyBorder="1" applyAlignment="1">
      <alignment horizontal="center" vertical="top" wrapText="1"/>
    </xf>
    <xf numFmtId="0" fontId="23" fillId="0" borderId="3" xfId="24" applyNumberFormat="1" applyFont="1" applyBorder="1" applyAlignment="1">
      <alignment horizontal="right" vertical="top" wrapText="1"/>
    </xf>
    <xf numFmtId="0" fontId="41" fillId="0" borderId="3" xfId="24" applyNumberFormat="1" applyFont="1" applyBorder="1" applyAlignment="1">
      <alignment horizontal="right" vertical="top"/>
    </xf>
    <xf numFmtId="0" fontId="44" fillId="0" borderId="9" xfId="24" applyFont="1" applyBorder="1" applyAlignment="1">
      <alignment horizontal="left" vertical="top" wrapText="1"/>
    </xf>
    <xf numFmtId="0" fontId="44" fillId="0" borderId="9" xfId="21" applyFont="1" applyBorder="1" applyAlignment="1">
      <alignment horizontal="center" vertical="top" wrapText="1"/>
    </xf>
    <xf numFmtId="0" fontId="44" fillId="0" borderId="9" xfId="24" applyFont="1" applyBorder="1" applyAlignment="1">
      <alignment horizontal="center" vertical="top" wrapText="1"/>
    </xf>
    <xf numFmtId="0" fontId="44" fillId="0" borderId="9" xfId="24" applyNumberFormat="1" applyFont="1" applyBorder="1" applyAlignment="1">
      <alignment horizontal="right" vertical="top" wrapText="1"/>
    </xf>
    <xf numFmtId="0" fontId="54" fillId="0" borderId="9" xfId="24" applyNumberFormat="1" applyFont="1" applyBorder="1" applyAlignment="1">
      <alignment horizontal="right" vertical="top"/>
    </xf>
    <xf numFmtId="0" fontId="55" fillId="0" borderId="3" xfId="24" applyNumberFormat="1" applyFont="1" applyBorder="1" applyAlignment="1">
      <alignment horizontal="right" vertical="top"/>
    </xf>
    <xf numFmtId="49" fontId="37" fillId="0" borderId="1" xfId="24" applyNumberFormat="1" applyFont="1" applyBorder="1" applyAlignment="1">
      <alignment vertical="top" wrapText="1"/>
    </xf>
    <xf numFmtId="4" fontId="55" fillId="0" borderId="1" xfId="24" applyNumberFormat="1" applyFont="1" applyBorder="1" applyAlignment="1">
      <alignment horizontal="right" vertical="top"/>
    </xf>
    <xf numFmtId="14" fontId="13" fillId="8" borderId="1" xfId="0" applyNumberFormat="1" applyFont="1" applyFill="1" applyBorder="1"/>
    <xf numFmtId="14" fontId="56" fillId="8" borderId="1" xfId="0" applyNumberFormat="1" applyFont="1" applyFill="1" applyBorder="1" applyAlignment="1">
      <alignment horizontal="right"/>
    </xf>
    <xf numFmtId="0" fontId="2" fillId="0" borderId="0" xfId="24"/>
    <xf numFmtId="0" fontId="37" fillId="0" borderId="0" xfId="24" applyFont="1"/>
    <xf numFmtId="0" fontId="23" fillId="0" borderId="0" xfId="24" applyFont="1"/>
    <xf numFmtId="0" fontId="23" fillId="0" borderId="0" xfId="20" applyFont="1" applyBorder="1">
      <alignment horizontal="center"/>
    </xf>
    <xf numFmtId="0" fontId="23" fillId="0" borderId="0" xfId="20" applyFont="1" applyBorder="1" applyAlignment="1">
      <alignment horizontal="right"/>
    </xf>
    <xf numFmtId="0" fontId="39" fillId="0" borderId="1" xfId="24" applyFont="1" applyBorder="1" applyAlignment="1">
      <alignment horizontal="center" vertical="center" wrapText="1"/>
    </xf>
    <xf numFmtId="0" fontId="37" fillId="0" borderId="0" xfId="24" applyFont="1" applyAlignment="1">
      <alignment horizontal="right"/>
    </xf>
    <xf numFmtId="0" fontId="41" fillId="0" borderId="0" xfId="24" applyFont="1"/>
    <xf numFmtId="0" fontId="39" fillId="0" borderId="5" xfId="24" applyFont="1" applyBorder="1" applyAlignment="1">
      <alignment horizontal="center" vertical="center" wrapText="1"/>
    </xf>
    <xf numFmtId="0" fontId="23" fillId="0" borderId="0" xfId="20" applyFont="1" applyBorder="1" applyAlignment="1">
      <alignment wrapText="1"/>
    </xf>
    <xf numFmtId="0" fontId="23" fillId="0" borderId="0" xfId="24" applyFont="1" applyAlignment="1">
      <alignment horizontal="left" vertical="top" wrapText="1"/>
    </xf>
    <xf numFmtId="0" fontId="23" fillId="0" borderId="0" xfId="24" applyFont="1" applyAlignment="1">
      <alignment horizontal="center" vertical="top" wrapText="1"/>
    </xf>
    <xf numFmtId="0" fontId="39" fillId="0" borderId="1" xfId="20" applyFont="1" applyBorder="1" applyAlignment="1">
      <alignment horizontal="center" vertical="center" wrapText="1"/>
    </xf>
    <xf numFmtId="0" fontId="39" fillId="0" borderId="0" xfId="21" applyFont="1">
      <alignment horizontal="left" vertical="top"/>
    </xf>
    <xf numFmtId="0" fontId="23" fillId="0" borderId="0" xfId="24" applyNumberFormat="1" applyFont="1" applyAlignment="1">
      <alignment horizontal="right" vertical="top" wrapText="1"/>
    </xf>
    <xf numFmtId="0" fontId="23" fillId="0" borderId="0" xfId="21" applyFont="1" applyAlignment="1">
      <alignment horizontal="center" vertical="top" wrapText="1"/>
    </xf>
    <xf numFmtId="49" fontId="37" fillId="0" borderId="0" xfId="24" applyNumberFormat="1" applyFont="1" applyAlignment="1">
      <alignment vertical="top" wrapText="1"/>
    </xf>
    <xf numFmtId="0" fontId="41" fillId="0" borderId="0" xfId="24" applyNumberFormat="1" applyFont="1" applyAlignment="1">
      <alignment horizontal="right" vertical="top"/>
    </xf>
    <xf numFmtId="0" fontId="37" fillId="0" borderId="0" xfId="24" applyFont="1" applyAlignment="1">
      <alignment horizontal="left"/>
    </xf>
    <xf numFmtId="0" fontId="23" fillId="0" borderId="0" xfId="17" applyFont="1" applyAlignment="1">
      <alignment horizontal="left" vertical="top" wrapText="1"/>
    </xf>
    <xf numFmtId="0" fontId="23" fillId="0" borderId="0" xfId="24" applyFont="1" applyAlignment="1">
      <alignment vertical="top"/>
    </xf>
    <xf numFmtId="164" fontId="23" fillId="0" borderId="0" xfId="17" applyNumberFormat="1" applyFont="1">
      <alignment horizontal="right" vertical="top" wrapText="1"/>
    </xf>
    <xf numFmtId="0" fontId="23" fillId="0" borderId="0" xfId="24" applyFont="1" applyAlignment="1">
      <alignment horizontal="right" vertical="top" wrapText="1"/>
    </xf>
    <xf numFmtId="0" fontId="41" fillId="0" borderId="0" xfId="24" applyFont="1" applyAlignment="1">
      <alignment horizontal="right" vertical="top"/>
    </xf>
    <xf numFmtId="0" fontId="23" fillId="0" borderId="3" xfId="19" applyBorder="1">
      <alignment horizontal="center" wrapText="1"/>
    </xf>
    <xf numFmtId="0" fontId="23" fillId="0" borderId="10" xfId="19" applyBorder="1" applyAlignment="1">
      <alignment horizontal="center" wrapText="1"/>
    </xf>
    <xf numFmtId="49" fontId="37" fillId="0" borderId="3" xfId="24" applyNumberFormat="1" applyFont="1" applyBorder="1" applyAlignment="1">
      <alignment vertical="top" wrapText="1"/>
    </xf>
    <xf numFmtId="0" fontId="23" fillId="0" borderId="3" xfId="24" applyFont="1" applyBorder="1" applyAlignment="1">
      <alignment horizontal="left" vertical="top" wrapText="1"/>
    </xf>
    <xf numFmtId="0" fontId="23" fillId="0" borderId="3" xfId="21" applyFont="1" applyBorder="1" applyAlignment="1">
      <alignment horizontal="center" vertical="top" wrapText="1"/>
    </xf>
    <xf numFmtId="0" fontId="23" fillId="0" borderId="3" xfId="24" applyFont="1" applyBorder="1" applyAlignment="1">
      <alignment horizontal="center" vertical="top" wrapText="1"/>
    </xf>
    <xf numFmtId="0" fontId="23" fillId="0" borderId="3" xfId="24" applyNumberFormat="1" applyFont="1" applyBorder="1" applyAlignment="1">
      <alignment horizontal="right" vertical="top" wrapText="1"/>
    </xf>
    <xf numFmtId="0" fontId="41" fillId="0" borderId="3" xfId="24" applyNumberFormat="1" applyFont="1" applyBorder="1" applyAlignment="1">
      <alignment horizontal="right" vertical="top"/>
    </xf>
    <xf numFmtId="0" fontId="44" fillId="0" borderId="9" xfId="24" applyFont="1" applyBorder="1" applyAlignment="1">
      <alignment horizontal="left" vertical="top" wrapText="1"/>
    </xf>
    <xf numFmtId="0" fontId="44" fillId="0" borderId="9" xfId="21" applyFont="1" applyBorder="1" applyAlignment="1">
      <alignment horizontal="center" vertical="top" wrapText="1"/>
    </xf>
    <xf numFmtId="0" fontId="44" fillId="0" borderId="9" xfId="24" applyFont="1" applyBorder="1" applyAlignment="1">
      <alignment horizontal="center" vertical="top" wrapText="1"/>
    </xf>
    <xf numFmtId="0" fontId="44" fillId="0" borderId="9" xfId="24" applyNumberFormat="1" applyFont="1" applyBorder="1" applyAlignment="1">
      <alignment horizontal="right" vertical="top" wrapText="1"/>
    </xf>
    <xf numFmtId="0" fontId="54" fillId="0" borderId="9" xfId="24" applyNumberFormat="1" applyFont="1" applyBorder="1" applyAlignment="1">
      <alignment horizontal="right" vertical="top"/>
    </xf>
    <xf numFmtId="0" fontId="55" fillId="0" borderId="3" xfId="24" applyNumberFormat="1" applyFont="1" applyBorder="1" applyAlignment="1">
      <alignment horizontal="right" vertical="top"/>
    </xf>
    <xf numFmtId="49" fontId="37" fillId="0" borderId="1" xfId="24" applyNumberFormat="1" applyFont="1" applyBorder="1" applyAlignment="1">
      <alignment vertical="top" wrapText="1"/>
    </xf>
    <xf numFmtId="0" fontId="2" fillId="0" borderId="0" xfId="24"/>
    <xf numFmtId="0" fontId="23" fillId="0" borderId="0" xfId="24" applyFont="1"/>
    <xf numFmtId="0" fontId="23" fillId="0" borderId="0" xfId="20" applyFont="1" applyBorder="1">
      <alignment horizontal="center"/>
    </xf>
    <xf numFmtId="0" fontId="23" fillId="0" borderId="0" xfId="20" applyFont="1" applyBorder="1" applyAlignment="1">
      <alignment horizontal="right"/>
    </xf>
    <xf numFmtId="0" fontId="39" fillId="0" borderId="1" xfId="24" applyFont="1" applyBorder="1" applyAlignment="1">
      <alignment horizontal="center" vertical="center" wrapText="1"/>
    </xf>
    <xf numFmtId="0" fontId="37" fillId="0" borderId="0" xfId="24" applyFont="1" applyAlignment="1">
      <alignment horizontal="right"/>
    </xf>
    <xf numFmtId="0" fontId="41" fillId="0" borderId="0" xfId="24" applyFont="1"/>
    <xf numFmtId="0" fontId="39" fillId="0" borderId="5" xfId="24" applyFont="1" applyBorder="1" applyAlignment="1">
      <alignment horizontal="center" vertical="center" wrapText="1"/>
    </xf>
    <xf numFmtId="0" fontId="23" fillId="0" borderId="0" xfId="20" applyFont="1" applyBorder="1" applyAlignment="1">
      <alignment wrapText="1"/>
    </xf>
    <xf numFmtId="0" fontId="23" fillId="0" borderId="0" xfId="24" applyFont="1" applyAlignment="1">
      <alignment horizontal="left" vertical="top" wrapText="1"/>
    </xf>
    <xf numFmtId="0" fontId="23" fillId="0" borderId="0" xfId="24" applyFont="1" applyAlignment="1">
      <alignment horizontal="center" vertical="top" wrapText="1"/>
    </xf>
    <xf numFmtId="0" fontId="39" fillId="0" borderId="1" xfId="20" applyFont="1" applyBorder="1" applyAlignment="1">
      <alignment horizontal="center" vertical="center" wrapText="1"/>
    </xf>
    <xf numFmtId="0" fontId="23" fillId="0" borderId="0" xfId="24" applyNumberFormat="1" applyFont="1" applyAlignment="1">
      <alignment horizontal="right" vertical="top" wrapText="1"/>
    </xf>
    <xf numFmtId="0" fontId="23" fillId="0" borderId="0" xfId="21" applyFont="1" applyAlignment="1">
      <alignment horizontal="center" vertical="top" wrapText="1"/>
    </xf>
    <xf numFmtId="49" fontId="37" fillId="0" borderId="0" xfId="24" applyNumberFormat="1" applyFont="1" applyAlignment="1">
      <alignment vertical="top" wrapText="1"/>
    </xf>
    <xf numFmtId="0" fontId="41" fillId="0" borderId="0" xfId="24" applyNumberFormat="1" applyFont="1" applyAlignment="1">
      <alignment horizontal="right" vertical="top"/>
    </xf>
    <xf numFmtId="0" fontId="37" fillId="0" borderId="0" xfId="24" applyFont="1" applyAlignment="1">
      <alignment horizontal="left"/>
    </xf>
    <xf numFmtId="0" fontId="23" fillId="0" borderId="3" xfId="19" applyBorder="1">
      <alignment horizontal="center" wrapText="1"/>
    </xf>
    <xf numFmtId="0" fontId="23" fillId="0" borderId="10" xfId="19" applyBorder="1" applyAlignment="1">
      <alignment horizontal="center" wrapText="1"/>
    </xf>
    <xf numFmtId="49" fontId="37" fillId="0" borderId="3" xfId="24" applyNumberFormat="1" applyFont="1" applyBorder="1" applyAlignment="1">
      <alignment vertical="top" wrapText="1"/>
    </xf>
    <xf numFmtId="0" fontId="23" fillId="0" borderId="3" xfId="24" applyFont="1" applyBorder="1" applyAlignment="1">
      <alignment horizontal="left" vertical="top" wrapText="1"/>
    </xf>
    <xf numFmtId="0" fontId="23" fillId="0" borderId="3" xfId="21" applyFont="1" applyBorder="1" applyAlignment="1">
      <alignment horizontal="center" vertical="top" wrapText="1"/>
    </xf>
    <xf numFmtId="0" fontId="23" fillId="0" borderId="3" xfId="24" applyFont="1" applyBorder="1" applyAlignment="1">
      <alignment horizontal="center" vertical="top" wrapText="1"/>
    </xf>
    <xf numFmtId="0" fontId="23" fillId="0" borderId="3" xfId="24" applyNumberFormat="1" applyFont="1" applyBorder="1" applyAlignment="1">
      <alignment horizontal="right" vertical="top" wrapText="1"/>
    </xf>
    <xf numFmtId="0" fontId="41" fillId="0" borderId="3" xfId="24" applyNumberFormat="1" applyFont="1" applyBorder="1" applyAlignment="1">
      <alignment horizontal="right" vertical="top"/>
    </xf>
    <xf numFmtId="0" fontId="44" fillId="0" borderId="9" xfId="24" applyFont="1" applyBorder="1" applyAlignment="1">
      <alignment horizontal="left" vertical="top" wrapText="1"/>
    </xf>
    <xf numFmtId="0" fontId="44" fillId="0" borderId="9" xfId="21" applyFont="1" applyBorder="1" applyAlignment="1">
      <alignment horizontal="center" vertical="top" wrapText="1"/>
    </xf>
    <xf numFmtId="0" fontId="44" fillId="0" borderId="9" xfId="24" applyFont="1" applyBorder="1" applyAlignment="1">
      <alignment horizontal="center" vertical="top" wrapText="1"/>
    </xf>
    <xf numFmtId="0" fontId="44" fillId="0" borderId="9" xfId="24" applyNumberFormat="1" applyFont="1" applyBorder="1" applyAlignment="1">
      <alignment horizontal="right" vertical="top" wrapText="1"/>
    </xf>
    <xf numFmtId="0" fontId="54" fillId="0" borderId="9" xfId="24" applyNumberFormat="1" applyFont="1" applyBorder="1" applyAlignment="1">
      <alignment horizontal="right" vertical="top"/>
    </xf>
    <xf numFmtId="0" fontId="55" fillId="0" borderId="3" xfId="24" applyNumberFormat="1" applyFont="1" applyBorder="1" applyAlignment="1">
      <alignment horizontal="right" vertical="top"/>
    </xf>
    <xf numFmtId="49" fontId="37" fillId="0" borderId="1" xfId="24" applyNumberFormat="1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5" fillId="4" borderId="25" xfId="2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9" fillId="0" borderId="4" xfId="0" applyFont="1" applyBorder="1"/>
    <xf numFmtId="0" fontId="9" fillId="0" borderId="1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14" xfId="0" applyFont="1" applyBorder="1"/>
    <xf numFmtId="0" fontId="9" fillId="0" borderId="28" xfId="0" applyFont="1" applyBorder="1"/>
    <xf numFmtId="0" fontId="15" fillId="4" borderId="29" xfId="2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left" vertical="top" wrapText="1"/>
    </xf>
    <xf numFmtId="0" fontId="9" fillId="0" borderId="1" xfId="0" applyFont="1" applyBorder="1"/>
    <xf numFmtId="0" fontId="9" fillId="0" borderId="5" xfId="0" applyFont="1" applyBorder="1"/>
    <xf numFmtId="0" fontId="9" fillId="0" borderId="31" xfId="0" applyFont="1" applyBorder="1"/>
    <xf numFmtId="0" fontId="9" fillId="0" borderId="7" xfId="0" applyFont="1" applyBorder="1"/>
    <xf numFmtId="0" fontId="9" fillId="0" borderId="32" xfId="0" applyFont="1" applyBorder="1"/>
    <xf numFmtId="0" fontId="21" fillId="0" borderId="29" xfId="0" applyNumberFormat="1" applyFont="1" applyFill="1" applyBorder="1" applyAlignment="1" applyProtection="1">
      <alignment vertical="center" wrapText="1"/>
    </xf>
    <xf numFmtId="0" fontId="12" fillId="0" borderId="29" xfId="0" applyNumberFormat="1" applyFont="1" applyFill="1" applyBorder="1" applyAlignment="1" applyProtection="1">
      <alignment horizontal="left" vertical="top" wrapText="1"/>
    </xf>
    <xf numFmtId="0" fontId="21" fillId="0" borderId="31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vertical="center" wrapText="1"/>
    </xf>
    <xf numFmtId="0" fontId="9" fillId="0" borderId="19" xfId="0" applyFont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left" vertical="top" wrapText="1"/>
    </xf>
    <xf numFmtId="0" fontId="12" fillId="0" borderId="20" xfId="0" applyNumberFormat="1" applyFont="1" applyFill="1" applyBorder="1" applyAlignment="1" applyProtection="1">
      <alignment horizontal="left" vertical="top" wrapText="1"/>
    </xf>
    <xf numFmtId="0" fontId="12" fillId="0" borderId="21" xfId="0" applyNumberFormat="1" applyFont="1" applyFill="1" applyBorder="1" applyAlignment="1" applyProtection="1">
      <alignment horizontal="left" vertical="top" wrapText="1"/>
    </xf>
    <xf numFmtId="0" fontId="9" fillId="0" borderId="21" xfId="0" applyFont="1" applyBorder="1"/>
    <xf numFmtId="0" fontId="9" fillId="0" borderId="34" xfId="0" applyFont="1" applyBorder="1"/>
    <xf numFmtId="0" fontId="9" fillId="0" borderId="20" xfId="0" applyFont="1" applyBorder="1"/>
    <xf numFmtId="0" fontId="9" fillId="0" borderId="23" xfId="0" applyFont="1" applyBorder="1"/>
    <xf numFmtId="0" fontId="9" fillId="0" borderId="22" xfId="0" applyFont="1" applyBorder="1"/>
    <xf numFmtId="0" fontId="9" fillId="0" borderId="0" xfId="0" applyFont="1" applyAlignment="1">
      <alignment horizontal="center" vertical="center"/>
    </xf>
    <xf numFmtId="4" fontId="57" fillId="0" borderId="12" xfId="4" applyNumberFormat="1" applyFont="1" applyFill="1" applyBorder="1" applyAlignment="1" applyProtection="1">
      <alignment vertical="top"/>
    </xf>
    <xf numFmtId="4" fontId="57" fillId="0" borderId="0" xfId="4" applyNumberFormat="1" applyFont="1" applyFill="1" applyBorder="1" applyAlignment="1" applyProtection="1">
      <alignment vertical="top"/>
    </xf>
    <xf numFmtId="0" fontId="16" fillId="2" borderId="1" xfId="0" applyFont="1" applyFill="1" applyBorder="1" applyAlignment="1">
      <alignment horizontal="center" vertical="center" wrapText="1"/>
    </xf>
    <xf numFmtId="0" fontId="1" fillId="0" borderId="0" xfId="25"/>
    <xf numFmtId="0" fontId="37" fillId="0" borderId="0" xfId="25" applyFont="1"/>
    <xf numFmtId="0" fontId="23" fillId="0" borderId="0" xfId="25" applyFont="1"/>
    <xf numFmtId="0" fontId="23" fillId="0" borderId="0" xfId="25" applyFont="1" applyAlignment="1">
      <alignment vertical="top"/>
    </xf>
    <xf numFmtId="0" fontId="23" fillId="0" borderId="0" xfId="25" applyFont="1" applyAlignment="1">
      <alignment horizontal="left" indent="1"/>
    </xf>
    <xf numFmtId="0" fontId="23" fillId="0" borderId="0" xfId="20" applyFont="1" applyBorder="1">
      <alignment horizontal="center"/>
    </xf>
    <xf numFmtId="0" fontId="23" fillId="0" borderId="0" xfId="20" applyFont="1" applyBorder="1" applyAlignment="1">
      <alignment horizontal="right"/>
    </xf>
    <xf numFmtId="0" fontId="23" fillId="0" borderId="0" xfId="20" applyFont="1" applyBorder="1" applyAlignment="1">
      <alignment horizontal="left" vertical="top" wrapText="1"/>
    </xf>
    <xf numFmtId="0" fontId="39" fillId="0" borderId="1" xfId="25" applyFont="1" applyBorder="1" applyAlignment="1">
      <alignment horizontal="center" vertical="center" wrapText="1"/>
    </xf>
    <xf numFmtId="0" fontId="37" fillId="0" borderId="0" xfId="25" applyFont="1" applyAlignment="1">
      <alignment horizontal="right"/>
    </xf>
    <xf numFmtId="0" fontId="23" fillId="0" borderId="2" xfId="20" applyFont="1" applyBorder="1" applyAlignment="1">
      <alignment vertical="top" wrapText="1"/>
    </xf>
    <xf numFmtId="0" fontId="41" fillId="0" borderId="0" xfId="25" applyFont="1" applyBorder="1"/>
    <xf numFmtId="0" fontId="23" fillId="0" borderId="0" xfId="25" applyFont="1" applyAlignment="1"/>
    <xf numFmtId="0" fontId="39" fillId="0" borderId="5" xfId="25" applyFont="1" applyBorder="1" applyAlignment="1">
      <alignment horizontal="center" vertical="center" wrapText="1"/>
    </xf>
    <xf numFmtId="0" fontId="23" fillId="0" borderId="0" xfId="20" applyFont="1" applyBorder="1" applyAlignment="1">
      <alignment wrapText="1"/>
    </xf>
    <xf numFmtId="0" fontId="42" fillId="0" borderId="0" xfId="25" applyFont="1" applyAlignment="1">
      <alignment vertical="top"/>
    </xf>
    <xf numFmtId="0" fontId="41" fillId="0" borderId="2" xfId="25" applyFont="1" applyBorder="1"/>
    <xf numFmtId="0" fontId="23" fillId="0" borderId="0" xfId="21" applyFont="1" applyAlignment="1">
      <alignment horizontal="left" vertical="top" wrapText="1"/>
    </xf>
    <xf numFmtId="0" fontId="23" fillId="0" borderId="0" xfId="25" applyFont="1" applyAlignment="1">
      <alignment horizontal="left" vertical="top" wrapText="1"/>
    </xf>
    <xf numFmtId="0" fontId="37" fillId="0" borderId="0" xfId="25" applyFont="1" applyAlignment="1">
      <alignment vertical="top" wrapText="1"/>
    </xf>
    <xf numFmtId="0" fontId="23" fillId="0" borderId="0" xfId="25" applyFont="1" applyAlignment="1">
      <alignment horizontal="center" vertical="top" wrapText="1"/>
    </xf>
    <xf numFmtId="0" fontId="23" fillId="0" borderId="0" xfId="21" applyFont="1">
      <alignment horizontal="left" vertical="top"/>
    </xf>
    <xf numFmtId="0" fontId="38" fillId="0" borderId="0" xfId="20" applyFont="1" applyAlignment="1">
      <alignment horizontal="left"/>
    </xf>
    <xf numFmtId="0" fontId="39" fillId="0" borderId="1" xfId="20" applyFont="1" applyBorder="1" applyAlignment="1">
      <alignment horizontal="center" vertical="center" wrapText="1"/>
    </xf>
    <xf numFmtId="0" fontId="39" fillId="0" borderId="0" xfId="21" applyFont="1">
      <alignment horizontal="left" vertical="top"/>
    </xf>
    <xf numFmtId="0" fontId="23" fillId="0" borderId="0" xfId="25" applyNumberFormat="1" applyFont="1" applyAlignment="1">
      <alignment horizontal="right" vertical="top" wrapText="1"/>
    </xf>
    <xf numFmtId="0" fontId="23" fillId="0" borderId="3" xfId="19" applyBorder="1">
      <alignment horizontal="center" wrapText="1"/>
    </xf>
    <xf numFmtId="0" fontId="23" fillId="0" borderId="10" xfId="19" applyBorder="1" applyAlignment="1">
      <alignment horizontal="center" wrapText="1"/>
    </xf>
    <xf numFmtId="0" fontId="37" fillId="0" borderId="3" xfId="25" applyFont="1" applyBorder="1" applyAlignment="1">
      <alignment vertical="top" wrapText="1"/>
    </xf>
    <xf numFmtId="0" fontId="23" fillId="0" borderId="3" xfId="25" applyFont="1" applyBorder="1" applyAlignment="1">
      <alignment horizontal="left" vertical="top" wrapText="1"/>
    </xf>
    <xf numFmtId="0" fontId="23" fillId="0" borderId="3" xfId="21" applyFont="1" applyBorder="1" applyAlignment="1">
      <alignment horizontal="left" vertical="top" wrapText="1"/>
    </xf>
    <xf numFmtId="0" fontId="23" fillId="0" borderId="3" xfId="25" applyFont="1" applyBorder="1" applyAlignment="1">
      <alignment horizontal="center" vertical="top" wrapText="1"/>
    </xf>
    <xf numFmtId="0" fontId="23" fillId="0" borderId="3" xfId="25" applyNumberFormat="1" applyFont="1" applyBorder="1" applyAlignment="1">
      <alignment horizontal="right" vertical="top" wrapText="1"/>
    </xf>
    <xf numFmtId="0" fontId="44" fillId="0" borderId="9" xfId="25" applyFont="1" applyBorder="1" applyAlignment="1">
      <alignment horizontal="left" vertical="top" wrapText="1"/>
    </xf>
    <xf numFmtId="0" fontId="44" fillId="0" borderId="9" xfId="21" applyFont="1" applyBorder="1" applyAlignment="1">
      <alignment horizontal="left" vertical="top" wrapText="1"/>
    </xf>
    <xf numFmtId="0" fontId="44" fillId="0" borderId="9" xfId="25" applyFont="1" applyBorder="1" applyAlignment="1">
      <alignment horizontal="center" vertical="top" wrapText="1"/>
    </xf>
    <xf numFmtId="0" fontId="44" fillId="0" borderId="9" xfId="25" applyNumberFormat="1" applyFont="1" applyBorder="1" applyAlignment="1">
      <alignment horizontal="right" vertical="top" wrapText="1"/>
    </xf>
    <xf numFmtId="0" fontId="38" fillId="0" borderId="3" xfId="25" applyNumberFormat="1" applyFont="1" applyBorder="1" applyAlignment="1">
      <alignment horizontal="right" vertical="top" wrapText="1"/>
    </xf>
    <xf numFmtId="0" fontId="37" fillId="7" borderId="3" xfId="25" applyFont="1" applyFill="1" applyBorder="1" applyAlignment="1">
      <alignment vertical="top" wrapText="1"/>
    </xf>
    <xf numFmtId="0" fontId="23" fillId="7" borderId="3" xfId="25" applyNumberFormat="1" applyFont="1" applyFill="1" applyBorder="1" applyAlignment="1">
      <alignment horizontal="right" vertical="top" wrapText="1"/>
    </xf>
    <xf numFmtId="0" fontId="37" fillId="7" borderId="1" xfId="25" applyFont="1" applyFill="1" applyBorder="1" applyAlignment="1">
      <alignment vertical="top" wrapText="1"/>
    </xf>
    <xf numFmtId="4" fontId="38" fillId="7" borderId="1" xfId="25" applyNumberFormat="1" applyFont="1" applyFill="1" applyBorder="1" applyAlignment="1">
      <alignment horizontal="right" vertical="top" wrapText="1"/>
    </xf>
    <xf numFmtId="0" fontId="9" fillId="0" borderId="0" xfId="27" applyFont="1" applyFill="1" applyAlignment="1">
      <alignment horizontal="center"/>
    </xf>
    <xf numFmtId="0" fontId="9" fillId="0" borderId="0" xfId="27" applyFont="1" applyFill="1"/>
    <xf numFmtId="0" fontId="9" fillId="0" borderId="0" xfId="27" applyFont="1" applyFill="1" applyAlignment="1">
      <alignment wrapText="1"/>
    </xf>
    <xf numFmtId="4" fontId="9" fillId="0" borderId="0" xfId="27" applyNumberFormat="1" applyFont="1" applyFill="1"/>
    <xf numFmtId="0" fontId="9" fillId="0" borderId="1" xfId="33" quotePrefix="1" applyFont="1" applyFill="1" applyBorder="1" applyAlignment="1">
      <alignment horizontal="center" vertical="center" wrapText="1"/>
    </xf>
    <xf numFmtId="4" fontId="9" fillId="0" borderId="1" xfId="33" quotePrefix="1" applyNumberFormat="1" applyFont="1" applyFill="1" applyBorder="1" applyAlignment="1">
      <alignment horizontal="center" vertical="center" wrapText="1"/>
    </xf>
    <xf numFmtId="0" fontId="9" fillId="0" borderId="1" xfId="34" quotePrefix="1" applyFont="1" applyFill="1" applyBorder="1" applyAlignment="1">
      <alignment horizontal="left" vertical="center" wrapText="1"/>
    </xf>
    <xf numFmtId="0" fontId="9" fillId="0" borderId="1" xfId="34" quotePrefix="1" applyFont="1" applyFill="1" applyBorder="1" applyAlignment="1">
      <alignment horizontal="left" vertical="top" wrapText="1"/>
    </xf>
    <xf numFmtId="4" fontId="9" fillId="0" borderId="1" xfId="30" quotePrefix="1" applyNumberFormat="1" applyFont="1" applyFill="1" applyBorder="1" applyAlignment="1">
      <alignment horizontal="center" vertical="center" wrapText="1"/>
    </xf>
    <xf numFmtId="165" fontId="9" fillId="0" borderId="1" xfId="30" quotePrefix="1" applyNumberFormat="1" applyFont="1" applyFill="1" applyBorder="1" applyAlignment="1">
      <alignment horizontal="center" vertical="center" wrapText="1"/>
    </xf>
    <xf numFmtId="0" fontId="9" fillId="0" borderId="1" xfId="27" applyFont="1" applyFill="1" applyBorder="1" applyAlignment="1">
      <alignment wrapText="1"/>
    </xf>
    <xf numFmtId="2" fontId="9" fillId="0" borderId="1" xfId="30" quotePrefix="1" applyNumberFormat="1" applyFont="1" applyFill="1" applyBorder="1" applyAlignment="1">
      <alignment horizontal="center" vertical="center" wrapText="1"/>
    </xf>
    <xf numFmtId="0" fontId="9" fillId="0" borderId="1" xfId="30" quotePrefix="1" applyFont="1" applyFill="1" applyBorder="1" applyAlignment="1">
      <alignment horizontal="center" vertical="center" wrapText="1"/>
    </xf>
    <xf numFmtId="0" fontId="9" fillId="0" borderId="1" xfId="30" quotePrefix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34" quotePrefix="1" applyFont="1" applyFill="1" applyBorder="1" applyAlignment="1">
      <alignment horizontal="left" vertical="center" wrapText="1"/>
    </xf>
    <xf numFmtId="165" fontId="16" fillId="2" borderId="1" xfId="30" quotePrefix="1" applyNumberFormat="1" applyFont="1" applyFill="1" applyBorder="1" applyAlignment="1">
      <alignment horizontal="center" vertical="center" wrapText="1"/>
    </xf>
    <xf numFmtId="0" fontId="16" fillId="2" borderId="1" xfId="27" applyFont="1" applyFill="1" applyBorder="1" applyAlignment="1">
      <alignment vertical="center" wrapText="1"/>
    </xf>
    <xf numFmtId="4" fontId="16" fillId="2" borderId="1" xfId="15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quotePrefix="1" applyFont="1" applyFill="1" applyBorder="1" applyAlignment="1">
      <alignment vertical="center" wrapText="1"/>
    </xf>
    <xf numFmtId="0" fontId="16" fillId="0" borderId="1" xfId="34" quotePrefix="1" applyFont="1" applyFill="1" applyBorder="1" applyAlignment="1">
      <alignment horizontal="left" vertical="center" wrapText="1"/>
    </xf>
    <xf numFmtId="10" fontId="16" fillId="0" borderId="1" xfId="11" quotePrefix="1" applyNumberFormat="1" applyFont="1" applyFill="1" applyBorder="1" applyAlignment="1">
      <alignment horizontal="center" vertical="center" wrapText="1"/>
    </xf>
    <xf numFmtId="0" fontId="16" fillId="0" borderId="1" xfId="30" quotePrefix="1" applyFont="1" applyFill="1" applyBorder="1" applyAlignment="1">
      <alignment horizontal="left" vertical="center" wrapText="1"/>
    </xf>
    <xf numFmtId="0" fontId="16" fillId="0" borderId="1" xfId="27" applyFont="1" applyFill="1" applyBorder="1" applyAlignment="1">
      <alignment vertical="center" wrapText="1"/>
    </xf>
    <xf numFmtId="0" fontId="16" fillId="0" borderId="1" xfId="27" applyFont="1" applyFill="1" applyBorder="1" applyAlignment="1">
      <alignment horizontal="center" wrapText="1"/>
    </xf>
    <xf numFmtId="4" fontId="16" fillId="0" borderId="1" xfId="27" applyNumberFormat="1" applyFont="1" applyFill="1" applyBorder="1" applyAlignment="1">
      <alignment horizontal="center" vertical="center" wrapText="1"/>
    </xf>
    <xf numFmtId="0" fontId="16" fillId="0" borderId="1" xfId="34" quotePrefix="1" applyFont="1" applyFill="1" applyBorder="1" applyAlignment="1">
      <alignment horizontal="left" vertical="top" wrapText="1"/>
    </xf>
    <xf numFmtId="0" fontId="16" fillId="0" borderId="1" xfId="30" quotePrefix="1" applyFont="1" applyFill="1" applyBorder="1" applyAlignment="1">
      <alignment horizontal="center" vertical="top" wrapText="1"/>
    </xf>
    <xf numFmtId="0" fontId="16" fillId="0" borderId="1" xfId="30" quotePrefix="1" applyFont="1" applyFill="1" applyBorder="1" applyAlignment="1">
      <alignment horizontal="left" vertical="top" wrapText="1"/>
    </xf>
    <xf numFmtId="0" fontId="16" fillId="0" borderId="1" xfId="27" applyFont="1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15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61" fillId="0" borderId="1" xfId="0" applyFont="1" applyBorder="1" applyAlignment="1">
      <alignment horizontal="center" vertical="center" wrapText="1"/>
    </xf>
    <xf numFmtId="4" fontId="41" fillId="0" borderId="0" xfId="0" applyNumberFormat="1" applyFont="1" applyFill="1"/>
    <xf numFmtId="0" fontId="61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16" fillId="2" borderId="1" xfId="30" quotePrefix="1" applyNumberFormat="1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22" applyFont="1" applyAlignment="1">
      <alignment horizontal="left" vertical="center" wrapText="1"/>
    </xf>
    <xf numFmtId="0" fontId="45" fillId="0" borderId="0" xfId="22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5" fillId="0" borderId="0" xfId="22" applyFont="1" applyAlignment="1">
      <alignment horizontal="center"/>
    </xf>
    <xf numFmtId="0" fontId="15" fillId="0" borderId="0" xfId="22" applyFont="1" applyAlignment="1">
      <alignment horizontal="left" vertical="center" wrapText="1"/>
    </xf>
    <xf numFmtId="0" fontId="47" fillId="0" borderId="0" xfId="22" applyFont="1" applyFill="1" applyAlignment="1">
      <alignment horizontal="left" vertical="center" wrapText="1"/>
    </xf>
    <xf numFmtId="0" fontId="15" fillId="0" borderId="0" xfId="10" applyFont="1" applyBorder="1" applyAlignment="1">
      <alignment horizontal="center"/>
    </xf>
    <xf numFmtId="0" fontId="15" fillId="0" borderId="0" xfId="10" applyFont="1" applyBorder="1" applyAlignment="1">
      <alignment horizontal="center" vertical="center" wrapText="1"/>
    </xf>
    <xf numFmtId="0" fontId="15" fillId="0" borderId="0" xfId="10" applyFont="1" applyBorder="1" applyAlignment="1">
      <alignment horizontal="center" vertical="center"/>
    </xf>
    <xf numFmtId="0" fontId="16" fillId="0" borderId="0" xfId="10" applyFont="1" applyBorder="1" applyAlignment="1">
      <alignment horizontal="left" vertical="center" wrapText="1"/>
    </xf>
    <xf numFmtId="0" fontId="16" fillId="0" borderId="0" xfId="1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10" quotePrefix="1" applyFont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0" fontId="15" fillId="0" borderId="0" xfId="1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6" fillId="0" borderId="0" xfId="10" applyFont="1" applyBorder="1" applyAlignment="1">
      <alignment vertical="center" wrapText="1"/>
    </xf>
    <xf numFmtId="49" fontId="16" fillId="0" borderId="0" xfId="10" applyNumberFormat="1" applyFont="1" applyFill="1" applyBorder="1" applyAlignment="1">
      <alignment horizontal="left" vertical="center" wrapText="1"/>
    </xf>
    <xf numFmtId="0" fontId="16" fillId="0" borderId="0" xfId="10" applyFont="1" applyAlignment="1">
      <alignment horizontal="left" vertical="center" wrapText="1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 wrapText="1"/>
    </xf>
    <xf numFmtId="0" fontId="8" fillId="0" borderId="0" xfId="10" quotePrefix="1" applyFont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center" vertical="center" wrapText="1"/>
    </xf>
    <xf numFmtId="0" fontId="9" fillId="2" borderId="9" xfId="1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6" fillId="4" borderId="22" xfId="2" applyFont="1" applyFill="1" applyBorder="1" applyAlignment="1">
      <alignment horizontal="center" vertical="center" wrapText="1"/>
    </xf>
    <xf numFmtId="0" fontId="16" fillId="4" borderId="23" xfId="2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9" borderId="1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24" fillId="0" borderId="0" xfId="4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6" fillId="9" borderId="8" xfId="0" applyFont="1" applyFill="1" applyBorder="1" applyAlignment="1">
      <alignment horizontal="left" vertical="top"/>
    </xf>
    <xf numFmtId="0" fontId="16" fillId="9" borderId="2" xfId="0" applyFont="1" applyFill="1" applyBorder="1" applyAlignment="1">
      <alignment horizontal="left" vertical="top"/>
    </xf>
    <xf numFmtId="0" fontId="15" fillId="0" borderId="0" xfId="0" quotePrefix="1" applyFont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left" vertical="center" wrapText="1"/>
    </xf>
    <xf numFmtId="169" fontId="26" fillId="11" borderId="1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3" applyFont="1" applyFill="1" applyAlignment="1">
      <alignment horizontal="center" vertical="center"/>
    </xf>
    <xf numFmtId="0" fontId="8" fillId="0" borderId="0" xfId="6" applyFont="1" applyFill="1" applyAlignment="1">
      <alignment horizontal="center"/>
    </xf>
    <xf numFmtId="0" fontId="8" fillId="0" borderId="0" xfId="6" quotePrefix="1" applyFont="1" applyFill="1" applyAlignment="1">
      <alignment horizontal="center" vertical="center" wrapText="1"/>
    </xf>
    <xf numFmtId="0" fontId="8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horizontal="left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left" wrapText="1"/>
    </xf>
    <xf numFmtId="0" fontId="18" fillId="0" borderId="0" xfId="8" applyFont="1" applyFill="1" applyAlignment="1">
      <alignment horizontal="center"/>
    </xf>
    <xf numFmtId="0" fontId="21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/>
    </xf>
    <xf numFmtId="0" fontId="9" fillId="0" borderId="1" xfId="6" applyFont="1" applyFill="1" applyBorder="1" applyAlignment="1">
      <alignment horizontal="left" vertical="center" wrapText="1"/>
    </xf>
    <xf numFmtId="0" fontId="23" fillId="0" borderId="0" xfId="20" applyFont="1" applyBorder="1" applyAlignment="1">
      <alignment horizontal="left" vertical="top" wrapText="1"/>
    </xf>
    <xf numFmtId="0" fontId="40" fillId="0" borderId="8" xfId="20" applyFont="1" applyBorder="1" applyAlignment="1">
      <alignment horizontal="center" vertical="top" wrapText="1"/>
    </xf>
    <xf numFmtId="0" fontId="23" fillId="0" borderId="0" xfId="24" applyFont="1" applyAlignment="1">
      <alignment horizontal="center"/>
    </xf>
    <xf numFmtId="0" fontId="23" fillId="0" borderId="2" xfId="20" applyFont="1" applyBorder="1" applyAlignment="1">
      <alignment horizontal="center" vertical="top" wrapText="1"/>
    </xf>
    <xf numFmtId="0" fontId="42" fillId="0" borderId="8" xfId="24" applyFont="1" applyBorder="1" applyAlignment="1">
      <alignment horizontal="center" vertical="top"/>
    </xf>
    <xf numFmtId="0" fontId="23" fillId="0" borderId="2" xfId="20" applyFont="1" applyBorder="1" applyAlignment="1">
      <alignment horizontal="left" vertical="top" wrapText="1"/>
    </xf>
    <xf numFmtId="0" fontId="38" fillId="0" borderId="0" xfId="20" applyFont="1" applyAlignment="1">
      <alignment horizontal="center"/>
    </xf>
    <xf numFmtId="0" fontId="38" fillId="0" borderId="2" xfId="20" applyFont="1" applyBorder="1" applyAlignment="1">
      <alignment horizontal="center" vertical="top" wrapText="1"/>
    </xf>
    <xf numFmtId="0" fontId="23" fillId="0" borderId="5" xfId="24" applyFont="1" applyBorder="1" applyAlignment="1">
      <alignment horizontal="left" vertical="top" wrapText="1"/>
    </xf>
    <xf numFmtId="0" fontId="23" fillId="0" borderId="6" xfId="24" applyFont="1" applyBorder="1" applyAlignment="1">
      <alignment horizontal="left" vertical="top" wrapText="1"/>
    </xf>
    <xf numFmtId="0" fontId="23" fillId="0" borderId="7" xfId="24" applyFont="1" applyBorder="1" applyAlignment="1">
      <alignment horizontal="left" vertical="top" wrapText="1"/>
    </xf>
    <xf numFmtId="0" fontId="23" fillId="2" borderId="5" xfId="24" applyFont="1" applyFill="1" applyBorder="1" applyAlignment="1">
      <alignment horizontal="left" vertical="top" wrapText="1"/>
    </xf>
    <xf numFmtId="0" fontId="23" fillId="2" borderId="6" xfId="24" applyFont="1" applyFill="1" applyBorder="1" applyAlignment="1">
      <alignment horizontal="left" vertical="top" wrapText="1"/>
    </xf>
    <xf numFmtId="0" fontId="23" fillId="2" borderId="7" xfId="24" applyFont="1" applyFill="1" applyBorder="1" applyAlignment="1">
      <alignment horizontal="left" vertical="top" wrapText="1"/>
    </xf>
    <xf numFmtId="0" fontId="38" fillId="2" borderId="5" xfId="24" applyFont="1" applyFill="1" applyBorder="1" applyAlignment="1">
      <alignment horizontal="left" vertical="top" wrapText="1"/>
    </xf>
    <xf numFmtId="0" fontId="38" fillId="2" borderId="6" xfId="24" applyFont="1" applyFill="1" applyBorder="1" applyAlignment="1">
      <alignment horizontal="left" vertical="top" wrapText="1"/>
    </xf>
    <xf numFmtId="0" fontId="38" fillId="2" borderId="7" xfId="24" applyFont="1" applyFill="1" applyBorder="1" applyAlignment="1">
      <alignment horizontal="left" vertical="top" wrapText="1"/>
    </xf>
    <xf numFmtId="0" fontId="43" fillId="0" borderId="5" xfId="24" applyFont="1" applyBorder="1" applyAlignment="1">
      <alignment horizontal="left" vertical="top" wrapText="1"/>
    </xf>
    <xf numFmtId="0" fontId="43" fillId="0" borderId="6" xfId="24" applyFont="1" applyBorder="1" applyAlignment="1">
      <alignment horizontal="left" vertical="top" wrapText="1"/>
    </xf>
    <xf numFmtId="0" fontId="43" fillId="0" borderId="7" xfId="24" applyFont="1" applyBorder="1" applyAlignment="1">
      <alignment horizontal="left" vertical="top" wrapText="1"/>
    </xf>
    <xf numFmtId="0" fontId="37" fillId="0" borderId="3" xfId="24" applyFont="1" applyBorder="1" applyAlignment="1">
      <alignment vertical="top" wrapText="1"/>
    </xf>
    <xf numFmtId="0" fontId="37" fillId="0" borderId="9" xfId="24" applyFont="1" applyBorder="1" applyAlignment="1">
      <alignment vertical="top" wrapText="1"/>
    </xf>
    <xf numFmtId="0" fontId="37" fillId="0" borderId="4" xfId="24" applyFont="1" applyBorder="1" applyAlignment="1">
      <alignment vertical="top" wrapText="1"/>
    </xf>
    <xf numFmtId="0" fontId="38" fillId="0" borderId="5" xfId="24" applyFont="1" applyBorder="1" applyAlignment="1">
      <alignment horizontal="left" vertical="top" wrapText="1"/>
    </xf>
    <xf numFmtId="0" fontId="38" fillId="0" borderId="6" xfId="24" applyFont="1" applyBorder="1" applyAlignment="1">
      <alignment horizontal="left" vertical="top" wrapText="1"/>
    </xf>
    <xf numFmtId="0" fontId="38" fillId="0" borderId="7" xfId="24" applyFont="1" applyBorder="1" applyAlignment="1">
      <alignment horizontal="left" vertical="top" wrapText="1"/>
    </xf>
    <xf numFmtId="0" fontId="8" fillId="0" borderId="0" xfId="26" quotePrefix="1" applyFont="1" applyFill="1" applyAlignment="1">
      <alignment horizontal="center" vertical="center" wrapText="1"/>
    </xf>
    <xf numFmtId="0" fontId="9" fillId="0" borderId="0" xfId="27" applyFont="1" applyFill="1" applyAlignment="1">
      <alignment wrapText="1"/>
    </xf>
    <xf numFmtId="0" fontId="9" fillId="0" borderId="0" xfId="28" quotePrefix="1" applyFont="1" applyFill="1" applyAlignment="1">
      <alignment horizontal="center" vertical="top" wrapText="1"/>
    </xf>
    <xf numFmtId="0" fontId="8" fillId="0" borderId="0" xfId="29" quotePrefix="1" applyFont="1" applyFill="1" applyAlignment="1">
      <alignment horizontal="left" vertical="top" wrapText="1"/>
    </xf>
    <xf numFmtId="0" fontId="8" fillId="0" borderId="0" xfId="30" quotePrefix="1" applyFont="1" applyFill="1" applyAlignment="1">
      <alignment horizontal="left" vertical="center" wrapText="1"/>
    </xf>
    <xf numFmtId="0" fontId="8" fillId="0" borderId="0" xfId="27" applyFont="1" applyFill="1" applyAlignment="1">
      <alignment vertical="center" wrapText="1"/>
    </xf>
    <xf numFmtId="0" fontId="9" fillId="0" borderId="0" xfId="31" quotePrefix="1" applyFont="1" applyFill="1" applyAlignment="1">
      <alignment horizontal="left" vertical="center" wrapText="1"/>
    </xf>
    <xf numFmtId="0" fontId="8" fillId="0" borderId="0" xfId="32" quotePrefix="1" applyFont="1" applyFill="1" applyAlignment="1">
      <alignment horizontal="left" vertical="center" wrapText="1"/>
    </xf>
    <xf numFmtId="0" fontId="9" fillId="0" borderId="0" xfId="30" quotePrefix="1" applyFont="1" applyFill="1" applyAlignment="1">
      <alignment horizontal="left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9" fillId="0" borderId="1" xfId="33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4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34" quotePrefix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35" quotePrefix="1" applyFont="1" applyFill="1" applyBorder="1" applyAlignment="1">
      <alignment horizontal="left" vertical="top" wrapText="1"/>
    </xf>
    <xf numFmtId="0" fontId="9" fillId="0" borderId="6" xfId="35" quotePrefix="1" applyFont="1" applyFill="1" applyBorder="1" applyAlignment="1">
      <alignment horizontal="left" vertical="top" wrapText="1"/>
    </xf>
    <xf numFmtId="0" fontId="9" fillId="0" borderId="7" xfId="35" quotePrefix="1" applyFont="1" applyFill="1" applyBorder="1" applyAlignment="1">
      <alignment horizontal="left" vertical="top" wrapText="1"/>
    </xf>
    <xf numFmtId="0" fontId="9" fillId="0" borderId="3" xfId="34" quotePrefix="1" applyFont="1" applyFill="1" applyBorder="1" applyAlignment="1">
      <alignment horizontal="center" vertical="center" wrapText="1"/>
    </xf>
    <xf numFmtId="0" fontId="9" fillId="0" borderId="9" xfId="34" quotePrefix="1" applyFont="1" applyFill="1" applyBorder="1" applyAlignment="1">
      <alignment horizontal="center" vertical="center" wrapText="1"/>
    </xf>
    <xf numFmtId="0" fontId="9" fillId="0" borderId="4" xfId="34" quotePrefix="1" applyFont="1" applyFill="1" applyBorder="1" applyAlignment="1">
      <alignment horizontal="center" vertical="center" wrapText="1"/>
    </xf>
    <xf numFmtId="4" fontId="9" fillId="0" borderId="3" xfId="15" applyNumberFormat="1" applyFont="1" applyFill="1" applyBorder="1" applyAlignment="1">
      <alignment horizontal="center" vertical="center" wrapText="1"/>
    </xf>
    <xf numFmtId="4" fontId="9" fillId="0" borderId="9" xfId="15" applyNumberFormat="1" applyFont="1" applyFill="1" applyBorder="1" applyAlignment="1">
      <alignment horizontal="center" vertical="center" wrapText="1"/>
    </xf>
    <xf numFmtId="4" fontId="9" fillId="0" borderId="4" xfId="15" applyNumberFormat="1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left" vertical="top" wrapText="1"/>
    </xf>
    <xf numFmtId="0" fontId="16" fillId="4" borderId="0" xfId="1" applyFont="1" applyFill="1" applyAlignment="1">
      <alignment horizontal="left" vertical="top"/>
    </xf>
    <xf numFmtId="0" fontId="15" fillId="4" borderId="0" xfId="1" applyFont="1" applyFill="1" applyAlignment="1">
      <alignment horizontal="left" vertical="top" wrapText="1"/>
    </xf>
    <xf numFmtId="0" fontId="16" fillId="4" borderId="0" xfId="1" applyFont="1" applyFill="1" applyAlignment="1">
      <alignment horizontal="left" vertical="center" wrapText="1"/>
    </xf>
    <xf numFmtId="0" fontId="15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49" fontId="15" fillId="4" borderId="3" xfId="1" applyNumberFormat="1" applyFont="1" applyFill="1" applyBorder="1" applyAlignment="1">
      <alignment horizontal="center" vertical="center" wrapText="1"/>
    </xf>
    <xf numFmtId="49" fontId="15" fillId="4" borderId="9" xfId="1" applyNumberFormat="1" applyFont="1" applyFill="1" applyBorder="1" applyAlignment="1">
      <alignment horizontal="center" vertical="center" wrapText="1"/>
    </xf>
    <xf numFmtId="49" fontId="15" fillId="4" borderId="4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/>
    </xf>
    <xf numFmtId="0" fontId="33" fillId="4" borderId="3" xfId="1" applyFont="1" applyFill="1" applyBorder="1" applyAlignment="1">
      <alignment horizontal="center"/>
    </xf>
    <xf numFmtId="0" fontId="33" fillId="4" borderId="4" xfId="1" applyFont="1" applyFill="1" applyBorder="1" applyAlignment="1">
      <alignment horizont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49" fontId="15" fillId="4" borderId="5" xfId="1" applyNumberFormat="1" applyFont="1" applyFill="1" applyBorder="1" applyAlignment="1">
      <alignment horizontal="right" vertical="center" wrapText="1"/>
    </xf>
    <xf numFmtId="49" fontId="15" fillId="4" borderId="6" xfId="1" applyNumberFormat="1" applyFont="1" applyFill="1" applyBorder="1" applyAlignment="1">
      <alignment horizontal="right" vertical="center" wrapText="1"/>
    </xf>
    <xf numFmtId="49" fontId="15" fillId="4" borderId="7" xfId="1" applyNumberFormat="1" applyFont="1" applyFill="1" applyBorder="1" applyAlignment="1">
      <alignment horizontal="right" vertical="center" wrapText="1"/>
    </xf>
    <xf numFmtId="0" fontId="40" fillId="0" borderId="0" xfId="20" applyFont="1" applyBorder="1" applyAlignment="1">
      <alignment horizontal="center" vertical="top" wrapText="1"/>
    </xf>
    <xf numFmtId="0" fontId="23" fillId="0" borderId="0" xfId="25" applyFont="1" applyAlignment="1">
      <alignment horizontal="center"/>
    </xf>
    <xf numFmtId="0" fontId="42" fillId="0" borderId="0" xfId="25" applyFont="1" applyBorder="1" applyAlignment="1">
      <alignment horizontal="center" vertical="top"/>
    </xf>
    <xf numFmtId="0" fontId="37" fillId="0" borderId="3" xfId="25" applyFont="1" applyBorder="1" applyAlignment="1">
      <alignment vertical="top" wrapText="1"/>
    </xf>
    <xf numFmtId="0" fontId="1" fillId="0" borderId="9" xfId="25" applyBorder="1" applyAlignment="1">
      <alignment vertical="top" wrapText="1"/>
    </xf>
    <xf numFmtId="0" fontId="1" fillId="0" borderId="4" xfId="25" applyBorder="1" applyAlignment="1">
      <alignment vertical="top" wrapText="1"/>
    </xf>
    <xf numFmtId="0" fontId="38" fillId="7" borderId="1" xfId="25" applyFont="1" applyFill="1" applyBorder="1" applyAlignment="1">
      <alignment horizontal="left" vertical="top" wrapText="1"/>
    </xf>
    <xf numFmtId="0" fontId="31" fillId="7" borderId="1" xfId="25" applyFont="1" applyFill="1" applyBorder="1" applyAlignment="1">
      <alignment vertical="top" wrapText="1"/>
    </xf>
    <xf numFmtId="0" fontId="38" fillId="0" borderId="3" xfId="25" applyFont="1" applyBorder="1" applyAlignment="1">
      <alignment horizontal="left" vertical="top" wrapText="1"/>
    </xf>
    <xf numFmtId="0" fontId="31" fillId="0" borderId="3" xfId="25" applyFont="1" applyBorder="1" applyAlignment="1">
      <alignment vertical="top" wrapText="1"/>
    </xf>
    <xf numFmtId="0" fontId="23" fillId="0" borderId="3" xfId="25" applyFont="1" applyBorder="1" applyAlignment="1">
      <alignment horizontal="left" vertical="top" wrapText="1"/>
    </xf>
    <xf numFmtId="0" fontId="1" fillId="0" borderId="3" xfId="25" applyFont="1" applyBorder="1" applyAlignment="1">
      <alignment vertical="top" wrapText="1"/>
    </xf>
    <xf numFmtId="0" fontId="23" fillId="7" borderId="3" xfId="25" applyFont="1" applyFill="1" applyBorder="1" applyAlignment="1">
      <alignment horizontal="left" vertical="top" wrapText="1"/>
    </xf>
    <xf numFmtId="0" fontId="1" fillId="7" borderId="3" xfId="25" applyFont="1" applyFill="1" applyBorder="1" applyAlignment="1">
      <alignment vertical="top" wrapText="1"/>
    </xf>
    <xf numFmtId="0" fontId="43" fillId="0" borderId="3" xfId="25" applyFont="1" applyBorder="1" applyAlignment="1">
      <alignment horizontal="left" vertical="top" wrapText="1"/>
    </xf>
    <xf numFmtId="0" fontId="31" fillId="0" borderId="3" xfId="25" applyFont="1" applyBorder="1" applyAlignment="1">
      <alignment horizontal="left" vertical="top" wrapText="1"/>
    </xf>
    <xf numFmtId="0" fontId="38" fillId="0" borderId="3" xfId="24" applyFont="1" applyBorder="1" applyAlignment="1">
      <alignment horizontal="left" vertical="top" wrapText="1"/>
    </xf>
    <xf numFmtId="0" fontId="31" fillId="0" borderId="3" xfId="24" applyFont="1" applyBorder="1" applyAlignment="1">
      <alignment vertical="top" wrapText="1"/>
    </xf>
    <xf numFmtId="0" fontId="23" fillId="0" borderId="3" xfId="24" applyFont="1" applyBorder="1" applyAlignment="1">
      <alignment horizontal="left" vertical="top" wrapText="1"/>
    </xf>
    <xf numFmtId="0" fontId="2" fillId="0" borderId="3" xfId="24" applyFont="1" applyBorder="1" applyAlignment="1">
      <alignment vertical="top" wrapText="1"/>
    </xf>
    <xf numFmtId="0" fontId="38" fillId="0" borderId="1" xfId="24" applyFont="1" applyBorder="1" applyAlignment="1">
      <alignment horizontal="left" vertical="top" wrapText="1"/>
    </xf>
    <xf numFmtId="0" fontId="31" fillId="0" borderId="1" xfId="24" applyFont="1" applyBorder="1" applyAlignment="1">
      <alignment vertical="top" wrapText="1"/>
    </xf>
    <xf numFmtId="49" fontId="37" fillId="0" borderId="3" xfId="24" applyNumberFormat="1" applyFont="1" applyBorder="1" applyAlignment="1">
      <alignment vertical="top" wrapText="1"/>
    </xf>
    <xf numFmtId="0" fontId="2" fillId="0" borderId="9" xfId="24" applyBorder="1" applyAlignment="1">
      <alignment vertical="top" wrapText="1"/>
    </xf>
    <xf numFmtId="0" fontId="2" fillId="0" borderId="4" xfId="24" applyBorder="1" applyAlignment="1">
      <alignment vertical="top" wrapText="1"/>
    </xf>
    <xf numFmtId="49" fontId="43" fillId="0" borderId="3" xfId="24" applyNumberFormat="1" applyFont="1" applyBorder="1" applyAlignment="1">
      <alignment horizontal="left" vertical="top" wrapText="1"/>
    </xf>
    <xf numFmtId="0" fontId="31" fillId="0" borderId="3" xfId="24" applyFont="1" applyBorder="1" applyAlignment="1">
      <alignment horizontal="left" vertical="top" wrapText="1"/>
    </xf>
    <xf numFmtId="0" fontId="38" fillId="0" borderId="0" xfId="20" applyFont="1" applyAlignment="1">
      <alignment horizontal="center" vertical="top" wrapText="1"/>
    </xf>
    <xf numFmtId="0" fontId="31" fillId="0" borderId="0" xfId="24" applyFont="1" applyAlignment="1">
      <alignment horizontal="center"/>
    </xf>
    <xf numFmtId="0" fontId="23" fillId="0" borderId="0" xfId="20" applyFont="1" applyAlignment="1">
      <alignment horizontal="left" vertical="top" wrapText="1"/>
    </xf>
    <xf numFmtId="0" fontId="2" fillId="0" borderId="0" xfId="24" applyAlignment="1"/>
    <xf numFmtId="0" fontId="2" fillId="0" borderId="0" xfId="24" applyAlignment="1">
      <alignment horizontal="left"/>
    </xf>
    <xf numFmtId="0" fontId="4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2" fontId="35" fillId="0" borderId="8" xfId="0" applyNumberFormat="1" applyFont="1" applyBorder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3" fontId="35" fillId="0" borderId="3" xfId="0" applyNumberFormat="1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172" fontId="35" fillId="0" borderId="3" xfId="0" applyNumberFormat="1" applyFont="1" applyBorder="1" applyAlignment="1">
      <alignment horizontal="center" vertical="center" wrapText="1"/>
    </xf>
    <xf numFmtId="172" fontId="35" fillId="0" borderId="4" xfId="0" applyNumberFormat="1" applyFont="1" applyBorder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vertical="center"/>
    </xf>
  </cellXfs>
  <cellStyles count="36">
    <cellStyle name="S10 5" xfId="34"/>
    <cellStyle name="S12 4" xfId="35"/>
    <cellStyle name="S2 6" xfId="31"/>
    <cellStyle name="S3 3" xfId="26"/>
    <cellStyle name="S4 4" xfId="28"/>
    <cellStyle name="S5 4" xfId="29"/>
    <cellStyle name="S6 4" xfId="30"/>
    <cellStyle name="S7 3" xfId="32"/>
    <cellStyle name="S8 3" xfId="33"/>
    <cellStyle name="Гиперссылка" xfId="3" builtinId="8"/>
    <cellStyle name="Гиперссылка 2" xfId="7"/>
    <cellStyle name="Итоги" xfId="17"/>
    <cellStyle name="ЛокСмета" xfId="18"/>
    <cellStyle name="Обычный" xfId="0" builtinId="0"/>
    <cellStyle name="Обычный 18" xfId="27"/>
    <cellStyle name="Обычный 2" xfId="2"/>
    <cellStyle name="Обычный 2 3" xfId="13"/>
    <cellStyle name="Обычный 3" xfId="1"/>
    <cellStyle name="Обычный 3 2 3" xfId="5"/>
    <cellStyle name="Обычный 3 3" xfId="4"/>
    <cellStyle name="Обычный 3 3 4" xfId="22"/>
    <cellStyle name="Обычный 4" xfId="16"/>
    <cellStyle name="Обычный 4 3" xfId="14"/>
    <cellStyle name="Обычный 4 3 2" xfId="10"/>
    <cellStyle name="Обычный 5" xfId="6"/>
    <cellStyle name="Обычный 5 2" xfId="8"/>
    <cellStyle name="Обычный 6" xfId="23"/>
    <cellStyle name="Обычный 7" xfId="12"/>
    <cellStyle name="Обычный 8" xfId="24"/>
    <cellStyle name="Обычный 9" xfId="25"/>
    <cellStyle name="ПИР" xfId="19"/>
    <cellStyle name="Процентный" xfId="11" builtinId="5"/>
    <cellStyle name="Титул" xfId="20"/>
    <cellStyle name="Финансовый" xfId="15" builtinId="3"/>
    <cellStyle name="Финансовый 3" xfId="9"/>
    <cellStyle name="Хвост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8867775" y="18278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867775" y="18278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867775" y="18278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55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8867775" y="1827847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8867775" y="1827847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8867775" y="1827847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867775" y="18278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12887325" y="30765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12887325" y="30765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304800</xdr:colOff>
      <xdr:row>55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12887325" y="30765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55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15002995" y="3076575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14553641" y="30765750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15659099" y="30765750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12887325" y="30765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4276725</xdr:colOff>
      <xdr:row>9</xdr:row>
      <xdr:rowOff>104775</xdr:rowOff>
    </xdr:from>
    <xdr:to>
      <xdr:col>10</xdr:col>
      <xdr:colOff>19050</xdr:colOff>
      <xdr:row>9</xdr:row>
      <xdr:rowOff>104775</xdr:rowOff>
    </xdr:to>
    <xdr:cxnSp macro="">
      <xdr:nvCxnSpPr>
        <xdr:cNvPr id="2" name="Прямая соединительная линия 1"/>
        <xdr:cNvCxnSpPr/>
      </xdr:nvCxnSpPr>
      <xdr:spPr>
        <a:xfrm>
          <a:off x="4752975" y="1895475"/>
          <a:ext cx="12382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10886</xdr:colOff>
      <xdr:row>11</xdr:row>
      <xdr:rowOff>87086</xdr:rowOff>
    </xdr:from>
    <xdr:to>
      <xdr:col>14</xdr:col>
      <xdr:colOff>0</xdr:colOff>
      <xdr:row>11</xdr:row>
      <xdr:rowOff>93889</xdr:rowOff>
    </xdr:to>
    <xdr:cxnSp macro="">
      <xdr:nvCxnSpPr>
        <xdr:cNvPr id="3" name="Прямая соединительная линия 2"/>
        <xdr:cNvCxnSpPr/>
      </xdr:nvCxnSpPr>
      <xdr:spPr>
        <a:xfrm>
          <a:off x="5221061" y="2277836"/>
          <a:ext cx="1360714" cy="680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152400</xdr:colOff>
      <xdr:row>38</xdr:row>
      <xdr:rowOff>116205</xdr:rowOff>
    </xdr:from>
    <xdr:to>
      <xdr:col>67</xdr:col>
      <xdr:colOff>150495</xdr:colOff>
      <xdr:row>38</xdr:row>
      <xdr:rowOff>121920</xdr:rowOff>
    </xdr:to>
    <xdr:cxnSp macro="">
      <xdr:nvCxnSpPr>
        <xdr:cNvPr id="4" name="Прямая соединительная линия 3"/>
        <xdr:cNvCxnSpPr/>
      </xdr:nvCxnSpPr>
      <xdr:spPr>
        <a:xfrm flipV="1">
          <a:off x="13592175" y="8631555"/>
          <a:ext cx="1217295" cy="571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19050</xdr:colOff>
      <xdr:row>37</xdr:row>
      <xdr:rowOff>123825</xdr:rowOff>
    </xdr:from>
    <xdr:to>
      <xdr:col>67</xdr:col>
      <xdr:colOff>19050</xdr:colOff>
      <xdr:row>37</xdr:row>
      <xdr:rowOff>123825</xdr:rowOff>
    </xdr:to>
    <xdr:cxnSp macro="">
      <xdr:nvCxnSpPr>
        <xdr:cNvPr id="5" name="Прямая соединительная линия 4"/>
        <xdr:cNvCxnSpPr/>
      </xdr:nvCxnSpPr>
      <xdr:spPr>
        <a:xfrm>
          <a:off x="12849225" y="8410575"/>
          <a:ext cx="18288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4276725</xdr:colOff>
      <xdr:row>15</xdr:row>
      <xdr:rowOff>114300</xdr:rowOff>
    </xdr:from>
    <xdr:to>
      <xdr:col>10</xdr:col>
      <xdr:colOff>19050</xdr:colOff>
      <xdr:row>15</xdr:row>
      <xdr:rowOff>114300</xdr:rowOff>
    </xdr:to>
    <xdr:cxnSp macro="">
      <xdr:nvCxnSpPr>
        <xdr:cNvPr id="6" name="Прямая соединительная линия 5"/>
        <xdr:cNvCxnSpPr/>
      </xdr:nvCxnSpPr>
      <xdr:spPr>
        <a:xfrm>
          <a:off x="4752975" y="3190875"/>
          <a:ext cx="12382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21</xdr:row>
      <xdr:rowOff>133350</xdr:rowOff>
    </xdr:from>
    <xdr:to>
      <xdr:col>58</xdr:col>
      <xdr:colOff>0</xdr:colOff>
      <xdr:row>21</xdr:row>
      <xdr:rowOff>142875</xdr:rowOff>
    </xdr:to>
    <xdr:cxnSp macro="">
      <xdr:nvCxnSpPr>
        <xdr:cNvPr id="7" name="Прямая соединительная линия 6"/>
        <xdr:cNvCxnSpPr/>
      </xdr:nvCxnSpPr>
      <xdr:spPr>
        <a:xfrm>
          <a:off x="5514975" y="4581525"/>
          <a:ext cx="7772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cxnSp macro="">
      <xdr:nvCxnSpPr>
        <xdr:cNvPr id="8" name="Прямая соединительная линия 7"/>
        <xdr:cNvCxnSpPr/>
      </xdr:nvCxnSpPr>
      <xdr:spPr>
        <a:xfrm>
          <a:off x="4752975" y="2733675"/>
          <a:ext cx="18288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4276725</xdr:colOff>
      <xdr:row>14</xdr:row>
      <xdr:rowOff>114300</xdr:rowOff>
    </xdr:from>
    <xdr:to>
      <xdr:col>13</xdr:col>
      <xdr:colOff>152400</xdr:colOff>
      <xdr:row>14</xdr:row>
      <xdr:rowOff>114300</xdr:rowOff>
    </xdr:to>
    <xdr:cxnSp macro="">
      <xdr:nvCxnSpPr>
        <xdr:cNvPr id="9" name="Прямая соединительная линия 8"/>
        <xdr:cNvCxnSpPr/>
      </xdr:nvCxnSpPr>
      <xdr:spPr>
        <a:xfrm>
          <a:off x="4752975" y="2962275"/>
          <a:ext cx="18288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22</xdr:row>
      <xdr:rowOff>114300</xdr:rowOff>
    </xdr:from>
    <xdr:to>
      <xdr:col>58</xdr:col>
      <xdr:colOff>0</xdr:colOff>
      <xdr:row>22</xdr:row>
      <xdr:rowOff>123825</xdr:rowOff>
    </xdr:to>
    <xdr:cxnSp macro="">
      <xdr:nvCxnSpPr>
        <xdr:cNvPr id="10" name="Прямая соединительная линия 9"/>
        <xdr:cNvCxnSpPr/>
      </xdr:nvCxnSpPr>
      <xdr:spPr>
        <a:xfrm>
          <a:off x="5514975" y="4791075"/>
          <a:ext cx="7772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23</xdr:row>
      <xdr:rowOff>123825</xdr:rowOff>
    </xdr:from>
    <xdr:to>
      <xdr:col>58</xdr:col>
      <xdr:colOff>0</xdr:colOff>
      <xdr:row>23</xdr:row>
      <xdr:rowOff>133350</xdr:rowOff>
    </xdr:to>
    <xdr:cxnSp macro="">
      <xdr:nvCxnSpPr>
        <xdr:cNvPr id="11" name="Прямая соединительная линия 10"/>
        <xdr:cNvCxnSpPr/>
      </xdr:nvCxnSpPr>
      <xdr:spPr>
        <a:xfrm>
          <a:off x="5514975" y="5029200"/>
          <a:ext cx="7772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7620</xdr:colOff>
      <xdr:row>25</xdr:row>
      <xdr:rowOff>114300</xdr:rowOff>
    </xdr:from>
    <xdr:to>
      <xdr:col>61</xdr:col>
      <xdr:colOff>144780</xdr:colOff>
      <xdr:row>25</xdr:row>
      <xdr:rowOff>121920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12685395" y="5476875"/>
          <a:ext cx="1203960" cy="762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22860</xdr:colOff>
      <xdr:row>26</xdr:row>
      <xdr:rowOff>228600</xdr:rowOff>
    </xdr:from>
    <xdr:to>
      <xdr:col>61</xdr:col>
      <xdr:colOff>137160</xdr:colOff>
      <xdr:row>26</xdr:row>
      <xdr:rowOff>236220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12700635" y="5819775"/>
          <a:ext cx="1181100" cy="762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144780</xdr:colOff>
      <xdr:row>29</xdr:row>
      <xdr:rowOff>114300</xdr:rowOff>
    </xdr:from>
    <xdr:to>
      <xdr:col>62</xdr:col>
      <xdr:colOff>9525</xdr:colOff>
      <xdr:row>29</xdr:row>
      <xdr:rowOff>114300</xdr:rowOff>
    </xdr:to>
    <xdr:cxnSp macro="">
      <xdr:nvCxnSpPr>
        <xdr:cNvPr id="14" name="Прямая соединительная линия 13"/>
        <xdr:cNvCxnSpPr/>
      </xdr:nvCxnSpPr>
      <xdr:spPr>
        <a:xfrm>
          <a:off x="13279755" y="6572250"/>
          <a:ext cx="62674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9525</xdr:colOff>
      <xdr:row>30</xdr:row>
      <xdr:rowOff>111369</xdr:rowOff>
    </xdr:from>
    <xdr:to>
      <xdr:col>65</xdr:col>
      <xdr:colOff>19050</xdr:colOff>
      <xdr:row>30</xdr:row>
      <xdr:rowOff>114301</xdr:rowOff>
    </xdr:to>
    <xdr:cxnSp macro="">
      <xdr:nvCxnSpPr>
        <xdr:cNvPr id="15" name="Прямая соединительная линия 14"/>
        <xdr:cNvCxnSpPr/>
      </xdr:nvCxnSpPr>
      <xdr:spPr>
        <a:xfrm>
          <a:off x="13449300" y="6797919"/>
          <a:ext cx="923925" cy="293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152400</xdr:colOff>
      <xdr:row>31</xdr:row>
      <xdr:rowOff>123825</xdr:rowOff>
    </xdr:from>
    <xdr:to>
      <xdr:col>65</xdr:col>
      <xdr:colOff>0</xdr:colOff>
      <xdr:row>31</xdr:row>
      <xdr:rowOff>133350</xdr:rowOff>
    </xdr:to>
    <xdr:cxnSp macro="">
      <xdr:nvCxnSpPr>
        <xdr:cNvPr id="16" name="Прямая соединительная линия 15"/>
        <xdr:cNvCxnSpPr/>
      </xdr:nvCxnSpPr>
      <xdr:spPr>
        <a:xfrm>
          <a:off x="13439775" y="7038975"/>
          <a:ext cx="914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28575</xdr:colOff>
      <xdr:row>32</xdr:row>
      <xdr:rowOff>114300</xdr:rowOff>
    </xdr:from>
    <xdr:to>
      <xdr:col>65</xdr:col>
      <xdr:colOff>0</xdr:colOff>
      <xdr:row>32</xdr:row>
      <xdr:rowOff>123825</xdr:rowOff>
    </xdr:to>
    <xdr:cxnSp macro="">
      <xdr:nvCxnSpPr>
        <xdr:cNvPr id="17" name="Прямая соединительная линия 16"/>
        <xdr:cNvCxnSpPr/>
      </xdr:nvCxnSpPr>
      <xdr:spPr>
        <a:xfrm>
          <a:off x="13468350" y="7258050"/>
          <a:ext cx="88582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152400</xdr:colOff>
      <xdr:row>33</xdr:row>
      <xdr:rowOff>123825</xdr:rowOff>
    </xdr:from>
    <xdr:to>
      <xdr:col>62</xdr:col>
      <xdr:colOff>9525</xdr:colOff>
      <xdr:row>33</xdr:row>
      <xdr:rowOff>133350</xdr:rowOff>
    </xdr:to>
    <xdr:cxnSp macro="">
      <xdr:nvCxnSpPr>
        <xdr:cNvPr id="18" name="Прямая соединительная линия 17"/>
        <xdr:cNvCxnSpPr/>
      </xdr:nvCxnSpPr>
      <xdr:spPr>
        <a:xfrm>
          <a:off x="12372975" y="7496175"/>
          <a:ext cx="153352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7620</xdr:colOff>
      <xdr:row>28</xdr:row>
      <xdr:rowOff>120015</xdr:rowOff>
    </xdr:from>
    <xdr:to>
      <xdr:col>62</xdr:col>
      <xdr:colOff>0</xdr:colOff>
      <xdr:row>28</xdr:row>
      <xdr:rowOff>121920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13294995" y="6349365"/>
          <a:ext cx="601980" cy="19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27</xdr:row>
      <xdr:rowOff>121920</xdr:rowOff>
    </xdr:from>
    <xdr:to>
      <xdr:col>61</xdr:col>
      <xdr:colOff>152400</xdr:colOff>
      <xdr:row>27</xdr:row>
      <xdr:rowOff>121920</xdr:rowOff>
    </xdr:to>
    <xdr:cxnSp macro="">
      <xdr:nvCxnSpPr>
        <xdr:cNvPr id="20" name="Прямая соединительная линия 19"/>
        <xdr:cNvCxnSpPr/>
      </xdr:nvCxnSpPr>
      <xdr:spPr>
        <a:xfrm>
          <a:off x="13287375" y="612267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152400</xdr:colOff>
      <xdr:row>34</xdr:row>
      <xdr:rowOff>104775</xdr:rowOff>
    </xdr:from>
    <xdr:to>
      <xdr:col>62</xdr:col>
      <xdr:colOff>9525</xdr:colOff>
      <xdr:row>34</xdr:row>
      <xdr:rowOff>114300</xdr:rowOff>
    </xdr:to>
    <xdr:cxnSp macro="">
      <xdr:nvCxnSpPr>
        <xdr:cNvPr id="21" name="Прямая соединительная линия 20"/>
        <xdr:cNvCxnSpPr/>
      </xdr:nvCxnSpPr>
      <xdr:spPr>
        <a:xfrm>
          <a:off x="12372975" y="7705725"/>
          <a:ext cx="153352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</xdr:colOff>
      <xdr:row>17</xdr:row>
      <xdr:rowOff>118110</xdr:rowOff>
    </xdr:from>
    <xdr:to>
      <xdr:col>58</xdr:col>
      <xdr:colOff>0</xdr:colOff>
      <xdr:row>17</xdr:row>
      <xdr:rowOff>129540</xdr:rowOff>
    </xdr:to>
    <xdr:cxnSp macro="">
      <xdr:nvCxnSpPr>
        <xdr:cNvPr id="22" name="Прямая соединительная линия 21"/>
        <xdr:cNvCxnSpPr/>
      </xdr:nvCxnSpPr>
      <xdr:spPr>
        <a:xfrm>
          <a:off x="5518785" y="3651885"/>
          <a:ext cx="7768590" cy="114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140970</xdr:colOff>
      <xdr:row>18</xdr:row>
      <xdr:rowOff>118110</xdr:rowOff>
    </xdr:from>
    <xdr:to>
      <xdr:col>57</xdr:col>
      <xdr:colOff>148590</xdr:colOff>
      <xdr:row>18</xdr:row>
      <xdr:rowOff>127635</xdr:rowOff>
    </xdr:to>
    <xdr:cxnSp macro="">
      <xdr:nvCxnSpPr>
        <xdr:cNvPr id="23" name="Прямая соединительная линия 22"/>
        <xdr:cNvCxnSpPr/>
      </xdr:nvCxnSpPr>
      <xdr:spPr>
        <a:xfrm>
          <a:off x="5503545" y="3880485"/>
          <a:ext cx="778002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</xdr:colOff>
      <xdr:row>19</xdr:row>
      <xdr:rowOff>110490</xdr:rowOff>
    </xdr:from>
    <xdr:to>
      <xdr:col>58</xdr:col>
      <xdr:colOff>3810</xdr:colOff>
      <xdr:row>19</xdr:row>
      <xdr:rowOff>120015</xdr:rowOff>
    </xdr:to>
    <xdr:cxnSp macro="">
      <xdr:nvCxnSpPr>
        <xdr:cNvPr id="24" name="Прямая соединительная линия 23"/>
        <xdr:cNvCxnSpPr/>
      </xdr:nvCxnSpPr>
      <xdr:spPr>
        <a:xfrm>
          <a:off x="5518785" y="4101465"/>
          <a:ext cx="7772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148590</xdr:colOff>
      <xdr:row>35</xdr:row>
      <xdr:rowOff>110490</xdr:rowOff>
    </xdr:from>
    <xdr:to>
      <xdr:col>57</xdr:col>
      <xdr:colOff>156210</xdr:colOff>
      <xdr:row>35</xdr:row>
      <xdr:rowOff>120015</xdr:rowOff>
    </xdr:to>
    <xdr:cxnSp macro="">
      <xdr:nvCxnSpPr>
        <xdr:cNvPr id="25" name="Прямая соединительная линия 24"/>
        <xdr:cNvCxnSpPr/>
      </xdr:nvCxnSpPr>
      <xdr:spPr>
        <a:xfrm>
          <a:off x="5511165" y="7940040"/>
          <a:ext cx="778002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4275364</xdr:colOff>
      <xdr:row>10</xdr:row>
      <xdr:rowOff>102054</xdr:rowOff>
    </xdr:from>
    <xdr:to>
      <xdr:col>6</xdr:col>
      <xdr:colOff>0</xdr:colOff>
      <xdr:row>10</xdr:row>
      <xdr:rowOff>108857</xdr:rowOff>
    </xdr:to>
    <xdr:cxnSp macro="">
      <xdr:nvCxnSpPr>
        <xdr:cNvPr id="26" name="Прямая соединительная линия 25"/>
        <xdr:cNvCxnSpPr/>
      </xdr:nvCxnSpPr>
      <xdr:spPr>
        <a:xfrm>
          <a:off x="4751614" y="2092779"/>
          <a:ext cx="610961" cy="680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89</xdr:row>
      <xdr:rowOff>0</xdr:rowOff>
    </xdr:from>
    <xdr:to>
      <xdr:col>11</xdr:col>
      <xdr:colOff>304800</xdr:colOff>
      <xdr:row>89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304800</xdr:colOff>
      <xdr:row>89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304800</xdr:colOff>
      <xdr:row>89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439270</xdr:colOff>
      <xdr:row>89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4782670" y="87344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11</xdr:col>
      <xdr:colOff>1666316</xdr:colOff>
      <xdr:row>89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4333316" y="87344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13</xdr:col>
      <xdr:colOff>76199</xdr:colOff>
      <xdr:row>89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5438774" y="87344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873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2276475</xdr:colOff>
      <xdr:row>29</xdr:row>
      <xdr:rowOff>114300</xdr:rowOff>
    </xdr:from>
    <xdr:to>
      <xdr:col>4</xdr:col>
      <xdr:colOff>2987674</xdr:colOff>
      <xdr:row>29</xdr:row>
      <xdr:rowOff>338801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BBE6A7-FA48-47C8-9AD3-0536B705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2049125"/>
          <a:ext cx="711199" cy="224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K40" sqref="K40"/>
    </sheetView>
  </sheetViews>
  <sheetFormatPr defaultRowHeight="15" x14ac:dyDescent="0.25"/>
  <cols>
    <col min="1" max="1" width="4.140625" style="206" customWidth="1"/>
    <col min="2" max="6" width="9.140625" style="206"/>
    <col min="7" max="7" width="22.5703125" style="206" customWidth="1"/>
    <col min="8" max="16384" width="9.140625" style="206"/>
  </cols>
  <sheetData>
    <row r="1" spans="1:16" ht="15.75" x14ac:dyDescent="0.25">
      <c r="A1" s="633" t="s">
        <v>822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204"/>
      <c r="O1" s="204"/>
      <c r="P1" s="205"/>
    </row>
    <row r="2" spans="1:16" ht="15.75" x14ac:dyDescent="0.25">
      <c r="A2" s="633" t="s">
        <v>823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204"/>
      <c r="O2" s="204"/>
      <c r="P2" s="205"/>
    </row>
    <row r="3" spans="1:16" ht="15.75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5"/>
    </row>
    <row r="4" spans="1:16" ht="15.75" x14ac:dyDescent="0.25">
      <c r="A4" s="208" t="s">
        <v>824</v>
      </c>
      <c r="B4" s="207"/>
      <c r="D4" s="209"/>
      <c r="E4" s="634" t="str">
        <f>НМЦ!A3</f>
        <v>"Всесезонный туристско-рекреационный комплекс "Мамисон". Инженерные сети"</v>
      </c>
      <c r="F4" s="634"/>
      <c r="G4" s="634"/>
      <c r="H4" s="634"/>
      <c r="I4" s="634"/>
      <c r="J4" s="634"/>
      <c r="K4" s="634"/>
      <c r="L4" s="634"/>
      <c r="M4" s="634"/>
      <c r="N4" s="207"/>
      <c r="O4" s="207"/>
      <c r="P4" s="205"/>
    </row>
    <row r="5" spans="1:16" ht="15.75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5"/>
    </row>
    <row r="6" spans="1:16" ht="15.75" x14ac:dyDescent="0.25">
      <c r="A6" s="634" t="s">
        <v>825</v>
      </c>
      <c r="B6" s="634"/>
      <c r="C6" s="634"/>
      <c r="D6" s="634"/>
      <c r="E6" s="634"/>
      <c r="F6" s="634"/>
      <c r="G6" s="210">
        <f>НМЦ!E24</f>
        <v>1892679652.54</v>
      </c>
      <c r="H6" s="211" t="s">
        <v>826</v>
      </c>
      <c r="I6" s="211"/>
      <c r="J6" s="211"/>
      <c r="K6" s="211"/>
      <c r="L6" s="212"/>
      <c r="M6" s="212"/>
      <c r="N6" s="212"/>
      <c r="O6" s="212"/>
      <c r="P6" s="205"/>
    </row>
    <row r="7" spans="1:16" ht="33.75" customHeight="1" x14ac:dyDescent="0.25">
      <c r="A7" s="635" t="e">
        <f ca="1">[1]!СуммаПрописью(G6)</f>
        <v>#NAME?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213"/>
      <c r="O7" s="213"/>
      <c r="P7" s="205"/>
    </row>
    <row r="8" spans="1:16" ht="15.75" x14ac:dyDescent="0.25">
      <c r="A8" s="207" t="s">
        <v>827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5"/>
    </row>
    <row r="9" spans="1:16" ht="15.75" x14ac:dyDescent="0.25">
      <c r="A9" s="207" t="s">
        <v>828</v>
      </c>
      <c r="B9" s="207" t="s">
        <v>1130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5"/>
    </row>
    <row r="10" spans="1:16" ht="15.75" x14ac:dyDescent="0.25">
      <c r="A10" s="207" t="s">
        <v>829</v>
      </c>
      <c r="B10" s="207" t="s">
        <v>160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5"/>
    </row>
    <row r="11" spans="1:16" ht="15.75" x14ac:dyDescent="0.25">
      <c r="A11" s="207" t="s">
        <v>831</v>
      </c>
      <c r="B11" s="207" t="s">
        <v>51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5"/>
    </row>
    <row r="12" spans="1:16" ht="15.75" x14ac:dyDescent="0.25">
      <c r="A12" s="207" t="s">
        <v>833</v>
      </c>
      <c r="B12" s="207" t="s">
        <v>830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5"/>
    </row>
    <row r="13" spans="1:16" ht="15.75" x14ac:dyDescent="0.25">
      <c r="A13" s="207" t="s">
        <v>835</v>
      </c>
      <c r="B13" s="207" t="s">
        <v>832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5"/>
    </row>
    <row r="14" spans="1:16" ht="15.75" x14ac:dyDescent="0.25">
      <c r="A14" s="207" t="s">
        <v>837</v>
      </c>
      <c r="B14" s="207" t="s">
        <v>834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5"/>
    </row>
    <row r="15" spans="1:16" ht="15.75" x14ac:dyDescent="0.25">
      <c r="A15" s="207" t="s">
        <v>839</v>
      </c>
      <c r="B15" s="207" t="s">
        <v>836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5"/>
    </row>
    <row r="16" spans="1:16" ht="15.75" x14ac:dyDescent="0.25">
      <c r="A16" s="207" t="s">
        <v>841</v>
      </c>
      <c r="B16" s="207" t="s">
        <v>838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5"/>
    </row>
    <row r="17" spans="1:16" ht="15.75" x14ac:dyDescent="0.25">
      <c r="A17" s="207" t="s">
        <v>843</v>
      </c>
      <c r="B17" s="207" t="s">
        <v>840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5"/>
    </row>
    <row r="18" spans="1:16" ht="15.75" x14ac:dyDescent="0.25">
      <c r="A18" s="207" t="s">
        <v>845</v>
      </c>
      <c r="B18" s="207" t="s">
        <v>842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5"/>
    </row>
    <row r="19" spans="1:16" ht="34.5" customHeight="1" x14ac:dyDescent="0.25">
      <c r="A19" s="208" t="s">
        <v>847</v>
      </c>
      <c r="B19" s="630" t="s">
        <v>844</v>
      </c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207"/>
      <c r="O19" s="207"/>
      <c r="P19" s="205"/>
    </row>
    <row r="20" spans="1:16" ht="15.75" x14ac:dyDescent="0.25">
      <c r="A20" s="208" t="s">
        <v>848</v>
      </c>
      <c r="B20" s="630" t="s">
        <v>859</v>
      </c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207"/>
      <c r="O20" s="207"/>
      <c r="P20" s="205"/>
    </row>
    <row r="21" spans="1:16" ht="15.75" x14ac:dyDescent="0.25">
      <c r="A21" s="207" t="s">
        <v>850</v>
      </c>
      <c r="B21" s="207" t="s">
        <v>846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5"/>
    </row>
    <row r="22" spans="1:16" ht="15.75" x14ac:dyDescent="0.25">
      <c r="A22" s="214" t="s">
        <v>852</v>
      </c>
      <c r="B22" s="207" t="s">
        <v>860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5"/>
    </row>
    <row r="23" spans="1:16" ht="15.75" x14ac:dyDescent="0.25">
      <c r="A23" s="207" t="s">
        <v>854</v>
      </c>
      <c r="B23" s="207" t="s">
        <v>849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5"/>
    </row>
    <row r="24" spans="1:16" ht="39.75" customHeight="1" x14ac:dyDescent="0.25">
      <c r="A24" s="208" t="s">
        <v>1142</v>
      </c>
      <c r="B24" s="630" t="s">
        <v>851</v>
      </c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207"/>
      <c r="O24" s="207"/>
      <c r="P24" s="205"/>
    </row>
    <row r="25" spans="1:16" ht="36" customHeight="1" x14ac:dyDescent="0.25">
      <c r="A25" s="208" t="s">
        <v>1143</v>
      </c>
      <c r="B25" s="630" t="s">
        <v>853</v>
      </c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207"/>
      <c r="O25" s="207"/>
      <c r="P25" s="205"/>
    </row>
    <row r="26" spans="1:16" ht="15.75" x14ac:dyDescent="0.25">
      <c r="A26" s="207" t="s">
        <v>1144</v>
      </c>
      <c r="B26" s="207" t="s">
        <v>855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5"/>
    </row>
    <row r="27" spans="1:16" ht="15.75" x14ac:dyDescent="0.2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5"/>
    </row>
    <row r="28" spans="1:16" ht="15.75" x14ac:dyDescent="0.25">
      <c r="A28" s="215" t="s">
        <v>856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07"/>
      <c r="M28" s="207"/>
      <c r="N28" s="207"/>
      <c r="O28" s="207"/>
      <c r="P28" s="205"/>
    </row>
    <row r="29" spans="1:16" ht="15.75" x14ac:dyDescent="0.25">
      <c r="A29" s="215" t="s">
        <v>857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07"/>
      <c r="M29" s="207"/>
      <c r="N29" s="207"/>
      <c r="O29" s="207"/>
      <c r="P29" s="205"/>
    </row>
    <row r="30" spans="1:16" ht="15.75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07"/>
      <c r="M30" s="207"/>
      <c r="N30" s="207"/>
      <c r="O30" s="207"/>
      <c r="P30" s="205"/>
    </row>
    <row r="31" spans="1:16" ht="54.75" customHeight="1" x14ac:dyDescent="0.25">
      <c r="A31" s="632" t="s">
        <v>167</v>
      </c>
      <c r="B31" s="632"/>
      <c r="C31" s="632"/>
      <c r="D31" s="632"/>
      <c r="E31" s="632"/>
      <c r="F31" s="632"/>
      <c r="G31" s="632"/>
      <c r="H31" s="87"/>
      <c r="I31" s="12"/>
      <c r="J31" s="84" t="s">
        <v>168</v>
      </c>
      <c r="K31" s="217"/>
      <c r="L31" s="217"/>
      <c r="M31" s="216"/>
      <c r="N31" s="216"/>
      <c r="O31" s="216"/>
      <c r="P31" s="205"/>
    </row>
    <row r="32" spans="1:16" ht="15.75" x14ac:dyDescent="0.25">
      <c r="A32" s="207"/>
      <c r="B32" s="207"/>
      <c r="C32" s="207"/>
      <c r="D32" s="207"/>
      <c r="E32" s="207"/>
      <c r="F32" s="216"/>
      <c r="G32" s="631"/>
      <c r="H32" s="631"/>
      <c r="I32" s="631"/>
      <c r="J32" s="631"/>
      <c r="K32" s="218"/>
      <c r="L32" s="207"/>
      <c r="M32" s="216"/>
      <c r="N32" s="216"/>
      <c r="O32" s="216"/>
      <c r="P32" s="205"/>
    </row>
    <row r="33" spans="1:15" ht="15.75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5.75" x14ac:dyDescent="0.2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</row>
  </sheetData>
  <mergeCells count="11">
    <mergeCell ref="B19:M19"/>
    <mergeCell ref="A1:M1"/>
    <mergeCell ref="A2:M2"/>
    <mergeCell ref="E4:M4"/>
    <mergeCell ref="A6:F6"/>
    <mergeCell ref="A7:M7"/>
    <mergeCell ref="B24:M24"/>
    <mergeCell ref="B25:M25"/>
    <mergeCell ref="G32:J32"/>
    <mergeCell ref="B20:M20"/>
    <mergeCell ref="A31:G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9" workbookViewId="0">
      <selection activeCell="H21" sqref="H21"/>
    </sheetView>
  </sheetViews>
  <sheetFormatPr defaultColWidth="9.140625" defaultRowHeight="15" x14ac:dyDescent="0.25"/>
  <cols>
    <col min="1" max="1" width="5.28515625" style="621" customWidth="1"/>
    <col min="2" max="2" width="21.85546875" style="35" customWidth="1"/>
    <col min="3" max="3" width="26.140625" style="35" customWidth="1"/>
    <col min="4" max="4" width="14.85546875" style="35" customWidth="1"/>
    <col min="5" max="5" width="8.7109375" style="35" customWidth="1"/>
    <col min="6" max="6" width="11.7109375" style="35" customWidth="1"/>
    <col min="7" max="7" width="23.7109375" style="35" customWidth="1"/>
    <col min="8" max="8" width="17.5703125" style="622" customWidth="1"/>
    <col min="9" max="16384" width="9.140625" style="35"/>
  </cols>
  <sheetData>
    <row r="1" spans="1:8" ht="15.75" x14ac:dyDescent="0.25">
      <c r="A1" s="749" t="s">
        <v>1243</v>
      </c>
      <c r="B1" s="750"/>
      <c r="C1" s="750"/>
      <c r="D1" s="750"/>
      <c r="E1" s="750"/>
      <c r="F1" s="750"/>
      <c r="G1" s="750"/>
      <c r="H1" s="750"/>
    </row>
    <row r="2" spans="1:8" ht="15.75" x14ac:dyDescent="0.25">
      <c r="A2" s="751"/>
      <c r="B2" s="750"/>
      <c r="C2" s="750"/>
      <c r="D2" s="750"/>
      <c r="E2" s="750"/>
      <c r="F2" s="750"/>
      <c r="G2" s="750"/>
      <c r="H2" s="750"/>
    </row>
    <row r="3" spans="1:8" ht="55.9" customHeight="1" x14ac:dyDescent="0.25">
      <c r="A3" s="752" t="s">
        <v>1244</v>
      </c>
      <c r="B3" s="750"/>
      <c r="C3" s="753" t="str">
        <f>'Сводная ПИР'!C5:G5</f>
        <v>"Всесезонный туристско-рекреационный комплекс "Мамисон". Инженерные сети"</v>
      </c>
      <c r="D3" s="753"/>
      <c r="E3" s="753"/>
      <c r="F3" s="754"/>
      <c r="G3" s="754"/>
      <c r="H3" s="754"/>
    </row>
    <row r="4" spans="1:8" ht="17.25" customHeight="1" x14ac:dyDescent="0.25">
      <c r="A4" s="752" t="s">
        <v>1245</v>
      </c>
      <c r="B4" s="750"/>
      <c r="C4" s="755"/>
      <c r="D4" s="755"/>
      <c r="E4" s="755"/>
      <c r="F4" s="750"/>
      <c r="G4" s="750"/>
      <c r="H4" s="750"/>
    </row>
    <row r="5" spans="1:8" ht="30" customHeight="1" x14ac:dyDescent="0.25">
      <c r="A5" s="756" t="s">
        <v>1246</v>
      </c>
      <c r="B5" s="750"/>
      <c r="C5" s="755" t="s">
        <v>1247</v>
      </c>
      <c r="D5" s="755"/>
      <c r="E5" s="755"/>
      <c r="F5" s="750"/>
      <c r="G5" s="750"/>
      <c r="H5" s="750"/>
    </row>
    <row r="6" spans="1:8" ht="15.75" x14ac:dyDescent="0.25">
      <c r="A6" s="752" t="s">
        <v>1248</v>
      </c>
      <c r="B6" s="750"/>
      <c r="C6" s="757"/>
      <c r="D6" s="757"/>
      <c r="E6" s="757"/>
      <c r="F6" s="750"/>
      <c r="G6" s="750"/>
      <c r="H6" s="750"/>
    </row>
    <row r="7" spans="1:8" ht="15.75" x14ac:dyDescent="0.25">
      <c r="A7" s="752" t="s">
        <v>1249</v>
      </c>
      <c r="B7" s="750"/>
      <c r="C7" s="757" t="s">
        <v>241</v>
      </c>
      <c r="D7" s="757"/>
      <c r="E7" s="757"/>
      <c r="F7" s="750"/>
      <c r="G7" s="750"/>
      <c r="H7" s="750"/>
    </row>
    <row r="8" spans="1:8" ht="15.75" x14ac:dyDescent="0.25">
      <c r="A8" s="577"/>
      <c r="B8" s="578"/>
      <c r="C8" s="579"/>
      <c r="D8" s="579"/>
      <c r="E8" s="579"/>
      <c r="F8" s="578"/>
      <c r="G8" s="578"/>
      <c r="H8" s="580"/>
    </row>
    <row r="9" spans="1:8" ht="109.5" customHeight="1" x14ac:dyDescent="0.25">
      <c r="A9" s="581" t="s">
        <v>0</v>
      </c>
      <c r="B9" s="581" t="s">
        <v>1250</v>
      </c>
      <c r="C9" s="760" t="s">
        <v>1251</v>
      </c>
      <c r="D9" s="761"/>
      <c r="E9" s="761"/>
      <c r="F9" s="581" t="s">
        <v>797</v>
      </c>
      <c r="G9" s="581" t="s">
        <v>1252</v>
      </c>
      <c r="H9" s="582" t="s">
        <v>1253</v>
      </c>
    </row>
    <row r="10" spans="1:8" ht="15" customHeight="1" x14ac:dyDescent="0.25">
      <c r="A10" s="762">
        <v>1</v>
      </c>
      <c r="B10" s="764" t="s">
        <v>248</v>
      </c>
      <c r="C10" s="766"/>
      <c r="D10" s="767"/>
      <c r="E10" s="768"/>
      <c r="F10" s="583"/>
      <c r="G10" s="769"/>
      <c r="H10" s="772"/>
    </row>
    <row r="11" spans="1:8" ht="31.5" x14ac:dyDescent="0.25">
      <c r="A11" s="763"/>
      <c r="B11" s="765"/>
      <c r="C11" s="584" t="s">
        <v>1254</v>
      </c>
      <c r="D11" s="585">
        <f>'Сводная ПИР'!G18</f>
        <v>1083877.6499999999</v>
      </c>
      <c r="E11" s="586" t="s">
        <v>1255</v>
      </c>
      <c r="F11" s="587"/>
      <c r="G11" s="770"/>
      <c r="H11" s="773"/>
    </row>
    <row r="12" spans="1:8" ht="15.75" x14ac:dyDescent="0.25">
      <c r="A12" s="763"/>
      <c r="B12" s="765"/>
      <c r="C12" s="584" t="s">
        <v>1256</v>
      </c>
      <c r="D12" s="588">
        <v>5.46</v>
      </c>
      <c r="E12" s="589"/>
      <c r="F12" s="587"/>
      <c r="G12" s="770"/>
      <c r="H12" s="773"/>
    </row>
    <row r="13" spans="1:8" ht="47.25" x14ac:dyDescent="0.25">
      <c r="A13" s="763"/>
      <c r="B13" s="765"/>
      <c r="C13" s="584" t="s">
        <v>1257</v>
      </c>
      <c r="D13" s="585">
        <f>D11/D12</f>
        <v>198512.39</v>
      </c>
      <c r="E13" s="586" t="s">
        <v>1255</v>
      </c>
      <c r="F13" s="587"/>
      <c r="G13" s="770"/>
      <c r="H13" s="773"/>
    </row>
    <row r="14" spans="1:8" ht="15" customHeight="1" x14ac:dyDescent="0.25">
      <c r="A14" s="762">
        <v>2</v>
      </c>
      <c r="B14" s="764" t="s">
        <v>253</v>
      </c>
      <c r="C14" s="766"/>
      <c r="D14" s="767"/>
      <c r="E14" s="768"/>
      <c r="F14" s="583"/>
      <c r="G14" s="770"/>
      <c r="H14" s="773"/>
    </row>
    <row r="15" spans="1:8" ht="32.450000000000003" customHeight="1" x14ac:dyDescent="0.25">
      <c r="A15" s="763"/>
      <c r="B15" s="765"/>
      <c r="C15" s="584" t="s">
        <v>1258</v>
      </c>
      <c r="D15" s="585">
        <f>'Сводная ПИР'!G20</f>
        <v>3510801.15</v>
      </c>
      <c r="E15" s="586" t="s">
        <v>1255</v>
      </c>
      <c r="F15" s="587"/>
      <c r="G15" s="770"/>
      <c r="H15" s="773"/>
    </row>
    <row r="16" spans="1:8" ht="25.9" customHeight="1" x14ac:dyDescent="0.25">
      <c r="A16" s="763"/>
      <c r="B16" s="765"/>
      <c r="C16" s="584" t="s">
        <v>1256</v>
      </c>
      <c r="D16" s="590">
        <v>5.42</v>
      </c>
      <c r="E16" s="589"/>
      <c r="F16" s="587"/>
      <c r="G16" s="770"/>
      <c r="H16" s="773"/>
    </row>
    <row r="17" spans="1:15" ht="47.25" x14ac:dyDescent="0.25">
      <c r="A17" s="763"/>
      <c r="B17" s="765"/>
      <c r="C17" s="584" t="s">
        <v>1259</v>
      </c>
      <c r="D17" s="585">
        <f>D15/D16</f>
        <v>647749.29</v>
      </c>
      <c r="E17" s="586" t="s">
        <v>1255</v>
      </c>
      <c r="F17" s="587"/>
      <c r="G17" s="771"/>
      <c r="H17" s="774"/>
      <c r="O17" s="35" t="s">
        <v>1260</v>
      </c>
    </row>
    <row r="18" spans="1:15" ht="39.75" customHeight="1" x14ac:dyDescent="0.25">
      <c r="A18" s="591"/>
      <c r="B18" s="592"/>
      <c r="C18" s="593" t="s">
        <v>1261</v>
      </c>
      <c r="D18" s="623">
        <f>D13+D17</f>
        <v>846261.68</v>
      </c>
      <c r="E18" s="594" t="s">
        <v>1255</v>
      </c>
      <c r="F18" s="595"/>
      <c r="G18" s="534" t="s">
        <v>1298</v>
      </c>
      <c r="H18" s="596"/>
    </row>
    <row r="19" spans="1:15" ht="72" customHeight="1" x14ac:dyDescent="0.25">
      <c r="A19" s="597"/>
      <c r="B19" s="598" t="s">
        <v>1262</v>
      </c>
      <c r="C19" s="599" t="s">
        <v>1263</v>
      </c>
      <c r="D19" s="600">
        <v>0.16650000000000001</v>
      </c>
      <c r="E19" s="601"/>
      <c r="F19" s="602"/>
      <c r="G19" s="603"/>
      <c r="H19" s="604">
        <f>D18*D19</f>
        <v>140902.57</v>
      </c>
    </row>
    <row r="20" spans="1:15" ht="36.75" customHeight="1" x14ac:dyDescent="0.25">
      <c r="A20" s="597"/>
      <c r="B20" s="11"/>
      <c r="C20" s="605" t="s">
        <v>1264</v>
      </c>
      <c r="D20" s="606">
        <v>6.92</v>
      </c>
      <c r="E20" s="607"/>
      <c r="F20" s="608"/>
      <c r="G20" s="609"/>
      <c r="H20" s="610">
        <f>H19*D20</f>
        <v>975045.78</v>
      </c>
    </row>
    <row r="21" spans="1:15" ht="15.75" x14ac:dyDescent="0.25">
      <c r="A21" s="611"/>
      <c r="B21" s="612"/>
      <c r="C21" s="612"/>
      <c r="D21" s="612"/>
      <c r="E21" s="612"/>
      <c r="F21" s="612"/>
      <c r="G21" s="613" t="s">
        <v>1265</v>
      </c>
      <c r="H21" s="614">
        <f>H20*1.2</f>
        <v>1170054.94</v>
      </c>
    </row>
    <row r="22" spans="1:15" ht="15.75" x14ac:dyDescent="0.25">
      <c r="A22" s="611"/>
      <c r="B22" s="612"/>
      <c r="C22" s="612"/>
      <c r="D22" s="615"/>
      <c r="E22" s="612"/>
      <c r="F22" s="612"/>
      <c r="G22" s="616"/>
      <c r="H22" s="617"/>
    </row>
    <row r="23" spans="1:15" ht="15.75" x14ac:dyDescent="0.25">
      <c r="A23" s="611"/>
      <c r="B23" s="612"/>
      <c r="C23" s="612"/>
      <c r="D23" s="612"/>
      <c r="E23" s="612"/>
      <c r="F23" s="612"/>
      <c r="G23" s="616"/>
      <c r="H23" s="617"/>
    </row>
    <row r="24" spans="1:15" ht="15.75" x14ac:dyDescent="0.25">
      <c r="A24" s="611"/>
      <c r="B24" s="612"/>
      <c r="C24" s="612"/>
      <c r="D24" s="612"/>
      <c r="E24" s="612"/>
      <c r="F24" s="612"/>
      <c r="G24" s="616"/>
      <c r="H24" s="617"/>
    </row>
    <row r="25" spans="1:15" ht="30" x14ac:dyDescent="0.25">
      <c r="A25" s="611"/>
      <c r="B25" s="618" t="s">
        <v>1266</v>
      </c>
      <c r="C25" s="618" t="s">
        <v>1267</v>
      </c>
      <c r="D25" s="612"/>
      <c r="E25" s="612"/>
      <c r="F25" s="612"/>
      <c r="G25" s="612"/>
      <c r="H25" s="619"/>
    </row>
    <row r="26" spans="1:15" x14ac:dyDescent="0.25">
      <c r="A26" s="611"/>
      <c r="B26" s="618" t="s">
        <v>1268</v>
      </c>
      <c r="C26" s="618" t="s">
        <v>1269</v>
      </c>
      <c r="D26" s="612"/>
      <c r="E26" s="612"/>
      <c r="F26" s="612"/>
      <c r="G26" s="612"/>
      <c r="H26" s="619"/>
    </row>
    <row r="27" spans="1:15" x14ac:dyDescent="0.25">
      <c r="A27" s="611"/>
      <c r="B27" s="618" t="s">
        <v>1270</v>
      </c>
      <c r="C27" s="618">
        <v>33.75</v>
      </c>
      <c r="D27" s="612"/>
      <c r="E27" s="612"/>
      <c r="F27" s="612"/>
      <c r="G27" s="612"/>
      <c r="H27" s="619"/>
    </row>
    <row r="28" spans="1:15" x14ac:dyDescent="0.25">
      <c r="A28" s="611"/>
      <c r="B28" s="618" t="s">
        <v>1271</v>
      </c>
      <c r="C28" s="618">
        <v>29.25</v>
      </c>
      <c r="D28" s="612"/>
      <c r="E28" s="612"/>
      <c r="F28" s="612"/>
      <c r="G28" s="612"/>
      <c r="H28" s="619"/>
    </row>
    <row r="29" spans="1:15" x14ac:dyDescent="0.25">
      <c r="A29" s="611"/>
      <c r="B29" s="618" t="s">
        <v>1272</v>
      </c>
      <c r="C29" s="618">
        <v>27.3</v>
      </c>
      <c r="D29" s="612"/>
      <c r="E29" s="612"/>
      <c r="F29" s="612"/>
      <c r="G29" s="612"/>
      <c r="H29" s="619"/>
    </row>
    <row r="30" spans="1:15" x14ac:dyDescent="0.25">
      <c r="A30" s="611"/>
      <c r="B30" s="618" t="s">
        <v>1273</v>
      </c>
      <c r="C30" s="618">
        <v>20.22</v>
      </c>
      <c r="D30" s="612"/>
      <c r="E30" s="612"/>
      <c r="F30" s="612"/>
      <c r="G30" s="612"/>
      <c r="H30" s="619"/>
    </row>
    <row r="31" spans="1:15" x14ac:dyDescent="0.25">
      <c r="A31" s="611"/>
      <c r="B31" s="624" t="s">
        <v>1274</v>
      </c>
      <c r="C31" s="624">
        <v>16.649999999999999</v>
      </c>
      <c r="D31" s="612"/>
      <c r="E31" s="612"/>
      <c r="F31" s="612"/>
      <c r="G31" s="612"/>
      <c r="H31" s="619"/>
    </row>
    <row r="32" spans="1:15" x14ac:dyDescent="0.25">
      <c r="A32" s="611"/>
      <c r="B32" s="620" t="s">
        <v>1275</v>
      </c>
      <c r="C32" s="620">
        <v>12.69</v>
      </c>
      <c r="D32" s="612"/>
      <c r="E32" s="612"/>
      <c r="F32" s="612"/>
      <c r="G32" s="612"/>
      <c r="H32" s="619"/>
    </row>
    <row r="33" spans="1:8" x14ac:dyDescent="0.25">
      <c r="A33" s="611"/>
      <c r="B33" s="620" t="s">
        <v>1276</v>
      </c>
      <c r="C33" s="620">
        <v>11.88</v>
      </c>
      <c r="D33" s="612"/>
      <c r="E33" s="612"/>
      <c r="F33" s="612"/>
      <c r="G33" s="612"/>
      <c r="H33" s="619"/>
    </row>
    <row r="34" spans="1:8" x14ac:dyDescent="0.25">
      <c r="A34" s="611"/>
      <c r="B34" s="625" t="s">
        <v>1277</v>
      </c>
      <c r="C34" s="625">
        <v>10.98</v>
      </c>
      <c r="D34" s="612"/>
      <c r="E34" s="612"/>
      <c r="F34" s="612"/>
      <c r="G34" s="612"/>
      <c r="H34" s="619"/>
    </row>
    <row r="35" spans="1:8" x14ac:dyDescent="0.25">
      <c r="A35" s="611"/>
      <c r="B35" s="620" t="s">
        <v>1278</v>
      </c>
      <c r="C35" s="620">
        <v>8.77</v>
      </c>
      <c r="D35" s="612"/>
      <c r="E35" s="612"/>
      <c r="F35" s="612"/>
      <c r="G35" s="612"/>
      <c r="H35" s="619"/>
    </row>
    <row r="36" spans="1:8" x14ac:dyDescent="0.25">
      <c r="A36" s="611"/>
      <c r="B36" s="620" t="s">
        <v>1279</v>
      </c>
      <c r="C36" s="620">
        <v>7.07</v>
      </c>
      <c r="D36" s="612"/>
      <c r="E36" s="612"/>
      <c r="F36" s="612"/>
      <c r="G36" s="612"/>
      <c r="H36" s="619"/>
    </row>
    <row r="37" spans="1:8" x14ac:dyDescent="0.25">
      <c r="A37" s="611"/>
      <c r="B37" s="620" t="s">
        <v>1280</v>
      </c>
      <c r="C37" s="620">
        <v>6.15</v>
      </c>
      <c r="D37" s="612"/>
      <c r="E37" s="612"/>
      <c r="F37" s="612"/>
      <c r="G37" s="612"/>
      <c r="H37" s="619"/>
    </row>
    <row r="38" spans="1:8" x14ac:dyDescent="0.25">
      <c r="A38" s="611"/>
      <c r="B38" s="618" t="s">
        <v>1281</v>
      </c>
      <c r="C38" s="618">
        <v>4.76</v>
      </c>
      <c r="D38" s="612"/>
      <c r="E38" s="612"/>
      <c r="F38" s="612"/>
      <c r="G38" s="612"/>
      <c r="H38" s="619"/>
    </row>
    <row r="39" spans="1:8" x14ac:dyDescent="0.25">
      <c r="A39" s="611"/>
      <c r="B39" s="618" t="s">
        <v>1282</v>
      </c>
      <c r="C39" s="618">
        <v>4.13</v>
      </c>
      <c r="D39" s="612"/>
      <c r="E39" s="612"/>
      <c r="F39" s="612"/>
      <c r="G39" s="612"/>
      <c r="H39" s="619"/>
    </row>
    <row r="40" spans="1:8" x14ac:dyDescent="0.25">
      <c r="A40" s="611"/>
      <c r="B40" s="618" t="s">
        <v>1283</v>
      </c>
      <c r="C40" s="618">
        <v>3.52</v>
      </c>
      <c r="D40" s="612"/>
      <c r="E40" s="612"/>
      <c r="F40" s="612"/>
      <c r="G40" s="612"/>
      <c r="H40" s="619"/>
    </row>
    <row r="41" spans="1:8" x14ac:dyDescent="0.25">
      <c r="A41" s="611"/>
      <c r="B41" s="618" t="s">
        <v>1284</v>
      </c>
      <c r="C41" s="618">
        <v>3.06</v>
      </c>
      <c r="D41" s="612"/>
      <c r="E41" s="612"/>
      <c r="F41" s="612"/>
      <c r="G41" s="612"/>
      <c r="H41" s="619"/>
    </row>
    <row r="42" spans="1:8" x14ac:dyDescent="0.25">
      <c r="A42" s="611"/>
      <c r="B42" s="618" t="s">
        <v>1285</v>
      </c>
      <c r="C42" s="618">
        <v>2.62</v>
      </c>
      <c r="D42" s="612"/>
      <c r="E42" s="612"/>
      <c r="F42" s="612"/>
      <c r="G42" s="612"/>
      <c r="H42" s="619"/>
    </row>
    <row r="43" spans="1:8" x14ac:dyDescent="0.25">
      <c r="A43" s="611"/>
      <c r="B43" s="618" t="s">
        <v>1286</v>
      </c>
      <c r="C43" s="618">
        <v>2.33</v>
      </c>
      <c r="D43" s="612"/>
      <c r="E43" s="612"/>
      <c r="F43" s="612"/>
      <c r="G43" s="612"/>
      <c r="H43" s="619"/>
    </row>
    <row r="44" spans="1:8" x14ac:dyDescent="0.25">
      <c r="A44" s="611"/>
      <c r="B44" s="618" t="s">
        <v>1287</v>
      </c>
      <c r="C44" s="618">
        <v>2.0099999999999998</v>
      </c>
      <c r="D44" s="612"/>
      <c r="E44" s="612"/>
      <c r="F44" s="612"/>
      <c r="G44" s="612"/>
      <c r="H44" s="619"/>
    </row>
    <row r="45" spans="1:8" x14ac:dyDescent="0.25">
      <c r="A45" s="611"/>
      <c r="B45" s="618" t="s">
        <v>1288</v>
      </c>
      <c r="C45" s="618">
        <v>1.68</v>
      </c>
      <c r="D45" s="612"/>
      <c r="E45" s="612"/>
      <c r="F45" s="612"/>
      <c r="G45" s="612"/>
      <c r="H45" s="619"/>
    </row>
    <row r="46" spans="1:8" x14ac:dyDescent="0.25">
      <c r="A46" s="611"/>
      <c r="B46" s="618" t="s">
        <v>1289</v>
      </c>
      <c r="C46" s="618">
        <v>1.56</v>
      </c>
      <c r="D46" s="612"/>
      <c r="E46" s="612"/>
      <c r="F46" s="612"/>
      <c r="G46" s="612"/>
      <c r="H46" s="619"/>
    </row>
    <row r="47" spans="1:8" x14ac:dyDescent="0.25">
      <c r="A47" s="611"/>
      <c r="B47" s="618" t="s">
        <v>1290</v>
      </c>
      <c r="C47" s="618">
        <v>1.22</v>
      </c>
      <c r="D47" s="612"/>
      <c r="E47" s="612"/>
      <c r="F47" s="612"/>
      <c r="G47" s="612"/>
      <c r="H47" s="619"/>
    </row>
    <row r="48" spans="1:8" x14ac:dyDescent="0.25">
      <c r="A48" s="611"/>
      <c r="B48" s="618" t="s">
        <v>1291</v>
      </c>
      <c r="C48" s="618">
        <v>1.04</v>
      </c>
      <c r="D48" s="612"/>
      <c r="E48" s="612"/>
      <c r="F48" s="612"/>
      <c r="G48" s="612"/>
      <c r="H48" s="619"/>
    </row>
    <row r="49" spans="1:9" x14ac:dyDescent="0.25">
      <c r="A49" s="611"/>
      <c r="B49" s="618" t="s">
        <v>1292</v>
      </c>
      <c r="C49" s="618">
        <v>0.9</v>
      </c>
      <c r="D49" s="612"/>
      <c r="E49" s="612"/>
      <c r="F49" s="612"/>
      <c r="G49" s="612"/>
      <c r="H49" s="619"/>
    </row>
    <row r="50" spans="1:9" x14ac:dyDescent="0.25">
      <c r="A50" s="611"/>
      <c r="B50" s="618" t="s">
        <v>1293</v>
      </c>
      <c r="C50" s="618">
        <v>0.8</v>
      </c>
      <c r="D50" s="612"/>
      <c r="E50" s="612"/>
      <c r="F50" s="612"/>
      <c r="G50" s="612"/>
      <c r="H50" s="619"/>
    </row>
    <row r="51" spans="1:9" x14ac:dyDescent="0.25">
      <c r="A51" s="611"/>
      <c r="B51" s="618" t="s">
        <v>1294</v>
      </c>
      <c r="C51" s="618">
        <v>0.73</v>
      </c>
      <c r="D51" s="612"/>
      <c r="E51" s="612"/>
      <c r="F51" s="612"/>
      <c r="G51" s="612"/>
      <c r="H51" s="619"/>
    </row>
    <row r="52" spans="1:9" x14ac:dyDescent="0.25">
      <c r="A52" s="611"/>
      <c r="B52" s="618" t="s">
        <v>1295</v>
      </c>
      <c r="C52" s="618">
        <v>0.66</v>
      </c>
      <c r="D52" s="612"/>
      <c r="E52" s="612"/>
      <c r="F52" s="612"/>
      <c r="G52" s="612"/>
      <c r="H52" s="619"/>
    </row>
    <row r="53" spans="1:9" x14ac:dyDescent="0.25">
      <c r="A53" s="611"/>
      <c r="B53" s="618" t="s">
        <v>1296</v>
      </c>
      <c r="C53" s="618">
        <v>0.61</v>
      </c>
      <c r="D53" s="612"/>
      <c r="E53" s="612"/>
      <c r="F53" s="612"/>
      <c r="G53" s="612"/>
      <c r="H53" s="619"/>
    </row>
    <row r="54" spans="1:9" x14ac:dyDescent="0.25">
      <c r="A54" s="611"/>
      <c r="B54" s="618" t="s">
        <v>1297</v>
      </c>
      <c r="C54" s="618">
        <v>0.57999999999999996</v>
      </c>
      <c r="D54" s="612"/>
      <c r="E54" s="612"/>
      <c r="F54" s="612"/>
      <c r="G54" s="612"/>
      <c r="H54" s="619"/>
    </row>
    <row r="55" spans="1:9" x14ac:dyDescent="0.25">
      <c r="A55" s="611"/>
      <c r="B55" s="612"/>
      <c r="C55" s="612"/>
      <c r="D55" s="612"/>
      <c r="E55" s="612"/>
      <c r="F55" s="612"/>
      <c r="G55" s="612"/>
      <c r="H55" s="619"/>
    </row>
    <row r="56" spans="1:9" ht="30.75" customHeight="1" x14ac:dyDescent="0.25">
      <c r="A56" s="611"/>
      <c r="B56" s="759" t="s">
        <v>1308</v>
      </c>
      <c r="C56" s="759"/>
      <c r="D56" s="759"/>
      <c r="E56" s="759"/>
      <c r="F56" s="759"/>
      <c r="G56" s="759"/>
      <c r="H56" s="759"/>
      <c r="I56" s="759"/>
    </row>
    <row r="57" spans="1:9" ht="33.75" customHeight="1" x14ac:dyDescent="0.25">
      <c r="A57" s="611"/>
      <c r="B57" s="758" t="s">
        <v>1301</v>
      </c>
      <c r="C57" s="758"/>
      <c r="D57" s="758"/>
      <c r="E57" s="758"/>
      <c r="F57" s="758"/>
      <c r="G57" s="758"/>
      <c r="H57" s="758"/>
    </row>
    <row r="58" spans="1:9" ht="47.25" customHeight="1" x14ac:dyDescent="0.25">
      <c r="A58" s="611"/>
      <c r="B58" s="758" t="s">
        <v>1300</v>
      </c>
      <c r="C58" s="758"/>
      <c r="D58" s="758"/>
      <c r="E58" s="758"/>
      <c r="F58" s="758"/>
      <c r="G58" s="758"/>
      <c r="H58" s="758"/>
    </row>
    <row r="59" spans="1:9" x14ac:dyDescent="0.25">
      <c r="A59" s="611"/>
      <c r="B59" s="612" t="s">
        <v>1299</v>
      </c>
      <c r="C59" s="612"/>
      <c r="D59" s="612"/>
      <c r="E59" s="612"/>
      <c r="F59" s="612"/>
      <c r="H59" s="612">
        <v>63.74</v>
      </c>
      <c r="I59" s="35" t="s">
        <v>1303</v>
      </c>
    </row>
    <row r="60" spans="1:9" x14ac:dyDescent="0.25">
      <c r="A60" s="611"/>
      <c r="B60" s="612" t="s">
        <v>1302</v>
      </c>
      <c r="C60" s="612"/>
      <c r="D60" s="612"/>
      <c r="E60" s="612"/>
      <c r="F60" s="612"/>
      <c r="G60" s="612"/>
      <c r="H60" s="619">
        <f>H59*6.92</f>
        <v>441.08</v>
      </c>
      <c r="I60" s="35" t="s">
        <v>1303</v>
      </c>
    </row>
    <row r="61" spans="1:9" x14ac:dyDescent="0.25">
      <c r="A61" s="611"/>
      <c r="B61" s="612" t="s">
        <v>1304</v>
      </c>
      <c r="C61" s="612"/>
      <c r="D61" s="612"/>
      <c r="E61" s="612"/>
      <c r="F61" s="612"/>
      <c r="G61" s="612"/>
      <c r="H61" s="619">
        <f>H60*0.3</f>
        <v>132.32</v>
      </c>
      <c r="I61" s="35" t="s">
        <v>1303</v>
      </c>
    </row>
    <row r="62" spans="1:9" x14ac:dyDescent="0.25">
      <c r="A62" s="611"/>
      <c r="B62" s="612" t="s">
        <v>1305</v>
      </c>
      <c r="C62" s="612"/>
      <c r="D62" s="612"/>
      <c r="E62" s="612"/>
      <c r="F62" s="612"/>
      <c r="G62" s="612"/>
      <c r="H62" s="619">
        <f>H61*1000</f>
        <v>132320</v>
      </c>
      <c r="I62" s="35" t="s">
        <v>144</v>
      </c>
    </row>
    <row r="63" spans="1:9" x14ac:dyDescent="0.25">
      <c r="A63" s="611"/>
      <c r="B63" s="612" t="s">
        <v>1306</v>
      </c>
      <c r="C63" s="612"/>
      <c r="D63" s="612"/>
      <c r="E63" s="612"/>
      <c r="F63" s="612"/>
      <c r="G63" s="612"/>
      <c r="H63" s="619">
        <f>H62*0.2</f>
        <v>26464</v>
      </c>
      <c r="I63" s="35" t="s">
        <v>144</v>
      </c>
    </row>
    <row r="64" spans="1:9" x14ac:dyDescent="0.25">
      <c r="A64" s="611"/>
      <c r="B64" s="612" t="s">
        <v>1307</v>
      </c>
      <c r="C64" s="612"/>
      <c r="D64" s="612"/>
      <c r="E64" s="612"/>
      <c r="F64" s="612"/>
      <c r="G64" s="612"/>
      <c r="H64" s="619">
        <f>H62+H63</f>
        <v>158784</v>
      </c>
      <c r="I64" s="35" t="s">
        <v>144</v>
      </c>
    </row>
    <row r="65" spans="1:8" x14ac:dyDescent="0.25">
      <c r="A65" s="611"/>
      <c r="B65" s="612"/>
      <c r="C65" s="612"/>
      <c r="D65" s="612"/>
      <c r="E65" s="612"/>
      <c r="F65" s="612"/>
      <c r="G65" s="612"/>
      <c r="H65" s="619"/>
    </row>
    <row r="66" spans="1:8" x14ac:dyDescent="0.25">
      <c r="A66" s="611"/>
      <c r="B66" s="612"/>
      <c r="C66" s="612"/>
      <c r="D66" s="612"/>
      <c r="E66" s="612"/>
      <c r="F66" s="612"/>
      <c r="G66" s="612"/>
      <c r="H66" s="619"/>
    </row>
    <row r="67" spans="1:8" x14ac:dyDescent="0.25">
      <c r="A67" s="611"/>
      <c r="B67" s="612"/>
      <c r="C67" s="612"/>
      <c r="D67" s="612"/>
      <c r="E67" s="612"/>
      <c r="F67" s="612"/>
      <c r="G67" s="612"/>
      <c r="H67" s="619"/>
    </row>
    <row r="68" spans="1:8" x14ac:dyDescent="0.25">
      <c r="A68" s="611"/>
      <c r="B68" s="612"/>
      <c r="C68" s="612"/>
      <c r="D68" s="612"/>
      <c r="E68" s="612"/>
      <c r="F68" s="612"/>
      <c r="G68" s="612"/>
      <c r="H68" s="619"/>
    </row>
    <row r="69" spans="1:8" x14ac:dyDescent="0.25">
      <c r="A69" s="611"/>
      <c r="B69" s="612"/>
      <c r="C69" s="612"/>
      <c r="D69" s="612"/>
      <c r="E69" s="612"/>
      <c r="F69" s="612"/>
      <c r="G69" s="612"/>
      <c r="H69" s="619"/>
    </row>
    <row r="70" spans="1:8" x14ac:dyDescent="0.25">
      <c r="A70" s="611"/>
      <c r="B70" s="612"/>
      <c r="C70" s="612"/>
      <c r="D70" s="612"/>
      <c r="E70" s="612"/>
      <c r="F70" s="612"/>
      <c r="G70" s="612"/>
      <c r="H70" s="619"/>
    </row>
    <row r="71" spans="1:8" x14ac:dyDescent="0.25">
      <c r="A71" s="611"/>
      <c r="B71" s="612"/>
      <c r="C71" s="612"/>
      <c r="D71" s="612"/>
      <c r="E71" s="612"/>
      <c r="F71" s="612"/>
      <c r="G71" s="612"/>
      <c r="H71" s="619"/>
    </row>
    <row r="72" spans="1:8" x14ac:dyDescent="0.25">
      <c r="A72" s="611"/>
      <c r="B72" s="612"/>
      <c r="C72" s="612"/>
      <c r="D72" s="612"/>
      <c r="E72" s="612"/>
      <c r="F72" s="612"/>
      <c r="G72" s="612"/>
      <c r="H72" s="619"/>
    </row>
    <row r="73" spans="1:8" x14ac:dyDescent="0.25">
      <c r="A73" s="611"/>
      <c r="B73" s="612"/>
      <c r="C73" s="612"/>
      <c r="D73" s="612"/>
      <c r="E73" s="612"/>
      <c r="F73" s="612"/>
      <c r="G73" s="612"/>
      <c r="H73" s="619"/>
    </row>
    <row r="74" spans="1:8" x14ac:dyDescent="0.25">
      <c r="A74" s="611"/>
      <c r="B74" s="612"/>
      <c r="C74" s="612"/>
      <c r="D74" s="612"/>
      <c r="E74" s="612"/>
      <c r="F74" s="612"/>
      <c r="G74" s="612"/>
      <c r="H74" s="619"/>
    </row>
    <row r="75" spans="1:8" x14ac:dyDescent="0.25">
      <c r="A75" s="611"/>
      <c r="B75" s="612"/>
      <c r="C75" s="612"/>
      <c r="D75" s="612"/>
      <c r="E75" s="612"/>
      <c r="F75" s="612"/>
      <c r="G75" s="612"/>
      <c r="H75" s="619"/>
    </row>
    <row r="76" spans="1:8" x14ac:dyDescent="0.25">
      <c r="A76" s="611"/>
      <c r="B76" s="612"/>
      <c r="C76" s="612"/>
      <c r="D76" s="612"/>
      <c r="E76" s="612"/>
      <c r="F76" s="612"/>
      <c r="G76" s="612"/>
      <c r="H76" s="619"/>
    </row>
    <row r="77" spans="1:8" x14ac:dyDescent="0.25">
      <c r="A77" s="611"/>
      <c r="B77" s="612"/>
      <c r="C77" s="612"/>
      <c r="D77" s="612"/>
      <c r="E77" s="612"/>
      <c r="F77" s="612"/>
      <c r="G77" s="612"/>
      <c r="H77" s="619"/>
    </row>
    <row r="78" spans="1:8" x14ac:dyDescent="0.25">
      <c r="A78" s="611"/>
      <c r="B78" s="612"/>
      <c r="C78" s="612"/>
      <c r="D78" s="612"/>
      <c r="E78" s="612"/>
      <c r="F78" s="612"/>
      <c r="G78" s="612"/>
      <c r="H78" s="619"/>
    </row>
    <row r="79" spans="1:8" x14ac:dyDescent="0.25">
      <c r="A79" s="611"/>
      <c r="B79" s="612"/>
      <c r="C79" s="612"/>
      <c r="D79" s="612"/>
      <c r="E79" s="612"/>
      <c r="F79" s="612"/>
      <c r="G79" s="612"/>
      <c r="H79" s="619"/>
    </row>
    <row r="80" spans="1:8" x14ac:dyDescent="0.25">
      <c r="A80" s="611"/>
      <c r="B80" s="612"/>
      <c r="C80" s="612"/>
      <c r="D80" s="612"/>
      <c r="E80" s="612"/>
      <c r="F80" s="612"/>
      <c r="G80" s="612"/>
      <c r="H80" s="619"/>
    </row>
    <row r="81" spans="1:8" x14ac:dyDescent="0.25">
      <c r="A81" s="611"/>
      <c r="B81" s="612"/>
      <c r="C81" s="612"/>
      <c r="D81" s="612"/>
      <c r="E81" s="612"/>
      <c r="F81" s="612"/>
      <c r="G81" s="612"/>
      <c r="H81" s="619"/>
    </row>
    <row r="82" spans="1:8" x14ac:dyDescent="0.25">
      <c r="A82" s="611"/>
      <c r="B82" s="612"/>
      <c r="C82" s="612"/>
      <c r="D82" s="612"/>
      <c r="E82" s="612"/>
      <c r="F82" s="612"/>
      <c r="G82" s="612"/>
      <c r="H82" s="619"/>
    </row>
    <row r="83" spans="1:8" x14ac:dyDescent="0.25">
      <c r="A83" s="611"/>
      <c r="B83" s="612"/>
      <c r="C83" s="612"/>
      <c r="D83" s="612"/>
      <c r="E83" s="612"/>
      <c r="F83" s="612"/>
      <c r="G83" s="612"/>
      <c r="H83" s="619"/>
    </row>
    <row r="84" spans="1:8" x14ac:dyDescent="0.25">
      <c r="A84" s="611"/>
      <c r="B84" s="612"/>
      <c r="C84" s="612"/>
      <c r="D84" s="612"/>
      <c r="E84" s="612"/>
      <c r="F84" s="612"/>
      <c r="G84" s="612"/>
      <c r="H84" s="619"/>
    </row>
    <row r="85" spans="1:8" x14ac:dyDescent="0.25">
      <c r="A85" s="611"/>
      <c r="B85" s="612"/>
      <c r="C85" s="612"/>
      <c r="D85" s="612"/>
      <c r="E85" s="612"/>
      <c r="F85" s="612"/>
      <c r="G85" s="612"/>
      <c r="H85" s="619"/>
    </row>
  </sheetData>
  <mergeCells count="24">
    <mergeCell ref="B58:H58"/>
    <mergeCell ref="B57:H57"/>
    <mergeCell ref="B56:I56"/>
    <mergeCell ref="C9:E9"/>
    <mergeCell ref="A10:A13"/>
    <mergeCell ref="B10:B13"/>
    <mergeCell ref="C10:E10"/>
    <mergeCell ref="G10:G17"/>
    <mergeCell ref="H10:H17"/>
    <mergeCell ref="A14:A17"/>
    <mergeCell ref="B14:B17"/>
    <mergeCell ref="C14:E14"/>
    <mergeCell ref="A5:B5"/>
    <mergeCell ref="C5:H5"/>
    <mergeCell ref="A6:B6"/>
    <mergeCell ref="C6:H6"/>
    <mergeCell ref="A7:B7"/>
    <mergeCell ref="C7:H7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21" sqref="F21"/>
    </sheetView>
  </sheetViews>
  <sheetFormatPr defaultColWidth="8.7109375" defaultRowHeight="12.75" x14ac:dyDescent="0.2"/>
  <cols>
    <col min="1" max="1" width="6.42578125" style="154" customWidth="1"/>
    <col min="2" max="2" width="46.5703125" style="154" customWidth="1"/>
    <col min="3" max="3" width="20.42578125" style="154" customWidth="1"/>
    <col min="4" max="4" width="29.85546875" style="154" customWidth="1"/>
    <col min="5" max="5" width="22.7109375" style="154" customWidth="1"/>
    <col min="6" max="6" width="22.42578125" style="154" customWidth="1"/>
    <col min="7" max="7" width="23" style="154" customWidth="1"/>
    <col min="8" max="8" width="51.28515625" style="154" hidden="1" customWidth="1"/>
    <col min="9" max="9" width="29.140625" style="154" hidden="1" customWidth="1"/>
    <col min="10" max="10" width="11.140625" style="154" customWidth="1"/>
    <col min="11" max="11" width="11.5703125" style="154" customWidth="1"/>
    <col min="12" max="12" width="14" style="154" customWidth="1"/>
    <col min="13" max="15" width="8.7109375" style="154"/>
    <col min="16" max="16" width="40" style="154" customWidth="1"/>
    <col min="17" max="225" width="8.7109375" style="154"/>
    <col min="226" max="226" width="6.42578125" style="154" customWidth="1"/>
    <col min="227" max="227" width="22.28515625" style="154" customWidth="1"/>
    <col min="228" max="228" width="11.5703125" style="154" customWidth="1"/>
    <col min="229" max="229" width="11.85546875" style="154" customWidth="1"/>
    <col min="230" max="230" width="16.5703125" style="154" customWidth="1"/>
    <col min="231" max="231" width="15.5703125" style="154" customWidth="1"/>
    <col min="232" max="232" width="18.28515625" style="154" customWidth="1"/>
    <col min="233" max="233" width="0" style="154" hidden="1" customWidth="1"/>
    <col min="234" max="234" width="4.140625" style="154" customWidth="1"/>
    <col min="235" max="235" width="1.7109375" style="154" customWidth="1"/>
    <col min="236" max="236" width="3.42578125" style="154" customWidth="1"/>
    <col min="237" max="239" width="1.7109375" style="154" customWidth="1"/>
    <col min="240" max="240" width="3" style="154" bestFit="1" customWidth="1"/>
    <col min="241" max="481" width="8.7109375" style="154"/>
    <col min="482" max="482" width="6.42578125" style="154" customWidth="1"/>
    <col min="483" max="483" width="22.28515625" style="154" customWidth="1"/>
    <col min="484" max="484" width="11.5703125" style="154" customWidth="1"/>
    <col min="485" max="485" width="11.85546875" style="154" customWidth="1"/>
    <col min="486" max="486" width="16.5703125" style="154" customWidth="1"/>
    <col min="487" max="487" width="15.5703125" style="154" customWidth="1"/>
    <col min="488" max="488" width="18.28515625" style="154" customWidth="1"/>
    <col min="489" max="489" width="0" style="154" hidden="1" customWidth="1"/>
    <col min="490" max="490" width="4.140625" style="154" customWidth="1"/>
    <col min="491" max="491" width="1.7109375" style="154" customWidth="1"/>
    <col min="492" max="492" width="3.42578125" style="154" customWidth="1"/>
    <col min="493" max="495" width="1.7109375" style="154" customWidth="1"/>
    <col min="496" max="496" width="3" style="154" bestFit="1" customWidth="1"/>
    <col min="497" max="737" width="8.7109375" style="154"/>
    <col min="738" max="738" width="6.42578125" style="154" customWidth="1"/>
    <col min="739" max="739" width="22.28515625" style="154" customWidth="1"/>
    <col min="740" max="740" width="11.5703125" style="154" customWidth="1"/>
    <col min="741" max="741" width="11.85546875" style="154" customWidth="1"/>
    <col min="742" max="742" width="16.5703125" style="154" customWidth="1"/>
    <col min="743" max="743" width="15.5703125" style="154" customWidth="1"/>
    <col min="744" max="744" width="18.28515625" style="154" customWidth="1"/>
    <col min="745" max="745" width="0" style="154" hidden="1" customWidth="1"/>
    <col min="746" max="746" width="4.140625" style="154" customWidth="1"/>
    <col min="747" max="747" width="1.7109375" style="154" customWidth="1"/>
    <col min="748" max="748" width="3.42578125" style="154" customWidth="1"/>
    <col min="749" max="751" width="1.7109375" style="154" customWidth="1"/>
    <col min="752" max="752" width="3" style="154" bestFit="1" customWidth="1"/>
    <col min="753" max="993" width="8.7109375" style="154"/>
    <col min="994" max="994" width="6.42578125" style="154" customWidth="1"/>
    <col min="995" max="995" width="22.28515625" style="154" customWidth="1"/>
    <col min="996" max="996" width="11.5703125" style="154" customWidth="1"/>
    <col min="997" max="997" width="11.85546875" style="154" customWidth="1"/>
    <col min="998" max="998" width="16.5703125" style="154" customWidth="1"/>
    <col min="999" max="999" width="15.5703125" style="154" customWidth="1"/>
    <col min="1000" max="1000" width="18.28515625" style="154" customWidth="1"/>
    <col min="1001" max="1001" width="0" style="154" hidden="1" customWidth="1"/>
    <col min="1002" max="1002" width="4.140625" style="154" customWidth="1"/>
    <col min="1003" max="1003" width="1.7109375" style="154" customWidth="1"/>
    <col min="1004" max="1004" width="3.42578125" style="154" customWidth="1"/>
    <col min="1005" max="1007" width="1.7109375" style="154" customWidth="1"/>
    <col min="1008" max="1008" width="3" style="154" bestFit="1" customWidth="1"/>
    <col min="1009" max="1249" width="8.7109375" style="154"/>
    <col min="1250" max="1250" width="6.42578125" style="154" customWidth="1"/>
    <col min="1251" max="1251" width="22.28515625" style="154" customWidth="1"/>
    <col min="1252" max="1252" width="11.5703125" style="154" customWidth="1"/>
    <col min="1253" max="1253" width="11.85546875" style="154" customWidth="1"/>
    <col min="1254" max="1254" width="16.5703125" style="154" customWidth="1"/>
    <col min="1255" max="1255" width="15.5703125" style="154" customWidth="1"/>
    <col min="1256" max="1256" width="18.28515625" style="154" customWidth="1"/>
    <col min="1257" max="1257" width="0" style="154" hidden="1" customWidth="1"/>
    <col min="1258" max="1258" width="4.140625" style="154" customWidth="1"/>
    <col min="1259" max="1259" width="1.7109375" style="154" customWidth="1"/>
    <col min="1260" max="1260" width="3.42578125" style="154" customWidth="1"/>
    <col min="1261" max="1263" width="1.7109375" style="154" customWidth="1"/>
    <col min="1264" max="1264" width="3" style="154" bestFit="1" customWidth="1"/>
    <col min="1265" max="1505" width="8.7109375" style="154"/>
    <col min="1506" max="1506" width="6.42578125" style="154" customWidth="1"/>
    <col min="1507" max="1507" width="22.28515625" style="154" customWidth="1"/>
    <col min="1508" max="1508" width="11.5703125" style="154" customWidth="1"/>
    <col min="1509" max="1509" width="11.85546875" style="154" customWidth="1"/>
    <col min="1510" max="1510" width="16.5703125" style="154" customWidth="1"/>
    <col min="1511" max="1511" width="15.5703125" style="154" customWidth="1"/>
    <col min="1512" max="1512" width="18.28515625" style="154" customWidth="1"/>
    <col min="1513" max="1513" width="0" style="154" hidden="1" customWidth="1"/>
    <col min="1514" max="1514" width="4.140625" style="154" customWidth="1"/>
    <col min="1515" max="1515" width="1.7109375" style="154" customWidth="1"/>
    <col min="1516" max="1516" width="3.42578125" style="154" customWidth="1"/>
    <col min="1517" max="1519" width="1.7109375" style="154" customWidth="1"/>
    <col min="1520" max="1520" width="3" style="154" bestFit="1" customWidth="1"/>
    <col min="1521" max="1761" width="8.7109375" style="154"/>
    <col min="1762" max="1762" width="6.42578125" style="154" customWidth="1"/>
    <col min="1763" max="1763" width="22.28515625" style="154" customWidth="1"/>
    <col min="1764" max="1764" width="11.5703125" style="154" customWidth="1"/>
    <col min="1765" max="1765" width="11.85546875" style="154" customWidth="1"/>
    <col min="1766" max="1766" width="16.5703125" style="154" customWidth="1"/>
    <col min="1767" max="1767" width="15.5703125" style="154" customWidth="1"/>
    <col min="1768" max="1768" width="18.28515625" style="154" customWidth="1"/>
    <col min="1769" max="1769" width="0" style="154" hidden="1" customWidth="1"/>
    <col min="1770" max="1770" width="4.140625" style="154" customWidth="1"/>
    <col min="1771" max="1771" width="1.7109375" style="154" customWidth="1"/>
    <col min="1772" max="1772" width="3.42578125" style="154" customWidth="1"/>
    <col min="1773" max="1775" width="1.7109375" style="154" customWidth="1"/>
    <col min="1776" max="1776" width="3" style="154" bestFit="1" customWidth="1"/>
    <col min="1777" max="2017" width="8.7109375" style="154"/>
    <col min="2018" max="2018" width="6.42578125" style="154" customWidth="1"/>
    <col min="2019" max="2019" width="22.28515625" style="154" customWidth="1"/>
    <col min="2020" max="2020" width="11.5703125" style="154" customWidth="1"/>
    <col min="2021" max="2021" width="11.85546875" style="154" customWidth="1"/>
    <col min="2022" max="2022" width="16.5703125" style="154" customWidth="1"/>
    <col min="2023" max="2023" width="15.5703125" style="154" customWidth="1"/>
    <col min="2024" max="2024" width="18.28515625" style="154" customWidth="1"/>
    <col min="2025" max="2025" width="0" style="154" hidden="1" customWidth="1"/>
    <col min="2026" max="2026" width="4.140625" style="154" customWidth="1"/>
    <col min="2027" max="2027" width="1.7109375" style="154" customWidth="1"/>
    <col min="2028" max="2028" width="3.42578125" style="154" customWidth="1"/>
    <col min="2029" max="2031" width="1.7109375" style="154" customWidth="1"/>
    <col min="2032" max="2032" width="3" style="154" bestFit="1" customWidth="1"/>
    <col min="2033" max="2273" width="8.7109375" style="154"/>
    <col min="2274" max="2274" width="6.42578125" style="154" customWidth="1"/>
    <col min="2275" max="2275" width="22.28515625" style="154" customWidth="1"/>
    <col min="2276" max="2276" width="11.5703125" style="154" customWidth="1"/>
    <col min="2277" max="2277" width="11.85546875" style="154" customWidth="1"/>
    <col min="2278" max="2278" width="16.5703125" style="154" customWidth="1"/>
    <col min="2279" max="2279" width="15.5703125" style="154" customWidth="1"/>
    <col min="2280" max="2280" width="18.28515625" style="154" customWidth="1"/>
    <col min="2281" max="2281" width="0" style="154" hidden="1" customWidth="1"/>
    <col min="2282" max="2282" width="4.140625" style="154" customWidth="1"/>
    <col min="2283" max="2283" width="1.7109375" style="154" customWidth="1"/>
    <col min="2284" max="2284" width="3.42578125" style="154" customWidth="1"/>
    <col min="2285" max="2287" width="1.7109375" style="154" customWidth="1"/>
    <col min="2288" max="2288" width="3" style="154" bestFit="1" customWidth="1"/>
    <col min="2289" max="2529" width="8.7109375" style="154"/>
    <col min="2530" max="2530" width="6.42578125" style="154" customWidth="1"/>
    <col min="2531" max="2531" width="22.28515625" style="154" customWidth="1"/>
    <col min="2532" max="2532" width="11.5703125" style="154" customWidth="1"/>
    <col min="2533" max="2533" width="11.85546875" style="154" customWidth="1"/>
    <col min="2534" max="2534" width="16.5703125" style="154" customWidth="1"/>
    <col min="2535" max="2535" width="15.5703125" style="154" customWidth="1"/>
    <col min="2536" max="2536" width="18.28515625" style="154" customWidth="1"/>
    <col min="2537" max="2537" width="0" style="154" hidden="1" customWidth="1"/>
    <col min="2538" max="2538" width="4.140625" style="154" customWidth="1"/>
    <col min="2539" max="2539" width="1.7109375" style="154" customWidth="1"/>
    <col min="2540" max="2540" width="3.42578125" style="154" customWidth="1"/>
    <col min="2541" max="2543" width="1.7109375" style="154" customWidth="1"/>
    <col min="2544" max="2544" width="3" style="154" bestFit="1" customWidth="1"/>
    <col min="2545" max="2785" width="8.7109375" style="154"/>
    <col min="2786" max="2786" width="6.42578125" style="154" customWidth="1"/>
    <col min="2787" max="2787" width="22.28515625" style="154" customWidth="1"/>
    <col min="2788" max="2788" width="11.5703125" style="154" customWidth="1"/>
    <col min="2789" max="2789" width="11.85546875" style="154" customWidth="1"/>
    <col min="2790" max="2790" width="16.5703125" style="154" customWidth="1"/>
    <col min="2791" max="2791" width="15.5703125" style="154" customWidth="1"/>
    <col min="2792" max="2792" width="18.28515625" style="154" customWidth="1"/>
    <col min="2793" max="2793" width="0" style="154" hidden="1" customWidth="1"/>
    <col min="2794" max="2794" width="4.140625" style="154" customWidth="1"/>
    <col min="2795" max="2795" width="1.7109375" style="154" customWidth="1"/>
    <col min="2796" max="2796" width="3.42578125" style="154" customWidth="1"/>
    <col min="2797" max="2799" width="1.7109375" style="154" customWidth="1"/>
    <col min="2800" max="2800" width="3" style="154" bestFit="1" customWidth="1"/>
    <col min="2801" max="3041" width="8.7109375" style="154"/>
    <col min="3042" max="3042" width="6.42578125" style="154" customWidth="1"/>
    <col min="3043" max="3043" width="22.28515625" style="154" customWidth="1"/>
    <col min="3044" max="3044" width="11.5703125" style="154" customWidth="1"/>
    <col min="3045" max="3045" width="11.85546875" style="154" customWidth="1"/>
    <col min="3046" max="3046" width="16.5703125" style="154" customWidth="1"/>
    <col min="3047" max="3047" width="15.5703125" style="154" customWidth="1"/>
    <col min="3048" max="3048" width="18.28515625" style="154" customWidth="1"/>
    <col min="3049" max="3049" width="0" style="154" hidden="1" customWidth="1"/>
    <col min="3050" max="3050" width="4.140625" style="154" customWidth="1"/>
    <col min="3051" max="3051" width="1.7109375" style="154" customWidth="1"/>
    <col min="3052" max="3052" width="3.42578125" style="154" customWidth="1"/>
    <col min="3053" max="3055" width="1.7109375" style="154" customWidth="1"/>
    <col min="3056" max="3056" width="3" style="154" bestFit="1" customWidth="1"/>
    <col min="3057" max="3297" width="8.7109375" style="154"/>
    <col min="3298" max="3298" width="6.42578125" style="154" customWidth="1"/>
    <col min="3299" max="3299" width="22.28515625" style="154" customWidth="1"/>
    <col min="3300" max="3300" width="11.5703125" style="154" customWidth="1"/>
    <col min="3301" max="3301" width="11.85546875" style="154" customWidth="1"/>
    <col min="3302" max="3302" width="16.5703125" style="154" customWidth="1"/>
    <col min="3303" max="3303" width="15.5703125" style="154" customWidth="1"/>
    <col min="3304" max="3304" width="18.28515625" style="154" customWidth="1"/>
    <col min="3305" max="3305" width="0" style="154" hidden="1" customWidth="1"/>
    <col min="3306" max="3306" width="4.140625" style="154" customWidth="1"/>
    <col min="3307" max="3307" width="1.7109375" style="154" customWidth="1"/>
    <col min="3308" max="3308" width="3.42578125" style="154" customWidth="1"/>
    <col min="3309" max="3311" width="1.7109375" style="154" customWidth="1"/>
    <col min="3312" max="3312" width="3" style="154" bestFit="1" customWidth="1"/>
    <col min="3313" max="3553" width="8.7109375" style="154"/>
    <col min="3554" max="3554" width="6.42578125" style="154" customWidth="1"/>
    <col min="3555" max="3555" width="22.28515625" style="154" customWidth="1"/>
    <col min="3556" max="3556" width="11.5703125" style="154" customWidth="1"/>
    <col min="3557" max="3557" width="11.85546875" style="154" customWidth="1"/>
    <col min="3558" max="3558" width="16.5703125" style="154" customWidth="1"/>
    <col min="3559" max="3559" width="15.5703125" style="154" customWidth="1"/>
    <col min="3560" max="3560" width="18.28515625" style="154" customWidth="1"/>
    <col min="3561" max="3561" width="0" style="154" hidden="1" customWidth="1"/>
    <col min="3562" max="3562" width="4.140625" style="154" customWidth="1"/>
    <col min="3563" max="3563" width="1.7109375" style="154" customWidth="1"/>
    <col min="3564" max="3564" width="3.42578125" style="154" customWidth="1"/>
    <col min="3565" max="3567" width="1.7109375" style="154" customWidth="1"/>
    <col min="3568" max="3568" width="3" style="154" bestFit="1" customWidth="1"/>
    <col min="3569" max="3809" width="8.7109375" style="154"/>
    <col min="3810" max="3810" width="6.42578125" style="154" customWidth="1"/>
    <col min="3811" max="3811" width="22.28515625" style="154" customWidth="1"/>
    <col min="3812" max="3812" width="11.5703125" style="154" customWidth="1"/>
    <col min="3813" max="3813" width="11.85546875" style="154" customWidth="1"/>
    <col min="3814" max="3814" width="16.5703125" style="154" customWidth="1"/>
    <col min="3815" max="3815" width="15.5703125" style="154" customWidth="1"/>
    <col min="3816" max="3816" width="18.28515625" style="154" customWidth="1"/>
    <col min="3817" max="3817" width="0" style="154" hidden="1" customWidth="1"/>
    <col min="3818" max="3818" width="4.140625" style="154" customWidth="1"/>
    <col min="3819" max="3819" width="1.7109375" style="154" customWidth="1"/>
    <col min="3820" max="3820" width="3.42578125" style="154" customWidth="1"/>
    <col min="3821" max="3823" width="1.7109375" style="154" customWidth="1"/>
    <col min="3824" max="3824" width="3" style="154" bestFit="1" customWidth="1"/>
    <col min="3825" max="4065" width="8.7109375" style="154"/>
    <col min="4066" max="4066" width="6.42578125" style="154" customWidth="1"/>
    <col min="4067" max="4067" width="22.28515625" style="154" customWidth="1"/>
    <col min="4068" max="4068" width="11.5703125" style="154" customWidth="1"/>
    <col min="4069" max="4069" width="11.85546875" style="154" customWidth="1"/>
    <col min="4070" max="4070" width="16.5703125" style="154" customWidth="1"/>
    <col min="4071" max="4071" width="15.5703125" style="154" customWidth="1"/>
    <col min="4072" max="4072" width="18.28515625" style="154" customWidth="1"/>
    <col min="4073" max="4073" width="0" style="154" hidden="1" customWidth="1"/>
    <col min="4074" max="4074" width="4.140625" style="154" customWidth="1"/>
    <col min="4075" max="4075" width="1.7109375" style="154" customWidth="1"/>
    <col min="4076" max="4076" width="3.42578125" style="154" customWidth="1"/>
    <col min="4077" max="4079" width="1.7109375" style="154" customWidth="1"/>
    <col min="4080" max="4080" width="3" style="154" bestFit="1" customWidth="1"/>
    <col min="4081" max="4321" width="8.7109375" style="154"/>
    <col min="4322" max="4322" width="6.42578125" style="154" customWidth="1"/>
    <col min="4323" max="4323" width="22.28515625" style="154" customWidth="1"/>
    <col min="4324" max="4324" width="11.5703125" style="154" customWidth="1"/>
    <col min="4325" max="4325" width="11.85546875" style="154" customWidth="1"/>
    <col min="4326" max="4326" width="16.5703125" style="154" customWidth="1"/>
    <col min="4327" max="4327" width="15.5703125" style="154" customWidth="1"/>
    <col min="4328" max="4328" width="18.28515625" style="154" customWidth="1"/>
    <col min="4329" max="4329" width="0" style="154" hidden="1" customWidth="1"/>
    <col min="4330" max="4330" width="4.140625" style="154" customWidth="1"/>
    <col min="4331" max="4331" width="1.7109375" style="154" customWidth="1"/>
    <col min="4332" max="4332" width="3.42578125" style="154" customWidth="1"/>
    <col min="4333" max="4335" width="1.7109375" style="154" customWidth="1"/>
    <col min="4336" max="4336" width="3" style="154" bestFit="1" customWidth="1"/>
    <col min="4337" max="4577" width="8.7109375" style="154"/>
    <col min="4578" max="4578" width="6.42578125" style="154" customWidth="1"/>
    <col min="4579" max="4579" width="22.28515625" style="154" customWidth="1"/>
    <col min="4580" max="4580" width="11.5703125" style="154" customWidth="1"/>
    <col min="4581" max="4581" width="11.85546875" style="154" customWidth="1"/>
    <col min="4582" max="4582" width="16.5703125" style="154" customWidth="1"/>
    <col min="4583" max="4583" width="15.5703125" style="154" customWidth="1"/>
    <col min="4584" max="4584" width="18.28515625" style="154" customWidth="1"/>
    <col min="4585" max="4585" width="0" style="154" hidden="1" customWidth="1"/>
    <col min="4586" max="4586" width="4.140625" style="154" customWidth="1"/>
    <col min="4587" max="4587" width="1.7109375" style="154" customWidth="1"/>
    <col min="4588" max="4588" width="3.42578125" style="154" customWidth="1"/>
    <col min="4589" max="4591" width="1.7109375" style="154" customWidth="1"/>
    <col min="4592" max="4592" width="3" style="154" bestFit="1" customWidth="1"/>
    <col min="4593" max="4833" width="8.7109375" style="154"/>
    <col min="4834" max="4834" width="6.42578125" style="154" customWidth="1"/>
    <col min="4835" max="4835" width="22.28515625" style="154" customWidth="1"/>
    <col min="4836" max="4836" width="11.5703125" style="154" customWidth="1"/>
    <col min="4837" max="4837" width="11.85546875" style="154" customWidth="1"/>
    <col min="4838" max="4838" width="16.5703125" style="154" customWidth="1"/>
    <col min="4839" max="4839" width="15.5703125" style="154" customWidth="1"/>
    <col min="4840" max="4840" width="18.28515625" style="154" customWidth="1"/>
    <col min="4841" max="4841" width="0" style="154" hidden="1" customWidth="1"/>
    <col min="4842" max="4842" width="4.140625" style="154" customWidth="1"/>
    <col min="4843" max="4843" width="1.7109375" style="154" customWidth="1"/>
    <col min="4844" max="4844" width="3.42578125" style="154" customWidth="1"/>
    <col min="4845" max="4847" width="1.7109375" style="154" customWidth="1"/>
    <col min="4848" max="4848" width="3" style="154" bestFit="1" customWidth="1"/>
    <col min="4849" max="5089" width="8.7109375" style="154"/>
    <col min="5090" max="5090" width="6.42578125" style="154" customWidth="1"/>
    <col min="5091" max="5091" width="22.28515625" style="154" customWidth="1"/>
    <col min="5092" max="5092" width="11.5703125" style="154" customWidth="1"/>
    <col min="5093" max="5093" width="11.85546875" style="154" customWidth="1"/>
    <col min="5094" max="5094" width="16.5703125" style="154" customWidth="1"/>
    <col min="5095" max="5095" width="15.5703125" style="154" customWidth="1"/>
    <col min="5096" max="5096" width="18.28515625" style="154" customWidth="1"/>
    <col min="5097" max="5097" width="0" style="154" hidden="1" customWidth="1"/>
    <col min="5098" max="5098" width="4.140625" style="154" customWidth="1"/>
    <col min="5099" max="5099" width="1.7109375" style="154" customWidth="1"/>
    <col min="5100" max="5100" width="3.42578125" style="154" customWidth="1"/>
    <col min="5101" max="5103" width="1.7109375" style="154" customWidth="1"/>
    <col min="5104" max="5104" width="3" style="154" bestFit="1" customWidth="1"/>
    <col min="5105" max="5345" width="8.7109375" style="154"/>
    <col min="5346" max="5346" width="6.42578125" style="154" customWidth="1"/>
    <col min="5347" max="5347" width="22.28515625" style="154" customWidth="1"/>
    <col min="5348" max="5348" width="11.5703125" style="154" customWidth="1"/>
    <col min="5349" max="5349" width="11.85546875" style="154" customWidth="1"/>
    <col min="5350" max="5350" width="16.5703125" style="154" customWidth="1"/>
    <col min="5351" max="5351" width="15.5703125" style="154" customWidth="1"/>
    <col min="5352" max="5352" width="18.28515625" style="154" customWidth="1"/>
    <col min="5353" max="5353" width="0" style="154" hidden="1" customWidth="1"/>
    <col min="5354" max="5354" width="4.140625" style="154" customWidth="1"/>
    <col min="5355" max="5355" width="1.7109375" style="154" customWidth="1"/>
    <col min="5356" max="5356" width="3.42578125" style="154" customWidth="1"/>
    <col min="5357" max="5359" width="1.7109375" style="154" customWidth="1"/>
    <col min="5360" max="5360" width="3" style="154" bestFit="1" customWidth="1"/>
    <col min="5361" max="5601" width="8.7109375" style="154"/>
    <col min="5602" max="5602" width="6.42578125" style="154" customWidth="1"/>
    <col min="5603" max="5603" width="22.28515625" style="154" customWidth="1"/>
    <col min="5604" max="5604" width="11.5703125" style="154" customWidth="1"/>
    <col min="5605" max="5605" width="11.85546875" style="154" customWidth="1"/>
    <col min="5606" max="5606" width="16.5703125" style="154" customWidth="1"/>
    <col min="5607" max="5607" width="15.5703125" style="154" customWidth="1"/>
    <col min="5608" max="5608" width="18.28515625" style="154" customWidth="1"/>
    <col min="5609" max="5609" width="0" style="154" hidden="1" customWidth="1"/>
    <col min="5610" max="5610" width="4.140625" style="154" customWidth="1"/>
    <col min="5611" max="5611" width="1.7109375" style="154" customWidth="1"/>
    <col min="5612" max="5612" width="3.42578125" style="154" customWidth="1"/>
    <col min="5613" max="5615" width="1.7109375" style="154" customWidth="1"/>
    <col min="5616" max="5616" width="3" style="154" bestFit="1" customWidth="1"/>
    <col min="5617" max="5857" width="8.7109375" style="154"/>
    <col min="5858" max="5858" width="6.42578125" style="154" customWidth="1"/>
    <col min="5859" max="5859" width="22.28515625" style="154" customWidth="1"/>
    <col min="5860" max="5860" width="11.5703125" style="154" customWidth="1"/>
    <col min="5861" max="5861" width="11.85546875" style="154" customWidth="1"/>
    <col min="5862" max="5862" width="16.5703125" style="154" customWidth="1"/>
    <col min="5863" max="5863" width="15.5703125" style="154" customWidth="1"/>
    <col min="5864" max="5864" width="18.28515625" style="154" customWidth="1"/>
    <col min="5865" max="5865" width="0" style="154" hidden="1" customWidth="1"/>
    <col min="5866" max="5866" width="4.140625" style="154" customWidth="1"/>
    <col min="5867" max="5867" width="1.7109375" style="154" customWidth="1"/>
    <col min="5868" max="5868" width="3.42578125" style="154" customWidth="1"/>
    <col min="5869" max="5871" width="1.7109375" style="154" customWidth="1"/>
    <col min="5872" max="5872" width="3" style="154" bestFit="1" customWidth="1"/>
    <col min="5873" max="6113" width="8.7109375" style="154"/>
    <col min="6114" max="6114" width="6.42578125" style="154" customWidth="1"/>
    <col min="6115" max="6115" width="22.28515625" style="154" customWidth="1"/>
    <col min="6116" max="6116" width="11.5703125" style="154" customWidth="1"/>
    <col min="6117" max="6117" width="11.85546875" style="154" customWidth="1"/>
    <col min="6118" max="6118" width="16.5703125" style="154" customWidth="1"/>
    <col min="6119" max="6119" width="15.5703125" style="154" customWidth="1"/>
    <col min="6120" max="6120" width="18.28515625" style="154" customWidth="1"/>
    <col min="6121" max="6121" width="0" style="154" hidden="1" customWidth="1"/>
    <col min="6122" max="6122" width="4.140625" style="154" customWidth="1"/>
    <col min="6123" max="6123" width="1.7109375" style="154" customWidth="1"/>
    <col min="6124" max="6124" width="3.42578125" style="154" customWidth="1"/>
    <col min="6125" max="6127" width="1.7109375" style="154" customWidth="1"/>
    <col min="6128" max="6128" width="3" style="154" bestFit="1" customWidth="1"/>
    <col min="6129" max="6369" width="8.7109375" style="154"/>
    <col min="6370" max="6370" width="6.42578125" style="154" customWidth="1"/>
    <col min="6371" max="6371" width="22.28515625" style="154" customWidth="1"/>
    <col min="6372" max="6372" width="11.5703125" style="154" customWidth="1"/>
    <col min="6373" max="6373" width="11.85546875" style="154" customWidth="1"/>
    <col min="6374" max="6374" width="16.5703125" style="154" customWidth="1"/>
    <col min="6375" max="6375" width="15.5703125" style="154" customWidth="1"/>
    <col min="6376" max="6376" width="18.28515625" style="154" customWidth="1"/>
    <col min="6377" max="6377" width="0" style="154" hidden="1" customWidth="1"/>
    <col min="6378" max="6378" width="4.140625" style="154" customWidth="1"/>
    <col min="6379" max="6379" width="1.7109375" style="154" customWidth="1"/>
    <col min="6380" max="6380" width="3.42578125" style="154" customWidth="1"/>
    <col min="6381" max="6383" width="1.7109375" style="154" customWidth="1"/>
    <col min="6384" max="6384" width="3" style="154" bestFit="1" customWidth="1"/>
    <col min="6385" max="6625" width="8.7109375" style="154"/>
    <col min="6626" max="6626" width="6.42578125" style="154" customWidth="1"/>
    <col min="6627" max="6627" width="22.28515625" style="154" customWidth="1"/>
    <col min="6628" max="6628" width="11.5703125" style="154" customWidth="1"/>
    <col min="6629" max="6629" width="11.85546875" style="154" customWidth="1"/>
    <col min="6630" max="6630" width="16.5703125" style="154" customWidth="1"/>
    <col min="6631" max="6631" width="15.5703125" style="154" customWidth="1"/>
    <col min="6632" max="6632" width="18.28515625" style="154" customWidth="1"/>
    <col min="6633" max="6633" width="0" style="154" hidden="1" customWidth="1"/>
    <col min="6634" max="6634" width="4.140625" style="154" customWidth="1"/>
    <col min="6635" max="6635" width="1.7109375" style="154" customWidth="1"/>
    <col min="6636" max="6636" width="3.42578125" style="154" customWidth="1"/>
    <col min="6637" max="6639" width="1.7109375" style="154" customWidth="1"/>
    <col min="6640" max="6640" width="3" style="154" bestFit="1" customWidth="1"/>
    <col min="6641" max="6881" width="8.7109375" style="154"/>
    <col min="6882" max="6882" width="6.42578125" style="154" customWidth="1"/>
    <col min="6883" max="6883" width="22.28515625" style="154" customWidth="1"/>
    <col min="6884" max="6884" width="11.5703125" style="154" customWidth="1"/>
    <col min="6885" max="6885" width="11.85546875" style="154" customWidth="1"/>
    <col min="6886" max="6886" width="16.5703125" style="154" customWidth="1"/>
    <col min="6887" max="6887" width="15.5703125" style="154" customWidth="1"/>
    <col min="6888" max="6888" width="18.28515625" style="154" customWidth="1"/>
    <col min="6889" max="6889" width="0" style="154" hidden="1" customWidth="1"/>
    <col min="6890" max="6890" width="4.140625" style="154" customWidth="1"/>
    <col min="6891" max="6891" width="1.7109375" style="154" customWidth="1"/>
    <col min="6892" max="6892" width="3.42578125" style="154" customWidth="1"/>
    <col min="6893" max="6895" width="1.7109375" style="154" customWidth="1"/>
    <col min="6896" max="6896" width="3" style="154" bestFit="1" customWidth="1"/>
    <col min="6897" max="7137" width="8.7109375" style="154"/>
    <col min="7138" max="7138" width="6.42578125" style="154" customWidth="1"/>
    <col min="7139" max="7139" width="22.28515625" style="154" customWidth="1"/>
    <col min="7140" max="7140" width="11.5703125" style="154" customWidth="1"/>
    <col min="7141" max="7141" width="11.85546875" style="154" customWidth="1"/>
    <col min="7142" max="7142" width="16.5703125" style="154" customWidth="1"/>
    <col min="7143" max="7143" width="15.5703125" style="154" customWidth="1"/>
    <col min="7144" max="7144" width="18.28515625" style="154" customWidth="1"/>
    <col min="7145" max="7145" width="0" style="154" hidden="1" customWidth="1"/>
    <col min="7146" max="7146" width="4.140625" style="154" customWidth="1"/>
    <col min="7147" max="7147" width="1.7109375" style="154" customWidth="1"/>
    <col min="7148" max="7148" width="3.42578125" style="154" customWidth="1"/>
    <col min="7149" max="7151" width="1.7109375" style="154" customWidth="1"/>
    <col min="7152" max="7152" width="3" style="154" bestFit="1" customWidth="1"/>
    <col min="7153" max="7393" width="8.7109375" style="154"/>
    <col min="7394" max="7394" width="6.42578125" style="154" customWidth="1"/>
    <col min="7395" max="7395" width="22.28515625" style="154" customWidth="1"/>
    <col min="7396" max="7396" width="11.5703125" style="154" customWidth="1"/>
    <col min="7397" max="7397" width="11.85546875" style="154" customWidth="1"/>
    <col min="7398" max="7398" width="16.5703125" style="154" customWidth="1"/>
    <col min="7399" max="7399" width="15.5703125" style="154" customWidth="1"/>
    <col min="7400" max="7400" width="18.28515625" style="154" customWidth="1"/>
    <col min="7401" max="7401" width="0" style="154" hidden="1" customWidth="1"/>
    <col min="7402" max="7402" width="4.140625" style="154" customWidth="1"/>
    <col min="7403" max="7403" width="1.7109375" style="154" customWidth="1"/>
    <col min="7404" max="7404" width="3.42578125" style="154" customWidth="1"/>
    <col min="7405" max="7407" width="1.7109375" style="154" customWidth="1"/>
    <col min="7408" max="7408" width="3" style="154" bestFit="1" customWidth="1"/>
    <col min="7409" max="7649" width="8.7109375" style="154"/>
    <col min="7650" max="7650" width="6.42578125" style="154" customWidth="1"/>
    <col min="7651" max="7651" width="22.28515625" style="154" customWidth="1"/>
    <col min="7652" max="7652" width="11.5703125" style="154" customWidth="1"/>
    <col min="7653" max="7653" width="11.85546875" style="154" customWidth="1"/>
    <col min="7654" max="7654" width="16.5703125" style="154" customWidth="1"/>
    <col min="7655" max="7655" width="15.5703125" style="154" customWidth="1"/>
    <col min="7656" max="7656" width="18.28515625" style="154" customWidth="1"/>
    <col min="7657" max="7657" width="0" style="154" hidden="1" customWidth="1"/>
    <col min="7658" max="7658" width="4.140625" style="154" customWidth="1"/>
    <col min="7659" max="7659" width="1.7109375" style="154" customWidth="1"/>
    <col min="7660" max="7660" width="3.42578125" style="154" customWidth="1"/>
    <col min="7661" max="7663" width="1.7109375" style="154" customWidth="1"/>
    <col min="7664" max="7664" width="3" style="154" bestFit="1" customWidth="1"/>
    <col min="7665" max="7905" width="8.7109375" style="154"/>
    <col min="7906" max="7906" width="6.42578125" style="154" customWidth="1"/>
    <col min="7907" max="7907" width="22.28515625" style="154" customWidth="1"/>
    <col min="7908" max="7908" width="11.5703125" style="154" customWidth="1"/>
    <col min="7909" max="7909" width="11.85546875" style="154" customWidth="1"/>
    <col min="7910" max="7910" width="16.5703125" style="154" customWidth="1"/>
    <col min="7911" max="7911" width="15.5703125" style="154" customWidth="1"/>
    <col min="7912" max="7912" width="18.28515625" style="154" customWidth="1"/>
    <col min="7913" max="7913" width="0" style="154" hidden="1" customWidth="1"/>
    <col min="7914" max="7914" width="4.140625" style="154" customWidth="1"/>
    <col min="7915" max="7915" width="1.7109375" style="154" customWidth="1"/>
    <col min="7916" max="7916" width="3.42578125" style="154" customWidth="1"/>
    <col min="7917" max="7919" width="1.7109375" style="154" customWidth="1"/>
    <col min="7920" max="7920" width="3" style="154" bestFit="1" customWidth="1"/>
    <col min="7921" max="8161" width="8.7109375" style="154"/>
    <col min="8162" max="8162" width="6.42578125" style="154" customWidth="1"/>
    <col min="8163" max="8163" width="22.28515625" style="154" customWidth="1"/>
    <col min="8164" max="8164" width="11.5703125" style="154" customWidth="1"/>
    <col min="8165" max="8165" width="11.85546875" style="154" customWidth="1"/>
    <col min="8166" max="8166" width="16.5703125" style="154" customWidth="1"/>
    <col min="8167" max="8167" width="15.5703125" style="154" customWidth="1"/>
    <col min="8168" max="8168" width="18.28515625" style="154" customWidth="1"/>
    <col min="8169" max="8169" width="0" style="154" hidden="1" customWidth="1"/>
    <col min="8170" max="8170" width="4.140625" style="154" customWidth="1"/>
    <col min="8171" max="8171" width="1.7109375" style="154" customWidth="1"/>
    <col min="8172" max="8172" width="3.42578125" style="154" customWidth="1"/>
    <col min="8173" max="8175" width="1.7109375" style="154" customWidth="1"/>
    <col min="8176" max="8176" width="3" style="154" bestFit="1" customWidth="1"/>
    <col min="8177" max="8417" width="8.7109375" style="154"/>
    <col min="8418" max="8418" width="6.42578125" style="154" customWidth="1"/>
    <col min="8419" max="8419" width="22.28515625" style="154" customWidth="1"/>
    <col min="8420" max="8420" width="11.5703125" style="154" customWidth="1"/>
    <col min="8421" max="8421" width="11.85546875" style="154" customWidth="1"/>
    <col min="8422" max="8422" width="16.5703125" style="154" customWidth="1"/>
    <col min="8423" max="8423" width="15.5703125" style="154" customWidth="1"/>
    <col min="8424" max="8424" width="18.28515625" style="154" customWidth="1"/>
    <col min="8425" max="8425" width="0" style="154" hidden="1" customWidth="1"/>
    <col min="8426" max="8426" width="4.140625" style="154" customWidth="1"/>
    <col min="8427" max="8427" width="1.7109375" style="154" customWidth="1"/>
    <col min="8428" max="8428" width="3.42578125" style="154" customWidth="1"/>
    <col min="8429" max="8431" width="1.7109375" style="154" customWidth="1"/>
    <col min="8432" max="8432" width="3" style="154" bestFit="1" customWidth="1"/>
    <col min="8433" max="8673" width="8.7109375" style="154"/>
    <col min="8674" max="8674" width="6.42578125" style="154" customWidth="1"/>
    <col min="8675" max="8675" width="22.28515625" style="154" customWidth="1"/>
    <col min="8676" max="8676" width="11.5703125" style="154" customWidth="1"/>
    <col min="8677" max="8677" width="11.85546875" style="154" customWidth="1"/>
    <col min="8678" max="8678" width="16.5703125" style="154" customWidth="1"/>
    <col min="8679" max="8679" width="15.5703125" style="154" customWidth="1"/>
    <col min="8680" max="8680" width="18.28515625" style="154" customWidth="1"/>
    <col min="8681" max="8681" width="0" style="154" hidden="1" customWidth="1"/>
    <col min="8682" max="8682" width="4.140625" style="154" customWidth="1"/>
    <col min="8683" max="8683" width="1.7109375" style="154" customWidth="1"/>
    <col min="8684" max="8684" width="3.42578125" style="154" customWidth="1"/>
    <col min="8685" max="8687" width="1.7109375" style="154" customWidth="1"/>
    <col min="8688" max="8688" width="3" style="154" bestFit="1" customWidth="1"/>
    <col min="8689" max="8929" width="8.7109375" style="154"/>
    <col min="8930" max="8930" width="6.42578125" style="154" customWidth="1"/>
    <col min="8931" max="8931" width="22.28515625" style="154" customWidth="1"/>
    <col min="8932" max="8932" width="11.5703125" style="154" customWidth="1"/>
    <col min="8933" max="8933" width="11.85546875" style="154" customWidth="1"/>
    <col min="8934" max="8934" width="16.5703125" style="154" customWidth="1"/>
    <col min="8935" max="8935" width="15.5703125" style="154" customWidth="1"/>
    <col min="8936" max="8936" width="18.28515625" style="154" customWidth="1"/>
    <col min="8937" max="8937" width="0" style="154" hidden="1" customWidth="1"/>
    <col min="8938" max="8938" width="4.140625" style="154" customWidth="1"/>
    <col min="8939" max="8939" width="1.7109375" style="154" customWidth="1"/>
    <col min="8940" max="8940" width="3.42578125" style="154" customWidth="1"/>
    <col min="8941" max="8943" width="1.7109375" style="154" customWidth="1"/>
    <col min="8944" max="8944" width="3" style="154" bestFit="1" customWidth="1"/>
    <col min="8945" max="9185" width="8.7109375" style="154"/>
    <col min="9186" max="9186" width="6.42578125" style="154" customWidth="1"/>
    <col min="9187" max="9187" width="22.28515625" style="154" customWidth="1"/>
    <col min="9188" max="9188" width="11.5703125" style="154" customWidth="1"/>
    <col min="9189" max="9189" width="11.85546875" style="154" customWidth="1"/>
    <col min="9190" max="9190" width="16.5703125" style="154" customWidth="1"/>
    <col min="9191" max="9191" width="15.5703125" style="154" customWidth="1"/>
    <col min="9192" max="9192" width="18.28515625" style="154" customWidth="1"/>
    <col min="9193" max="9193" width="0" style="154" hidden="1" customWidth="1"/>
    <col min="9194" max="9194" width="4.140625" style="154" customWidth="1"/>
    <col min="9195" max="9195" width="1.7109375" style="154" customWidth="1"/>
    <col min="9196" max="9196" width="3.42578125" style="154" customWidth="1"/>
    <col min="9197" max="9199" width="1.7109375" style="154" customWidth="1"/>
    <col min="9200" max="9200" width="3" style="154" bestFit="1" customWidth="1"/>
    <col min="9201" max="9441" width="8.7109375" style="154"/>
    <col min="9442" max="9442" width="6.42578125" style="154" customWidth="1"/>
    <col min="9443" max="9443" width="22.28515625" style="154" customWidth="1"/>
    <col min="9444" max="9444" width="11.5703125" style="154" customWidth="1"/>
    <col min="9445" max="9445" width="11.85546875" style="154" customWidth="1"/>
    <col min="9446" max="9446" width="16.5703125" style="154" customWidth="1"/>
    <col min="9447" max="9447" width="15.5703125" style="154" customWidth="1"/>
    <col min="9448" max="9448" width="18.28515625" style="154" customWidth="1"/>
    <col min="9449" max="9449" width="0" style="154" hidden="1" customWidth="1"/>
    <col min="9450" max="9450" width="4.140625" style="154" customWidth="1"/>
    <col min="9451" max="9451" width="1.7109375" style="154" customWidth="1"/>
    <col min="9452" max="9452" width="3.42578125" style="154" customWidth="1"/>
    <col min="9453" max="9455" width="1.7109375" style="154" customWidth="1"/>
    <col min="9456" max="9456" width="3" style="154" bestFit="1" customWidth="1"/>
    <col min="9457" max="9697" width="8.7109375" style="154"/>
    <col min="9698" max="9698" width="6.42578125" style="154" customWidth="1"/>
    <col min="9699" max="9699" width="22.28515625" style="154" customWidth="1"/>
    <col min="9700" max="9700" width="11.5703125" style="154" customWidth="1"/>
    <col min="9701" max="9701" width="11.85546875" style="154" customWidth="1"/>
    <col min="9702" max="9702" width="16.5703125" style="154" customWidth="1"/>
    <col min="9703" max="9703" width="15.5703125" style="154" customWidth="1"/>
    <col min="9704" max="9704" width="18.28515625" style="154" customWidth="1"/>
    <col min="9705" max="9705" width="0" style="154" hidden="1" customWidth="1"/>
    <col min="9706" max="9706" width="4.140625" style="154" customWidth="1"/>
    <col min="9707" max="9707" width="1.7109375" style="154" customWidth="1"/>
    <col min="9708" max="9708" width="3.42578125" style="154" customWidth="1"/>
    <col min="9709" max="9711" width="1.7109375" style="154" customWidth="1"/>
    <col min="9712" max="9712" width="3" style="154" bestFit="1" customWidth="1"/>
    <col min="9713" max="9953" width="8.7109375" style="154"/>
    <col min="9954" max="9954" width="6.42578125" style="154" customWidth="1"/>
    <col min="9955" max="9955" width="22.28515625" style="154" customWidth="1"/>
    <col min="9956" max="9956" width="11.5703125" style="154" customWidth="1"/>
    <col min="9957" max="9957" width="11.85546875" style="154" customWidth="1"/>
    <col min="9958" max="9958" width="16.5703125" style="154" customWidth="1"/>
    <col min="9959" max="9959" width="15.5703125" style="154" customWidth="1"/>
    <col min="9960" max="9960" width="18.28515625" style="154" customWidth="1"/>
    <col min="9961" max="9961" width="0" style="154" hidden="1" customWidth="1"/>
    <col min="9962" max="9962" width="4.140625" style="154" customWidth="1"/>
    <col min="9963" max="9963" width="1.7109375" style="154" customWidth="1"/>
    <col min="9964" max="9964" width="3.42578125" style="154" customWidth="1"/>
    <col min="9965" max="9967" width="1.7109375" style="154" customWidth="1"/>
    <col min="9968" max="9968" width="3" style="154" bestFit="1" customWidth="1"/>
    <col min="9969" max="10209" width="8.7109375" style="154"/>
    <col min="10210" max="10210" width="6.42578125" style="154" customWidth="1"/>
    <col min="10211" max="10211" width="22.28515625" style="154" customWidth="1"/>
    <col min="10212" max="10212" width="11.5703125" style="154" customWidth="1"/>
    <col min="10213" max="10213" width="11.85546875" style="154" customWidth="1"/>
    <col min="10214" max="10214" width="16.5703125" style="154" customWidth="1"/>
    <col min="10215" max="10215" width="15.5703125" style="154" customWidth="1"/>
    <col min="10216" max="10216" width="18.28515625" style="154" customWidth="1"/>
    <col min="10217" max="10217" width="0" style="154" hidden="1" customWidth="1"/>
    <col min="10218" max="10218" width="4.140625" style="154" customWidth="1"/>
    <col min="10219" max="10219" width="1.7109375" style="154" customWidth="1"/>
    <col min="10220" max="10220" width="3.42578125" style="154" customWidth="1"/>
    <col min="10221" max="10223" width="1.7109375" style="154" customWidth="1"/>
    <col min="10224" max="10224" width="3" style="154" bestFit="1" customWidth="1"/>
    <col min="10225" max="10465" width="8.7109375" style="154"/>
    <col min="10466" max="10466" width="6.42578125" style="154" customWidth="1"/>
    <col min="10467" max="10467" width="22.28515625" style="154" customWidth="1"/>
    <col min="10468" max="10468" width="11.5703125" style="154" customWidth="1"/>
    <col min="10469" max="10469" width="11.85546875" style="154" customWidth="1"/>
    <col min="10470" max="10470" width="16.5703125" style="154" customWidth="1"/>
    <col min="10471" max="10471" width="15.5703125" style="154" customWidth="1"/>
    <col min="10472" max="10472" width="18.28515625" style="154" customWidth="1"/>
    <col min="10473" max="10473" width="0" style="154" hidden="1" customWidth="1"/>
    <col min="10474" max="10474" width="4.140625" style="154" customWidth="1"/>
    <col min="10475" max="10475" width="1.7109375" style="154" customWidth="1"/>
    <col min="10476" max="10476" width="3.42578125" style="154" customWidth="1"/>
    <col min="10477" max="10479" width="1.7109375" style="154" customWidth="1"/>
    <col min="10480" max="10480" width="3" style="154" bestFit="1" customWidth="1"/>
    <col min="10481" max="10721" width="8.7109375" style="154"/>
    <col min="10722" max="10722" width="6.42578125" style="154" customWidth="1"/>
    <col min="10723" max="10723" width="22.28515625" style="154" customWidth="1"/>
    <col min="10724" max="10724" width="11.5703125" style="154" customWidth="1"/>
    <col min="10725" max="10725" width="11.85546875" style="154" customWidth="1"/>
    <col min="10726" max="10726" width="16.5703125" style="154" customWidth="1"/>
    <col min="10727" max="10727" width="15.5703125" style="154" customWidth="1"/>
    <col min="10728" max="10728" width="18.28515625" style="154" customWidth="1"/>
    <col min="10729" max="10729" width="0" style="154" hidden="1" customWidth="1"/>
    <col min="10730" max="10730" width="4.140625" style="154" customWidth="1"/>
    <col min="10731" max="10731" width="1.7109375" style="154" customWidth="1"/>
    <col min="10732" max="10732" width="3.42578125" style="154" customWidth="1"/>
    <col min="10733" max="10735" width="1.7109375" style="154" customWidth="1"/>
    <col min="10736" max="10736" width="3" style="154" bestFit="1" customWidth="1"/>
    <col min="10737" max="10977" width="8.7109375" style="154"/>
    <col min="10978" max="10978" width="6.42578125" style="154" customWidth="1"/>
    <col min="10979" max="10979" width="22.28515625" style="154" customWidth="1"/>
    <col min="10980" max="10980" width="11.5703125" style="154" customWidth="1"/>
    <col min="10981" max="10981" width="11.85546875" style="154" customWidth="1"/>
    <col min="10982" max="10982" width="16.5703125" style="154" customWidth="1"/>
    <col min="10983" max="10983" width="15.5703125" style="154" customWidth="1"/>
    <col min="10984" max="10984" width="18.28515625" style="154" customWidth="1"/>
    <col min="10985" max="10985" width="0" style="154" hidden="1" customWidth="1"/>
    <col min="10986" max="10986" width="4.140625" style="154" customWidth="1"/>
    <col min="10987" max="10987" width="1.7109375" style="154" customWidth="1"/>
    <col min="10988" max="10988" width="3.42578125" style="154" customWidth="1"/>
    <col min="10989" max="10991" width="1.7109375" style="154" customWidth="1"/>
    <col min="10992" max="10992" width="3" style="154" bestFit="1" customWidth="1"/>
    <col min="10993" max="11233" width="8.7109375" style="154"/>
    <col min="11234" max="11234" width="6.42578125" style="154" customWidth="1"/>
    <col min="11235" max="11235" width="22.28515625" style="154" customWidth="1"/>
    <col min="11236" max="11236" width="11.5703125" style="154" customWidth="1"/>
    <col min="11237" max="11237" width="11.85546875" style="154" customWidth="1"/>
    <col min="11238" max="11238" width="16.5703125" style="154" customWidth="1"/>
    <col min="11239" max="11239" width="15.5703125" style="154" customWidth="1"/>
    <col min="11240" max="11240" width="18.28515625" style="154" customWidth="1"/>
    <col min="11241" max="11241" width="0" style="154" hidden="1" customWidth="1"/>
    <col min="11242" max="11242" width="4.140625" style="154" customWidth="1"/>
    <col min="11243" max="11243" width="1.7109375" style="154" customWidth="1"/>
    <col min="11244" max="11244" width="3.42578125" style="154" customWidth="1"/>
    <col min="11245" max="11247" width="1.7109375" style="154" customWidth="1"/>
    <col min="11248" max="11248" width="3" style="154" bestFit="1" customWidth="1"/>
    <col min="11249" max="11489" width="8.7109375" style="154"/>
    <col min="11490" max="11490" width="6.42578125" style="154" customWidth="1"/>
    <col min="11491" max="11491" width="22.28515625" style="154" customWidth="1"/>
    <col min="11492" max="11492" width="11.5703125" style="154" customWidth="1"/>
    <col min="11493" max="11493" width="11.85546875" style="154" customWidth="1"/>
    <col min="11494" max="11494" width="16.5703125" style="154" customWidth="1"/>
    <col min="11495" max="11495" width="15.5703125" style="154" customWidth="1"/>
    <col min="11496" max="11496" width="18.28515625" style="154" customWidth="1"/>
    <col min="11497" max="11497" width="0" style="154" hidden="1" customWidth="1"/>
    <col min="11498" max="11498" width="4.140625" style="154" customWidth="1"/>
    <col min="11499" max="11499" width="1.7109375" style="154" customWidth="1"/>
    <col min="11500" max="11500" width="3.42578125" style="154" customWidth="1"/>
    <col min="11501" max="11503" width="1.7109375" style="154" customWidth="1"/>
    <col min="11504" max="11504" width="3" style="154" bestFit="1" customWidth="1"/>
    <col min="11505" max="11745" width="8.7109375" style="154"/>
    <col min="11746" max="11746" width="6.42578125" style="154" customWidth="1"/>
    <col min="11747" max="11747" width="22.28515625" style="154" customWidth="1"/>
    <col min="11748" max="11748" width="11.5703125" style="154" customWidth="1"/>
    <col min="11749" max="11749" width="11.85546875" style="154" customWidth="1"/>
    <col min="11750" max="11750" width="16.5703125" style="154" customWidth="1"/>
    <col min="11751" max="11751" width="15.5703125" style="154" customWidth="1"/>
    <col min="11752" max="11752" width="18.28515625" style="154" customWidth="1"/>
    <col min="11753" max="11753" width="0" style="154" hidden="1" customWidth="1"/>
    <col min="11754" max="11754" width="4.140625" style="154" customWidth="1"/>
    <col min="11755" max="11755" width="1.7109375" style="154" customWidth="1"/>
    <col min="11756" max="11756" width="3.42578125" style="154" customWidth="1"/>
    <col min="11757" max="11759" width="1.7109375" style="154" customWidth="1"/>
    <col min="11760" max="11760" width="3" style="154" bestFit="1" customWidth="1"/>
    <col min="11761" max="12001" width="8.7109375" style="154"/>
    <col min="12002" max="12002" width="6.42578125" style="154" customWidth="1"/>
    <col min="12003" max="12003" width="22.28515625" style="154" customWidth="1"/>
    <col min="12004" max="12004" width="11.5703125" style="154" customWidth="1"/>
    <col min="12005" max="12005" width="11.85546875" style="154" customWidth="1"/>
    <col min="12006" max="12006" width="16.5703125" style="154" customWidth="1"/>
    <col min="12007" max="12007" width="15.5703125" style="154" customWidth="1"/>
    <col min="12008" max="12008" width="18.28515625" style="154" customWidth="1"/>
    <col min="12009" max="12009" width="0" style="154" hidden="1" customWidth="1"/>
    <col min="12010" max="12010" width="4.140625" style="154" customWidth="1"/>
    <col min="12011" max="12011" width="1.7109375" style="154" customWidth="1"/>
    <col min="12012" max="12012" width="3.42578125" style="154" customWidth="1"/>
    <col min="12013" max="12015" width="1.7109375" style="154" customWidth="1"/>
    <col min="12016" max="12016" width="3" style="154" bestFit="1" customWidth="1"/>
    <col min="12017" max="12257" width="8.7109375" style="154"/>
    <col min="12258" max="12258" width="6.42578125" style="154" customWidth="1"/>
    <col min="12259" max="12259" width="22.28515625" style="154" customWidth="1"/>
    <col min="12260" max="12260" width="11.5703125" style="154" customWidth="1"/>
    <col min="12261" max="12261" width="11.85546875" style="154" customWidth="1"/>
    <col min="12262" max="12262" width="16.5703125" style="154" customWidth="1"/>
    <col min="12263" max="12263" width="15.5703125" style="154" customWidth="1"/>
    <col min="12264" max="12264" width="18.28515625" style="154" customWidth="1"/>
    <col min="12265" max="12265" width="0" style="154" hidden="1" customWidth="1"/>
    <col min="12266" max="12266" width="4.140625" style="154" customWidth="1"/>
    <col min="12267" max="12267" width="1.7109375" style="154" customWidth="1"/>
    <col min="12268" max="12268" width="3.42578125" style="154" customWidth="1"/>
    <col min="12269" max="12271" width="1.7109375" style="154" customWidth="1"/>
    <col min="12272" max="12272" width="3" style="154" bestFit="1" customWidth="1"/>
    <col min="12273" max="12513" width="8.7109375" style="154"/>
    <col min="12514" max="12514" width="6.42578125" style="154" customWidth="1"/>
    <col min="12515" max="12515" width="22.28515625" style="154" customWidth="1"/>
    <col min="12516" max="12516" width="11.5703125" style="154" customWidth="1"/>
    <col min="12517" max="12517" width="11.85546875" style="154" customWidth="1"/>
    <col min="12518" max="12518" width="16.5703125" style="154" customWidth="1"/>
    <col min="12519" max="12519" width="15.5703125" style="154" customWidth="1"/>
    <col min="12520" max="12520" width="18.28515625" style="154" customWidth="1"/>
    <col min="12521" max="12521" width="0" style="154" hidden="1" customWidth="1"/>
    <col min="12522" max="12522" width="4.140625" style="154" customWidth="1"/>
    <col min="12523" max="12523" width="1.7109375" style="154" customWidth="1"/>
    <col min="12524" max="12524" width="3.42578125" style="154" customWidth="1"/>
    <col min="12525" max="12527" width="1.7109375" style="154" customWidth="1"/>
    <col min="12528" max="12528" width="3" style="154" bestFit="1" customWidth="1"/>
    <col min="12529" max="12769" width="8.7109375" style="154"/>
    <col min="12770" max="12770" width="6.42578125" style="154" customWidth="1"/>
    <col min="12771" max="12771" width="22.28515625" style="154" customWidth="1"/>
    <col min="12772" max="12772" width="11.5703125" style="154" customWidth="1"/>
    <col min="12773" max="12773" width="11.85546875" style="154" customWidth="1"/>
    <col min="12774" max="12774" width="16.5703125" style="154" customWidth="1"/>
    <col min="12775" max="12775" width="15.5703125" style="154" customWidth="1"/>
    <col min="12776" max="12776" width="18.28515625" style="154" customWidth="1"/>
    <col min="12777" max="12777" width="0" style="154" hidden="1" customWidth="1"/>
    <col min="12778" max="12778" width="4.140625" style="154" customWidth="1"/>
    <col min="12779" max="12779" width="1.7109375" style="154" customWidth="1"/>
    <col min="12780" max="12780" width="3.42578125" style="154" customWidth="1"/>
    <col min="12781" max="12783" width="1.7109375" style="154" customWidth="1"/>
    <col min="12784" max="12784" width="3" style="154" bestFit="1" customWidth="1"/>
    <col min="12785" max="13025" width="8.7109375" style="154"/>
    <col min="13026" max="13026" width="6.42578125" style="154" customWidth="1"/>
    <col min="13027" max="13027" width="22.28515625" style="154" customWidth="1"/>
    <col min="13028" max="13028" width="11.5703125" style="154" customWidth="1"/>
    <col min="13029" max="13029" width="11.85546875" style="154" customWidth="1"/>
    <col min="13030" max="13030" width="16.5703125" style="154" customWidth="1"/>
    <col min="13031" max="13031" width="15.5703125" style="154" customWidth="1"/>
    <col min="13032" max="13032" width="18.28515625" style="154" customWidth="1"/>
    <col min="13033" max="13033" width="0" style="154" hidden="1" customWidth="1"/>
    <col min="13034" max="13034" width="4.140625" style="154" customWidth="1"/>
    <col min="13035" max="13035" width="1.7109375" style="154" customWidth="1"/>
    <col min="13036" max="13036" width="3.42578125" style="154" customWidth="1"/>
    <col min="13037" max="13039" width="1.7109375" style="154" customWidth="1"/>
    <col min="13040" max="13040" width="3" style="154" bestFit="1" customWidth="1"/>
    <col min="13041" max="13281" width="8.7109375" style="154"/>
    <col min="13282" max="13282" width="6.42578125" style="154" customWidth="1"/>
    <col min="13283" max="13283" width="22.28515625" style="154" customWidth="1"/>
    <col min="13284" max="13284" width="11.5703125" style="154" customWidth="1"/>
    <col min="13285" max="13285" width="11.85546875" style="154" customWidth="1"/>
    <col min="13286" max="13286" width="16.5703125" style="154" customWidth="1"/>
    <col min="13287" max="13287" width="15.5703125" style="154" customWidth="1"/>
    <col min="13288" max="13288" width="18.28515625" style="154" customWidth="1"/>
    <col min="13289" max="13289" width="0" style="154" hidden="1" customWidth="1"/>
    <col min="13290" max="13290" width="4.140625" style="154" customWidth="1"/>
    <col min="13291" max="13291" width="1.7109375" style="154" customWidth="1"/>
    <col min="13292" max="13292" width="3.42578125" style="154" customWidth="1"/>
    <col min="13293" max="13295" width="1.7109375" style="154" customWidth="1"/>
    <col min="13296" max="13296" width="3" style="154" bestFit="1" customWidth="1"/>
    <col min="13297" max="13537" width="8.7109375" style="154"/>
    <col min="13538" max="13538" width="6.42578125" style="154" customWidth="1"/>
    <col min="13539" max="13539" width="22.28515625" style="154" customWidth="1"/>
    <col min="13540" max="13540" width="11.5703125" style="154" customWidth="1"/>
    <col min="13541" max="13541" width="11.85546875" style="154" customWidth="1"/>
    <col min="13542" max="13542" width="16.5703125" style="154" customWidth="1"/>
    <col min="13543" max="13543" width="15.5703125" style="154" customWidth="1"/>
    <col min="13544" max="13544" width="18.28515625" style="154" customWidth="1"/>
    <col min="13545" max="13545" width="0" style="154" hidden="1" customWidth="1"/>
    <col min="13546" max="13546" width="4.140625" style="154" customWidth="1"/>
    <col min="13547" max="13547" width="1.7109375" style="154" customWidth="1"/>
    <col min="13548" max="13548" width="3.42578125" style="154" customWidth="1"/>
    <col min="13549" max="13551" width="1.7109375" style="154" customWidth="1"/>
    <col min="13552" max="13552" width="3" style="154" bestFit="1" customWidth="1"/>
    <col min="13553" max="13793" width="8.7109375" style="154"/>
    <col min="13794" max="13794" width="6.42578125" style="154" customWidth="1"/>
    <col min="13795" max="13795" width="22.28515625" style="154" customWidth="1"/>
    <col min="13796" max="13796" width="11.5703125" style="154" customWidth="1"/>
    <col min="13797" max="13797" width="11.85546875" style="154" customWidth="1"/>
    <col min="13798" max="13798" width="16.5703125" style="154" customWidth="1"/>
    <col min="13799" max="13799" width="15.5703125" style="154" customWidth="1"/>
    <col min="13800" max="13800" width="18.28515625" style="154" customWidth="1"/>
    <col min="13801" max="13801" width="0" style="154" hidden="1" customWidth="1"/>
    <col min="13802" max="13802" width="4.140625" style="154" customWidth="1"/>
    <col min="13803" max="13803" width="1.7109375" style="154" customWidth="1"/>
    <col min="13804" max="13804" width="3.42578125" style="154" customWidth="1"/>
    <col min="13805" max="13807" width="1.7109375" style="154" customWidth="1"/>
    <col min="13808" max="13808" width="3" style="154" bestFit="1" customWidth="1"/>
    <col min="13809" max="14049" width="8.7109375" style="154"/>
    <col min="14050" max="14050" width="6.42578125" style="154" customWidth="1"/>
    <col min="14051" max="14051" width="22.28515625" style="154" customWidth="1"/>
    <col min="14052" max="14052" width="11.5703125" style="154" customWidth="1"/>
    <col min="14053" max="14053" width="11.85546875" style="154" customWidth="1"/>
    <col min="14054" max="14054" width="16.5703125" style="154" customWidth="1"/>
    <col min="14055" max="14055" width="15.5703125" style="154" customWidth="1"/>
    <col min="14056" max="14056" width="18.28515625" style="154" customWidth="1"/>
    <col min="14057" max="14057" width="0" style="154" hidden="1" customWidth="1"/>
    <col min="14058" max="14058" width="4.140625" style="154" customWidth="1"/>
    <col min="14059" max="14059" width="1.7109375" style="154" customWidth="1"/>
    <col min="14060" max="14060" width="3.42578125" style="154" customWidth="1"/>
    <col min="14061" max="14063" width="1.7109375" style="154" customWidth="1"/>
    <col min="14064" max="14064" width="3" style="154" bestFit="1" customWidth="1"/>
    <col min="14065" max="14305" width="8.7109375" style="154"/>
    <col min="14306" max="14306" width="6.42578125" style="154" customWidth="1"/>
    <col min="14307" max="14307" width="22.28515625" style="154" customWidth="1"/>
    <col min="14308" max="14308" width="11.5703125" style="154" customWidth="1"/>
    <col min="14309" max="14309" width="11.85546875" style="154" customWidth="1"/>
    <col min="14310" max="14310" width="16.5703125" style="154" customWidth="1"/>
    <col min="14311" max="14311" width="15.5703125" style="154" customWidth="1"/>
    <col min="14312" max="14312" width="18.28515625" style="154" customWidth="1"/>
    <col min="14313" max="14313" width="0" style="154" hidden="1" customWidth="1"/>
    <col min="14314" max="14314" width="4.140625" style="154" customWidth="1"/>
    <col min="14315" max="14315" width="1.7109375" style="154" customWidth="1"/>
    <col min="14316" max="14316" width="3.42578125" style="154" customWidth="1"/>
    <col min="14317" max="14319" width="1.7109375" style="154" customWidth="1"/>
    <col min="14320" max="14320" width="3" style="154" bestFit="1" customWidth="1"/>
    <col min="14321" max="14561" width="8.7109375" style="154"/>
    <col min="14562" max="14562" width="6.42578125" style="154" customWidth="1"/>
    <col min="14563" max="14563" width="22.28515625" style="154" customWidth="1"/>
    <col min="14564" max="14564" width="11.5703125" style="154" customWidth="1"/>
    <col min="14565" max="14565" width="11.85546875" style="154" customWidth="1"/>
    <col min="14566" max="14566" width="16.5703125" style="154" customWidth="1"/>
    <col min="14567" max="14567" width="15.5703125" style="154" customWidth="1"/>
    <col min="14568" max="14568" width="18.28515625" style="154" customWidth="1"/>
    <col min="14569" max="14569" width="0" style="154" hidden="1" customWidth="1"/>
    <col min="14570" max="14570" width="4.140625" style="154" customWidth="1"/>
    <col min="14571" max="14571" width="1.7109375" style="154" customWidth="1"/>
    <col min="14572" max="14572" width="3.42578125" style="154" customWidth="1"/>
    <col min="14573" max="14575" width="1.7109375" style="154" customWidth="1"/>
    <col min="14576" max="14576" width="3" style="154" bestFit="1" customWidth="1"/>
    <col min="14577" max="14817" width="8.7109375" style="154"/>
    <col min="14818" max="14818" width="6.42578125" style="154" customWidth="1"/>
    <col min="14819" max="14819" width="22.28515625" style="154" customWidth="1"/>
    <col min="14820" max="14820" width="11.5703125" style="154" customWidth="1"/>
    <col min="14821" max="14821" width="11.85546875" style="154" customWidth="1"/>
    <col min="14822" max="14822" width="16.5703125" style="154" customWidth="1"/>
    <col min="14823" max="14823" width="15.5703125" style="154" customWidth="1"/>
    <col min="14824" max="14824" width="18.28515625" style="154" customWidth="1"/>
    <col min="14825" max="14825" width="0" style="154" hidden="1" customWidth="1"/>
    <col min="14826" max="14826" width="4.140625" style="154" customWidth="1"/>
    <col min="14827" max="14827" width="1.7109375" style="154" customWidth="1"/>
    <col min="14828" max="14828" width="3.42578125" style="154" customWidth="1"/>
    <col min="14829" max="14831" width="1.7109375" style="154" customWidth="1"/>
    <col min="14832" max="14832" width="3" style="154" bestFit="1" customWidth="1"/>
    <col min="14833" max="15073" width="8.7109375" style="154"/>
    <col min="15074" max="15074" width="6.42578125" style="154" customWidth="1"/>
    <col min="15075" max="15075" width="22.28515625" style="154" customWidth="1"/>
    <col min="15076" max="15076" width="11.5703125" style="154" customWidth="1"/>
    <col min="15077" max="15077" width="11.85546875" style="154" customWidth="1"/>
    <col min="15078" max="15078" width="16.5703125" style="154" customWidth="1"/>
    <col min="15079" max="15079" width="15.5703125" style="154" customWidth="1"/>
    <col min="15080" max="15080" width="18.28515625" style="154" customWidth="1"/>
    <col min="15081" max="15081" width="0" style="154" hidden="1" customWidth="1"/>
    <col min="15082" max="15082" width="4.140625" style="154" customWidth="1"/>
    <col min="15083" max="15083" width="1.7109375" style="154" customWidth="1"/>
    <col min="15084" max="15084" width="3.42578125" style="154" customWidth="1"/>
    <col min="15085" max="15087" width="1.7109375" style="154" customWidth="1"/>
    <col min="15088" max="15088" width="3" style="154" bestFit="1" customWidth="1"/>
    <col min="15089" max="15329" width="8.7109375" style="154"/>
    <col min="15330" max="15330" width="6.42578125" style="154" customWidth="1"/>
    <col min="15331" max="15331" width="22.28515625" style="154" customWidth="1"/>
    <col min="15332" max="15332" width="11.5703125" style="154" customWidth="1"/>
    <col min="15333" max="15333" width="11.85546875" style="154" customWidth="1"/>
    <col min="15334" max="15334" width="16.5703125" style="154" customWidth="1"/>
    <col min="15335" max="15335" width="15.5703125" style="154" customWidth="1"/>
    <col min="15336" max="15336" width="18.28515625" style="154" customWidth="1"/>
    <col min="15337" max="15337" width="0" style="154" hidden="1" customWidth="1"/>
    <col min="15338" max="15338" width="4.140625" style="154" customWidth="1"/>
    <col min="15339" max="15339" width="1.7109375" style="154" customWidth="1"/>
    <col min="15340" max="15340" width="3.42578125" style="154" customWidth="1"/>
    <col min="15341" max="15343" width="1.7109375" style="154" customWidth="1"/>
    <col min="15344" max="15344" width="3" style="154" bestFit="1" customWidth="1"/>
    <col min="15345" max="15585" width="8.7109375" style="154"/>
    <col min="15586" max="15586" width="6.42578125" style="154" customWidth="1"/>
    <col min="15587" max="15587" width="22.28515625" style="154" customWidth="1"/>
    <col min="15588" max="15588" width="11.5703125" style="154" customWidth="1"/>
    <col min="15589" max="15589" width="11.85546875" style="154" customWidth="1"/>
    <col min="15590" max="15590" width="16.5703125" style="154" customWidth="1"/>
    <col min="15591" max="15591" width="15.5703125" style="154" customWidth="1"/>
    <col min="15592" max="15592" width="18.28515625" style="154" customWidth="1"/>
    <col min="15593" max="15593" width="0" style="154" hidden="1" customWidth="1"/>
    <col min="15594" max="15594" width="4.140625" style="154" customWidth="1"/>
    <col min="15595" max="15595" width="1.7109375" style="154" customWidth="1"/>
    <col min="15596" max="15596" width="3.42578125" style="154" customWidth="1"/>
    <col min="15597" max="15599" width="1.7109375" style="154" customWidth="1"/>
    <col min="15600" max="15600" width="3" style="154" bestFit="1" customWidth="1"/>
    <col min="15601" max="15841" width="8.7109375" style="154"/>
    <col min="15842" max="15842" width="6.42578125" style="154" customWidth="1"/>
    <col min="15843" max="15843" width="22.28515625" style="154" customWidth="1"/>
    <col min="15844" max="15844" width="11.5703125" style="154" customWidth="1"/>
    <col min="15845" max="15845" width="11.85546875" style="154" customWidth="1"/>
    <col min="15846" max="15846" width="16.5703125" style="154" customWidth="1"/>
    <col min="15847" max="15847" width="15.5703125" style="154" customWidth="1"/>
    <col min="15848" max="15848" width="18.28515625" style="154" customWidth="1"/>
    <col min="15849" max="15849" width="0" style="154" hidden="1" customWidth="1"/>
    <col min="15850" max="15850" width="4.140625" style="154" customWidth="1"/>
    <col min="15851" max="15851" width="1.7109375" style="154" customWidth="1"/>
    <col min="15852" max="15852" width="3.42578125" style="154" customWidth="1"/>
    <col min="15853" max="15855" width="1.7109375" style="154" customWidth="1"/>
    <col min="15856" max="15856" width="3" style="154" bestFit="1" customWidth="1"/>
    <col min="15857" max="16097" width="8.7109375" style="154"/>
    <col min="16098" max="16098" width="6.42578125" style="154" customWidth="1"/>
    <col min="16099" max="16099" width="22.28515625" style="154" customWidth="1"/>
    <col min="16100" max="16100" width="11.5703125" style="154" customWidth="1"/>
    <col min="16101" max="16101" width="11.85546875" style="154" customWidth="1"/>
    <col min="16102" max="16102" width="16.5703125" style="154" customWidth="1"/>
    <col min="16103" max="16103" width="15.5703125" style="154" customWidth="1"/>
    <col min="16104" max="16104" width="18.28515625" style="154" customWidth="1"/>
    <col min="16105" max="16105" width="0" style="154" hidden="1" customWidth="1"/>
    <col min="16106" max="16106" width="4.140625" style="154" customWidth="1"/>
    <col min="16107" max="16107" width="1.7109375" style="154" customWidth="1"/>
    <col min="16108" max="16108" width="3.42578125" style="154" customWidth="1"/>
    <col min="16109" max="16111" width="1.7109375" style="154" customWidth="1"/>
    <col min="16112" max="16112" width="3" style="154" bestFit="1" customWidth="1"/>
    <col min="16113" max="16384" width="8.7109375" style="154"/>
  </cols>
  <sheetData>
    <row r="1" spans="1:8" ht="15.75" x14ac:dyDescent="0.25">
      <c r="A1" s="153"/>
      <c r="B1" s="153"/>
      <c r="C1" s="153"/>
      <c r="D1" s="153"/>
      <c r="E1" s="153"/>
      <c r="F1" s="153"/>
      <c r="G1" s="153"/>
    </row>
    <row r="2" spans="1:8" ht="15.75" x14ac:dyDescent="0.2">
      <c r="A2" s="775" t="s">
        <v>236</v>
      </c>
      <c r="B2" s="775"/>
      <c r="C2" s="775"/>
      <c r="D2" s="775"/>
      <c r="E2" s="775"/>
      <c r="F2" s="775"/>
      <c r="G2" s="775"/>
    </row>
    <row r="3" spans="1:8" ht="15.75" x14ac:dyDescent="0.2">
      <c r="A3" s="775" t="s">
        <v>237</v>
      </c>
      <c r="B3" s="775"/>
      <c r="C3" s="775"/>
      <c r="D3" s="775"/>
      <c r="E3" s="775"/>
      <c r="F3" s="775"/>
      <c r="G3" s="775"/>
    </row>
    <row r="4" spans="1:8" ht="15.75" x14ac:dyDescent="0.25">
      <c r="A4" s="153"/>
      <c r="B4" s="153"/>
      <c r="C4" s="153"/>
      <c r="D4" s="153"/>
      <c r="E4" s="153"/>
      <c r="F4" s="153"/>
      <c r="G4" s="153"/>
    </row>
    <row r="5" spans="1:8" ht="15.75" x14ac:dyDescent="0.2">
      <c r="A5" s="776" t="s">
        <v>238</v>
      </c>
      <c r="B5" s="777"/>
      <c r="C5" s="778" t="s">
        <v>24</v>
      </c>
      <c r="D5" s="778"/>
      <c r="E5" s="778"/>
      <c r="F5" s="778"/>
      <c r="G5" s="778"/>
      <c r="H5" s="155"/>
    </row>
    <row r="6" spans="1:8" s="156" customFormat="1" ht="15.75" x14ac:dyDescent="0.25">
      <c r="A6" s="779" t="s">
        <v>239</v>
      </c>
      <c r="B6" s="779"/>
      <c r="C6" s="780"/>
      <c r="D6" s="780"/>
      <c r="E6" s="781"/>
      <c r="F6" s="781"/>
      <c r="G6" s="781"/>
    </row>
    <row r="7" spans="1:8" ht="15.75" x14ac:dyDescent="0.2">
      <c r="A7" s="779" t="s">
        <v>240</v>
      </c>
      <c r="B7" s="779"/>
      <c r="C7" s="780" t="s">
        <v>241</v>
      </c>
      <c r="D7" s="780"/>
      <c r="E7" s="781"/>
      <c r="F7" s="781"/>
      <c r="G7" s="781"/>
    </row>
    <row r="8" spans="1:8" ht="15.75" x14ac:dyDescent="0.25">
      <c r="A8" s="157"/>
      <c r="B8" s="158"/>
      <c r="C8" s="157"/>
      <c r="D8" s="157"/>
      <c r="E8" s="157"/>
      <c r="F8" s="157"/>
      <c r="G8" s="159" t="s">
        <v>242</v>
      </c>
    </row>
    <row r="9" spans="1:8" ht="15.75" x14ac:dyDescent="0.25">
      <c r="A9" s="782" t="s">
        <v>0</v>
      </c>
      <c r="B9" s="782" t="s">
        <v>243</v>
      </c>
      <c r="C9" s="782" t="s">
        <v>244</v>
      </c>
      <c r="D9" s="782" t="s">
        <v>245</v>
      </c>
      <c r="E9" s="785" t="s">
        <v>246</v>
      </c>
      <c r="F9" s="785"/>
      <c r="G9" s="785"/>
      <c r="H9" s="786" t="s">
        <v>247</v>
      </c>
    </row>
    <row r="10" spans="1:8" ht="31.5" x14ac:dyDescent="0.2">
      <c r="A10" s="783"/>
      <c r="B10" s="783"/>
      <c r="C10" s="783"/>
      <c r="D10" s="784"/>
      <c r="E10" s="160" t="s">
        <v>248</v>
      </c>
      <c r="F10" s="160" t="s">
        <v>249</v>
      </c>
      <c r="G10" s="160" t="s">
        <v>30</v>
      </c>
      <c r="H10" s="787"/>
    </row>
    <row r="11" spans="1:8" ht="15.75" x14ac:dyDescent="0.2">
      <c r="A11" s="161">
        <v>1</v>
      </c>
      <c r="B11" s="161">
        <v>2</v>
      </c>
      <c r="C11" s="161"/>
      <c r="D11" s="161"/>
      <c r="E11" s="161">
        <v>4</v>
      </c>
      <c r="F11" s="161">
        <v>5</v>
      </c>
      <c r="G11" s="161">
        <v>6</v>
      </c>
      <c r="H11" s="162">
        <v>7</v>
      </c>
    </row>
    <row r="12" spans="1:8" ht="15.75" x14ac:dyDescent="0.2">
      <c r="A12" s="788" t="s">
        <v>258</v>
      </c>
      <c r="B12" s="789"/>
      <c r="C12" s="789"/>
      <c r="D12" s="789"/>
      <c r="E12" s="789"/>
      <c r="F12" s="789"/>
      <c r="G12" s="789"/>
      <c r="H12" s="162"/>
    </row>
    <row r="13" spans="1:8" ht="15.75" x14ac:dyDescent="0.2">
      <c r="A13" s="342" t="s">
        <v>52</v>
      </c>
      <c r="B13" s="165" t="s">
        <v>1125</v>
      </c>
      <c r="C13" s="161"/>
      <c r="D13" s="165" t="s">
        <v>1126</v>
      </c>
      <c r="E13" s="166">
        <f>Геодезия!G40</f>
        <v>495454.65</v>
      </c>
      <c r="F13" s="161"/>
      <c r="G13" s="166">
        <f>E13</f>
        <v>495454.65</v>
      </c>
      <c r="H13" s="162"/>
    </row>
    <row r="14" spans="1:8" ht="31.5" x14ac:dyDescent="0.2">
      <c r="A14" s="164" t="s">
        <v>1129</v>
      </c>
      <c r="B14" s="165" t="s">
        <v>1133</v>
      </c>
      <c r="C14" s="161"/>
      <c r="D14" s="165" t="s">
        <v>1127</v>
      </c>
      <c r="E14" s="166">
        <f>Гидромет!G50</f>
        <v>227814.41</v>
      </c>
      <c r="F14" s="161"/>
      <c r="G14" s="166">
        <f>E14</f>
        <v>227814.41</v>
      </c>
      <c r="H14" s="162"/>
    </row>
    <row r="15" spans="1:8" ht="15.75" x14ac:dyDescent="0.2">
      <c r="A15" s="164" t="s">
        <v>1132</v>
      </c>
      <c r="B15" s="165" t="s">
        <v>1134</v>
      </c>
      <c r="C15" s="161"/>
      <c r="D15" s="165" t="s">
        <v>1128</v>
      </c>
      <c r="E15" s="166">
        <f>Экология!G65</f>
        <v>262074.26</v>
      </c>
      <c r="F15" s="161"/>
      <c r="G15" s="166">
        <f>E15</f>
        <v>262074.26</v>
      </c>
      <c r="H15" s="162"/>
    </row>
    <row r="16" spans="1:8" ht="47.25" x14ac:dyDescent="0.2">
      <c r="A16" s="164" t="s">
        <v>1135</v>
      </c>
      <c r="B16" s="343" t="s">
        <v>264</v>
      </c>
      <c r="C16" s="172"/>
      <c r="D16" s="173"/>
      <c r="E16" s="169"/>
      <c r="F16" s="166"/>
      <c r="G16" s="166"/>
      <c r="H16" s="162"/>
    </row>
    <row r="17" spans="1:9" ht="126" x14ac:dyDescent="0.2">
      <c r="A17" s="344" t="s">
        <v>1136</v>
      </c>
      <c r="B17" s="164" t="s">
        <v>1137</v>
      </c>
      <c r="C17" s="345"/>
      <c r="D17" s="173" t="s">
        <v>1131</v>
      </c>
      <c r="E17" s="166">
        <f>(E13+E14+E15)*0.1</f>
        <v>98534.33</v>
      </c>
      <c r="F17" s="166"/>
      <c r="G17" s="166">
        <f>E17</f>
        <v>98534.33</v>
      </c>
      <c r="H17" s="162"/>
    </row>
    <row r="18" spans="1:9" ht="15.75" x14ac:dyDescent="0.2">
      <c r="A18" s="790" t="s">
        <v>251</v>
      </c>
      <c r="B18" s="791"/>
      <c r="C18" s="791"/>
      <c r="D18" s="791"/>
      <c r="E18" s="791"/>
      <c r="F18" s="792"/>
      <c r="G18" s="167">
        <f>SUM(G13:G17)</f>
        <v>1083877.6499999999</v>
      </c>
      <c r="H18" s="162"/>
    </row>
    <row r="19" spans="1:9" ht="15.75" x14ac:dyDescent="0.2">
      <c r="A19" s="788" t="s">
        <v>252</v>
      </c>
      <c r="B19" s="789"/>
      <c r="C19" s="789"/>
      <c r="D19" s="789"/>
      <c r="E19" s="789"/>
      <c r="F19" s="789"/>
      <c r="G19" s="789"/>
      <c r="H19" s="163"/>
    </row>
    <row r="20" spans="1:9" ht="15.75" x14ac:dyDescent="0.2">
      <c r="A20" s="164" t="s">
        <v>53</v>
      </c>
      <c r="B20" s="168" t="s">
        <v>253</v>
      </c>
      <c r="C20" s="165"/>
      <c r="D20" s="164" t="s">
        <v>254</v>
      </c>
      <c r="E20" s="169"/>
      <c r="F20" s="166">
        <f>ПД!E764</f>
        <v>3510801.15</v>
      </c>
      <c r="G20" s="166">
        <f>F20</f>
        <v>3510801.15</v>
      </c>
      <c r="H20" s="163"/>
    </row>
    <row r="21" spans="1:9" ht="47.25" x14ac:dyDescent="0.2">
      <c r="A21" s="164" t="s">
        <v>54</v>
      </c>
      <c r="B21" s="168" t="s">
        <v>256</v>
      </c>
      <c r="C21" s="172" t="s">
        <v>250</v>
      </c>
      <c r="D21" s="173" t="s">
        <v>257</v>
      </c>
      <c r="E21" s="169"/>
      <c r="F21" s="166">
        <f>367954.08/1.2</f>
        <v>306628.40000000002</v>
      </c>
      <c r="G21" s="166">
        <f>F21</f>
        <v>306628.40000000002</v>
      </c>
      <c r="H21" s="163"/>
    </row>
    <row r="22" spans="1:9" ht="24.75" customHeight="1" x14ac:dyDescent="0.2">
      <c r="A22" s="790" t="s">
        <v>255</v>
      </c>
      <c r="B22" s="791"/>
      <c r="C22" s="791"/>
      <c r="D22" s="791"/>
      <c r="E22" s="791"/>
      <c r="F22" s="791"/>
      <c r="G22" s="167">
        <f>SUM(G20:G21)</f>
        <v>3817429.55</v>
      </c>
      <c r="H22" s="163"/>
    </row>
    <row r="23" spans="1:9" ht="15.75" x14ac:dyDescent="0.2">
      <c r="A23" s="788" t="s">
        <v>259</v>
      </c>
      <c r="B23" s="789"/>
      <c r="C23" s="789"/>
      <c r="D23" s="789"/>
      <c r="E23" s="789"/>
      <c r="F23" s="789"/>
      <c r="G23" s="789"/>
      <c r="H23" s="163"/>
    </row>
    <row r="24" spans="1:9" ht="220.5" x14ac:dyDescent="0.25">
      <c r="A24" s="164" t="s">
        <v>55</v>
      </c>
      <c r="B24" s="174" t="s">
        <v>265</v>
      </c>
      <c r="C24" s="172" t="s">
        <v>250</v>
      </c>
      <c r="D24" s="180" t="s">
        <v>262</v>
      </c>
      <c r="E24" s="181"/>
      <c r="F24" s="182"/>
      <c r="G24" s="183">
        <f>540*15*4*0</f>
        <v>0</v>
      </c>
      <c r="H24" s="178">
        <f>540*15*4</f>
        <v>32400</v>
      </c>
      <c r="I24" s="179">
        <f>H24</f>
        <v>32400</v>
      </c>
    </row>
    <row r="25" spans="1:9" ht="15.75" x14ac:dyDescent="0.2">
      <c r="A25" s="790" t="s">
        <v>260</v>
      </c>
      <c r="B25" s="791"/>
      <c r="C25" s="791"/>
      <c r="D25" s="791"/>
      <c r="E25" s="791"/>
      <c r="F25" s="791"/>
      <c r="G25" s="167">
        <f>SUM(G23:G24)</f>
        <v>0</v>
      </c>
      <c r="H25" s="163"/>
    </row>
    <row r="26" spans="1:9" ht="15.75" x14ac:dyDescent="0.2">
      <c r="A26" s="790" t="s">
        <v>261</v>
      </c>
      <c r="B26" s="791"/>
      <c r="C26" s="791"/>
      <c r="D26" s="791"/>
      <c r="E26" s="791"/>
      <c r="F26" s="792"/>
      <c r="G26" s="170">
        <f>G18+G22+G25</f>
        <v>4901307.2</v>
      </c>
      <c r="H26" s="171"/>
    </row>
    <row r="28" spans="1:9" ht="60.75" customHeight="1" x14ac:dyDescent="0.2">
      <c r="A28" s="632" t="s">
        <v>167</v>
      </c>
      <c r="B28" s="632"/>
      <c r="C28" s="632"/>
      <c r="D28" s="175"/>
      <c r="E28" s="147" t="s">
        <v>168</v>
      </c>
      <c r="G28" s="176"/>
    </row>
    <row r="30" spans="1:9" x14ac:dyDescent="0.2">
      <c r="G30" s="177"/>
    </row>
  </sheetData>
  <mergeCells count="22">
    <mergeCell ref="H9:H10"/>
    <mergeCell ref="A12:G12"/>
    <mergeCell ref="A19:G19"/>
    <mergeCell ref="A18:F18"/>
    <mergeCell ref="A28:C28"/>
    <mergeCell ref="A23:G23"/>
    <mergeCell ref="A22:F22"/>
    <mergeCell ref="A25:F25"/>
    <mergeCell ref="A26:F26"/>
    <mergeCell ref="A7:B7"/>
    <mergeCell ref="C7:G7"/>
    <mergeCell ref="A9:A10"/>
    <mergeCell ref="B9:B10"/>
    <mergeCell ref="C9:C10"/>
    <mergeCell ref="D9:D10"/>
    <mergeCell ref="E9:G9"/>
    <mergeCell ref="A2:G2"/>
    <mergeCell ref="A3:G3"/>
    <mergeCell ref="A5:B5"/>
    <mergeCell ref="C5:G5"/>
    <mergeCell ref="A6:B6"/>
    <mergeCell ref="C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3"/>
  <sheetViews>
    <sheetView topLeftCell="A751" workbookViewId="0">
      <selection activeCell="E764" sqref="E764"/>
    </sheetView>
  </sheetViews>
  <sheetFormatPr defaultRowHeight="15" x14ac:dyDescent="0.25"/>
  <cols>
    <col min="1" max="1" width="7.42578125" customWidth="1"/>
    <col min="2" max="2" width="48.28515625" customWidth="1"/>
    <col min="3" max="3" width="48.7109375" customWidth="1"/>
    <col min="4" max="4" width="32.28515625" customWidth="1"/>
    <col min="5" max="5" width="24.140625" customWidth="1"/>
  </cols>
  <sheetData>
    <row r="1" spans="1:5" x14ac:dyDescent="0.25">
      <c r="A1" s="549"/>
      <c r="B1" s="549"/>
      <c r="C1" s="549"/>
      <c r="D1" s="544" t="s">
        <v>266</v>
      </c>
      <c r="E1" s="535"/>
    </row>
    <row r="2" spans="1:5" ht="15" customHeight="1" x14ac:dyDescent="0.25">
      <c r="A2" s="723" t="s">
        <v>267</v>
      </c>
      <c r="B2" s="723"/>
      <c r="C2" s="545"/>
      <c r="D2" s="545"/>
      <c r="E2" s="551"/>
    </row>
    <row r="3" spans="1:5" x14ac:dyDescent="0.25">
      <c r="A3" s="542"/>
      <c r="B3" s="542"/>
      <c r="C3" s="724" t="s">
        <v>268</v>
      </c>
      <c r="D3" s="724"/>
      <c r="E3" s="793"/>
    </row>
    <row r="4" spans="1:5" x14ac:dyDescent="0.25">
      <c r="A4" s="729" t="s">
        <v>269</v>
      </c>
      <c r="B4" s="729"/>
      <c r="C4" s="729"/>
      <c r="D4" s="729"/>
      <c r="E4" s="729"/>
    </row>
    <row r="5" spans="1:5" x14ac:dyDescent="0.25">
      <c r="A5" s="794" t="s">
        <v>270</v>
      </c>
      <c r="B5" s="794"/>
      <c r="C5" s="794"/>
      <c r="D5" s="794"/>
      <c r="E5" s="547"/>
    </row>
    <row r="6" spans="1:5" x14ac:dyDescent="0.25">
      <c r="A6" s="537"/>
      <c r="B6" s="537"/>
      <c r="C6" s="537"/>
      <c r="D6" s="537"/>
      <c r="E6" s="537"/>
    </row>
    <row r="7" spans="1:5" ht="15" customHeight="1" x14ac:dyDescent="0.25">
      <c r="A7" s="730" t="s">
        <v>271</v>
      </c>
      <c r="B7" s="730"/>
      <c r="C7" s="730"/>
      <c r="D7" s="730"/>
      <c r="E7" s="730"/>
    </row>
    <row r="8" spans="1:5" x14ac:dyDescent="0.25">
      <c r="A8" s="795" t="s">
        <v>272</v>
      </c>
      <c r="B8" s="795"/>
      <c r="C8" s="795"/>
      <c r="D8" s="795"/>
      <c r="E8" s="550"/>
    </row>
    <row r="9" spans="1:5" x14ac:dyDescent="0.25">
      <c r="A9" s="537"/>
      <c r="B9" s="537"/>
      <c r="C9" s="537"/>
      <c r="D9" s="537"/>
      <c r="E9" s="537"/>
    </row>
    <row r="10" spans="1:5" x14ac:dyDescent="0.25">
      <c r="A10" s="538" t="s">
        <v>273</v>
      </c>
      <c r="B10" s="537"/>
      <c r="C10" s="536"/>
      <c r="D10" s="536"/>
      <c r="E10" s="536"/>
    </row>
    <row r="11" spans="1:5" x14ac:dyDescent="0.25">
      <c r="A11" s="546"/>
      <c r="B11" s="728"/>
      <c r="C11" s="728"/>
      <c r="D11" s="728"/>
      <c r="E11" s="728"/>
    </row>
    <row r="12" spans="1:5" x14ac:dyDescent="0.25">
      <c r="A12" s="547" t="s">
        <v>274</v>
      </c>
      <c r="B12" s="537"/>
      <c r="C12" s="539"/>
      <c r="D12" s="539"/>
      <c r="E12" s="539"/>
    </row>
    <row r="13" spans="1:5" x14ac:dyDescent="0.25">
      <c r="A13" s="535"/>
      <c r="B13" s="728" t="s">
        <v>241</v>
      </c>
      <c r="C13" s="728"/>
      <c r="D13" s="728"/>
      <c r="E13" s="728"/>
    </row>
    <row r="14" spans="1:5" x14ac:dyDescent="0.25">
      <c r="A14" s="535"/>
      <c r="B14" s="542"/>
      <c r="C14" s="542"/>
      <c r="D14" s="542"/>
      <c r="E14" s="542"/>
    </row>
    <row r="15" spans="1:5" x14ac:dyDescent="0.25">
      <c r="A15" s="557" t="s">
        <v>1239</v>
      </c>
      <c r="B15" s="542"/>
      <c r="C15" s="542"/>
      <c r="D15" s="542"/>
      <c r="E15" s="542"/>
    </row>
    <row r="16" spans="1:5" x14ac:dyDescent="0.25">
      <c r="A16" s="537"/>
      <c r="B16" s="537"/>
      <c r="C16" s="540"/>
      <c r="D16" s="540"/>
      <c r="E16" s="541"/>
    </row>
    <row r="17" spans="1:5" ht="94.5" customHeight="1" x14ac:dyDescent="0.25">
      <c r="A17" s="543" t="s">
        <v>275</v>
      </c>
      <c r="B17" s="548" t="s">
        <v>276</v>
      </c>
      <c r="C17" s="548" t="s">
        <v>277</v>
      </c>
      <c r="D17" s="558" t="s">
        <v>475</v>
      </c>
      <c r="E17" s="558" t="s">
        <v>476</v>
      </c>
    </row>
    <row r="18" spans="1:5" ht="39.950000000000003" customHeight="1" x14ac:dyDescent="0.25">
      <c r="A18" s="561">
        <v>1</v>
      </c>
      <c r="B18" s="562">
        <v>2</v>
      </c>
      <c r="C18" s="562">
        <v>3</v>
      </c>
      <c r="D18" s="561">
        <v>4</v>
      </c>
      <c r="E18" s="561">
        <v>5</v>
      </c>
    </row>
    <row r="19" spans="1:5" ht="39.950000000000003" customHeight="1" x14ac:dyDescent="0.25">
      <c r="A19" s="807" t="s">
        <v>278</v>
      </c>
      <c r="B19" s="808"/>
      <c r="C19" s="808"/>
      <c r="D19" s="808"/>
      <c r="E19" s="808"/>
    </row>
    <row r="20" spans="1:5" ht="39.950000000000003" customHeight="1" x14ac:dyDescent="0.25">
      <c r="A20" s="796">
        <v>1</v>
      </c>
      <c r="B20" s="564" t="s">
        <v>279</v>
      </c>
      <c r="C20" s="565" t="s">
        <v>280</v>
      </c>
      <c r="D20" s="566" t="s">
        <v>477</v>
      </c>
      <c r="E20" s="567" t="s">
        <v>478</v>
      </c>
    </row>
    <row r="21" spans="1:5" ht="82.5" customHeight="1" x14ac:dyDescent="0.25">
      <c r="A21" s="797"/>
      <c r="B21" s="568"/>
      <c r="C21" s="569" t="s">
        <v>281</v>
      </c>
      <c r="D21" s="570" t="s">
        <v>282</v>
      </c>
      <c r="E21" s="571" t="s">
        <v>263</v>
      </c>
    </row>
    <row r="22" spans="1:5" ht="39.950000000000003" customHeight="1" x14ac:dyDescent="0.25">
      <c r="A22" s="797"/>
      <c r="B22" s="568"/>
      <c r="C22" s="569" t="s">
        <v>283</v>
      </c>
      <c r="D22" s="570" t="s">
        <v>284</v>
      </c>
      <c r="E22" s="571" t="s">
        <v>263</v>
      </c>
    </row>
    <row r="23" spans="1:5" ht="39.950000000000003" customHeight="1" x14ac:dyDescent="0.25">
      <c r="A23" s="797"/>
      <c r="B23" s="568"/>
      <c r="C23" s="569" t="s">
        <v>285</v>
      </c>
      <c r="D23" s="570" t="s">
        <v>286</v>
      </c>
      <c r="E23" s="571" t="s">
        <v>479</v>
      </c>
    </row>
    <row r="24" spans="1:5" ht="39.950000000000003" customHeight="1" x14ac:dyDescent="0.25">
      <c r="A24" s="797"/>
      <c r="B24" s="568"/>
      <c r="C24" s="569" t="s">
        <v>287</v>
      </c>
      <c r="D24" s="570" t="s">
        <v>286</v>
      </c>
      <c r="E24" s="571" t="s">
        <v>479</v>
      </c>
    </row>
    <row r="25" spans="1:5" ht="39.950000000000003" customHeight="1" x14ac:dyDescent="0.25">
      <c r="A25" s="797"/>
      <c r="B25" s="568"/>
      <c r="C25" s="569" t="s">
        <v>288</v>
      </c>
      <c r="D25" s="570" t="s">
        <v>289</v>
      </c>
      <c r="E25" s="571" t="s">
        <v>480</v>
      </c>
    </row>
    <row r="26" spans="1:5" ht="39.950000000000003" customHeight="1" x14ac:dyDescent="0.25">
      <c r="A26" s="797"/>
      <c r="B26" s="568"/>
      <c r="C26" s="569" t="s">
        <v>290</v>
      </c>
      <c r="D26" s="570" t="s">
        <v>286</v>
      </c>
      <c r="E26" s="571" t="s">
        <v>479</v>
      </c>
    </row>
    <row r="27" spans="1:5" ht="39.950000000000003" customHeight="1" x14ac:dyDescent="0.25">
      <c r="A27" s="797"/>
      <c r="B27" s="568"/>
      <c r="C27" s="569" t="s">
        <v>291</v>
      </c>
      <c r="D27" s="570" t="s">
        <v>292</v>
      </c>
      <c r="E27" s="571" t="s">
        <v>481</v>
      </c>
    </row>
    <row r="28" spans="1:5" ht="39.950000000000003" customHeight="1" x14ac:dyDescent="0.25">
      <c r="A28" s="797"/>
      <c r="B28" s="568"/>
      <c r="C28" s="569" t="s">
        <v>293</v>
      </c>
      <c r="D28" s="570" t="s">
        <v>294</v>
      </c>
      <c r="E28" s="571" t="s">
        <v>482</v>
      </c>
    </row>
    <row r="29" spans="1:5" ht="39.950000000000003" customHeight="1" x14ac:dyDescent="0.25">
      <c r="A29" s="797"/>
      <c r="B29" s="568"/>
      <c r="C29" s="569" t="s">
        <v>295</v>
      </c>
      <c r="D29" s="570" t="s">
        <v>296</v>
      </c>
      <c r="E29" s="571" t="s">
        <v>483</v>
      </c>
    </row>
    <row r="30" spans="1:5" ht="39.950000000000003" customHeight="1" x14ac:dyDescent="0.25">
      <c r="A30" s="797"/>
      <c r="B30" s="568"/>
      <c r="C30" s="569" t="s">
        <v>297</v>
      </c>
      <c r="D30" s="570" t="s">
        <v>298</v>
      </c>
      <c r="E30" s="571" t="s">
        <v>484</v>
      </c>
    </row>
    <row r="31" spans="1:5" ht="39.950000000000003" customHeight="1" x14ac:dyDescent="0.25">
      <c r="A31" s="797"/>
      <c r="B31" s="568"/>
      <c r="C31" s="569" t="s">
        <v>299</v>
      </c>
      <c r="D31" s="570" t="s">
        <v>300</v>
      </c>
      <c r="E31" s="571" t="s">
        <v>485</v>
      </c>
    </row>
    <row r="32" spans="1:5" ht="39.950000000000003" customHeight="1" x14ac:dyDescent="0.25">
      <c r="A32" s="797"/>
      <c r="B32" s="568"/>
      <c r="C32" s="569" t="s">
        <v>301</v>
      </c>
      <c r="D32" s="570" t="s">
        <v>302</v>
      </c>
      <c r="E32" s="571" t="s">
        <v>486</v>
      </c>
    </row>
    <row r="33" spans="1:5" ht="39.950000000000003" customHeight="1" x14ac:dyDescent="0.25">
      <c r="A33" s="797"/>
      <c r="B33" s="568"/>
      <c r="C33" s="569" t="s">
        <v>303</v>
      </c>
      <c r="D33" s="570" t="s">
        <v>304</v>
      </c>
      <c r="E33" s="571" t="s">
        <v>487</v>
      </c>
    </row>
    <row r="34" spans="1:5" ht="39.950000000000003" customHeight="1" x14ac:dyDescent="0.25">
      <c r="A34" s="797"/>
      <c r="B34" s="568"/>
      <c r="C34" s="569" t="s">
        <v>305</v>
      </c>
      <c r="D34" s="570" t="s">
        <v>306</v>
      </c>
      <c r="E34" s="571" t="s">
        <v>488</v>
      </c>
    </row>
    <row r="35" spans="1:5" ht="39.950000000000003" customHeight="1" x14ac:dyDescent="0.25">
      <c r="A35" s="797"/>
      <c r="B35" s="568"/>
      <c r="C35" s="569" t="s">
        <v>307</v>
      </c>
      <c r="D35" s="570" t="s">
        <v>308</v>
      </c>
      <c r="E35" s="571" t="s">
        <v>489</v>
      </c>
    </row>
    <row r="36" spans="1:5" ht="39.950000000000003" customHeight="1" x14ac:dyDescent="0.25">
      <c r="A36" s="797"/>
      <c r="B36" s="568"/>
      <c r="C36" s="569" t="s">
        <v>309</v>
      </c>
      <c r="D36" s="570" t="s">
        <v>306</v>
      </c>
      <c r="E36" s="571" t="s">
        <v>488</v>
      </c>
    </row>
    <row r="37" spans="1:5" ht="39.950000000000003" customHeight="1" x14ac:dyDescent="0.25">
      <c r="A37" s="797"/>
      <c r="B37" s="568"/>
      <c r="C37" s="569" t="s">
        <v>310</v>
      </c>
      <c r="D37" s="570" t="s">
        <v>304</v>
      </c>
      <c r="E37" s="571" t="s">
        <v>487</v>
      </c>
    </row>
    <row r="38" spans="1:5" ht="39.950000000000003" customHeight="1" x14ac:dyDescent="0.25">
      <c r="A38" s="798"/>
      <c r="B38" s="568"/>
      <c r="C38" s="569" t="s">
        <v>311</v>
      </c>
      <c r="D38" s="570" t="s">
        <v>312</v>
      </c>
      <c r="E38" s="571"/>
    </row>
    <row r="39" spans="1:5" ht="66" customHeight="1" x14ac:dyDescent="0.25">
      <c r="A39" s="796">
        <v>2</v>
      </c>
      <c r="B39" s="564" t="s">
        <v>313</v>
      </c>
      <c r="C39" s="565" t="s">
        <v>314</v>
      </c>
      <c r="D39" s="566" t="s">
        <v>490</v>
      </c>
      <c r="E39" s="567" t="s">
        <v>491</v>
      </c>
    </row>
    <row r="40" spans="1:5" ht="39.950000000000003" customHeight="1" x14ac:dyDescent="0.25">
      <c r="A40" s="797"/>
      <c r="B40" s="568"/>
      <c r="C40" s="569" t="s">
        <v>283</v>
      </c>
      <c r="D40" s="570" t="s">
        <v>315</v>
      </c>
      <c r="E40" s="571" t="s">
        <v>263</v>
      </c>
    </row>
    <row r="41" spans="1:5" ht="82.5" customHeight="1" x14ac:dyDescent="0.25">
      <c r="A41" s="797"/>
      <c r="B41" s="568"/>
      <c r="C41" s="569" t="s">
        <v>316</v>
      </c>
      <c r="D41" s="570" t="s">
        <v>317</v>
      </c>
      <c r="E41" s="571" t="s">
        <v>263</v>
      </c>
    </row>
    <row r="42" spans="1:5" ht="39.950000000000003" customHeight="1" x14ac:dyDescent="0.25">
      <c r="A42" s="797"/>
      <c r="B42" s="568"/>
      <c r="C42" s="569" t="s">
        <v>318</v>
      </c>
      <c r="D42" s="570" t="s">
        <v>319</v>
      </c>
      <c r="E42" s="571" t="s">
        <v>263</v>
      </c>
    </row>
    <row r="43" spans="1:5" ht="39.950000000000003" customHeight="1" x14ac:dyDescent="0.25">
      <c r="A43" s="797"/>
      <c r="B43" s="568"/>
      <c r="C43" s="569" t="s">
        <v>285</v>
      </c>
      <c r="D43" s="570" t="s">
        <v>286</v>
      </c>
      <c r="E43" s="571" t="s">
        <v>492</v>
      </c>
    </row>
    <row r="44" spans="1:5" ht="39.950000000000003" customHeight="1" x14ac:dyDescent="0.25">
      <c r="A44" s="797"/>
      <c r="B44" s="568"/>
      <c r="C44" s="569" t="s">
        <v>320</v>
      </c>
      <c r="D44" s="570" t="s">
        <v>286</v>
      </c>
      <c r="E44" s="571" t="s">
        <v>492</v>
      </c>
    </row>
    <row r="45" spans="1:5" ht="39.950000000000003" customHeight="1" x14ac:dyDescent="0.25">
      <c r="A45" s="797"/>
      <c r="B45" s="568"/>
      <c r="C45" s="569" t="s">
        <v>321</v>
      </c>
      <c r="D45" s="570" t="s">
        <v>298</v>
      </c>
      <c r="E45" s="571" t="s">
        <v>493</v>
      </c>
    </row>
    <row r="46" spans="1:5" ht="39.950000000000003" customHeight="1" x14ac:dyDescent="0.25">
      <c r="A46" s="797"/>
      <c r="B46" s="568"/>
      <c r="C46" s="569" t="s">
        <v>322</v>
      </c>
      <c r="D46" s="570" t="s">
        <v>323</v>
      </c>
      <c r="E46" s="571" t="s">
        <v>494</v>
      </c>
    </row>
    <row r="47" spans="1:5" ht="39.950000000000003" customHeight="1" x14ac:dyDescent="0.25">
      <c r="A47" s="797"/>
      <c r="B47" s="568"/>
      <c r="C47" s="569" t="s">
        <v>324</v>
      </c>
      <c r="D47" s="570" t="s">
        <v>325</v>
      </c>
      <c r="E47" s="571" t="s">
        <v>495</v>
      </c>
    </row>
    <row r="48" spans="1:5" ht="39.950000000000003" customHeight="1" x14ac:dyDescent="0.25">
      <c r="A48" s="797"/>
      <c r="B48" s="568"/>
      <c r="C48" s="569" t="s">
        <v>326</v>
      </c>
      <c r="D48" s="570" t="s">
        <v>286</v>
      </c>
      <c r="E48" s="571" t="s">
        <v>492</v>
      </c>
    </row>
    <row r="49" spans="1:5" ht="39.950000000000003" customHeight="1" x14ac:dyDescent="0.25">
      <c r="A49" s="797"/>
      <c r="B49" s="568"/>
      <c r="C49" s="569" t="s">
        <v>327</v>
      </c>
      <c r="D49" s="570" t="s">
        <v>286</v>
      </c>
      <c r="E49" s="571" t="s">
        <v>492</v>
      </c>
    </row>
    <row r="50" spans="1:5" ht="39.950000000000003" customHeight="1" x14ac:dyDescent="0.25">
      <c r="A50" s="797"/>
      <c r="B50" s="568"/>
      <c r="C50" s="569" t="s">
        <v>328</v>
      </c>
      <c r="D50" s="570" t="s">
        <v>289</v>
      </c>
      <c r="E50" s="571" t="s">
        <v>496</v>
      </c>
    </row>
    <row r="51" spans="1:5" ht="39.950000000000003" customHeight="1" x14ac:dyDescent="0.25">
      <c r="A51" s="797"/>
      <c r="B51" s="568"/>
      <c r="C51" s="569" t="s">
        <v>329</v>
      </c>
      <c r="D51" s="570" t="s">
        <v>286</v>
      </c>
      <c r="E51" s="571" t="s">
        <v>492</v>
      </c>
    </row>
    <row r="52" spans="1:5" ht="39.950000000000003" customHeight="1" x14ac:dyDescent="0.25">
      <c r="A52" s="797"/>
      <c r="B52" s="568"/>
      <c r="C52" s="569" t="s">
        <v>330</v>
      </c>
      <c r="D52" s="570" t="s">
        <v>292</v>
      </c>
      <c r="E52" s="571" t="s">
        <v>497</v>
      </c>
    </row>
    <row r="53" spans="1:5" ht="39.950000000000003" customHeight="1" x14ac:dyDescent="0.25">
      <c r="A53" s="797"/>
      <c r="B53" s="568"/>
      <c r="C53" s="569" t="s">
        <v>331</v>
      </c>
      <c r="D53" s="570" t="s">
        <v>332</v>
      </c>
      <c r="E53" s="571" t="s">
        <v>498</v>
      </c>
    </row>
    <row r="54" spans="1:5" ht="39.950000000000003" customHeight="1" x14ac:dyDescent="0.25">
      <c r="A54" s="797"/>
      <c r="B54" s="568"/>
      <c r="C54" s="569" t="s">
        <v>290</v>
      </c>
      <c r="D54" s="570" t="s">
        <v>296</v>
      </c>
      <c r="E54" s="571" t="s">
        <v>499</v>
      </c>
    </row>
    <row r="55" spans="1:5" ht="39.950000000000003" customHeight="1" x14ac:dyDescent="0.25">
      <c r="A55" s="797"/>
      <c r="B55" s="568"/>
      <c r="C55" s="569" t="s">
        <v>293</v>
      </c>
      <c r="D55" s="570" t="s">
        <v>333</v>
      </c>
      <c r="E55" s="571" t="s">
        <v>500</v>
      </c>
    </row>
    <row r="56" spans="1:5" ht="39.950000000000003" customHeight="1" x14ac:dyDescent="0.25">
      <c r="A56" s="797"/>
      <c r="B56" s="568"/>
      <c r="C56" s="569" t="s">
        <v>295</v>
      </c>
      <c r="D56" s="570" t="s">
        <v>289</v>
      </c>
      <c r="E56" s="571" t="s">
        <v>496</v>
      </c>
    </row>
    <row r="57" spans="1:5" ht="39.950000000000003" customHeight="1" x14ac:dyDescent="0.25">
      <c r="A57" s="797"/>
      <c r="B57" s="568"/>
      <c r="C57" s="569" t="s">
        <v>334</v>
      </c>
      <c r="D57" s="570" t="s">
        <v>292</v>
      </c>
      <c r="E57" s="571" t="s">
        <v>497</v>
      </c>
    </row>
    <row r="58" spans="1:5" ht="60.75" customHeight="1" x14ac:dyDescent="0.25">
      <c r="A58" s="797"/>
      <c r="B58" s="568"/>
      <c r="C58" s="569" t="s">
        <v>335</v>
      </c>
      <c r="D58" s="570" t="s">
        <v>298</v>
      </c>
      <c r="E58" s="571" t="s">
        <v>493</v>
      </c>
    </row>
    <row r="59" spans="1:5" ht="39.950000000000003" customHeight="1" x14ac:dyDescent="0.25">
      <c r="A59" s="797"/>
      <c r="B59" s="568"/>
      <c r="C59" s="569" t="s">
        <v>297</v>
      </c>
      <c r="D59" s="570" t="s">
        <v>325</v>
      </c>
      <c r="E59" s="571" t="s">
        <v>495</v>
      </c>
    </row>
    <row r="60" spans="1:5" ht="39.950000000000003" customHeight="1" x14ac:dyDescent="0.25">
      <c r="A60" s="798"/>
      <c r="B60" s="568"/>
      <c r="C60" s="569" t="s">
        <v>311</v>
      </c>
      <c r="D60" s="570" t="s">
        <v>312</v>
      </c>
      <c r="E60" s="571"/>
    </row>
    <row r="61" spans="1:5" ht="76.5" customHeight="1" x14ac:dyDescent="0.25">
      <c r="A61" s="796">
        <v>3</v>
      </c>
      <c r="B61" s="564" t="s">
        <v>336</v>
      </c>
      <c r="C61" s="565" t="s">
        <v>314</v>
      </c>
      <c r="D61" s="566" t="s">
        <v>490</v>
      </c>
      <c r="E61" s="567" t="s">
        <v>491</v>
      </c>
    </row>
    <row r="62" spans="1:5" ht="39.950000000000003" customHeight="1" x14ac:dyDescent="0.25">
      <c r="A62" s="797"/>
      <c r="B62" s="568"/>
      <c r="C62" s="569" t="s">
        <v>283</v>
      </c>
      <c r="D62" s="570" t="s">
        <v>315</v>
      </c>
      <c r="E62" s="571" t="s">
        <v>263</v>
      </c>
    </row>
    <row r="63" spans="1:5" ht="69.75" customHeight="1" x14ac:dyDescent="0.25">
      <c r="A63" s="797"/>
      <c r="B63" s="568"/>
      <c r="C63" s="569" t="s">
        <v>316</v>
      </c>
      <c r="D63" s="570" t="s">
        <v>317</v>
      </c>
      <c r="E63" s="571" t="s">
        <v>263</v>
      </c>
    </row>
    <row r="64" spans="1:5" ht="39.950000000000003" customHeight="1" x14ac:dyDescent="0.25">
      <c r="A64" s="797"/>
      <c r="B64" s="568"/>
      <c r="C64" s="569" t="s">
        <v>318</v>
      </c>
      <c r="D64" s="570" t="s">
        <v>319</v>
      </c>
      <c r="E64" s="571" t="s">
        <v>263</v>
      </c>
    </row>
    <row r="65" spans="1:5" ht="39.950000000000003" customHeight="1" x14ac:dyDescent="0.25">
      <c r="A65" s="797"/>
      <c r="B65" s="568"/>
      <c r="C65" s="569" t="s">
        <v>285</v>
      </c>
      <c r="D65" s="570" t="s">
        <v>286</v>
      </c>
      <c r="E65" s="571" t="s">
        <v>492</v>
      </c>
    </row>
    <row r="66" spans="1:5" ht="39.950000000000003" customHeight="1" x14ac:dyDescent="0.25">
      <c r="A66" s="797"/>
      <c r="B66" s="568"/>
      <c r="C66" s="569" t="s">
        <v>320</v>
      </c>
      <c r="D66" s="570" t="s">
        <v>286</v>
      </c>
      <c r="E66" s="571" t="s">
        <v>492</v>
      </c>
    </row>
    <row r="67" spans="1:5" ht="39.950000000000003" customHeight="1" x14ac:dyDescent="0.25">
      <c r="A67" s="797"/>
      <c r="B67" s="568"/>
      <c r="C67" s="569" t="s">
        <v>321</v>
      </c>
      <c r="D67" s="570" t="s">
        <v>298</v>
      </c>
      <c r="E67" s="571" t="s">
        <v>493</v>
      </c>
    </row>
    <row r="68" spans="1:5" ht="39.950000000000003" customHeight="1" x14ac:dyDescent="0.25">
      <c r="A68" s="797"/>
      <c r="B68" s="568"/>
      <c r="C68" s="569" t="s">
        <v>322</v>
      </c>
      <c r="D68" s="570" t="s">
        <v>323</v>
      </c>
      <c r="E68" s="571" t="s">
        <v>494</v>
      </c>
    </row>
    <row r="69" spans="1:5" ht="39.950000000000003" customHeight="1" x14ac:dyDescent="0.25">
      <c r="A69" s="797"/>
      <c r="B69" s="568"/>
      <c r="C69" s="569" t="s">
        <v>324</v>
      </c>
      <c r="D69" s="570" t="s">
        <v>325</v>
      </c>
      <c r="E69" s="571" t="s">
        <v>495</v>
      </c>
    </row>
    <row r="70" spans="1:5" ht="39.950000000000003" customHeight="1" x14ac:dyDescent="0.25">
      <c r="A70" s="797"/>
      <c r="B70" s="568"/>
      <c r="C70" s="569" t="s">
        <v>326</v>
      </c>
      <c r="D70" s="570" t="s">
        <v>286</v>
      </c>
      <c r="E70" s="571" t="s">
        <v>492</v>
      </c>
    </row>
    <row r="71" spans="1:5" ht="39.950000000000003" customHeight="1" x14ac:dyDescent="0.25">
      <c r="A71" s="797"/>
      <c r="B71" s="568"/>
      <c r="C71" s="569" t="s">
        <v>327</v>
      </c>
      <c r="D71" s="570" t="s">
        <v>286</v>
      </c>
      <c r="E71" s="571" t="s">
        <v>492</v>
      </c>
    </row>
    <row r="72" spans="1:5" ht="39.950000000000003" customHeight="1" x14ac:dyDescent="0.25">
      <c r="A72" s="797"/>
      <c r="B72" s="568"/>
      <c r="C72" s="569" t="s">
        <v>328</v>
      </c>
      <c r="D72" s="570" t="s">
        <v>289</v>
      </c>
      <c r="E72" s="571" t="s">
        <v>496</v>
      </c>
    </row>
    <row r="73" spans="1:5" ht="39.950000000000003" customHeight="1" x14ac:dyDescent="0.25">
      <c r="A73" s="797"/>
      <c r="B73" s="568"/>
      <c r="C73" s="569" t="s">
        <v>329</v>
      </c>
      <c r="D73" s="570" t="s">
        <v>286</v>
      </c>
      <c r="E73" s="571" t="s">
        <v>492</v>
      </c>
    </row>
    <row r="74" spans="1:5" ht="39.950000000000003" customHeight="1" x14ac:dyDescent="0.25">
      <c r="A74" s="797"/>
      <c r="B74" s="568"/>
      <c r="C74" s="569" t="s">
        <v>330</v>
      </c>
      <c r="D74" s="570" t="s">
        <v>292</v>
      </c>
      <c r="E74" s="571" t="s">
        <v>497</v>
      </c>
    </row>
    <row r="75" spans="1:5" ht="39.950000000000003" customHeight="1" x14ac:dyDescent="0.25">
      <c r="A75" s="797"/>
      <c r="B75" s="568"/>
      <c r="C75" s="569" t="s">
        <v>331</v>
      </c>
      <c r="D75" s="570" t="s">
        <v>332</v>
      </c>
      <c r="E75" s="571" t="s">
        <v>498</v>
      </c>
    </row>
    <row r="76" spans="1:5" ht="39.950000000000003" customHeight="1" x14ac:dyDescent="0.25">
      <c r="A76" s="797"/>
      <c r="B76" s="568"/>
      <c r="C76" s="569" t="s">
        <v>290</v>
      </c>
      <c r="D76" s="570" t="s">
        <v>296</v>
      </c>
      <c r="E76" s="571" t="s">
        <v>499</v>
      </c>
    </row>
    <row r="77" spans="1:5" ht="39.950000000000003" customHeight="1" x14ac:dyDescent="0.25">
      <c r="A77" s="797"/>
      <c r="B77" s="568"/>
      <c r="C77" s="569" t="s">
        <v>293</v>
      </c>
      <c r="D77" s="570" t="s">
        <v>333</v>
      </c>
      <c r="E77" s="571" t="s">
        <v>500</v>
      </c>
    </row>
    <row r="78" spans="1:5" ht="39.950000000000003" customHeight="1" x14ac:dyDescent="0.25">
      <c r="A78" s="797"/>
      <c r="B78" s="568"/>
      <c r="C78" s="569" t="s">
        <v>295</v>
      </c>
      <c r="D78" s="570" t="s">
        <v>289</v>
      </c>
      <c r="E78" s="571" t="s">
        <v>496</v>
      </c>
    </row>
    <row r="79" spans="1:5" ht="39.950000000000003" customHeight="1" x14ac:dyDescent="0.25">
      <c r="A79" s="797"/>
      <c r="B79" s="568"/>
      <c r="C79" s="569" t="s">
        <v>334</v>
      </c>
      <c r="D79" s="570" t="s">
        <v>292</v>
      </c>
      <c r="E79" s="571" t="s">
        <v>497</v>
      </c>
    </row>
    <row r="80" spans="1:5" ht="39.950000000000003" customHeight="1" x14ac:dyDescent="0.25">
      <c r="A80" s="797"/>
      <c r="B80" s="568"/>
      <c r="C80" s="569" t="s">
        <v>335</v>
      </c>
      <c r="D80" s="570" t="s">
        <v>298</v>
      </c>
      <c r="E80" s="571" t="s">
        <v>493</v>
      </c>
    </row>
    <row r="81" spans="1:5" ht="39.950000000000003" customHeight="1" x14ac:dyDescent="0.25">
      <c r="A81" s="797"/>
      <c r="B81" s="568"/>
      <c r="C81" s="569" t="s">
        <v>297</v>
      </c>
      <c r="D81" s="570" t="s">
        <v>325</v>
      </c>
      <c r="E81" s="571" t="s">
        <v>495</v>
      </c>
    </row>
    <row r="82" spans="1:5" ht="39.950000000000003" customHeight="1" x14ac:dyDescent="0.25">
      <c r="A82" s="798"/>
      <c r="B82" s="568"/>
      <c r="C82" s="569" t="s">
        <v>311</v>
      </c>
      <c r="D82" s="570" t="s">
        <v>312</v>
      </c>
      <c r="E82" s="571"/>
    </row>
    <row r="83" spans="1:5" ht="39.950000000000003" customHeight="1" x14ac:dyDescent="0.25">
      <c r="A83" s="796">
        <v>4</v>
      </c>
      <c r="B83" s="564" t="s">
        <v>337</v>
      </c>
      <c r="C83" s="565" t="s">
        <v>338</v>
      </c>
      <c r="D83" s="566" t="s">
        <v>501</v>
      </c>
      <c r="E83" s="567" t="s">
        <v>502</v>
      </c>
    </row>
    <row r="84" spans="1:5" ht="39.950000000000003" customHeight="1" x14ac:dyDescent="0.25">
      <c r="A84" s="797"/>
      <c r="B84" s="568"/>
      <c r="C84" s="569" t="s">
        <v>283</v>
      </c>
      <c r="D84" s="570" t="s">
        <v>315</v>
      </c>
      <c r="E84" s="571" t="s">
        <v>263</v>
      </c>
    </row>
    <row r="85" spans="1:5" ht="72" customHeight="1" x14ac:dyDescent="0.25">
      <c r="A85" s="797"/>
      <c r="B85" s="568"/>
      <c r="C85" s="569" t="s">
        <v>316</v>
      </c>
      <c r="D85" s="570" t="s">
        <v>317</v>
      </c>
      <c r="E85" s="571" t="s">
        <v>263</v>
      </c>
    </row>
    <row r="86" spans="1:5" ht="39.950000000000003" customHeight="1" x14ac:dyDescent="0.25">
      <c r="A86" s="797"/>
      <c r="B86" s="568"/>
      <c r="C86" s="569" t="s">
        <v>285</v>
      </c>
      <c r="D86" s="570" t="s">
        <v>286</v>
      </c>
      <c r="E86" s="571">
        <v>257.92</v>
      </c>
    </row>
    <row r="87" spans="1:5" ht="39.950000000000003" customHeight="1" x14ac:dyDescent="0.25">
      <c r="A87" s="797"/>
      <c r="B87" s="568"/>
      <c r="C87" s="569" t="s">
        <v>320</v>
      </c>
      <c r="D87" s="570" t="s">
        <v>286</v>
      </c>
      <c r="E87" s="571">
        <v>257.92</v>
      </c>
    </row>
    <row r="88" spans="1:5" ht="39.950000000000003" customHeight="1" x14ac:dyDescent="0.25">
      <c r="A88" s="797"/>
      <c r="B88" s="568"/>
      <c r="C88" s="569" t="s">
        <v>321</v>
      </c>
      <c r="D88" s="570" t="s">
        <v>298</v>
      </c>
      <c r="E88" s="571">
        <v>644.79999999999995</v>
      </c>
    </row>
    <row r="89" spans="1:5" ht="39.950000000000003" customHeight="1" x14ac:dyDescent="0.25">
      <c r="A89" s="797"/>
      <c r="B89" s="568"/>
      <c r="C89" s="569" t="s">
        <v>322</v>
      </c>
      <c r="D89" s="570" t="s">
        <v>323</v>
      </c>
      <c r="E89" s="571" t="s">
        <v>503</v>
      </c>
    </row>
    <row r="90" spans="1:5" ht="39.950000000000003" customHeight="1" x14ac:dyDescent="0.25">
      <c r="A90" s="797"/>
      <c r="B90" s="568"/>
      <c r="C90" s="569" t="s">
        <v>324</v>
      </c>
      <c r="D90" s="570" t="s">
        <v>325</v>
      </c>
      <c r="E90" s="571">
        <v>902.72</v>
      </c>
    </row>
    <row r="91" spans="1:5" ht="39.950000000000003" customHeight="1" x14ac:dyDescent="0.25">
      <c r="A91" s="797"/>
      <c r="B91" s="568"/>
      <c r="C91" s="569" t="s">
        <v>326</v>
      </c>
      <c r="D91" s="570" t="s">
        <v>286</v>
      </c>
      <c r="E91" s="571">
        <v>257.92</v>
      </c>
    </row>
    <row r="92" spans="1:5" ht="39.950000000000003" customHeight="1" x14ac:dyDescent="0.25">
      <c r="A92" s="797"/>
      <c r="B92" s="568"/>
      <c r="C92" s="569" t="s">
        <v>327</v>
      </c>
      <c r="D92" s="570" t="s">
        <v>286</v>
      </c>
      <c r="E92" s="571">
        <v>257.92</v>
      </c>
    </row>
    <row r="93" spans="1:5" ht="39.950000000000003" customHeight="1" x14ac:dyDescent="0.25">
      <c r="A93" s="797"/>
      <c r="B93" s="568"/>
      <c r="C93" s="569" t="s">
        <v>328</v>
      </c>
      <c r="D93" s="570" t="s">
        <v>289</v>
      </c>
      <c r="E93" s="571">
        <v>773.76</v>
      </c>
    </row>
    <row r="94" spans="1:5" ht="39.950000000000003" customHeight="1" x14ac:dyDescent="0.25">
      <c r="A94" s="797"/>
      <c r="B94" s="568"/>
      <c r="C94" s="569" t="s">
        <v>329</v>
      </c>
      <c r="D94" s="570" t="s">
        <v>286</v>
      </c>
      <c r="E94" s="571">
        <v>257.92</v>
      </c>
    </row>
    <row r="95" spans="1:5" ht="39.950000000000003" customHeight="1" x14ac:dyDescent="0.25">
      <c r="A95" s="797"/>
      <c r="B95" s="568"/>
      <c r="C95" s="569" t="s">
        <v>330</v>
      </c>
      <c r="D95" s="570" t="s">
        <v>292</v>
      </c>
      <c r="E95" s="571">
        <v>128.96</v>
      </c>
    </row>
    <row r="96" spans="1:5" ht="39.950000000000003" customHeight="1" x14ac:dyDescent="0.25">
      <c r="A96" s="797"/>
      <c r="B96" s="568"/>
      <c r="C96" s="569" t="s">
        <v>331</v>
      </c>
      <c r="D96" s="570" t="s">
        <v>332</v>
      </c>
      <c r="E96" s="571" t="s">
        <v>504</v>
      </c>
    </row>
    <row r="97" spans="1:5" ht="39.950000000000003" customHeight="1" x14ac:dyDescent="0.25">
      <c r="A97" s="797"/>
      <c r="B97" s="568"/>
      <c r="C97" s="569" t="s">
        <v>290</v>
      </c>
      <c r="D97" s="570" t="s">
        <v>296</v>
      </c>
      <c r="E97" s="571">
        <v>386.88</v>
      </c>
    </row>
    <row r="98" spans="1:5" ht="39.950000000000003" customHeight="1" x14ac:dyDescent="0.25">
      <c r="A98" s="797"/>
      <c r="B98" s="568"/>
      <c r="C98" s="569" t="s">
        <v>293</v>
      </c>
      <c r="D98" s="570" t="s">
        <v>333</v>
      </c>
      <c r="E98" s="571" t="s">
        <v>505</v>
      </c>
    </row>
    <row r="99" spans="1:5" ht="39.950000000000003" customHeight="1" x14ac:dyDescent="0.25">
      <c r="A99" s="797"/>
      <c r="B99" s="568"/>
      <c r="C99" s="569" t="s">
        <v>295</v>
      </c>
      <c r="D99" s="570" t="s">
        <v>289</v>
      </c>
      <c r="E99" s="571">
        <v>773.76</v>
      </c>
    </row>
    <row r="100" spans="1:5" ht="39.950000000000003" customHeight="1" x14ac:dyDescent="0.25">
      <c r="A100" s="797"/>
      <c r="B100" s="568"/>
      <c r="C100" s="569" t="s">
        <v>334</v>
      </c>
      <c r="D100" s="570" t="s">
        <v>292</v>
      </c>
      <c r="E100" s="571">
        <v>128.96</v>
      </c>
    </row>
    <row r="101" spans="1:5" ht="39.950000000000003" customHeight="1" x14ac:dyDescent="0.25">
      <c r="A101" s="797"/>
      <c r="B101" s="568"/>
      <c r="C101" s="569" t="s">
        <v>335</v>
      </c>
      <c r="D101" s="570" t="s">
        <v>298</v>
      </c>
      <c r="E101" s="571">
        <v>644.79999999999995</v>
      </c>
    </row>
    <row r="102" spans="1:5" ht="39.950000000000003" customHeight="1" x14ac:dyDescent="0.25">
      <c r="A102" s="797"/>
      <c r="B102" s="568"/>
      <c r="C102" s="569" t="s">
        <v>297</v>
      </c>
      <c r="D102" s="570" t="s">
        <v>325</v>
      </c>
      <c r="E102" s="571">
        <v>902.72</v>
      </c>
    </row>
    <row r="103" spans="1:5" ht="39.950000000000003" customHeight="1" x14ac:dyDescent="0.25">
      <c r="A103" s="798"/>
      <c r="B103" s="568"/>
      <c r="C103" s="569" t="s">
        <v>311</v>
      </c>
      <c r="D103" s="570" t="s">
        <v>312</v>
      </c>
      <c r="E103" s="571"/>
    </row>
    <row r="104" spans="1:5" ht="39.950000000000003" customHeight="1" x14ac:dyDescent="0.25">
      <c r="A104" s="796">
        <v>5</v>
      </c>
      <c r="B104" s="564" t="s">
        <v>339</v>
      </c>
      <c r="C104" s="565" t="s">
        <v>338</v>
      </c>
      <c r="D104" s="566" t="s">
        <v>506</v>
      </c>
      <c r="E104" s="567" t="s">
        <v>507</v>
      </c>
    </row>
    <row r="105" spans="1:5" ht="39.950000000000003" customHeight="1" x14ac:dyDescent="0.25">
      <c r="A105" s="797"/>
      <c r="B105" s="568"/>
      <c r="C105" s="569" t="s">
        <v>283</v>
      </c>
      <c r="D105" s="570" t="s">
        <v>315</v>
      </c>
      <c r="E105" s="571" t="s">
        <v>263</v>
      </c>
    </row>
    <row r="106" spans="1:5" ht="74.25" customHeight="1" x14ac:dyDescent="0.25">
      <c r="A106" s="797"/>
      <c r="B106" s="568"/>
      <c r="C106" s="569" t="s">
        <v>316</v>
      </c>
      <c r="D106" s="570" t="s">
        <v>317</v>
      </c>
      <c r="E106" s="571" t="s">
        <v>263</v>
      </c>
    </row>
    <row r="107" spans="1:5" ht="39.950000000000003" customHeight="1" x14ac:dyDescent="0.25">
      <c r="A107" s="797"/>
      <c r="B107" s="568"/>
      <c r="C107" s="569" t="s">
        <v>318</v>
      </c>
      <c r="D107" s="570" t="s">
        <v>319</v>
      </c>
      <c r="E107" s="571" t="s">
        <v>263</v>
      </c>
    </row>
    <row r="108" spans="1:5" ht="39.950000000000003" customHeight="1" x14ac:dyDescent="0.25">
      <c r="A108" s="797"/>
      <c r="B108" s="568"/>
      <c r="C108" s="569" t="s">
        <v>285</v>
      </c>
      <c r="D108" s="570" t="s">
        <v>286</v>
      </c>
      <c r="E108" s="571">
        <v>283.70999999999998</v>
      </c>
    </row>
    <row r="109" spans="1:5" ht="39.950000000000003" customHeight="1" x14ac:dyDescent="0.25">
      <c r="A109" s="797"/>
      <c r="B109" s="568"/>
      <c r="C109" s="569" t="s">
        <v>320</v>
      </c>
      <c r="D109" s="570" t="s">
        <v>286</v>
      </c>
      <c r="E109" s="571">
        <v>283.70999999999998</v>
      </c>
    </row>
    <row r="110" spans="1:5" ht="39.950000000000003" customHeight="1" x14ac:dyDescent="0.25">
      <c r="A110" s="797"/>
      <c r="B110" s="568"/>
      <c r="C110" s="569" t="s">
        <v>321</v>
      </c>
      <c r="D110" s="570" t="s">
        <v>298</v>
      </c>
      <c r="E110" s="571">
        <v>709.28</v>
      </c>
    </row>
    <row r="111" spans="1:5" ht="39.950000000000003" customHeight="1" x14ac:dyDescent="0.25">
      <c r="A111" s="797"/>
      <c r="B111" s="568"/>
      <c r="C111" s="569" t="s">
        <v>322</v>
      </c>
      <c r="D111" s="570" t="s">
        <v>323</v>
      </c>
      <c r="E111" s="571" t="s">
        <v>508</v>
      </c>
    </row>
    <row r="112" spans="1:5" ht="39.950000000000003" customHeight="1" x14ac:dyDescent="0.25">
      <c r="A112" s="797"/>
      <c r="B112" s="568"/>
      <c r="C112" s="569" t="s">
        <v>324</v>
      </c>
      <c r="D112" s="570" t="s">
        <v>325</v>
      </c>
      <c r="E112" s="571">
        <v>992.99</v>
      </c>
    </row>
    <row r="113" spans="1:5" ht="39.950000000000003" customHeight="1" x14ac:dyDescent="0.25">
      <c r="A113" s="797"/>
      <c r="B113" s="568"/>
      <c r="C113" s="569" t="s">
        <v>326</v>
      </c>
      <c r="D113" s="570" t="s">
        <v>286</v>
      </c>
      <c r="E113" s="571">
        <v>283.70999999999998</v>
      </c>
    </row>
    <row r="114" spans="1:5" ht="39.950000000000003" customHeight="1" x14ac:dyDescent="0.25">
      <c r="A114" s="797"/>
      <c r="B114" s="568"/>
      <c r="C114" s="569" t="s">
        <v>327</v>
      </c>
      <c r="D114" s="570" t="s">
        <v>286</v>
      </c>
      <c r="E114" s="571">
        <v>283.70999999999998</v>
      </c>
    </row>
    <row r="115" spans="1:5" ht="39.950000000000003" customHeight="1" x14ac:dyDescent="0.25">
      <c r="A115" s="797"/>
      <c r="B115" s="568"/>
      <c r="C115" s="569" t="s">
        <v>328</v>
      </c>
      <c r="D115" s="570" t="s">
        <v>289</v>
      </c>
      <c r="E115" s="571">
        <v>851.14</v>
      </c>
    </row>
    <row r="116" spans="1:5" ht="39.950000000000003" customHeight="1" x14ac:dyDescent="0.25">
      <c r="A116" s="797"/>
      <c r="B116" s="568"/>
      <c r="C116" s="569" t="s">
        <v>329</v>
      </c>
      <c r="D116" s="570" t="s">
        <v>286</v>
      </c>
      <c r="E116" s="571">
        <v>283.70999999999998</v>
      </c>
    </row>
    <row r="117" spans="1:5" ht="39.950000000000003" customHeight="1" x14ac:dyDescent="0.25">
      <c r="A117" s="797"/>
      <c r="B117" s="568"/>
      <c r="C117" s="569" t="s">
        <v>330</v>
      </c>
      <c r="D117" s="570" t="s">
        <v>292</v>
      </c>
      <c r="E117" s="571">
        <v>141.86000000000001</v>
      </c>
    </row>
    <row r="118" spans="1:5" ht="39.950000000000003" customHeight="1" x14ac:dyDescent="0.25">
      <c r="A118" s="797"/>
      <c r="B118" s="568"/>
      <c r="C118" s="569" t="s">
        <v>331</v>
      </c>
      <c r="D118" s="570" t="s">
        <v>332</v>
      </c>
      <c r="E118" s="571" t="s">
        <v>509</v>
      </c>
    </row>
    <row r="119" spans="1:5" ht="39.950000000000003" customHeight="1" x14ac:dyDescent="0.25">
      <c r="A119" s="797"/>
      <c r="B119" s="568"/>
      <c r="C119" s="569" t="s">
        <v>290</v>
      </c>
      <c r="D119" s="570" t="s">
        <v>296</v>
      </c>
      <c r="E119" s="571">
        <v>425.57</v>
      </c>
    </row>
    <row r="120" spans="1:5" ht="39.950000000000003" customHeight="1" x14ac:dyDescent="0.25">
      <c r="A120" s="797"/>
      <c r="B120" s="568"/>
      <c r="C120" s="569" t="s">
        <v>293</v>
      </c>
      <c r="D120" s="570" t="s">
        <v>333</v>
      </c>
      <c r="E120" s="571" t="s">
        <v>510</v>
      </c>
    </row>
    <row r="121" spans="1:5" ht="39.950000000000003" customHeight="1" x14ac:dyDescent="0.25">
      <c r="A121" s="797"/>
      <c r="B121" s="568"/>
      <c r="C121" s="569" t="s">
        <v>295</v>
      </c>
      <c r="D121" s="570" t="s">
        <v>289</v>
      </c>
      <c r="E121" s="571">
        <v>851.14</v>
      </c>
    </row>
    <row r="122" spans="1:5" ht="39.950000000000003" customHeight="1" x14ac:dyDescent="0.25">
      <c r="A122" s="797"/>
      <c r="B122" s="568"/>
      <c r="C122" s="569" t="s">
        <v>334</v>
      </c>
      <c r="D122" s="570" t="s">
        <v>292</v>
      </c>
      <c r="E122" s="571">
        <v>141.86000000000001</v>
      </c>
    </row>
    <row r="123" spans="1:5" ht="39.950000000000003" customHeight="1" x14ac:dyDescent="0.25">
      <c r="A123" s="797"/>
      <c r="B123" s="568"/>
      <c r="C123" s="569" t="s">
        <v>335</v>
      </c>
      <c r="D123" s="570" t="s">
        <v>298</v>
      </c>
      <c r="E123" s="571">
        <v>709.28</v>
      </c>
    </row>
    <row r="124" spans="1:5" ht="39.950000000000003" customHeight="1" x14ac:dyDescent="0.25">
      <c r="A124" s="797"/>
      <c r="B124" s="568"/>
      <c r="C124" s="569" t="s">
        <v>297</v>
      </c>
      <c r="D124" s="570" t="s">
        <v>325</v>
      </c>
      <c r="E124" s="571">
        <v>992.99</v>
      </c>
    </row>
    <row r="125" spans="1:5" ht="39.950000000000003" customHeight="1" x14ac:dyDescent="0.25">
      <c r="A125" s="798"/>
      <c r="B125" s="568"/>
      <c r="C125" s="569" t="s">
        <v>311</v>
      </c>
      <c r="D125" s="570" t="s">
        <v>312</v>
      </c>
      <c r="E125" s="571"/>
    </row>
    <row r="126" spans="1:5" ht="39.950000000000003" customHeight="1" x14ac:dyDescent="0.25">
      <c r="A126" s="796">
        <v>6</v>
      </c>
      <c r="B126" s="564" t="s">
        <v>340</v>
      </c>
      <c r="C126" s="565" t="s">
        <v>338</v>
      </c>
      <c r="D126" s="566" t="s">
        <v>501</v>
      </c>
      <c r="E126" s="567" t="s">
        <v>502</v>
      </c>
    </row>
    <row r="127" spans="1:5" ht="39.950000000000003" customHeight="1" x14ac:dyDescent="0.25">
      <c r="A127" s="797"/>
      <c r="B127" s="568"/>
      <c r="C127" s="569" t="s">
        <v>283</v>
      </c>
      <c r="D127" s="570" t="s">
        <v>315</v>
      </c>
      <c r="E127" s="571" t="s">
        <v>263</v>
      </c>
    </row>
    <row r="128" spans="1:5" ht="63" customHeight="1" x14ac:dyDescent="0.25">
      <c r="A128" s="797"/>
      <c r="B128" s="568"/>
      <c r="C128" s="569" t="s">
        <v>316</v>
      </c>
      <c r="D128" s="570" t="s">
        <v>317</v>
      </c>
      <c r="E128" s="571" t="s">
        <v>263</v>
      </c>
    </row>
    <row r="129" spans="1:5" ht="39.950000000000003" customHeight="1" x14ac:dyDescent="0.25">
      <c r="A129" s="797"/>
      <c r="B129" s="568"/>
      <c r="C129" s="569" t="s">
        <v>285</v>
      </c>
      <c r="D129" s="570" t="s">
        <v>286</v>
      </c>
      <c r="E129" s="571">
        <v>257.92</v>
      </c>
    </row>
    <row r="130" spans="1:5" ht="39.950000000000003" customHeight="1" x14ac:dyDescent="0.25">
      <c r="A130" s="797"/>
      <c r="B130" s="568"/>
      <c r="C130" s="569" t="s">
        <v>320</v>
      </c>
      <c r="D130" s="570" t="s">
        <v>286</v>
      </c>
      <c r="E130" s="571">
        <v>257.92</v>
      </c>
    </row>
    <row r="131" spans="1:5" ht="39.950000000000003" customHeight="1" x14ac:dyDescent="0.25">
      <c r="A131" s="797"/>
      <c r="B131" s="568"/>
      <c r="C131" s="569" t="s">
        <v>321</v>
      </c>
      <c r="D131" s="570" t="s">
        <v>298</v>
      </c>
      <c r="E131" s="571">
        <v>644.79999999999995</v>
      </c>
    </row>
    <row r="132" spans="1:5" ht="39.950000000000003" customHeight="1" x14ac:dyDescent="0.25">
      <c r="A132" s="797"/>
      <c r="B132" s="568"/>
      <c r="C132" s="569" t="s">
        <v>322</v>
      </c>
      <c r="D132" s="570" t="s">
        <v>323</v>
      </c>
      <c r="E132" s="571" t="s">
        <v>503</v>
      </c>
    </row>
    <row r="133" spans="1:5" ht="39.950000000000003" customHeight="1" x14ac:dyDescent="0.25">
      <c r="A133" s="797"/>
      <c r="B133" s="568"/>
      <c r="C133" s="569" t="s">
        <v>324</v>
      </c>
      <c r="D133" s="570" t="s">
        <v>325</v>
      </c>
      <c r="E133" s="571">
        <v>902.72</v>
      </c>
    </row>
    <row r="134" spans="1:5" ht="39.950000000000003" customHeight="1" x14ac:dyDescent="0.25">
      <c r="A134" s="797"/>
      <c r="B134" s="568"/>
      <c r="C134" s="569" t="s">
        <v>326</v>
      </c>
      <c r="D134" s="570" t="s">
        <v>286</v>
      </c>
      <c r="E134" s="571">
        <v>257.92</v>
      </c>
    </row>
    <row r="135" spans="1:5" ht="39.950000000000003" customHeight="1" x14ac:dyDescent="0.25">
      <c r="A135" s="797"/>
      <c r="B135" s="568"/>
      <c r="C135" s="569" t="s">
        <v>327</v>
      </c>
      <c r="D135" s="570" t="s">
        <v>286</v>
      </c>
      <c r="E135" s="571">
        <v>257.92</v>
      </c>
    </row>
    <row r="136" spans="1:5" ht="39.950000000000003" customHeight="1" x14ac:dyDescent="0.25">
      <c r="A136" s="797"/>
      <c r="B136" s="568"/>
      <c r="C136" s="569" t="s">
        <v>328</v>
      </c>
      <c r="D136" s="570" t="s">
        <v>289</v>
      </c>
      <c r="E136" s="571">
        <v>773.76</v>
      </c>
    </row>
    <row r="137" spans="1:5" ht="39.950000000000003" customHeight="1" x14ac:dyDescent="0.25">
      <c r="A137" s="797"/>
      <c r="B137" s="568"/>
      <c r="C137" s="569" t="s">
        <v>329</v>
      </c>
      <c r="D137" s="570" t="s">
        <v>286</v>
      </c>
      <c r="E137" s="571">
        <v>257.92</v>
      </c>
    </row>
    <row r="138" spans="1:5" ht="39.950000000000003" customHeight="1" x14ac:dyDescent="0.25">
      <c r="A138" s="797"/>
      <c r="B138" s="568"/>
      <c r="C138" s="569" t="s">
        <v>330</v>
      </c>
      <c r="D138" s="570" t="s">
        <v>292</v>
      </c>
      <c r="E138" s="571">
        <v>128.96</v>
      </c>
    </row>
    <row r="139" spans="1:5" ht="39.950000000000003" customHeight="1" x14ac:dyDescent="0.25">
      <c r="A139" s="797"/>
      <c r="B139" s="568"/>
      <c r="C139" s="569" t="s">
        <v>331</v>
      </c>
      <c r="D139" s="570" t="s">
        <v>332</v>
      </c>
      <c r="E139" s="571" t="s">
        <v>504</v>
      </c>
    </row>
    <row r="140" spans="1:5" ht="39.950000000000003" customHeight="1" x14ac:dyDescent="0.25">
      <c r="A140" s="797"/>
      <c r="B140" s="568"/>
      <c r="C140" s="569" t="s">
        <v>290</v>
      </c>
      <c r="D140" s="570" t="s">
        <v>296</v>
      </c>
      <c r="E140" s="571">
        <v>386.88</v>
      </c>
    </row>
    <row r="141" spans="1:5" ht="39.950000000000003" customHeight="1" x14ac:dyDescent="0.25">
      <c r="A141" s="797"/>
      <c r="B141" s="568"/>
      <c r="C141" s="569" t="s">
        <v>293</v>
      </c>
      <c r="D141" s="570" t="s">
        <v>333</v>
      </c>
      <c r="E141" s="571" t="s">
        <v>505</v>
      </c>
    </row>
    <row r="142" spans="1:5" ht="39.950000000000003" customHeight="1" x14ac:dyDescent="0.25">
      <c r="A142" s="797"/>
      <c r="B142" s="568"/>
      <c r="C142" s="569" t="s">
        <v>295</v>
      </c>
      <c r="D142" s="570" t="s">
        <v>289</v>
      </c>
      <c r="E142" s="571">
        <v>773.76</v>
      </c>
    </row>
    <row r="143" spans="1:5" ht="39.950000000000003" customHeight="1" x14ac:dyDescent="0.25">
      <c r="A143" s="797"/>
      <c r="B143" s="568"/>
      <c r="C143" s="569" t="s">
        <v>334</v>
      </c>
      <c r="D143" s="570" t="s">
        <v>292</v>
      </c>
      <c r="E143" s="571">
        <v>128.96</v>
      </c>
    </row>
    <row r="144" spans="1:5" ht="39.950000000000003" customHeight="1" x14ac:dyDescent="0.25">
      <c r="A144" s="797"/>
      <c r="B144" s="568"/>
      <c r="C144" s="569" t="s">
        <v>335</v>
      </c>
      <c r="D144" s="570" t="s">
        <v>298</v>
      </c>
      <c r="E144" s="571">
        <v>644.79999999999995</v>
      </c>
    </row>
    <row r="145" spans="1:5" ht="39.950000000000003" customHeight="1" x14ac:dyDescent="0.25">
      <c r="A145" s="797"/>
      <c r="B145" s="568"/>
      <c r="C145" s="569" t="s">
        <v>297</v>
      </c>
      <c r="D145" s="570" t="s">
        <v>325</v>
      </c>
      <c r="E145" s="571">
        <v>902.72</v>
      </c>
    </row>
    <row r="146" spans="1:5" ht="39.950000000000003" customHeight="1" x14ac:dyDescent="0.25">
      <c r="A146" s="798"/>
      <c r="B146" s="568"/>
      <c r="C146" s="569" t="s">
        <v>311</v>
      </c>
      <c r="D146" s="570" t="s">
        <v>312</v>
      </c>
      <c r="E146" s="571"/>
    </row>
    <row r="147" spans="1:5" ht="39.950000000000003" customHeight="1" x14ac:dyDescent="0.25">
      <c r="A147" s="796">
        <v>7</v>
      </c>
      <c r="B147" s="564" t="s">
        <v>341</v>
      </c>
      <c r="C147" s="565" t="s">
        <v>338</v>
      </c>
      <c r="D147" s="566" t="s">
        <v>506</v>
      </c>
      <c r="E147" s="567" t="s">
        <v>507</v>
      </c>
    </row>
    <row r="148" spans="1:5" ht="39.950000000000003" customHeight="1" x14ac:dyDescent="0.25">
      <c r="A148" s="797"/>
      <c r="B148" s="568"/>
      <c r="C148" s="569" t="s">
        <v>283</v>
      </c>
      <c r="D148" s="570" t="s">
        <v>315</v>
      </c>
      <c r="E148" s="571" t="s">
        <v>263</v>
      </c>
    </row>
    <row r="149" spans="1:5" ht="66.75" customHeight="1" x14ac:dyDescent="0.25">
      <c r="A149" s="797"/>
      <c r="B149" s="568"/>
      <c r="C149" s="569" t="s">
        <v>316</v>
      </c>
      <c r="D149" s="570" t="s">
        <v>317</v>
      </c>
      <c r="E149" s="571" t="s">
        <v>263</v>
      </c>
    </row>
    <row r="150" spans="1:5" ht="39.950000000000003" customHeight="1" x14ac:dyDescent="0.25">
      <c r="A150" s="797"/>
      <c r="B150" s="568"/>
      <c r="C150" s="569" t="s">
        <v>318</v>
      </c>
      <c r="D150" s="570" t="s">
        <v>319</v>
      </c>
      <c r="E150" s="571" t="s">
        <v>263</v>
      </c>
    </row>
    <row r="151" spans="1:5" ht="39.950000000000003" customHeight="1" x14ac:dyDescent="0.25">
      <c r="A151" s="797"/>
      <c r="B151" s="568"/>
      <c r="C151" s="569" t="s">
        <v>285</v>
      </c>
      <c r="D151" s="570" t="s">
        <v>286</v>
      </c>
      <c r="E151" s="571">
        <v>283.70999999999998</v>
      </c>
    </row>
    <row r="152" spans="1:5" ht="39.950000000000003" customHeight="1" x14ac:dyDescent="0.25">
      <c r="A152" s="797"/>
      <c r="B152" s="568"/>
      <c r="C152" s="569" t="s">
        <v>320</v>
      </c>
      <c r="D152" s="570" t="s">
        <v>286</v>
      </c>
      <c r="E152" s="571">
        <v>283.70999999999998</v>
      </c>
    </row>
    <row r="153" spans="1:5" ht="39.950000000000003" customHeight="1" x14ac:dyDescent="0.25">
      <c r="A153" s="797"/>
      <c r="B153" s="568"/>
      <c r="C153" s="569" t="s">
        <v>321</v>
      </c>
      <c r="D153" s="570" t="s">
        <v>298</v>
      </c>
      <c r="E153" s="571">
        <v>709.28</v>
      </c>
    </row>
    <row r="154" spans="1:5" ht="39.950000000000003" customHeight="1" x14ac:dyDescent="0.25">
      <c r="A154" s="797"/>
      <c r="B154" s="568"/>
      <c r="C154" s="569" t="s">
        <v>322</v>
      </c>
      <c r="D154" s="570" t="s">
        <v>323</v>
      </c>
      <c r="E154" s="571" t="s">
        <v>508</v>
      </c>
    </row>
    <row r="155" spans="1:5" ht="39.950000000000003" customHeight="1" x14ac:dyDescent="0.25">
      <c r="A155" s="797"/>
      <c r="B155" s="568"/>
      <c r="C155" s="569" t="s">
        <v>324</v>
      </c>
      <c r="D155" s="570" t="s">
        <v>325</v>
      </c>
      <c r="E155" s="571">
        <v>992.99</v>
      </c>
    </row>
    <row r="156" spans="1:5" ht="39.950000000000003" customHeight="1" x14ac:dyDescent="0.25">
      <c r="A156" s="797"/>
      <c r="B156" s="568"/>
      <c r="C156" s="569" t="s">
        <v>326</v>
      </c>
      <c r="D156" s="570" t="s">
        <v>286</v>
      </c>
      <c r="E156" s="571">
        <v>283.70999999999998</v>
      </c>
    </row>
    <row r="157" spans="1:5" ht="39.950000000000003" customHeight="1" x14ac:dyDescent="0.25">
      <c r="A157" s="797"/>
      <c r="B157" s="568"/>
      <c r="C157" s="569" t="s">
        <v>327</v>
      </c>
      <c r="D157" s="570" t="s">
        <v>286</v>
      </c>
      <c r="E157" s="571">
        <v>283.70999999999998</v>
      </c>
    </row>
    <row r="158" spans="1:5" ht="39.950000000000003" customHeight="1" x14ac:dyDescent="0.25">
      <c r="A158" s="797"/>
      <c r="B158" s="568"/>
      <c r="C158" s="569" t="s">
        <v>328</v>
      </c>
      <c r="D158" s="570" t="s">
        <v>289</v>
      </c>
      <c r="E158" s="571">
        <v>851.14</v>
      </c>
    </row>
    <row r="159" spans="1:5" ht="39.950000000000003" customHeight="1" x14ac:dyDescent="0.25">
      <c r="A159" s="797"/>
      <c r="B159" s="568"/>
      <c r="C159" s="569" t="s">
        <v>329</v>
      </c>
      <c r="D159" s="570" t="s">
        <v>286</v>
      </c>
      <c r="E159" s="571">
        <v>283.70999999999998</v>
      </c>
    </row>
    <row r="160" spans="1:5" ht="39.950000000000003" customHeight="1" x14ac:dyDescent="0.25">
      <c r="A160" s="797"/>
      <c r="B160" s="568"/>
      <c r="C160" s="569" t="s">
        <v>330</v>
      </c>
      <c r="D160" s="570" t="s">
        <v>292</v>
      </c>
      <c r="E160" s="571">
        <v>141.86000000000001</v>
      </c>
    </row>
    <row r="161" spans="1:5" ht="39.950000000000003" customHeight="1" x14ac:dyDescent="0.25">
      <c r="A161" s="797"/>
      <c r="B161" s="568"/>
      <c r="C161" s="569" t="s">
        <v>331</v>
      </c>
      <c r="D161" s="570" t="s">
        <v>332</v>
      </c>
      <c r="E161" s="571" t="s">
        <v>509</v>
      </c>
    </row>
    <row r="162" spans="1:5" ht="39.950000000000003" customHeight="1" x14ac:dyDescent="0.25">
      <c r="A162" s="797"/>
      <c r="B162" s="568"/>
      <c r="C162" s="569" t="s">
        <v>290</v>
      </c>
      <c r="D162" s="570" t="s">
        <v>296</v>
      </c>
      <c r="E162" s="571">
        <v>425.57</v>
      </c>
    </row>
    <row r="163" spans="1:5" ht="39.950000000000003" customHeight="1" x14ac:dyDescent="0.25">
      <c r="A163" s="797"/>
      <c r="B163" s="568"/>
      <c r="C163" s="569" t="s">
        <v>293</v>
      </c>
      <c r="D163" s="570" t="s">
        <v>333</v>
      </c>
      <c r="E163" s="571" t="s">
        <v>510</v>
      </c>
    </row>
    <row r="164" spans="1:5" ht="39.950000000000003" customHeight="1" x14ac:dyDescent="0.25">
      <c r="A164" s="797"/>
      <c r="B164" s="568"/>
      <c r="C164" s="569" t="s">
        <v>295</v>
      </c>
      <c r="D164" s="570" t="s">
        <v>289</v>
      </c>
      <c r="E164" s="571">
        <v>851.14</v>
      </c>
    </row>
    <row r="165" spans="1:5" ht="39.950000000000003" customHeight="1" x14ac:dyDescent="0.25">
      <c r="A165" s="797"/>
      <c r="B165" s="568"/>
      <c r="C165" s="569" t="s">
        <v>334</v>
      </c>
      <c r="D165" s="570" t="s">
        <v>292</v>
      </c>
      <c r="E165" s="571">
        <v>141.86000000000001</v>
      </c>
    </row>
    <row r="166" spans="1:5" ht="39.950000000000003" customHeight="1" x14ac:dyDescent="0.25">
      <c r="A166" s="797"/>
      <c r="B166" s="568"/>
      <c r="C166" s="569" t="s">
        <v>335</v>
      </c>
      <c r="D166" s="570" t="s">
        <v>298</v>
      </c>
      <c r="E166" s="571">
        <v>709.28</v>
      </c>
    </row>
    <row r="167" spans="1:5" ht="39.950000000000003" customHeight="1" x14ac:dyDescent="0.25">
      <c r="A167" s="797"/>
      <c r="B167" s="568"/>
      <c r="C167" s="569" t="s">
        <v>297</v>
      </c>
      <c r="D167" s="570" t="s">
        <v>325</v>
      </c>
      <c r="E167" s="571">
        <v>992.99</v>
      </c>
    </row>
    <row r="168" spans="1:5" ht="39.950000000000003" customHeight="1" x14ac:dyDescent="0.25">
      <c r="A168" s="798"/>
      <c r="B168" s="568"/>
      <c r="C168" s="569" t="s">
        <v>311</v>
      </c>
      <c r="D168" s="570" t="s">
        <v>312</v>
      </c>
      <c r="E168" s="571"/>
    </row>
    <row r="169" spans="1:5" ht="39.950000000000003" customHeight="1" x14ac:dyDescent="0.25">
      <c r="A169" s="796">
        <v>8</v>
      </c>
      <c r="B169" s="564" t="s">
        <v>342</v>
      </c>
      <c r="C169" s="565" t="s">
        <v>338</v>
      </c>
      <c r="D169" s="566" t="s">
        <v>506</v>
      </c>
      <c r="E169" s="567" t="s">
        <v>507</v>
      </c>
    </row>
    <row r="170" spans="1:5" ht="39.950000000000003" customHeight="1" x14ac:dyDescent="0.25">
      <c r="A170" s="797"/>
      <c r="B170" s="568"/>
      <c r="C170" s="569" t="s">
        <v>283</v>
      </c>
      <c r="D170" s="570" t="s">
        <v>315</v>
      </c>
      <c r="E170" s="571" t="s">
        <v>263</v>
      </c>
    </row>
    <row r="171" spans="1:5" ht="69.75" customHeight="1" x14ac:dyDescent="0.25">
      <c r="A171" s="797"/>
      <c r="B171" s="568"/>
      <c r="C171" s="569" t="s">
        <v>316</v>
      </c>
      <c r="D171" s="570" t="s">
        <v>317</v>
      </c>
      <c r="E171" s="571" t="s">
        <v>263</v>
      </c>
    </row>
    <row r="172" spans="1:5" ht="39.950000000000003" customHeight="1" x14ac:dyDescent="0.25">
      <c r="A172" s="797"/>
      <c r="B172" s="568"/>
      <c r="C172" s="569" t="s">
        <v>318</v>
      </c>
      <c r="D172" s="570" t="s">
        <v>319</v>
      </c>
      <c r="E172" s="571" t="s">
        <v>263</v>
      </c>
    </row>
    <row r="173" spans="1:5" ht="39.950000000000003" customHeight="1" x14ac:dyDescent="0.25">
      <c r="A173" s="797"/>
      <c r="B173" s="568"/>
      <c r="C173" s="569" t="s">
        <v>285</v>
      </c>
      <c r="D173" s="570" t="s">
        <v>286</v>
      </c>
      <c r="E173" s="571">
        <v>283.70999999999998</v>
      </c>
    </row>
    <row r="174" spans="1:5" ht="39.950000000000003" customHeight="1" x14ac:dyDescent="0.25">
      <c r="A174" s="797"/>
      <c r="B174" s="568"/>
      <c r="C174" s="569" t="s">
        <v>320</v>
      </c>
      <c r="D174" s="570" t="s">
        <v>286</v>
      </c>
      <c r="E174" s="571">
        <v>283.70999999999998</v>
      </c>
    </row>
    <row r="175" spans="1:5" ht="39.950000000000003" customHeight="1" x14ac:dyDescent="0.25">
      <c r="A175" s="797"/>
      <c r="B175" s="568"/>
      <c r="C175" s="569" t="s">
        <v>321</v>
      </c>
      <c r="D175" s="570" t="s">
        <v>298</v>
      </c>
      <c r="E175" s="571">
        <v>709.28</v>
      </c>
    </row>
    <row r="176" spans="1:5" ht="39.950000000000003" customHeight="1" x14ac:dyDescent="0.25">
      <c r="A176" s="797"/>
      <c r="B176" s="568"/>
      <c r="C176" s="569" t="s">
        <v>322</v>
      </c>
      <c r="D176" s="570" t="s">
        <v>323</v>
      </c>
      <c r="E176" s="571" t="s">
        <v>508</v>
      </c>
    </row>
    <row r="177" spans="1:5" ht="39.950000000000003" customHeight="1" x14ac:dyDescent="0.25">
      <c r="A177" s="797"/>
      <c r="B177" s="568"/>
      <c r="C177" s="569" t="s">
        <v>324</v>
      </c>
      <c r="D177" s="570" t="s">
        <v>325</v>
      </c>
      <c r="E177" s="571">
        <v>992.99</v>
      </c>
    </row>
    <row r="178" spans="1:5" ht="39.950000000000003" customHeight="1" x14ac:dyDescent="0.25">
      <c r="A178" s="797"/>
      <c r="B178" s="568"/>
      <c r="C178" s="569" t="s">
        <v>326</v>
      </c>
      <c r="D178" s="570" t="s">
        <v>286</v>
      </c>
      <c r="E178" s="571">
        <v>283.70999999999998</v>
      </c>
    </row>
    <row r="179" spans="1:5" ht="39.950000000000003" customHeight="1" x14ac:dyDescent="0.25">
      <c r="A179" s="797"/>
      <c r="B179" s="568"/>
      <c r="C179" s="569" t="s">
        <v>327</v>
      </c>
      <c r="D179" s="570" t="s">
        <v>286</v>
      </c>
      <c r="E179" s="571">
        <v>283.70999999999998</v>
      </c>
    </row>
    <row r="180" spans="1:5" ht="39.950000000000003" customHeight="1" x14ac:dyDescent="0.25">
      <c r="A180" s="797"/>
      <c r="B180" s="568"/>
      <c r="C180" s="569" t="s">
        <v>328</v>
      </c>
      <c r="D180" s="570" t="s">
        <v>289</v>
      </c>
      <c r="E180" s="571">
        <v>851.14</v>
      </c>
    </row>
    <row r="181" spans="1:5" ht="39.950000000000003" customHeight="1" x14ac:dyDescent="0.25">
      <c r="A181" s="797"/>
      <c r="B181" s="568"/>
      <c r="C181" s="569" t="s">
        <v>329</v>
      </c>
      <c r="D181" s="570" t="s">
        <v>286</v>
      </c>
      <c r="E181" s="571">
        <v>283.70999999999998</v>
      </c>
    </row>
    <row r="182" spans="1:5" ht="39.950000000000003" customHeight="1" x14ac:dyDescent="0.25">
      <c r="A182" s="797"/>
      <c r="B182" s="568"/>
      <c r="C182" s="569" t="s">
        <v>330</v>
      </c>
      <c r="D182" s="570" t="s">
        <v>292</v>
      </c>
      <c r="E182" s="571">
        <v>141.86000000000001</v>
      </c>
    </row>
    <row r="183" spans="1:5" ht="39.950000000000003" customHeight="1" x14ac:dyDescent="0.25">
      <c r="A183" s="797"/>
      <c r="B183" s="568"/>
      <c r="C183" s="569" t="s">
        <v>331</v>
      </c>
      <c r="D183" s="570" t="s">
        <v>332</v>
      </c>
      <c r="E183" s="571" t="s">
        <v>509</v>
      </c>
    </row>
    <row r="184" spans="1:5" ht="39.950000000000003" customHeight="1" x14ac:dyDescent="0.25">
      <c r="A184" s="797"/>
      <c r="B184" s="568"/>
      <c r="C184" s="569" t="s">
        <v>290</v>
      </c>
      <c r="D184" s="570" t="s">
        <v>296</v>
      </c>
      <c r="E184" s="571">
        <v>425.57</v>
      </c>
    </row>
    <row r="185" spans="1:5" ht="39.950000000000003" customHeight="1" x14ac:dyDescent="0.25">
      <c r="A185" s="797"/>
      <c r="B185" s="568"/>
      <c r="C185" s="569" t="s">
        <v>293</v>
      </c>
      <c r="D185" s="570" t="s">
        <v>333</v>
      </c>
      <c r="E185" s="571" t="s">
        <v>510</v>
      </c>
    </row>
    <row r="186" spans="1:5" ht="39.950000000000003" customHeight="1" x14ac:dyDescent="0.25">
      <c r="A186" s="797"/>
      <c r="B186" s="568"/>
      <c r="C186" s="569" t="s">
        <v>295</v>
      </c>
      <c r="D186" s="570" t="s">
        <v>289</v>
      </c>
      <c r="E186" s="571">
        <v>851.14</v>
      </c>
    </row>
    <row r="187" spans="1:5" ht="39.950000000000003" customHeight="1" x14ac:dyDescent="0.25">
      <c r="A187" s="797"/>
      <c r="B187" s="568"/>
      <c r="C187" s="569" t="s">
        <v>334</v>
      </c>
      <c r="D187" s="570" t="s">
        <v>292</v>
      </c>
      <c r="E187" s="571">
        <v>141.86000000000001</v>
      </c>
    </row>
    <row r="188" spans="1:5" ht="39.950000000000003" customHeight="1" x14ac:dyDescent="0.25">
      <c r="A188" s="797"/>
      <c r="B188" s="568"/>
      <c r="C188" s="569" t="s">
        <v>335</v>
      </c>
      <c r="D188" s="570" t="s">
        <v>298</v>
      </c>
      <c r="E188" s="571">
        <v>709.28</v>
      </c>
    </row>
    <row r="189" spans="1:5" ht="39.950000000000003" customHeight="1" x14ac:dyDescent="0.25">
      <c r="A189" s="797"/>
      <c r="B189" s="568"/>
      <c r="C189" s="569" t="s">
        <v>297</v>
      </c>
      <c r="D189" s="570" t="s">
        <v>325</v>
      </c>
      <c r="E189" s="571">
        <v>992.99</v>
      </c>
    </row>
    <row r="190" spans="1:5" ht="39.950000000000003" customHeight="1" x14ac:dyDescent="0.25">
      <c r="A190" s="798"/>
      <c r="B190" s="568"/>
      <c r="C190" s="569" t="s">
        <v>311</v>
      </c>
      <c r="D190" s="570" t="s">
        <v>312</v>
      </c>
      <c r="E190" s="571"/>
    </row>
    <row r="191" spans="1:5" ht="39.950000000000003" customHeight="1" x14ac:dyDescent="0.25">
      <c r="A191" s="796">
        <v>9</v>
      </c>
      <c r="B191" s="564" t="s">
        <v>343</v>
      </c>
      <c r="C191" s="565" t="s">
        <v>338</v>
      </c>
      <c r="D191" s="566" t="s">
        <v>506</v>
      </c>
      <c r="E191" s="567" t="s">
        <v>507</v>
      </c>
    </row>
    <row r="192" spans="1:5" ht="39.950000000000003" customHeight="1" x14ac:dyDescent="0.25">
      <c r="A192" s="797"/>
      <c r="B192" s="568"/>
      <c r="C192" s="569" t="s">
        <v>283</v>
      </c>
      <c r="D192" s="570" t="s">
        <v>315</v>
      </c>
      <c r="E192" s="571" t="s">
        <v>263</v>
      </c>
    </row>
    <row r="193" spans="1:5" ht="66.75" customHeight="1" x14ac:dyDescent="0.25">
      <c r="A193" s="797"/>
      <c r="B193" s="568"/>
      <c r="C193" s="569" t="s">
        <v>316</v>
      </c>
      <c r="D193" s="570" t="s">
        <v>317</v>
      </c>
      <c r="E193" s="571" t="s">
        <v>263</v>
      </c>
    </row>
    <row r="194" spans="1:5" ht="39.950000000000003" customHeight="1" x14ac:dyDescent="0.25">
      <c r="A194" s="797"/>
      <c r="B194" s="568"/>
      <c r="C194" s="569" t="s">
        <v>318</v>
      </c>
      <c r="D194" s="570" t="s">
        <v>319</v>
      </c>
      <c r="E194" s="571" t="s">
        <v>263</v>
      </c>
    </row>
    <row r="195" spans="1:5" ht="39.950000000000003" customHeight="1" x14ac:dyDescent="0.25">
      <c r="A195" s="797"/>
      <c r="B195" s="568"/>
      <c r="C195" s="569" t="s">
        <v>285</v>
      </c>
      <c r="D195" s="570" t="s">
        <v>286</v>
      </c>
      <c r="E195" s="571">
        <v>283.70999999999998</v>
      </c>
    </row>
    <row r="196" spans="1:5" ht="39.950000000000003" customHeight="1" x14ac:dyDescent="0.25">
      <c r="A196" s="797"/>
      <c r="B196" s="568"/>
      <c r="C196" s="569" t="s">
        <v>320</v>
      </c>
      <c r="D196" s="570" t="s">
        <v>286</v>
      </c>
      <c r="E196" s="571">
        <v>283.70999999999998</v>
      </c>
    </row>
    <row r="197" spans="1:5" ht="39.950000000000003" customHeight="1" x14ac:dyDescent="0.25">
      <c r="A197" s="797"/>
      <c r="B197" s="568"/>
      <c r="C197" s="569" t="s">
        <v>321</v>
      </c>
      <c r="D197" s="570" t="s">
        <v>298</v>
      </c>
      <c r="E197" s="571">
        <v>709.28</v>
      </c>
    </row>
    <row r="198" spans="1:5" ht="39.950000000000003" customHeight="1" x14ac:dyDescent="0.25">
      <c r="A198" s="797"/>
      <c r="B198" s="568"/>
      <c r="C198" s="569" t="s">
        <v>322</v>
      </c>
      <c r="D198" s="570" t="s">
        <v>323</v>
      </c>
      <c r="E198" s="571" t="s">
        <v>508</v>
      </c>
    </row>
    <row r="199" spans="1:5" ht="39.950000000000003" customHeight="1" x14ac:dyDescent="0.25">
      <c r="A199" s="797"/>
      <c r="B199" s="568"/>
      <c r="C199" s="569" t="s">
        <v>324</v>
      </c>
      <c r="D199" s="570" t="s">
        <v>325</v>
      </c>
      <c r="E199" s="571">
        <v>992.99</v>
      </c>
    </row>
    <row r="200" spans="1:5" ht="39.950000000000003" customHeight="1" x14ac:dyDescent="0.25">
      <c r="A200" s="797"/>
      <c r="B200" s="568"/>
      <c r="C200" s="569" t="s">
        <v>326</v>
      </c>
      <c r="D200" s="570" t="s">
        <v>286</v>
      </c>
      <c r="E200" s="571">
        <v>283.70999999999998</v>
      </c>
    </row>
    <row r="201" spans="1:5" ht="39.950000000000003" customHeight="1" x14ac:dyDescent="0.25">
      <c r="A201" s="797"/>
      <c r="B201" s="568"/>
      <c r="C201" s="569" t="s">
        <v>327</v>
      </c>
      <c r="D201" s="570" t="s">
        <v>286</v>
      </c>
      <c r="E201" s="571">
        <v>283.70999999999998</v>
      </c>
    </row>
    <row r="202" spans="1:5" ht="39.950000000000003" customHeight="1" x14ac:dyDescent="0.25">
      <c r="A202" s="797"/>
      <c r="B202" s="568"/>
      <c r="C202" s="569" t="s">
        <v>328</v>
      </c>
      <c r="D202" s="570" t="s">
        <v>289</v>
      </c>
      <c r="E202" s="571">
        <v>851.14</v>
      </c>
    </row>
    <row r="203" spans="1:5" ht="39.950000000000003" customHeight="1" x14ac:dyDescent="0.25">
      <c r="A203" s="797"/>
      <c r="B203" s="568"/>
      <c r="C203" s="569" t="s">
        <v>329</v>
      </c>
      <c r="D203" s="570" t="s">
        <v>286</v>
      </c>
      <c r="E203" s="571">
        <v>283.70999999999998</v>
      </c>
    </row>
    <row r="204" spans="1:5" ht="39.950000000000003" customHeight="1" x14ac:dyDescent="0.25">
      <c r="A204" s="797"/>
      <c r="B204" s="568"/>
      <c r="C204" s="569" t="s">
        <v>330</v>
      </c>
      <c r="D204" s="570" t="s">
        <v>292</v>
      </c>
      <c r="E204" s="571">
        <v>141.86000000000001</v>
      </c>
    </row>
    <row r="205" spans="1:5" ht="39.950000000000003" customHeight="1" x14ac:dyDescent="0.25">
      <c r="A205" s="797"/>
      <c r="B205" s="568"/>
      <c r="C205" s="569" t="s">
        <v>331</v>
      </c>
      <c r="D205" s="570" t="s">
        <v>332</v>
      </c>
      <c r="E205" s="571" t="s">
        <v>509</v>
      </c>
    </row>
    <row r="206" spans="1:5" ht="39.950000000000003" customHeight="1" x14ac:dyDescent="0.25">
      <c r="A206" s="797"/>
      <c r="B206" s="568"/>
      <c r="C206" s="569" t="s">
        <v>290</v>
      </c>
      <c r="D206" s="570" t="s">
        <v>296</v>
      </c>
      <c r="E206" s="571">
        <v>425.57</v>
      </c>
    </row>
    <row r="207" spans="1:5" ht="39.950000000000003" customHeight="1" x14ac:dyDescent="0.25">
      <c r="A207" s="797"/>
      <c r="B207" s="568"/>
      <c r="C207" s="569" t="s">
        <v>293</v>
      </c>
      <c r="D207" s="570" t="s">
        <v>333</v>
      </c>
      <c r="E207" s="571" t="s">
        <v>510</v>
      </c>
    </row>
    <row r="208" spans="1:5" ht="39.950000000000003" customHeight="1" x14ac:dyDescent="0.25">
      <c r="A208" s="797"/>
      <c r="B208" s="568"/>
      <c r="C208" s="569" t="s">
        <v>295</v>
      </c>
      <c r="D208" s="570" t="s">
        <v>289</v>
      </c>
      <c r="E208" s="571">
        <v>851.14</v>
      </c>
    </row>
    <row r="209" spans="1:5" ht="39.950000000000003" customHeight="1" x14ac:dyDescent="0.25">
      <c r="A209" s="797"/>
      <c r="B209" s="568"/>
      <c r="C209" s="569" t="s">
        <v>334</v>
      </c>
      <c r="D209" s="570" t="s">
        <v>292</v>
      </c>
      <c r="E209" s="571">
        <v>141.86000000000001</v>
      </c>
    </row>
    <row r="210" spans="1:5" ht="39.950000000000003" customHeight="1" x14ac:dyDescent="0.25">
      <c r="A210" s="797"/>
      <c r="B210" s="568"/>
      <c r="C210" s="569" t="s">
        <v>335</v>
      </c>
      <c r="D210" s="570" t="s">
        <v>298</v>
      </c>
      <c r="E210" s="571">
        <v>709.28</v>
      </c>
    </row>
    <row r="211" spans="1:5" ht="39.950000000000003" customHeight="1" x14ac:dyDescent="0.25">
      <c r="A211" s="797"/>
      <c r="B211" s="568"/>
      <c r="C211" s="569" t="s">
        <v>297</v>
      </c>
      <c r="D211" s="570" t="s">
        <v>325</v>
      </c>
      <c r="E211" s="571">
        <v>992.99</v>
      </c>
    </row>
    <row r="212" spans="1:5" ht="39.950000000000003" customHeight="1" x14ac:dyDescent="0.25">
      <c r="A212" s="798"/>
      <c r="B212" s="568"/>
      <c r="C212" s="569" t="s">
        <v>311</v>
      </c>
      <c r="D212" s="570" t="s">
        <v>312</v>
      </c>
      <c r="E212" s="571"/>
    </row>
    <row r="213" spans="1:5" ht="39.950000000000003" customHeight="1" x14ac:dyDescent="0.25">
      <c r="A213" s="796">
        <v>10</v>
      </c>
      <c r="B213" s="564" t="s">
        <v>344</v>
      </c>
      <c r="C213" s="565" t="s">
        <v>338</v>
      </c>
      <c r="D213" s="566" t="s">
        <v>506</v>
      </c>
      <c r="E213" s="567" t="s">
        <v>507</v>
      </c>
    </row>
    <row r="214" spans="1:5" ht="39.950000000000003" customHeight="1" x14ac:dyDescent="0.25">
      <c r="A214" s="797"/>
      <c r="B214" s="568"/>
      <c r="C214" s="569" t="s">
        <v>283</v>
      </c>
      <c r="D214" s="570" t="s">
        <v>315</v>
      </c>
      <c r="E214" s="571" t="s">
        <v>263</v>
      </c>
    </row>
    <row r="215" spans="1:5" ht="69" customHeight="1" x14ac:dyDescent="0.25">
      <c r="A215" s="797"/>
      <c r="B215" s="568"/>
      <c r="C215" s="569" t="s">
        <v>316</v>
      </c>
      <c r="D215" s="570" t="s">
        <v>317</v>
      </c>
      <c r="E215" s="571" t="s">
        <v>263</v>
      </c>
    </row>
    <row r="216" spans="1:5" ht="39.950000000000003" customHeight="1" x14ac:dyDescent="0.25">
      <c r="A216" s="797"/>
      <c r="B216" s="568"/>
      <c r="C216" s="569" t="s">
        <v>318</v>
      </c>
      <c r="D216" s="570" t="s">
        <v>319</v>
      </c>
      <c r="E216" s="571" t="s">
        <v>263</v>
      </c>
    </row>
    <row r="217" spans="1:5" ht="39.950000000000003" customHeight="1" x14ac:dyDescent="0.25">
      <c r="A217" s="797"/>
      <c r="B217" s="568"/>
      <c r="C217" s="569" t="s">
        <v>285</v>
      </c>
      <c r="D217" s="570" t="s">
        <v>286</v>
      </c>
      <c r="E217" s="571">
        <v>283.70999999999998</v>
      </c>
    </row>
    <row r="218" spans="1:5" ht="39.950000000000003" customHeight="1" x14ac:dyDescent="0.25">
      <c r="A218" s="797"/>
      <c r="B218" s="568"/>
      <c r="C218" s="569" t="s">
        <v>320</v>
      </c>
      <c r="D218" s="570" t="s">
        <v>286</v>
      </c>
      <c r="E218" s="571">
        <v>283.70999999999998</v>
      </c>
    </row>
    <row r="219" spans="1:5" ht="39.950000000000003" customHeight="1" x14ac:dyDescent="0.25">
      <c r="A219" s="797"/>
      <c r="B219" s="568"/>
      <c r="C219" s="569" t="s">
        <v>321</v>
      </c>
      <c r="D219" s="570" t="s">
        <v>298</v>
      </c>
      <c r="E219" s="571">
        <v>709.28</v>
      </c>
    </row>
    <row r="220" spans="1:5" ht="39.950000000000003" customHeight="1" x14ac:dyDescent="0.25">
      <c r="A220" s="797"/>
      <c r="B220" s="568"/>
      <c r="C220" s="569" t="s">
        <v>322</v>
      </c>
      <c r="D220" s="570" t="s">
        <v>323</v>
      </c>
      <c r="E220" s="571" t="s">
        <v>508</v>
      </c>
    </row>
    <row r="221" spans="1:5" ht="39.950000000000003" customHeight="1" x14ac:dyDescent="0.25">
      <c r="A221" s="797"/>
      <c r="B221" s="568"/>
      <c r="C221" s="569" t="s">
        <v>324</v>
      </c>
      <c r="D221" s="570" t="s">
        <v>325</v>
      </c>
      <c r="E221" s="571">
        <v>992.99</v>
      </c>
    </row>
    <row r="222" spans="1:5" ht="39.950000000000003" customHeight="1" x14ac:dyDescent="0.25">
      <c r="A222" s="797"/>
      <c r="B222" s="568"/>
      <c r="C222" s="569" t="s">
        <v>326</v>
      </c>
      <c r="D222" s="570" t="s">
        <v>286</v>
      </c>
      <c r="E222" s="571">
        <v>283.70999999999998</v>
      </c>
    </row>
    <row r="223" spans="1:5" ht="39.950000000000003" customHeight="1" x14ac:dyDescent="0.25">
      <c r="A223" s="797"/>
      <c r="B223" s="568"/>
      <c r="C223" s="569" t="s">
        <v>327</v>
      </c>
      <c r="D223" s="570" t="s">
        <v>286</v>
      </c>
      <c r="E223" s="571">
        <v>283.70999999999998</v>
      </c>
    </row>
    <row r="224" spans="1:5" ht="39.950000000000003" customHeight="1" x14ac:dyDescent="0.25">
      <c r="A224" s="797"/>
      <c r="B224" s="568"/>
      <c r="C224" s="569" t="s">
        <v>328</v>
      </c>
      <c r="D224" s="570" t="s">
        <v>289</v>
      </c>
      <c r="E224" s="571">
        <v>851.14</v>
      </c>
    </row>
    <row r="225" spans="1:5" ht="39.950000000000003" customHeight="1" x14ac:dyDescent="0.25">
      <c r="A225" s="797"/>
      <c r="B225" s="568"/>
      <c r="C225" s="569" t="s">
        <v>329</v>
      </c>
      <c r="D225" s="570" t="s">
        <v>286</v>
      </c>
      <c r="E225" s="571">
        <v>283.70999999999998</v>
      </c>
    </row>
    <row r="226" spans="1:5" ht="39.950000000000003" customHeight="1" x14ac:dyDescent="0.25">
      <c r="A226" s="797"/>
      <c r="B226" s="568"/>
      <c r="C226" s="569" t="s">
        <v>330</v>
      </c>
      <c r="D226" s="570" t="s">
        <v>292</v>
      </c>
      <c r="E226" s="571">
        <v>141.86000000000001</v>
      </c>
    </row>
    <row r="227" spans="1:5" ht="39.950000000000003" customHeight="1" x14ac:dyDescent="0.25">
      <c r="A227" s="797"/>
      <c r="B227" s="568"/>
      <c r="C227" s="569" t="s">
        <v>331</v>
      </c>
      <c r="D227" s="570" t="s">
        <v>332</v>
      </c>
      <c r="E227" s="571" t="s">
        <v>509</v>
      </c>
    </row>
    <row r="228" spans="1:5" ht="39.950000000000003" customHeight="1" x14ac:dyDescent="0.25">
      <c r="A228" s="797"/>
      <c r="B228" s="568"/>
      <c r="C228" s="569" t="s">
        <v>290</v>
      </c>
      <c r="D228" s="570" t="s">
        <v>296</v>
      </c>
      <c r="E228" s="571">
        <v>425.57</v>
      </c>
    </row>
    <row r="229" spans="1:5" ht="39.950000000000003" customHeight="1" x14ac:dyDescent="0.25">
      <c r="A229" s="797"/>
      <c r="B229" s="568"/>
      <c r="C229" s="569" t="s">
        <v>293</v>
      </c>
      <c r="D229" s="570" t="s">
        <v>333</v>
      </c>
      <c r="E229" s="571" t="s">
        <v>510</v>
      </c>
    </row>
    <row r="230" spans="1:5" ht="39.950000000000003" customHeight="1" x14ac:dyDescent="0.25">
      <c r="A230" s="797"/>
      <c r="B230" s="568"/>
      <c r="C230" s="569" t="s">
        <v>295</v>
      </c>
      <c r="D230" s="570" t="s">
        <v>289</v>
      </c>
      <c r="E230" s="571">
        <v>851.14</v>
      </c>
    </row>
    <row r="231" spans="1:5" ht="39.950000000000003" customHeight="1" x14ac:dyDescent="0.25">
      <c r="A231" s="797"/>
      <c r="B231" s="568"/>
      <c r="C231" s="569" t="s">
        <v>334</v>
      </c>
      <c r="D231" s="570" t="s">
        <v>292</v>
      </c>
      <c r="E231" s="571">
        <v>141.86000000000001</v>
      </c>
    </row>
    <row r="232" spans="1:5" ht="39.950000000000003" customHeight="1" x14ac:dyDescent="0.25">
      <c r="A232" s="797"/>
      <c r="B232" s="568"/>
      <c r="C232" s="569" t="s">
        <v>335</v>
      </c>
      <c r="D232" s="570" t="s">
        <v>298</v>
      </c>
      <c r="E232" s="571">
        <v>709.28</v>
      </c>
    </row>
    <row r="233" spans="1:5" ht="39.950000000000003" customHeight="1" x14ac:dyDescent="0.25">
      <c r="A233" s="797"/>
      <c r="B233" s="568"/>
      <c r="C233" s="569" t="s">
        <v>297</v>
      </c>
      <c r="D233" s="570" t="s">
        <v>325</v>
      </c>
      <c r="E233" s="571">
        <v>992.99</v>
      </c>
    </row>
    <row r="234" spans="1:5" ht="39.950000000000003" customHeight="1" x14ac:dyDescent="0.25">
      <c r="A234" s="798"/>
      <c r="B234" s="568"/>
      <c r="C234" s="569" t="s">
        <v>311</v>
      </c>
      <c r="D234" s="570" t="s">
        <v>312</v>
      </c>
      <c r="E234" s="571"/>
    </row>
    <row r="235" spans="1:5" ht="39.950000000000003" customHeight="1" x14ac:dyDescent="0.25">
      <c r="A235" s="796">
        <v>11</v>
      </c>
      <c r="B235" s="564" t="s">
        <v>345</v>
      </c>
      <c r="C235" s="565" t="s">
        <v>346</v>
      </c>
      <c r="D235" s="566" t="s">
        <v>511</v>
      </c>
      <c r="E235" s="567" t="s">
        <v>512</v>
      </c>
    </row>
    <row r="236" spans="1:5" ht="78.75" customHeight="1" x14ac:dyDescent="0.25">
      <c r="A236" s="797"/>
      <c r="B236" s="568"/>
      <c r="C236" s="569" t="s">
        <v>281</v>
      </c>
      <c r="D236" s="570" t="s">
        <v>282</v>
      </c>
      <c r="E236" s="571" t="s">
        <v>263</v>
      </c>
    </row>
    <row r="237" spans="1:5" ht="39.950000000000003" customHeight="1" x14ac:dyDescent="0.25">
      <c r="A237" s="797"/>
      <c r="B237" s="568"/>
      <c r="C237" s="569" t="s">
        <v>283</v>
      </c>
      <c r="D237" s="570" t="s">
        <v>284</v>
      </c>
      <c r="E237" s="571" t="s">
        <v>263</v>
      </c>
    </row>
    <row r="238" spans="1:5" ht="39.950000000000003" customHeight="1" x14ac:dyDescent="0.25">
      <c r="A238" s="797"/>
      <c r="B238" s="568"/>
      <c r="C238" s="569" t="s">
        <v>285</v>
      </c>
      <c r="D238" s="570" t="s">
        <v>286</v>
      </c>
      <c r="E238" s="571">
        <v>176.89</v>
      </c>
    </row>
    <row r="239" spans="1:5" ht="39.950000000000003" customHeight="1" x14ac:dyDescent="0.25">
      <c r="A239" s="797"/>
      <c r="B239" s="568"/>
      <c r="C239" s="569" t="s">
        <v>287</v>
      </c>
      <c r="D239" s="570" t="s">
        <v>286</v>
      </c>
      <c r="E239" s="571">
        <v>176.89</v>
      </c>
    </row>
    <row r="240" spans="1:5" ht="39.950000000000003" customHeight="1" x14ac:dyDescent="0.25">
      <c r="A240" s="797"/>
      <c r="B240" s="568"/>
      <c r="C240" s="569" t="s">
        <v>288</v>
      </c>
      <c r="D240" s="570" t="s">
        <v>289</v>
      </c>
      <c r="E240" s="571">
        <v>530.66999999999996</v>
      </c>
    </row>
    <row r="241" spans="1:5" ht="39.950000000000003" customHeight="1" x14ac:dyDescent="0.25">
      <c r="A241" s="797"/>
      <c r="B241" s="568"/>
      <c r="C241" s="569" t="s">
        <v>290</v>
      </c>
      <c r="D241" s="570" t="s">
        <v>286</v>
      </c>
      <c r="E241" s="571">
        <v>176.89</v>
      </c>
    </row>
    <row r="242" spans="1:5" ht="39.950000000000003" customHeight="1" x14ac:dyDescent="0.25">
      <c r="A242" s="797"/>
      <c r="B242" s="568"/>
      <c r="C242" s="569" t="s">
        <v>291</v>
      </c>
      <c r="D242" s="570" t="s">
        <v>292</v>
      </c>
      <c r="E242" s="571">
        <v>88.45</v>
      </c>
    </row>
    <row r="243" spans="1:5" ht="39.950000000000003" customHeight="1" x14ac:dyDescent="0.25">
      <c r="A243" s="797"/>
      <c r="B243" s="568"/>
      <c r="C243" s="569" t="s">
        <v>293</v>
      </c>
      <c r="D243" s="570" t="s">
        <v>294</v>
      </c>
      <c r="E243" s="571">
        <v>796.01</v>
      </c>
    </row>
    <row r="244" spans="1:5" ht="39.950000000000003" customHeight="1" x14ac:dyDescent="0.25">
      <c r="A244" s="797"/>
      <c r="B244" s="568"/>
      <c r="C244" s="569" t="s">
        <v>295</v>
      </c>
      <c r="D244" s="570" t="s">
        <v>296</v>
      </c>
      <c r="E244" s="571">
        <v>265.33999999999997</v>
      </c>
    </row>
    <row r="245" spans="1:5" ht="39.950000000000003" customHeight="1" x14ac:dyDescent="0.25">
      <c r="A245" s="797"/>
      <c r="B245" s="568"/>
      <c r="C245" s="569" t="s">
        <v>297</v>
      </c>
      <c r="D245" s="570" t="s">
        <v>298</v>
      </c>
      <c r="E245" s="571">
        <v>442.23</v>
      </c>
    </row>
    <row r="246" spans="1:5" ht="39.950000000000003" customHeight="1" x14ac:dyDescent="0.25">
      <c r="A246" s="797"/>
      <c r="B246" s="568"/>
      <c r="C246" s="569" t="s">
        <v>299</v>
      </c>
      <c r="D246" s="570" t="s">
        <v>300</v>
      </c>
      <c r="E246" s="571" t="s">
        <v>513</v>
      </c>
    </row>
    <row r="247" spans="1:5" ht="39.950000000000003" customHeight="1" x14ac:dyDescent="0.25">
      <c r="A247" s="797"/>
      <c r="B247" s="568"/>
      <c r="C247" s="569" t="s">
        <v>301</v>
      </c>
      <c r="D247" s="570" t="s">
        <v>302</v>
      </c>
      <c r="E247" s="571" t="s">
        <v>514</v>
      </c>
    </row>
    <row r="248" spans="1:5" ht="39.950000000000003" customHeight="1" x14ac:dyDescent="0.25">
      <c r="A248" s="797"/>
      <c r="B248" s="568"/>
      <c r="C248" s="569" t="s">
        <v>303</v>
      </c>
      <c r="D248" s="570" t="s">
        <v>304</v>
      </c>
      <c r="E248" s="571">
        <v>132.66999999999999</v>
      </c>
    </row>
    <row r="249" spans="1:5" ht="39.950000000000003" customHeight="1" x14ac:dyDescent="0.25">
      <c r="A249" s="797"/>
      <c r="B249" s="568"/>
      <c r="C249" s="569" t="s">
        <v>305</v>
      </c>
      <c r="D249" s="570" t="s">
        <v>306</v>
      </c>
      <c r="E249" s="571">
        <v>221.11</v>
      </c>
    </row>
    <row r="250" spans="1:5" ht="39.950000000000003" customHeight="1" x14ac:dyDescent="0.25">
      <c r="A250" s="797"/>
      <c r="B250" s="568"/>
      <c r="C250" s="569" t="s">
        <v>307</v>
      </c>
      <c r="D250" s="570" t="s">
        <v>308</v>
      </c>
      <c r="E250" s="571">
        <v>884.45</v>
      </c>
    </row>
    <row r="251" spans="1:5" ht="39.950000000000003" customHeight="1" x14ac:dyDescent="0.25">
      <c r="A251" s="797"/>
      <c r="B251" s="568"/>
      <c r="C251" s="569" t="s">
        <v>309</v>
      </c>
      <c r="D251" s="570" t="s">
        <v>306</v>
      </c>
      <c r="E251" s="571">
        <v>221.11</v>
      </c>
    </row>
    <row r="252" spans="1:5" ht="39.950000000000003" customHeight="1" x14ac:dyDescent="0.25">
      <c r="A252" s="797"/>
      <c r="B252" s="568"/>
      <c r="C252" s="569" t="s">
        <v>310</v>
      </c>
      <c r="D252" s="570" t="s">
        <v>304</v>
      </c>
      <c r="E252" s="571">
        <v>132.66999999999999</v>
      </c>
    </row>
    <row r="253" spans="1:5" ht="39.950000000000003" customHeight="1" x14ac:dyDescent="0.25">
      <c r="A253" s="798"/>
      <c r="B253" s="568"/>
      <c r="C253" s="569" t="s">
        <v>311</v>
      </c>
      <c r="D253" s="570" t="s">
        <v>312</v>
      </c>
      <c r="E253" s="571"/>
    </row>
    <row r="254" spans="1:5" ht="39.950000000000003" customHeight="1" x14ac:dyDescent="0.25">
      <c r="A254" s="796">
        <v>12</v>
      </c>
      <c r="B254" s="564" t="s">
        <v>347</v>
      </c>
      <c r="C254" s="565" t="s">
        <v>348</v>
      </c>
      <c r="D254" s="566" t="s">
        <v>515</v>
      </c>
      <c r="E254" s="567" t="s">
        <v>516</v>
      </c>
    </row>
    <row r="255" spans="1:5" ht="63.75" customHeight="1" x14ac:dyDescent="0.25">
      <c r="A255" s="797"/>
      <c r="B255" s="568"/>
      <c r="C255" s="569" t="s">
        <v>349</v>
      </c>
      <c r="D255" s="570" t="s">
        <v>350</v>
      </c>
      <c r="E255" s="571" t="s">
        <v>263</v>
      </c>
    </row>
    <row r="256" spans="1:5" ht="39.950000000000003" customHeight="1" x14ac:dyDescent="0.25">
      <c r="A256" s="797"/>
      <c r="B256" s="568"/>
      <c r="C256" s="569" t="s">
        <v>283</v>
      </c>
      <c r="D256" s="570" t="s">
        <v>351</v>
      </c>
      <c r="E256" s="571" t="s">
        <v>263</v>
      </c>
    </row>
    <row r="257" spans="1:5" ht="39.950000000000003" customHeight="1" x14ac:dyDescent="0.25">
      <c r="A257" s="797"/>
      <c r="B257" s="568"/>
      <c r="C257" s="569" t="s">
        <v>352</v>
      </c>
      <c r="D257" s="570" t="s">
        <v>353</v>
      </c>
      <c r="E257" s="571" t="s">
        <v>517</v>
      </c>
    </row>
    <row r="258" spans="1:5" ht="39.950000000000003" customHeight="1" x14ac:dyDescent="0.25">
      <c r="A258" s="797"/>
      <c r="B258" s="568"/>
      <c r="C258" s="569" t="s">
        <v>354</v>
      </c>
      <c r="D258" s="570" t="s">
        <v>355</v>
      </c>
      <c r="E258" s="571" t="s">
        <v>518</v>
      </c>
    </row>
    <row r="259" spans="1:5" ht="39.950000000000003" customHeight="1" x14ac:dyDescent="0.25">
      <c r="A259" s="797"/>
      <c r="B259" s="568"/>
      <c r="C259" s="569" t="s">
        <v>356</v>
      </c>
      <c r="D259" s="570" t="s">
        <v>333</v>
      </c>
      <c r="E259" s="571" t="s">
        <v>519</v>
      </c>
    </row>
    <row r="260" spans="1:5" ht="39.950000000000003" customHeight="1" x14ac:dyDescent="0.25">
      <c r="A260" s="797"/>
      <c r="B260" s="568"/>
      <c r="C260" s="569" t="s">
        <v>290</v>
      </c>
      <c r="D260" s="570" t="s">
        <v>357</v>
      </c>
      <c r="E260" s="571" t="s">
        <v>520</v>
      </c>
    </row>
    <row r="261" spans="1:5" ht="39.950000000000003" customHeight="1" x14ac:dyDescent="0.25">
      <c r="A261" s="797"/>
      <c r="B261" s="568"/>
      <c r="C261" s="569" t="s">
        <v>297</v>
      </c>
      <c r="D261" s="570" t="s">
        <v>298</v>
      </c>
      <c r="E261" s="571" t="s">
        <v>521</v>
      </c>
    </row>
    <row r="262" spans="1:5" ht="39.950000000000003" customHeight="1" x14ac:dyDescent="0.25">
      <c r="A262" s="797"/>
      <c r="B262" s="568"/>
      <c r="C262" s="569" t="s">
        <v>358</v>
      </c>
      <c r="D262" s="570" t="s">
        <v>325</v>
      </c>
      <c r="E262" s="571" t="s">
        <v>522</v>
      </c>
    </row>
    <row r="263" spans="1:5" ht="39.950000000000003" customHeight="1" x14ac:dyDescent="0.25">
      <c r="A263" s="798"/>
      <c r="B263" s="568"/>
      <c r="C263" s="569" t="s">
        <v>311</v>
      </c>
      <c r="D263" s="570" t="s">
        <v>312</v>
      </c>
      <c r="E263" s="571"/>
    </row>
    <row r="264" spans="1:5" ht="39.950000000000003" customHeight="1" x14ac:dyDescent="0.25">
      <c r="A264" s="807" t="s">
        <v>359</v>
      </c>
      <c r="B264" s="808"/>
      <c r="C264" s="808"/>
      <c r="D264" s="808"/>
      <c r="E264" s="808"/>
    </row>
    <row r="265" spans="1:5" ht="39.950000000000003" customHeight="1" x14ac:dyDescent="0.25">
      <c r="A265" s="796">
        <v>13</v>
      </c>
      <c r="B265" s="564" t="s">
        <v>360</v>
      </c>
      <c r="C265" s="565" t="s">
        <v>361</v>
      </c>
      <c r="D265" s="566" t="s">
        <v>523</v>
      </c>
      <c r="E265" s="567" t="s">
        <v>524</v>
      </c>
    </row>
    <row r="266" spans="1:5" ht="39.950000000000003" customHeight="1" x14ac:dyDescent="0.25">
      <c r="A266" s="797"/>
      <c r="B266" s="568"/>
      <c r="C266" s="569" t="s">
        <v>283</v>
      </c>
      <c r="D266" s="570" t="s">
        <v>362</v>
      </c>
      <c r="E266" s="571" t="s">
        <v>263</v>
      </c>
    </row>
    <row r="267" spans="1:5" ht="65.25" customHeight="1" x14ac:dyDescent="0.25">
      <c r="A267" s="797"/>
      <c r="B267" s="568"/>
      <c r="C267" s="569" t="s">
        <v>363</v>
      </c>
      <c r="D267" s="570" t="s">
        <v>364</v>
      </c>
      <c r="E267" s="571" t="s">
        <v>263</v>
      </c>
    </row>
    <row r="268" spans="1:5" ht="82.5" customHeight="1" x14ac:dyDescent="0.25">
      <c r="A268" s="797"/>
      <c r="B268" s="568"/>
      <c r="C268" s="569" t="s">
        <v>365</v>
      </c>
      <c r="D268" s="570" t="s">
        <v>366</v>
      </c>
      <c r="E268" s="571" t="s">
        <v>263</v>
      </c>
    </row>
    <row r="269" spans="1:5" ht="39.950000000000003" customHeight="1" x14ac:dyDescent="0.25">
      <c r="A269" s="797"/>
      <c r="B269" s="568"/>
      <c r="C269" s="569" t="s">
        <v>285</v>
      </c>
      <c r="D269" s="570" t="s">
        <v>286</v>
      </c>
      <c r="E269" s="571" t="s">
        <v>525</v>
      </c>
    </row>
    <row r="270" spans="1:5" ht="39.950000000000003" customHeight="1" x14ac:dyDescent="0.25">
      <c r="A270" s="797"/>
      <c r="B270" s="568"/>
      <c r="C270" s="569" t="s">
        <v>287</v>
      </c>
      <c r="D270" s="570" t="s">
        <v>286</v>
      </c>
      <c r="E270" s="571" t="s">
        <v>525</v>
      </c>
    </row>
    <row r="271" spans="1:5" ht="39.950000000000003" customHeight="1" x14ac:dyDescent="0.25">
      <c r="A271" s="797"/>
      <c r="B271" s="568"/>
      <c r="C271" s="569" t="s">
        <v>288</v>
      </c>
      <c r="D271" s="570" t="s">
        <v>289</v>
      </c>
      <c r="E271" s="571" t="s">
        <v>526</v>
      </c>
    </row>
    <row r="272" spans="1:5" ht="39.950000000000003" customHeight="1" x14ac:dyDescent="0.25">
      <c r="A272" s="797"/>
      <c r="B272" s="568"/>
      <c r="C272" s="569" t="s">
        <v>290</v>
      </c>
      <c r="D272" s="570" t="s">
        <v>286</v>
      </c>
      <c r="E272" s="571" t="s">
        <v>525</v>
      </c>
    </row>
    <row r="273" spans="1:5" ht="39.950000000000003" customHeight="1" x14ac:dyDescent="0.25">
      <c r="A273" s="797"/>
      <c r="B273" s="568"/>
      <c r="C273" s="569" t="s">
        <v>291</v>
      </c>
      <c r="D273" s="570" t="s">
        <v>292</v>
      </c>
      <c r="E273" s="571" t="s">
        <v>527</v>
      </c>
    </row>
    <row r="274" spans="1:5" ht="39.950000000000003" customHeight="1" x14ac:dyDescent="0.25">
      <c r="A274" s="797"/>
      <c r="B274" s="568"/>
      <c r="C274" s="569" t="s">
        <v>293</v>
      </c>
      <c r="D274" s="570" t="s">
        <v>294</v>
      </c>
      <c r="E274" s="571" t="s">
        <v>528</v>
      </c>
    </row>
    <row r="275" spans="1:5" ht="39.950000000000003" customHeight="1" x14ac:dyDescent="0.25">
      <c r="A275" s="797"/>
      <c r="B275" s="568"/>
      <c r="C275" s="569" t="s">
        <v>295</v>
      </c>
      <c r="D275" s="570" t="s">
        <v>296</v>
      </c>
      <c r="E275" s="571" t="s">
        <v>529</v>
      </c>
    </row>
    <row r="276" spans="1:5" ht="39.950000000000003" customHeight="1" x14ac:dyDescent="0.25">
      <c r="A276" s="797"/>
      <c r="B276" s="568"/>
      <c r="C276" s="569" t="s">
        <v>297</v>
      </c>
      <c r="D276" s="570" t="s">
        <v>298</v>
      </c>
      <c r="E276" s="571" t="s">
        <v>530</v>
      </c>
    </row>
    <row r="277" spans="1:5" ht="39.950000000000003" customHeight="1" x14ac:dyDescent="0.25">
      <c r="A277" s="797"/>
      <c r="B277" s="568"/>
      <c r="C277" s="569" t="s">
        <v>299</v>
      </c>
      <c r="D277" s="570" t="s">
        <v>300</v>
      </c>
      <c r="E277" s="571" t="s">
        <v>531</v>
      </c>
    </row>
    <row r="278" spans="1:5" ht="39.950000000000003" customHeight="1" x14ac:dyDescent="0.25">
      <c r="A278" s="797"/>
      <c r="B278" s="568"/>
      <c r="C278" s="569" t="s">
        <v>301</v>
      </c>
      <c r="D278" s="570" t="s">
        <v>302</v>
      </c>
      <c r="E278" s="571" t="s">
        <v>532</v>
      </c>
    </row>
    <row r="279" spans="1:5" ht="39.950000000000003" customHeight="1" x14ac:dyDescent="0.25">
      <c r="A279" s="797"/>
      <c r="B279" s="568"/>
      <c r="C279" s="569" t="s">
        <v>303</v>
      </c>
      <c r="D279" s="570" t="s">
        <v>304</v>
      </c>
      <c r="E279" s="571" t="s">
        <v>533</v>
      </c>
    </row>
    <row r="280" spans="1:5" ht="39.950000000000003" customHeight="1" x14ac:dyDescent="0.25">
      <c r="A280" s="797"/>
      <c r="B280" s="568"/>
      <c r="C280" s="569" t="s">
        <v>305</v>
      </c>
      <c r="D280" s="570" t="s">
        <v>306</v>
      </c>
      <c r="E280" s="571" t="s">
        <v>534</v>
      </c>
    </row>
    <row r="281" spans="1:5" ht="39.950000000000003" customHeight="1" x14ac:dyDescent="0.25">
      <c r="A281" s="797"/>
      <c r="B281" s="568"/>
      <c r="C281" s="569" t="s">
        <v>307</v>
      </c>
      <c r="D281" s="570" t="s">
        <v>308</v>
      </c>
      <c r="E281" s="571" t="s">
        <v>535</v>
      </c>
    </row>
    <row r="282" spans="1:5" ht="39.950000000000003" customHeight="1" x14ac:dyDescent="0.25">
      <c r="A282" s="797"/>
      <c r="B282" s="568"/>
      <c r="C282" s="569" t="s">
        <v>309</v>
      </c>
      <c r="D282" s="570" t="s">
        <v>306</v>
      </c>
      <c r="E282" s="571" t="s">
        <v>534</v>
      </c>
    </row>
    <row r="283" spans="1:5" ht="39.950000000000003" customHeight="1" x14ac:dyDescent="0.25">
      <c r="A283" s="797"/>
      <c r="B283" s="568"/>
      <c r="C283" s="569" t="s">
        <v>310</v>
      </c>
      <c r="D283" s="570" t="s">
        <v>304</v>
      </c>
      <c r="E283" s="571" t="s">
        <v>533</v>
      </c>
    </row>
    <row r="284" spans="1:5" ht="39.950000000000003" customHeight="1" x14ac:dyDescent="0.25">
      <c r="A284" s="798"/>
      <c r="B284" s="568"/>
      <c r="C284" s="569" t="s">
        <v>311</v>
      </c>
      <c r="D284" s="570" t="s">
        <v>312</v>
      </c>
      <c r="E284" s="571"/>
    </row>
    <row r="285" spans="1:5" ht="39.950000000000003" customHeight="1" x14ac:dyDescent="0.25">
      <c r="A285" s="796">
        <v>14</v>
      </c>
      <c r="B285" s="564" t="s">
        <v>367</v>
      </c>
      <c r="C285" s="565" t="s">
        <v>368</v>
      </c>
      <c r="D285" s="566" t="s">
        <v>536</v>
      </c>
      <c r="E285" s="567" t="s">
        <v>537</v>
      </c>
    </row>
    <row r="286" spans="1:5" ht="39.950000000000003" customHeight="1" x14ac:dyDescent="0.25">
      <c r="A286" s="797"/>
      <c r="B286" s="568"/>
      <c r="C286" s="569" t="s">
        <v>283</v>
      </c>
      <c r="D286" s="570" t="s">
        <v>362</v>
      </c>
      <c r="E286" s="571" t="s">
        <v>263</v>
      </c>
    </row>
    <row r="287" spans="1:5" ht="63" customHeight="1" x14ac:dyDescent="0.25">
      <c r="A287" s="797"/>
      <c r="B287" s="568"/>
      <c r="C287" s="569" t="s">
        <v>363</v>
      </c>
      <c r="D287" s="570" t="s">
        <v>364</v>
      </c>
      <c r="E287" s="571" t="s">
        <v>263</v>
      </c>
    </row>
    <row r="288" spans="1:5" ht="79.5" customHeight="1" x14ac:dyDescent="0.25">
      <c r="A288" s="797"/>
      <c r="B288" s="568"/>
      <c r="C288" s="569" t="s">
        <v>365</v>
      </c>
      <c r="D288" s="570" t="s">
        <v>366</v>
      </c>
      <c r="E288" s="571" t="s">
        <v>263</v>
      </c>
    </row>
    <row r="289" spans="1:5" ht="39.950000000000003" customHeight="1" x14ac:dyDescent="0.25">
      <c r="A289" s="797"/>
      <c r="B289" s="568"/>
      <c r="C289" s="569" t="s">
        <v>285</v>
      </c>
      <c r="D289" s="570" t="s">
        <v>286</v>
      </c>
      <c r="E289" s="571" t="s">
        <v>538</v>
      </c>
    </row>
    <row r="290" spans="1:5" ht="39.950000000000003" customHeight="1" x14ac:dyDescent="0.25">
      <c r="A290" s="797"/>
      <c r="B290" s="568"/>
      <c r="C290" s="569" t="s">
        <v>287</v>
      </c>
      <c r="D290" s="570" t="s">
        <v>286</v>
      </c>
      <c r="E290" s="571" t="s">
        <v>538</v>
      </c>
    </row>
    <row r="291" spans="1:5" ht="39.950000000000003" customHeight="1" x14ac:dyDescent="0.25">
      <c r="A291" s="797"/>
      <c r="B291" s="568"/>
      <c r="C291" s="569" t="s">
        <v>288</v>
      </c>
      <c r="D291" s="570" t="s">
        <v>289</v>
      </c>
      <c r="E291" s="571" t="s">
        <v>539</v>
      </c>
    </row>
    <row r="292" spans="1:5" ht="39.950000000000003" customHeight="1" x14ac:dyDescent="0.25">
      <c r="A292" s="797"/>
      <c r="B292" s="568"/>
      <c r="C292" s="569" t="s">
        <v>290</v>
      </c>
      <c r="D292" s="570" t="s">
        <v>286</v>
      </c>
      <c r="E292" s="571" t="s">
        <v>538</v>
      </c>
    </row>
    <row r="293" spans="1:5" ht="39.950000000000003" customHeight="1" x14ac:dyDescent="0.25">
      <c r="A293" s="797"/>
      <c r="B293" s="568"/>
      <c r="C293" s="569" t="s">
        <v>291</v>
      </c>
      <c r="D293" s="570" t="s">
        <v>292</v>
      </c>
      <c r="E293" s="571" t="s">
        <v>540</v>
      </c>
    </row>
    <row r="294" spans="1:5" ht="39.950000000000003" customHeight="1" x14ac:dyDescent="0.25">
      <c r="A294" s="797"/>
      <c r="B294" s="568"/>
      <c r="C294" s="569" t="s">
        <v>293</v>
      </c>
      <c r="D294" s="570" t="s">
        <v>294</v>
      </c>
      <c r="E294" s="571" t="s">
        <v>541</v>
      </c>
    </row>
    <row r="295" spans="1:5" ht="39.950000000000003" customHeight="1" x14ac:dyDescent="0.25">
      <c r="A295" s="797"/>
      <c r="B295" s="568"/>
      <c r="C295" s="569" t="s">
        <v>295</v>
      </c>
      <c r="D295" s="570" t="s">
        <v>296</v>
      </c>
      <c r="E295" s="571" t="s">
        <v>542</v>
      </c>
    </row>
    <row r="296" spans="1:5" ht="39.950000000000003" customHeight="1" x14ac:dyDescent="0.25">
      <c r="A296" s="797"/>
      <c r="B296" s="568"/>
      <c r="C296" s="569" t="s">
        <v>297</v>
      </c>
      <c r="D296" s="570" t="s">
        <v>298</v>
      </c>
      <c r="E296" s="571" t="s">
        <v>543</v>
      </c>
    </row>
    <row r="297" spans="1:5" ht="39.950000000000003" customHeight="1" x14ac:dyDescent="0.25">
      <c r="A297" s="797"/>
      <c r="B297" s="568"/>
      <c r="C297" s="569" t="s">
        <v>299</v>
      </c>
      <c r="D297" s="570" t="s">
        <v>300</v>
      </c>
      <c r="E297" s="571" t="s">
        <v>544</v>
      </c>
    </row>
    <row r="298" spans="1:5" ht="39.950000000000003" customHeight="1" x14ac:dyDescent="0.25">
      <c r="A298" s="797"/>
      <c r="B298" s="568"/>
      <c r="C298" s="569" t="s">
        <v>301</v>
      </c>
      <c r="D298" s="570" t="s">
        <v>302</v>
      </c>
      <c r="E298" s="571" t="s">
        <v>545</v>
      </c>
    </row>
    <row r="299" spans="1:5" ht="39.950000000000003" customHeight="1" x14ac:dyDescent="0.25">
      <c r="A299" s="797"/>
      <c r="B299" s="568"/>
      <c r="C299" s="569" t="s">
        <v>303</v>
      </c>
      <c r="D299" s="570" t="s">
        <v>304</v>
      </c>
      <c r="E299" s="571" t="s">
        <v>546</v>
      </c>
    </row>
    <row r="300" spans="1:5" ht="39.950000000000003" customHeight="1" x14ac:dyDescent="0.25">
      <c r="A300" s="797"/>
      <c r="B300" s="568"/>
      <c r="C300" s="569" t="s">
        <v>305</v>
      </c>
      <c r="D300" s="570" t="s">
        <v>306</v>
      </c>
      <c r="E300" s="571" t="s">
        <v>547</v>
      </c>
    </row>
    <row r="301" spans="1:5" ht="39.950000000000003" customHeight="1" x14ac:dyDescent="0.25">
      <c r="A301" s="797"/>
      <c r="B301" s="568"/>
      <c r="C301" s="569" t="s">
        <v>307</v>
      </c>
      <c r="D301" s="570" t="s">
        <v>308</v>
      </c>
      <c r="E301" s="571" t="s">
        <v>548</v>
      </c>
    </row>
    <row r="302" spans="1:5" ht="39.950000000000003" customHeight="1" x14ac:dyDescent="0.25">
      <c r="A302" s="797"/>
      <c r="B302" s="568"/>
      <c r="C302" s="569" t="s">
        <v>309</v>
      </c>
      <c r="D302" s="570" t="s">
        <v>306</v>
      </c>
      <c r="E302" s="571" t="s">
        <v>547</v>
      </c>
    </row>
    <row r="303" spans="1:5" ht="39.950000000000003" customHeight="1" x14ac:dyDescent="0.25">
      <c r="A303" s="797"/>
      <c r="B303" s="568"/>
      <c r="C303" s="569" t="s">
        <v>310</v>
      </c>
      <c r="D303" s="570" t="s">
        <v>304</v>
      </c>
      <c r="E303" s="571" t="s">
        <v>546</v>
      </c>
    </row>
    <row r="304" spans="1:5" ht="39.950000000000003" customHeight="1" x14ac:dyDescent="0.25">
      <c r="A304" s="798"/>
      <c r="B304" s="568"/>
      <c r="C304" s="569" t="s">
        <v>311</v>
      </c>
      <c r="D304" s="570" t="s">
        <v>312</v>
      </c>
      <c r="E304" s="571"/>
    </row>
    <row r="305" spans="1:5" ht="39.950000000000003" customHeight="1" x14ac:dyDescent="0.25">
      <c r="A305" s="796">
        <v>15</v>
      </c>
      <c r="B305" s="564" t="s">
        <v>369</v>
      </c>
      <c r="C305" s="565" t="s">
        <v>370</v>
      </c>
      <c r="D305" s="566" t="s">
        <v>549</v>
      </c>
      <c r="E305" s="567" t="s">
        <v>550</v>
      </c>
    </row>
    <row r="306" spans="1:5" ht="39.950000000000003" customHeight="1" x14ac:dyDescent="0.25">
      <c r="A306" s="797"/>
      <c r="B306" s="568"/>
      <c r="C306" s="569" t="s">
        <v>283</v>
      </c>
      <c r="D306" s="570" t="s">
        <v>362</v>
      </c>
      <c r="E306" s="571" t="s">
        <v>263</v>
      </c>
    </row>
    <row r="307" spans="1:5" ht="67.5" customHeight="1" x14ac:dyDescent="0.25">
      <c r="A307" s="797"/>
      <c r="B307" s="568"/>
      <c r="C307" s="569" t="s">
        <v>363</v>
      </c>
      <c r="D307" s="570" t="s">
        <v>364</v>
      </c>
      <c r="E307" s="571" t="s">
        <v>263</v>
      </c>
    </row>
    <row r="308" spans="1:5" ht="78" customHeight="1" x14ac:dyDescent="0.25">
      <c r="A308" s="797"/>
      <c r="B308" s="568"/>
      <c r="C308" s="569" t="s">
        <v>365</v>
      </c>
      <c r="D308" s="570" t="s">
        <v>366</v>
      </c>
      <c r="E308" s="571" t="s">
        <v>263</v>
      </c>
    </row>
    <row r="309" spans="1:5" ht="39.950000000000003" customHeight="1" x14ac:dyDescent="0.25">
      <c r="A309" s="797"/>
      <c r="B309" s="568"/>
      <c r="C309" s="569" t="s">
        <v>285</v>
      </c>
      <c r="D309" s="570" t="s">
        <v>286</v>
      </c>
      <c r="E309" s="571">
        <v>778.83</v>
      </c>
    </row>
    <row r="310" spans="1:5" ht="39.950000000000003" customHeight="1" x14ac:dyDescent="0.25">
      <c r="A310" s="797"/>
      <c r="B310" s="568"/>
      <c r="C310" s="569" t="s">
        <v>287</v>
      </c>
      <c r="D310" s="570" t="s">
        <v>286</v>
      </c>
      <c r="E310" s="571">
        <v>778.83</v>
      </c>
    </row>
    <row r="311" spans="1:5" ht="39.950000000000003" customHeight="1" x14ac:dyDescent="0.25">
      <c r="A311" s="797"/>
      <c r="B311" s="568"/>
      <c r="C311" s="569" t="s">
        <v>288</v>
      </c>
      <c r="D311" s="570" t="s">
        <v>289</v>
      </c>
      <c r="E311" s="571" t="s">
        <v>551</v>
      </c>
    </row>
    <row r="312" spans="1:5" ht="39.950000000000003" customHeight="1" x14ac:dyDescent="0.25">
      <c r="A312" s="797"/>
      <c r="B312" s="568"/>
      <c r="C312" s="569" t="s">
        <v>290</v>
      </c>
      <c r="D312" s="570" t="s">
        <v>286</v>
      </c>
      <c r="E312" s="571">
        <v>778.83</v>
      </c>
    </row>
    <row r="313" spans="1:5" ht="39.950000000000003" customHeight="1" x14ac:dyDescent="0.25">
      <c r="A313" s="797"/>
      <c r="B313" s="568"/>
      <c r="C313" s="569" t="s">
        <v>291</v>
      </c>
      <c r="D313" s="570" t="s">
        <v>292</v>
      </c>
      <c r="E313" s="571">
        <v>389.42</v>
      </c>
    </row>
    <row r="314" spans="1:5" ht="39.950000000000003" customHeight="1" x14ac:dyDescent="0.25">
      <c r="A314" s="797"/>
      <c r="B314" s="568"/>
      <c r="C314" s="569" t="s">
        <v>293</v>
      </c>
      <c r="D314" s="570" t="s">
        <v>294</v>
      </c>
      <c r="E314" s="571" t="s">
        <v>552</v>
      </c>
    </row>
    <row r="315" spans="1:5" ht="39.950000000000003" customHeight="1" x14ac:dyDescent="0.25">
      <c r="A315" s="797"/>
      <c r="B315" s="568"/>
      <c r="C315" s="569" t="s">
        <v>295</v>
      </c>
      <c r="D315" s="570" t="s">
        <v>296</v>
      </c>
      <c r="E315" s="571" t="s">
        <v>553</v>
      </c>
    </row>
    <row r="316" spans="1:5" ht="39.950000000000003" customHeight="1" x14ac:dyDescent="0.25">
      <c r="A316" s="797"/>
      <c r="B316" s="568"/>
      <c r="C316" s="569" t="s">
        <v>297</v>
      </c>
      <c r="D316" s="570" t="s">
        <v>298</v>
      </c>
      <c r="E316" s="571" t="s">
        <v>554</v>
      </c>
    </row>
    <row r="317" spans="1:5" ht="39.950000000000003" customHeight="1" x14ac:dyDescent="0.25">
      <c r="A317" s="797"/>
      <c r="B317" s="568"/>
      <c r="C317" s="569" t="s">
        <v>299</v>
      </c>
      <c r="D317" s="570" t="s">
        <v>300</v>
      </c>
      <c r="E317" s="571" t="s">
        <v>555</v>
      </c>
    </row>
    <row r="318" spans="1:5" ht="39.950000000000003" customHeight="1" x14ac:dyDescent="0.25">
      <c r="A318" s="797"/>
      <c r="B318" s="568"/>
      <c r="C318" s="569" t="s">
        <v>301</v>
      </c>
      <c r="D318" s="570" t="s">
        <v>302</v>
      </c>
      <c r="E318" s="571" t="s">
        <v>556</v>
      </c>
    </row>
    <row r="319" spans="1:5" ht="39.950000000000003" customHeight="1" x14ac:dyDescent="0.25">
      <c r="A319" s="797"/>
      <c r="B319" s="568"/>
      <c r="C319" s="569" t="s">
        <v>303</v>
      </c>
      <c r="D319" s="570" t="s">
        <v>304</v>
      </c>
      <c r="E319" s="571">
        <v>584.12</v>
      </c>
    </row>
    <row r="320" spans="1:5" ht="39.950000000000003" customHeight="1" x14ac:dyDescent="0.25">
      <c r="A320" s="797"/>
      <c r="B320" s="568"/>
      <c r="C320" s="569" t="s">
        <v>305</v>
      </c>
      <c r="D320" s="570" t="s">
        <v>306</v>
      </c>
      <c r="E320" s="571">
        <v>973.54</v>
      </c>
    </row>
    <row r="321" spans="1:5" ht="39.950000000000003" customHeight="1" x14ac:dyDescent="0.25">
      <c r="A321" s="797"/>
      <c r="B321" s="568"/>
      <c r="C321" s="569" t="s">
        <v>307</v>
      </c>
      <c r="D321" s="570" t="s">
        <v>308</v>
      </c>
      <c r="E321" s="571" t="s">
        <v>557</v>
      </c>
    </row>
    <row r="322" spans="1:5" ht="39.950000000000003" customHeight="1" x14ac:dyDescent="0.25">
      <c r="A322" s="797"/>
      <c r="B322" s="568"/>
      <c r="C322" s="569" t="s">
        <v>309</v>
      </c>
      <c r="D322" s="570" t="s">
        <v>306</v>
      </c>
      <c r="E322" s="571">
        <v>973.54</v>
      </c>
    </row>
    <row r="323" spans="1:5" ht="39.950000000000003" customHeight="1" x14ac:dyDescent="0.25">
      <c r="A323" s="797"/>
      <c r="B323" s="568"/>
      <c r="C323" s="569" t="s">
        <v>310</v>
      </c>
      <c r="D323" s="570" t="s">
        <v>304</v>
      </c>
      <c r="E323" s="571">
        <v>584.12</v>
      </c>
    </row>
    <row r="324" spans="1:5" ht="39.950000000000003" customHeight="1" x14ac:dyDescent="0.25">
      <c r="A324" s="798"/>
      <c r="B324" s="568"/>
      <c r="C324" s="569" t="s">
        <v>311</v>
      </c>
      <c r="D324" s="570" t="s">
        <v>312</v>
      </c>
      <c r="E324" s="571"/>
    </row>
    <row r="325" spans="1:5" ht="39.950000000000003" customHeight="1" x14ac:dyDescent="0.25">
      <c r="A325" s="796">
        <v>16</v>
      </c>
      <c r="B325" s="564" t="s">
        <v>371</v>
      </c>
      <c r="C325" s="565" t="s">
        <v>372</v>
      </c>
      <c r="D325" s="566" t="s">
        <v>558</v>
      </c>
      <c r="E325" s="567" t="s">
        <v>559</v>
      </c>
    </row>
    <row r="326" spans="1:5" ht="39.950000000000003" customHeight="1" x14ac:dyDescent="0.25">
      <c r="A326" s="797"/>
      <c r="B326" s="568"/>
      <c r="C326" s="569" t="s">
        <v>283</v>
      </c>
      <c r="D326" s="570" t="s">
        <v>373</v>
      </c>
      <c r="E326" s="571" t="s">
        <v>263</v>
      </c>
    </row>
    <row r="327" spans="1:5" ht="70.5" customHeight="1" x14ac:dyDescent="0.25">
      <c r="A327" s="797"/>
      <c r="B327" s="568"/>
      <c r="C327" s="569" t="s">
        <v>374</v>
      </c>
      <c r="D327" s="570" t="s">
        <v>366</v>
      </c>
      <c r="E327" s="571" t="s">
        <v>263</v>
      </c>
    </row>
    <row r="328" spans="1:5" ht="39.950000000000003" customHeight="1" x14ac:dyDescent="0.25">
      <c r="A328" s="797"/>
      <c r="B328" s="568"/>
      <c r="C328" s="569" t="s">
        <v>320</v>
      </c>
      <c r="D328" s="570" t="s">
        <v>263</v>
      </c>
      <c r="E328" s="571" t="s">
        <v>263</v>
      </c>
    </row>
    <row r="329" spans="1:5" ht="39.950000000000003" customHeight="1" x14ac:dyDescent="0.25">
      <c r="A329" s="797"/>
      <c r="B329" s="568"/>
      <c r="C329" s="569" t="s">
        <v>321</v>
      </c>
      <c r="D329" s="570" t="s">
        <v>263</v>
      </c>
      <c r="E329" s="571" t="s">
        <v>263</v>
      </c>
    </row>
    <row r="330" spans="1:5" ht="39.950000000000003" customHeight="1" x14ac:dyDescent="0.25">
      <c r="A330" s="797"/>
      <c r="B330" s="568"/>
      <c r="C330" s="569" t="s">
        <v>322</v>
      </c>
      <c r="D330" s="570" t="s">
        <v>263</v>
      </c>
      <c r="E330" s="571" t="s">
        <v>263</v>
      </c>
    </row>
    <row r="331" spans="1:5" ht="39.950000000000003" customHeight="1" x14ac:dyDescent="0.25">
      <c r="A331" s="797"/>
      <c r="B331" s="568"/>
      <c r="C331" s="569" t="s">
        <v>324</v>
      </c>
      <c r="D331" s="570" t="s">
        <v>263</v>
      </c>
      <c r="E331" s="571" t="s">
        <v>263</v>
      </c>
    </row>
    <row r="332" spans="1:5" ht="39.950000000000003" customHeight="1" x14ac:dyDescent="0.25">
      <c r="A332" s="797"/>
      <c r="B332" s="568"/>
      <c r="C332" s="569" t="s">
        <v>375</v>
      </c>
      <c r="D332" s="570" t="s">
        <v>263</v>
      </c>
      <c r="E332" s="571" t="s">
        <v>263</v>
      </c>
    </row>
    <row r="333" spans="1:5" ht="39.950000000000003" customHeight="1" x14ac:dyDescent="0.25">
      <c r="A333" s="797"/>
      <c r="B333" s="568"/>
      <c r="C333" s="569" t="s">
        <v>376</v>
      </c>
      <c r="D333" s="570" t="s">
        <v>263</v>
      </c>
      <c r="E333" s="571" t="s">
        <v>263</v>
      </c>
    </row>
    <row r="334" spans="1:5" ht="39.950000000000003" customHeight="1" x14ac:dyDescent="0.25">
      <c r="A334" s="797"/>
      <c r="B334" s="568"/>
      <c r="C334" s="569" t="s">
        <v>328</v>
      </c>
      <c r="D334" s="570" t="s">
        <v>263</v>
      </c>
      <c r="E334" s="571" t="s">
        <v>263</v>
      </c>
    </row>
    <row r="335" spans="1:5" ht="39.950000000000003" customHeight="1" x14ac:dyDescent="0.25">
      <c r="A335" s="797"/>
      <c r="B335" s="568"/>
      <c r="C335" s="569" t="s">
        <v>329</v>
      </c>
      <c r="D335" s="570" t="s">
        <v>263</v>
      </c>
      <c r="E335" s="571" t="s">
        <v>263</v>
      </c>
    </row>
    <row r="336" spans="1:5" ht="39.950000000000003" customHeight="1" x14ac:dyDescent="0.25">
      <c r="A336" s="797"/>
      <c r="B336" s="568"/>
      <c r="C336" s="569" t="s">
        <v>330</v>
      </c>
      <c r="D336" s="570" t="s">
        <v>263</v>
      </c>
      <c r="E336" s="571" t="s">
        <v>263</v>
      </c>
    </row>
    <row r="337" spans="1:5" ht="39.950000000000003" customHeight="1" x14ac:dyDescent="0.25">
      <c r="A337" s="797"/>
      <c r="B337" s="568"/>
      <c r="C337" s="569" t="s">
        <v>331</v>
      </c>
      <c r="D337" s="570" t="s">
        <v>263</v>
      </c>
      <c r="E337" s="571" t="s">
        <v>263</v>
      </c>
    </row>
    <row r="338" spans="1:5" ht="39.950000000000003" customHeight="1" x14ac:dyDescent="0.25">
      <c r="A338" s="797"/>
      <c r="B338" s="568"/>
      <c r="C338" s="569" t="s">
        <v>290</v>
      </c>
      <c r="D338" s="570" t="s">
        <v>286</v>
      </c>
      <c r="E338" s="571">
        <v>387</v>
      </c>
    </row>
    <row r="339" spans="1:5" ht="39.950000000000003" customHeight="1" x14ac:dyDescent="0.25">
      <c r="A339" s="797"/>
      <c r="B339" s="568"/>
      <c r="C339" s="569" t="s">
        <v>291</v>
      </c>
      <c r="D339" s="570" t="s">
        <v>292</v>
      </c>
      <c r="E339" s="571">
        <v>193.5</v>
      </c>
    </row>
    <row r="340" spans="1:5" ht="39.950000000000003" customHeight="1" x14ac:dyDescent="0.25">
      <c r="A340" s="797"/>
      <c r="B340" s="568"/>
      <c r="C340" s="569" t="s">
        <v>293</v>
      </c>
      <c r="D340" s="570" t="s">
        <v>294</v>
      </c>
      <c r="E340" s="571" t="s">
        <v>560</v>
      </c>
    </row>
    <row r="341" spans="1:5" ht="39.950000000000003" customHeight="1" x14ac:dyDescent="0.25">
      <c r="A341" s="797"/>
      <c r="B341" s="568"/>
      <c r="C341" s="569" t="s">
        <v>295</v>
      </c>
      <c r="D341" s="570" t="s">
        <v>296</v>
      </c>
      <c r="E341" s="571">
        <v>580.5</v>
      </c>
    </row>
    <row r="342" spans="1:5" ht="39.950000000000003" customHeight="1" x14ac:dyDescent="0.25">
      <c r="A342" s="797"/>
      <c r="B342" s="568"/>
      <c r="C342" s="569" t="s">
        <v>334</v>
      </c>
      <c r="D342" s="570" t="s">
        <v>263</v>
      </c>
      <c r="E342" s="571" t="s">
        <v>263</v>
      </c>
    </row>
    <row r="343" spans="1:5" ht="39.950000000000003" customHeight="1" x14ac:dyDescent="0.25">
      <c r="A343" s="797"/>
      <c r="B343" s="568"/>
      <c r="C343" s="569" t="s">
        <v>335</v>
      </c>
      <c r="D343" s="570" t="s">
        <v>263</v>
      </c>
      <c r="E343" s="571" t="s">
        <v>263</v>
      </c>
    </row>
    <row r="344" spans="1:5" ht="39.950000000000003" customHeight="1" x14ac:dyDescent="0.25">
      <c r="A344" s="797"/>
      <c r="B344" s="568"/>
      <c r="C344" s="569" t="s">
        <v>297</v>
      </c>
      <c r="D344" s="570" t="s">
        <v>298</v>
      </c>
      <c r="E344" s="571">
        <v>967.5</v>
      </c>
    </row>
    <row r="345" spans="1:5" ht="39.950000000000003" customHeight="1" x14ac:dyDescent="0.25">
      <c r="A345" s="797"/>
      <c r="B345" s="568"/>
      <c r="C345" s="569" t="s">
        <v>285</v>
      </c>
      <c r="D345" s="570" t="s">
        <v>286</v>
      </c>
      <c r="E345" s="571">
        <v>387</v>
      </c>
    </row>
    <row r="346" spans="1:5" ht="39.950000000000003" customHeight="1" x14ac:dyDescent="0.25">
      <c r="A346" s="797"/>
      <c r="B346" s="568"/>
      <c r="C346" s="569" t="s">
        <v>287</v>
      </c>
      <c r="D346" s="570" t="s">
        <v>286</v>
      </c>
      <c r="E346" s="571">
        <v>387</v>
      </c>
    </row>
    <row r="347" spans="1:5" ht="39.950000000000003" customHeight="1" x14ac:dyDescent="0.25">
      <c r="A347" s="797"/>
      <c r="B347" s="568"/>
      <c r="C347" s="569" t="s">
        <v>288</v>
      </c>
      <c r="D347" s="570" t="s">
        <v>289</v>
      </c>
      <c r="E347" s="571" t="s">
        <v>561</v>
      </c>
    </row>
    <row r="348" spans="1:5" ht="39.950000000000003" customHeight="1" x14ac:dyDescent="0.25">
      <c r="A348" s="797"/>
      <c r="B348" s="568"/>
      <c r="C348" s="569" t="s">
        <v>299</v>
      </c>
      <c r="D348" s="570" t="s">
        <v>300</v>
      </c>
      <c r="E348" s="571" t="s">
        <v>562</v>
      </c>
    </row>
    <row r="349" spans="1:5" ht="39.950000000000003" customHeight="1" x14ac:dyDescent="0.25">
      <c r="A349" s="797"/>
      <c r="B349" s="568"/>
      <c r="C349" s="569" t="s">
        <v>301</v>
      </c>
      <c r="D349" s="570" t="s">
        <v>302</v>
      </c>
      <c r="E349" s="571" t="s">
        <v>563</v>
      </c>
    </row>
    <row r="350" spans="1:5" ht="39.950000000000003" customHeight="1" x14ac:dyDescent="0.25">
      <c r="A350" s="797"/>
      <c r="B350" s="568"/>
      <c r="C350" s="569" t="s">
        <v>303</v>
      </c>
      <c r="D350" s="570" t="s">
        <v>304</v>
      </c>
      <c r="E350" s="571">
        <v>290.25</v>
      </c>
    </row>
    <row r="351" spans="1:5" ht="39.950000000000003" customHeight="1" x14ac:dyDescent="0.25">
      <c r="A351" s="797"/>
      <c r="B351" s="568"/>
      <c r="C351" s="569" t="s">
        <v>305</v>
      </c>
      <c r="D351" s="570" t="s">
        <v>306</v>
      </c>
      <c r="E351" s="571">
        <v>483.75</v>
      </c>
    </row>
    <row r="352" spans="1:5" ht="39.950000000000003" customHeight="1" x14ac:dyDescent="0.25">
      <c r="A352" s="797"/>
      <c r="B352" s="568"/>
      <c r="C352" s="569" t="s">
        <v>307</v>
      </c>
      <c r="D352" s="570" t="s">
        <v>308</v>
      </c>
      <c r="E352" s="571" t="s">
        <v>564</v>
      </c>
    </row>
    <row r="353" spans="1:5" ht="39.950000000000003" customHeight="1" x14ac:dyDescent="0.25">
      <c r="A353" s="797"/>
      <c r="B353" s="568"/>
      <c r="C353" s="569" t="s">
        <v>309</v>
      </c>
      <c r="D353" s="570" t="s">
        <v>306</v>
      </c>
      <c r="E353" s="571">
        <v>483.75</v>
      </c>
    </row>
    <row r="354" spans="1:5" ht="39.950000000000003" customHeight="1" x14ac:dyDescent="0.25">
      <c r="A354" s="797"/>
      <c r="B354" s="568"/>
      <c r="C354" s="569" t="s">
        <v>310</v>
      </c>
      <c r="D354" s="570" t="s">
        <v>304</v>
      </c>
      <c r="E354" s="571">
        <v>290.25</v>
      </c>
    </row>
    <row r="355" spans="1:5" ht="39.950000000000003" customHeight="1" x14ac:dyDescent="0.25">
      <c r="A355" s="798"/>
      <c r="B355" s="568"/>
      <c r="C355" s="569" t="s">
        <v>311</v>
      </c>
      <c r="D355" s="570" t="s">
        <v>312</v>
      </c>
      <c r="E355" s="571"/>
    </row>
    <row r="356" spans="1:5" ht="39.950000000000003" customHeight="1" x14ac:dyDescent="0.25">
      <c r="A356" s="796">
        <v>17</v>
      </c>
      <c r="B356" s="564" t="s">
        <v>377</v>
      </c>
      <c r="C356" s="565" t="s">
        <v>372</v>
      </c>
      <c r="D356" s="566" t="s">
        <v>565</v>
      </c>
      <c r="E356" s="567" t="s">
        <v>559</v>
      </c>
    </row>
    <row r="357" spans="1:5" ht="39.950000000000003" customHeight="1" x14ac:dyDescent="0.25">
      <c r="A357" s="797"/>
      <c r="B357" s="568"/>
      <c r="C357" s="569" t="s">
        <v>283</v>
      </c>
      <c r="D357" s="570" t="s">
        <v>373</v>
      </c>
      <c r="E357" s="571" t="s">
        <v>263</v>
      </c>
    </row>
    <row r="358" spans="1:5" ht="39.950000000000003" customHeight="1" x14ac:dyDescent="0.25">
      <c r="A358" s="797"/>
      <c r="B358" s="568"/>
      <c r="C358" s="569" t="s">
        <v>378</v>
      </c>
      <c r="D358" s="570" t="s">
        <v>379</v>
      </c>
      <c r="E358" s="571" t="s">
        <v>263</v>
      </c>
    </row>
    <row r="359" spans="1:5" ht="81" customHeight="1" x14ac:dyDescent="0.25">
      <c r="A359" s="797"/>
      <c r="B359" s="568"/>
      <c r="C359" s="569" t="s">
        <v>374</v>
      </c>
      <c r="D359" s="570" t="s">
        <v>380</v>
      </c>
      <c r="E359" s="571" t="s">
        <v>263</v>
      </c>
    </row>
    <row r="360" spans="1:5" ht="39.950000000000003" customHeight="1" x14ac:dyDescent="0.25">
      <c r="A360" s="797"/>
      <c r="B360" s="568"/>
      <c r="C360" s="569" t="s">
        <v>320</v>
      </c>
      <c r="D360" s="570" t="s">
        <v>263</v>
      </c>
      <c r="E360" s="571" t="s">
        <v>263</v>
      </c>
    </row>
    <row r="361" spans="1:5" ht="39.950000000000003" customHeight="1" x14ac:dyDescent="0.25">
      <c r="A361" s="797"/>
      <c r="B361" s="568"/>
      <c r="C361" s="569" t="s">
        <v>321</v>
      </c>
      <c r="D361" s="570" t="s">
        <v>263</v>
      </c>
      <c r="E361" s="571" t="s">
        <v>263</v>
      </c>
    </row>
    <row r="362" spans="1:5" ht="39.950000000000003" customHeight="1" x14ac:dyDescent="0.25">
      <c r="A362" s="797"/>
      <c r="B362" s="568"/>
      <c r="C362" s="569" t="s">
        <v>322</v>
      </c>
      <c r="D362" s="570" t="s">
        <v>263</v>
      </c>
      <c r="E362" s="571" t="s">
        <v>263</v>
      </c>
    </row>
    <row r="363" spans="1:5" ht="39.950000000000003" customHeight="1" x14ac:dyDescent="0.25">
      <c r="A363" s="797"/>
      <c r="B363" s="568"/>
      <c r="C363" s="569" t="s">
        <v>324</v>
      </c>
      <c r="D363" s="570" t="s">
        <v>263</v>
      </c>
      <c r="E363" s="571" t="s">
        <v>263</v>
      </c>
    </row>
    <row r="364" spans="1:5" ht="39.950000000000003" customHeight="1" x14ac:dyDescent="0.25">
      <c r="A364" s="797"/>
      <c r="B364" s="568"/>
      <c r="C364" s="569" t="s">
        <v>375</v>
      </c>
      <c r="D364" s="570" t="s">
        <v>263</v>
      </c>
      <c r="E364" s="571" t="s">
        <v>263</v>
      </c>
    </row>
    <row r="365" spans="1:5" ht="39.950000000000003" customHeight="1" x14ac:dyDescent="0.25">
      <c r="A365" s="797"/>
      <c r="B365" s="568"/>
      <c r="C365" s="569" t="s">
        <v>376</v>
      </c>
      <c r="D365" s="570" t="s">
        <v>263</v>
      </c>
      <c r="E365" s="571" t="s">
        <v>263</v>
      </c>
    </row>
    <row r="366" spans="1:5" ht="39.950000000000003" customHeight="1" x14ac:dyDescent="0.25">
      <c r="A366" s="797"/>
      <c r="B366" s="568"/>
      <c r="C366" s="569" t="s">
        <v>328</v>
      </c>
      <c r="D366" s="570" t="s">
        <v>263</v>
      </c>
      <c r="E366" s="571" t="s">
        <v>263</v>
      </c>
    </row>
    <row r="367" spans="1:5" ht="39.950000000000003" customHeight="1" x14ac:dyDescent="0.25">
      <c r="A367" s="797"/>
      <c r="B367" s="568"/>
      <c r="C367" s="569" t="s">
        <v>329</v>
      </c>
      <c r="D367" s="570" t="s">
        <v>263</v>
      </c>
      <c r="E367" s="571" t="s">
        <v>263</v>
      </c>
    </row>
    <row r="368" spans="1:5" ht="39.950000000000003" customHeight="1" x14ac:dyDescent="0.25">
      <c r="A368" s="797"/>
      <c r="B368" s="568"/>
      <c r="C368" s="569" t="s">
        <v>330</v>
      </c>
      <c r="D368" s="570" t="s">
        <v>263</v>
      </c>
      <c r="E368" s="571" t="s">
        <v>263</v>
      </c>
    </row>
    <row r="369" spans="1:5" ht="39.950000000000003" customHeight="1" x14ac:dyDescent="0.25">
      <c r="A369" s="797"/>
      <c r="B369" s="568"/>
      <c r="C369" s="569" t="s">
        <v>331</v>
      </c>
      <c r="D369" s="570" t="s">
        <v>263</v>
      </c>
      <c r="E369" s="571" t="s">
        <v>263</v>
      </c>
    </row>
    <row r="370" spans="1:5" ht="39.950000000000003" customHeight="1" x14ac:dyDescent="0.25">
      <c r="A370" s="797"/>
      <c r="B370" s="568"/>
      <c r="C370" s="569" t="s">
        <v>290</v>
      </c>
      <c r="D370" s="570" t="s">
        <v>286</v>
      </c>
      <c r="E370" s="571">
        <v>387</v>
      </c>
    </row>
    <row r="371" spans="1:5" ht="39.950000000000003" customHeight="1" x14ac:dyDescent="0.25">
      <c r="A371" s="797"/>
      <c r="B371" s="568"/>
      <c r="C371" s="569" t="s">
        <v>291</v>
      </c>
      <c r="D371" s="570" t="s">
        <v>292</v>
      </c>
      <c r="E371" s="571">
        <v>193.5</v>
      </c>
    </row>
    <row r="372" spans="1:5" ht="39.950000000000003" customHeight="1" x14ac:dyDescent="0.25">
      <c r="A372" s="797"/>
      <c r="B372" s="568"/>
      <c r="C372" s="569" t="s">
        <v>293</v>
      </c>
      <c r="D372" s="570" t="s">
        <v>294</v>
      </c>
      <c r="E372" s="571" t="s">
        <v>560</v>
      </c>
    </row>
    <row r="373" spans="1:5" ht="39.950000000000003" customHeight="1" x14ac:dyDescent="0.25">
      <c r="A373" s="797"/>
      <c r="B373" s="568"/>
      <c r="C373" s="569" t="s">
        <v>295</v>
      </c>
      <c r="D373" s="570" t="s">
        <v>296</v>
      </c>
      <c r="E373" s="571">
        <v>580.5</v>
      </c>
    </row>
    <row r="374" spans="1:5" ht="39.950000000000003" customHeight="1" x14ac:dyDescent="0.25">
      <c r="A374" s="797"/>
      <c r="B374" s="568"/>
      <c r="C374" s="569" t="s">
        <v>334</v>
      </c>
      <c r="D374" s="570" t="s">
        <v>263</v>
      </c>
      <c r="E374" s="571" t="s">
        <v>263</v>
      </c>
    </row>
    <row r="375" spans="1:5" ht="39.950000000000003" customHeight="1" x14ac:dyDescent="0.25">
      <c r="A375" s="797"/>
      <c r="B375" s="568"/>
      <c r="C375" s="569" t="s">
        <v>335</v>
      </c>
      <c r="D375" s="570" t="s">
        <v>263</v>
      </c>
      <c r="E375" s="571" t="s">
        <v>263</v>
      </c>
    </row>
    <row r="376" spans="1:5" ht="39.950000000000003" customHeight="1" x14ac:dyDescent="0.25">
      <c r="A376" s="797"/>
      <c r="B376" s="568"/>
      <c r="C376" s="569" t="s">
        <v>297</v>
      </c>
      <c r="D376" s="570" t="s">
        <v>298</v>
      </c>
      <c r="E376" s="571">
        <v>967.5</v>
      </c>
    </row>
    <row r="377" spans="1:5" ht="39.950000000000003" customHeight="1" x14ac:dyDescent="0.25">
      <c r="A377" s="797"/>
      <c r="B377" s="568"/>
      <c r="C377" s="569" t="s">
        <v>285</v>
      </c>
      <c r="D377" s="570" t="s">
        <v>286</v>
      </c>
      <c r="E377" s="571">
        <v>387</v>
      </c>
    </row>
    <row r="378" spans="1:5" ht="39.950000000000003" customHeight="1" x14ac:dyDescent="0.25">
      <c r="A378" s="797"/>
      <c r="B378" s="568"/>
      <c r="C378" s="569" t="s">
        <v>287</v>
      </c>
      <c r="D378" s="570" t="s">
        <v>286</v>
      </c>
      <c r="E378" s="571">
        <v>387</v>
      </c>
    </row>
    <row r="379" spans="1:5" ht="39.950000000000003" customHeight="1" x14ac:dyDescent="0.25">
      <c r="A379" s="797"/>
      <c r="B379" s="568"/>
      <c r="C379" s="569" t="s">
        <v>288</v>
      </c>
      <c r="D379" s="570" t="s">
        <v>289</v>
      </c>
      <c r="E379" s="571" t="s">
        <v>561</v>
      </c>
    </row>
    <row r="380" spans="1:5" ht="39.950000000000003" customHeight="1" x14ac:dyDescent="0.25">
      <c r="A380" s="797"/>
      <c r="B380" s="568"/>
      <c r="C380" s="569" t="s">
        <v>299</v>
      </c>
      <c r="D380" s="570" t="s">
        <v>300</v>
      </c>
      <c r="E380" s="571" t="s">
        <v>562</v>
      </c>
    </row>
    <row r="381" spans="1:5" ht="39.950000000000003" customHeight="1" x14ac:dyDescent="0.25">
      <c r="A381" s="797"/>
      <c r="B381" s="568"/>
      <c r="C381" s="569" t="s">
        <v>301</v>
      </c>
      <c r="D381" s="570" t="s">
        <v>302</v>
      </c>
      <c r="E381" s="571" t="s">
        <v>563</v>
      </c>
    </row>
    <row r="382" spans="1:5" ht="39.950000000000003" customHeight="1" x14ac:dyDescent="0.25">
      <c r="A382" s="797"/>
      <c r="B382" s="568"/>
      <c r="C382" s="569" t="s">
        <v>303</v>
      </c>
      <c r="D382" s="570" t="s">
        <v>304</v>
      </c>
      <c r="E382" s="571">
        <v>290.25</v>
      </c>
    </row>
    <row r="383" spans="1:5" ht="39.950000000000003" customHeight="1" x14ac:dyDescent="0.25">
      <c r="A383" s="797"/>
      <c r="B383" s="568"/>
      <c r="C383" s="569" t="s">
        <v>305</v>
      </c>
      <c r="D383" s="570" t="s">
        <v>306</v>
      </c>
      <c r="E383" s="571">
        <v>483.75</v>
      </c>
    </row>
    <row r="384" spans="1:5" ht="39.950000000000003" customHeight="1" x14ac:dyDescent="0.25">
      <c r="A384" s="797"/>
      <c r="B384" s="568"/>
      <c r="C384" s="569" t="s">
        <v>307</v>
      </c>
      <c r="D384" s="570" t="s">
        <v>308</v>
      </c>
      <c r="E384" s="571" t="s">
        <v>564</v>
      </c>
    </row>
    <row r="385" spans="1:5" ht="39.950000000000003" customHeight="1" x14ac:dyDescent="0.25">
      <c r="A385" s="797"/>
      <c r="B385" s="568"/>
      <c r="C385" s="569" t="s">
        <v>309</v>
      </c>
      <c r="D385" s="570" t="s">
        <v>306</v>
      </c>
      <c r="E385" s="571">
        <v>483.75</v>
      </c>
    </row>
    <row r="386" spans="1:5" ht="39.950000000000003" customHeight="1" x14ac:dyDescent="0.25">
      <c r="A386" s="797"/>
      <c r="B386" s="568"/>
      <c r="C386" s="569" t="s">
        <v>310</v>
      </c>
      <c r="D386" s="570" t="s">
        <v>304</v>
      </c>
      <c r="E386" s="571">
        <v>290.25</v>
      </c>
    </row>
    <row r="387" spans="1:5" ht="39.950000000000003" customHeight="1" x14ac:dyDescent="0.25">
      <c r="A387" s="798"/>
      <c r="B387" s="568"/>
      <c r="C387" s="569" t="s">
        <v>311</v>
      </c>
      <c r="D387" s="570" t="s">
        <v>312</v>
      </c>
      <c r="E387" s="571"/>
    </row>
    <row r="388" spans="1:5" ht="39.950000000000003" customHeight="1" x14ac:dyDescent="0.25">
      <c r="A388" s="796">
        <v>18</v>
      </c>
      <c r="B388" s="564" t="s">
        <v>381</v>
      </c>
      <c r="C388" s="565" t="s">
        <v>372</v>
      </c>
      <c r="D388" s="566" t="s">
        <v>566</v>
      </c>
      <c r="E388" s="567" t="s">
        <v>559</v>
      </c>
    </row>
    <row r="389" spans="1:5" ht="39.950000000000003" customHeight="1" x14ac:dyDescent="0.25">
      <c r="A389" s="797"/>
      <c r="B389" s="568"/>
      <c r="C389" s="569" t="s">
        <v>283</v>
      </c>
      <c r="D389" s="570" t="s">
        <v>373</v>
      </c>
      <c r="E389" s="571" t="s">
        <v>263</v>
      </c>
    </row>
    <row r="390" spans="1:5" ht="73.5" customHeight="1" x14ac:dyDescent="0.25">
      <c r="A390" s="797"/>
      <c r="B390" s="568"/>
      <c r="C390" s="569" t="s">
        <v>374</v>
      </c>
      <c r="D390" s="570" t="s">
        <v>380</v>
      </c>
      <c r="E390" s="571" t="s">
        <v>263</v>
      </c>
    </row>
    <row r="391" spans="1:5" ht="39.950000000000003" customHeight="1" x14ac:dyDescent="0.25">
      <c r="A391" s="797"/>
      <c r="B391" s="568"/>
      <c r="C391" s="569" t="s">
        <v>320</v>
      </c>
      <c r="D391" s="570" t="s">
        <v>263</v>
      </c>
      <c r="E391" s="571" t="s">
        <v>263</v>
      </c>
    </row>
    <row r="392" spans="1:5" ht="39.950000000000003" customHeight="1" x14ac:dyDescent="0.25">
      <c r="A392" s="797"/>
      <c r="B392" s="568"/>
      <c r="C392" s="569" t="s">
        <v>321</v>
      </c>
      <c r="D392" s="570" t="s">
        <v>263</v>
      </c>
      <c r="E392" s="571" t="s">
        <v>263</v>
      </c>
    </row>
    <row r="393" spans="1:5" ht="39.950000000000003" customHeight="1" x14ac:dyDescent="0.25">
      <c r="A393" s="797"/>
      <c r="B393" s="568"/>
      <c r="C393" s="569" t="s">
        <v>322</v>
      </c>
      <c r="D393" s="570" t="s">
        <v>263</v>
      </c>
      <c r="E393" s="571" t="s">
        <v>263</v>
      </c>
    </row>
    <row r="394" spans="1:5" ht="39.950000000000003" customHeight="1" x14ac:dyDescent="0.25">
      <c r="A394" s="797"/>
      <c r="B394" s="568"/>
      <c r="C394" s="569" t="s">
        <v>324</v>
      </c>
      <c r="D394" s="570" t="s">
        <v>263</v>
      </c>
      <c r="E394" s="571" t="s">
        <v>263</v>
      </c>
    </row>
    <row r="395" spans="1:5" ht="39.950000000000003" customHeight="1" x14ac:dyDescent="0.25">
      <c r="A395" s="797"/>
      <c r="B395" s="568"/>
      <c r="C395" s="569" t="s">
        <v>375</v>
      </c>
      <c r="D395" s="570" t="s">
        <v>263</v>
      </c>
      <c r="E395" s="571" t="s">
        <v>263</v>
      </c>
    </row>
    <row r="396" spans="1:5" ht="39.950000000000003" customHeight="1" x14ac:dyDescent="0.25">
      <c r="A396" s="797"/>
      <c r="B396" s="568"/>
      <c r="C396" s="569" t="s">
        <v>376</v>
      </c>
      <c r="D396" s="570" t="s">
        <v>263</v>
      </c>
      <c r="E396" s="571" t="s">
        <v>263</v>
      </c>
    </row>
    <row r="397" spans="1:5" ht="39.950000000000003" customHeight="1" x14ac:dyDescent="0.25">
      <c r="A397" s="797"/>
      <c r="B397" s="568"/>
      <c r="C397" s="569" t="s">
        <v>328</v>
      </c>
      <c r="D397" s="570" t="s">
        <v>263</v>
      </c>
      <c r="E397" s="571" t="s">
        <v>263</v>
      </c>
    </row>
    <row r="398" spans="1:5" ht="39.950000000000003" customHeight="1" x14ac:dyDescent="0.25">
      <c r="A398" s="797"/>
      <c r="B398" s="568"/>
      <c r="C398" s="569" t="s">
        <v>329</v>
      </c>
      <c r="D398" s="570" t="s">
        <v>263</v>
      </c>
      <c r="E398" s="571" t="s">
        <v>263</v>
      </c>
    </row>
    <row r="399" spans="1:5" ht="39.950000000000003" customHeight="1" x14ac:dyDescent="0.25">
      <c r="A399" s="797"/>
      <c r="B399" s="568"/>
      <c r="C399" s="569" t="s">
        <v>330</v>
      </c>
      <c r="D399" s="570" t="s">
        <v>263</v>
      </c>
      <c r="E399" s="571" t="s">
        <v>263</v>
      </c>
    </row>
    <row r="400" spans="1:5" ht="39.950000000000003" customHeight="1" x14ac:dyDescent="0.25">
      <c r="A400" s="797"/>
      <c r="B400" s="568"/>
      <c r="C400" s="569" t="s">
        <v>331</v>
      </c>
      <c r="D400" s="570" t="s">
        <v>263</v>
      </c>
      <c r="E400" s="571" t="s">
        <v>263</v>
      </c>
    </row>
    <row r="401" spans="1:5" ht="39.950000000000003" customHeight="1" x14ac:dyDescent="0.25">
      <c r="A401" s="797"/>
      <c r="B401" s="568"/>
      <c r="C401" s="569" t="s">
        <v>290</v>
      </c>
      <c r="D401" s="570" t="s">
        <v>286</v>
      </c>
      <c r="E401" s="571">
        <v>387</v>
      </c>
    </row>
    <row r="402" spans="1:5" ht="39.950000000000003" customHeight="1" x14ac:dyDescent="0.25">
      <c r="A402" s="797"/>
      <c r="B402" s="568"/>
      <c r="C402" s="569" t="s">
        <v>291</v>
      </c>
      <c r="D402" s="570" t="s">
        <v>292</v>
      </c>
      <c r="E402" s="571">
        <v>193.5</v>
      </c>
    </row>
    <row r="403" spans="1:5" ht="39.950000000000003" customHeight="1" x14ac:dyDescent="0.25">
      <c r="A403" s="797"/>
      <c r="B403" s="568"/>
      <c r="C403" s="569" t="s">
        <v>293</v>
      </c>
      <c r="D403" s="570" t="s">
        <v>294</v>
      </c>
      <c r="E403" s="571" t="s">
        <v>560</v>
      </c>
    </row>
    <row r="404" spans="1:5" ht="39.950000000000003" customHeight="1" x14ac:dyDescent="0.25">
      <c r="A404" s="797"/>
      <c r="B404" s="568"/>
      <c r="C404" s="569" t="s">
        <v>295</v>
      </c>
      <c r="D404" s="570" t="s">
        <v>296</v>
      </c>
      <c r="E404" s="571">
        <v>580.5</v>
      </c>
    </row>
    <row r="405" spans="1:5" ht="39.950000000000003" customHeight="1" x14ac:dyDescent="0.25">
      <c r="A405" s="797"/>
      <c r="B405" s="568"/>
      <c r="C405" s="569" t="s">
        <v>334</v>
      </c>
      <c r="D405" s="570" t="s">
        <v>263</v>
      </c>
      <c r="E405" s="571" t="s">
        <v>263</v>
      </c>
    </row>
    <row r="406" spans="1:5" ht="39.950000000000003" customHeight="1" x14ac:dyDescent="0.25">
      <c r="A406" s="797"/>
      <c r="B406" s="568"/>
      <c r="C406" s="569" t="s">
        <v>335</v>
      </c>
      <c r="D406" s="570" t="s">
        <v>263</v>
      </c>
      <c r="E406" s="571" t="s">
        <v>263</v>
      </c>
    </row>
    <row r="407" spans="1:5" ht="39.950000000000003" customHeight="1" x14ac:dyDescent="0.25">
      <c r="A407" s="797"/>
      <c r="B407" s="568"/>
      <c r="C407" s="569" t="s">
        <v>297</v>
      </c>
      <c r="D407" s="570" t="s">
        <v>298</v>
      </c>
      <c r="E407" s="571">
        <v>967.5</v>
      </c>
    </row>
    <row r="408" spans="1:5" ht="39.950000000000003" customHeight="1" x14ac:dyDescent="0.25">
      <c r="A408" s="797"/>
      <c r="B408" s="568"/>
      <c r="C408" s="569" t="s">
        <v>285</v>
      </c>
      <c r="D408" s="570" t="s">
        <v>286</v>
      </c>
      <c r="E408" s="571">
        <v>387</v>
      </c>
    </row>
    <row r="409" spans="1:5" ht="39.950000000000003" customHeight="1" x14ac:dyDescent="0.25">
      <c r="A409" s="797"/>
      <c r="B409" s="568"/>
      <c r="C409" s="569" t="s">
        <v>287</v>
      </c>
      <c r="D409" s="570" t="s">
        <v>286</v>
      </c>
      <c r="E409" s="571">
        <v>387</v>
      </c>
    </row>
    <row r="410" spans="1:5" ht="39.950000000000003" customHeight="1" x14ac:dyDescent="0.25">
      <c r="A410" s="797"/>
      <c r="B410" s="568"/>
      <c r="C410" s="569" t="s">
        <v>288</v>
      </c>
      <c r="D410" s="570" t="s">
        <v>289</v>
      </c>
      <c r="E410" s="571" t="s">
        <v>561</v>
      </c>
    </row>
    <row r="411" spans="1:5" ht="39.950000000000003" customHeight="1" x14ac:dyDescent="0.25">
      <c r="A411" s="797"/>
      <c r="B411" s="568"/>
      <c r="C411" s="569" t="s">
        <v>299</v>
      </c>
      <c r="D411" s="570" t="s">
        <v>300</v>
      </c>
      <c r="E411" s="571" t="s">
        <v>562</v>
      </c>
    </row>
    <row r="412" spans="1:5" ht="39.950000000000003" customHeight="1" x14ac:dyDescent="0.25">
      <c r="A412" s="797"/>
      <c r="B412" s="568"/>
      <c r="C412" s="569" t="s">
        <v>301</v>
      </c>
      <c r="D412" s="570" t="s">
        <v>302</v>
      </c>
      <c r="E412" s="571" t="s">
        <v>563</v>
      </c>
    </row>
    <row r="413" spans="1:5" ht="39.950000000000003" customHeight="1" x14ac:dyDescent="0.25">
      <c r="A413" s="797"/>
      <c r="B413" s="568"/>
      <c r="C413" s="569" t="s">
        <v>303</v>
      </c>
      <c r="D413" s="570" t="s">
        <v>304</v>
      </c>
      <c r="E413" s="571">
        <v>290.25</v>
      </c>
    </row>
    <row r="414" spans="1:5" ht="39.950000000000003" customHeight="1" x14ac:dyDescent="0.25">
      <c r="A414" s="797"/>
      <c r="B414" s="568"/>
      <c r="C414" s="569" t="s">
        <v>305</v>
      </c>
      <c r="D414" s="570" t="s">
        <v>306</v>
      </c>
      <c r="E414" s="571">
        <v>483.75</v>
      </c>
    </row>
    <row r="415" spans="1:5" ht="39.950000000000003" customHeight="1" x14ac:dyDescent="0.25">
      <c r="A415" s="797"/>
      <c r="B415" s="568"/>
      <c r="C415" s="569" t="s">
        <v>307</v>
      </c>
      <c r="D415" s="570" t="s">
        <v>308</v>
      </c>
      <c r="E415" s="571" t="s">
        <v>564</v>
      </c>
    </row>
    <row r="416" spans="1:5" ht="39.950000000000003" customHeight="1" x14ac:dyDescent="0.25">
      <c r="A416" s="797"/>
      <c r="B416" s="568"/>
      <c r="C416" s="569" t="s">
        <v>309</v>
      </c>
      <c r="D416" s="570" t="s">
        <v>306</v>
      </c>
      <c r="E416" s="571">
        <v>483.75</v>
      </c>
    </row>
    <row r="417" spans="1:5" ht="39.950000000000003" customHeight="1" x14ac:dyDescent="0.25">
      <c r="A417" s="797"/>
      <c r="B417" s="568"/>
      <c r="C417" s="569" t="s">
        <v>310</v>
      </c>
      <c r="D417" s="570" t="s">
        <v>304</v>
      </c>
      <c r="E417" s="571">
        <v>290.25</v>
      </c>
    </row>
    <row r="418" spans="1:5" ht="39.950000000000003" customHeight="1" x14ac:dyDescent="0.25">
      <c r="A418" s="798"/>
      <c r="B418" s="568"/>
      <c r="C418" s="569" t="s">
        <v>311</v>
      </c>
      <c r="D418" s="570" t="s">
        <v>312</v>
      </c>
      <c r="E418" s="571"/>
    </row>
    <row r="419" spans="1:5" ht="39.950000000000003" customHeight="1" x14ac:dyDescent="0.25">
      <c r="A419" s="796">
        <v>19</v>
      </c>
      <c r="B419" s="564" t="s">
        <v>382</v>
      </c>
      <c r="C419" s="565" t="s">
        <v>372</v>
      </c>
      <c r="D419" s="566" t="s">
        <v>566</v>
      </c>
      <c r="E419" s="567" t="s">
        <v>559</v>
      </c>
    </row>
    <row r="420" spans="1:5" ht="39.950000000000003" customHeight="1" x14ac:dyDescent="0.25">
      <c r="A420" s="797"/>
      <c r="B420" s="568"/>
      <c r="C420" s="569" t="s">
        <v>283</v>
      </c>
      <c r="D420" s="570" t="s">
        <v>373</v>
      </c>
      <c r="E420" s="571" t="s">
        <v>263</v>
      </c>
    </row>
    <row r="421" spans="1:5" ht="72" customHeight="1" x14ac:dyDescent="0.25">
      <c r="A421" s="797"/>
      <c r="B421" s="568"/>
      <c r="C421" s="569" t="s">
        <v>374</v>
      </c>
      <c r="D421" s="570" t="s">
        <v>380</v>
      </c>
      <c r="E421" s="571" t="s">
        <v>263</v>
      </c>
    </row>
    <row r="422" spans="1:5" ht="39.950000000000003" customHeight="1" x14ac:dyDescent="0.25">
      <c r="A422" s="797"/>
      <c r="B422" s="568"/>
      <c r="C422" s="569" t="s">
        <v>320</v>
      </c>
      <c r="D422" s="570" t="s">
        <v>263</v>
      </c>
      <c r="E422" s="571" t="s">
        <v>263</v>
      </c>
    </row>
    <row r="423" spans="1:5" ht="39.950000000000003" customHeight="1" x14ac:dyDescent="0.25">
      <c r="A423" s="797"/>
      <c r="B423" s="568"/>
      <c r="C423" s="569" t="s">
        <v>321</v>
      </c>
      <c r="D423" s="570" t="s">
        <v>263</v>
      </c>
      <c r="E423" s="571" t="s">
        <v>263</v>
      </c>
    </row>
    <row r="424" spans="1:5" ht="39.950000000000003" customHeight="1" x14ac:dyDescent="0.25">
      <c r="A424" s="797"/>
      <c r="B424" s="568"/>
      <c r="C424" s="569" t="s">
        <v>322</v>
      </c>
      <c r="D424" s="570" t="s">
        <v>263</v>
      </c>
      <c r="E424" s="571" t="s">
        <v>263</v>
      </c>
    </row>
    <row r="425" spans="1:5" ht="39.950000000000003" customHeight="1" x14ac:dyDescent="0.25">
      <c r="A425" s="797"/>
      <c r="B425" s="568"/>
      <c r="C425" s="569" t="s">
        <v>324</v>
      </c>
      <c r="D425" s="570" t="s">
        <v>263</v>
      </c>
      <c r="E425" s="571" t="s">
        <v>263</v>
      </c>
    </row>
    <row r="426" spans="1:5" ht="39.950000000000003" customHeight="1" x14ac:dyDescent="0.25">
      <c r="A426" s="797"/>
      <c r="B426" s="568"/>
      <c r="C426" s="569" t="s">
        <v>375</v>
      </c>
      <c r="D426" s="570" t="s">
        <v>263</v>
      </c>
      <c r="E426" s="571" t="s">
        <v>263</v>
      </c>
    </row>
    <row r="427" spans="1:5" ht="39.950000000000003" customHeight="1" x14ac:dyDescent="0.25">
      <c r="A427" s="797"/>
      <c r="B427" s="568"/>
      <c r="C427" s="569" t="s">
        <v>376</v>
      </c>
      <c r="D427" s="570" t="s">
        <v>263</v>
      </c>
      <c r="E427" s="571" t="s">
        <v>263</v>
      </c>
    </row>
    <row r="428" spans="1:5" ht="39.950000000000003" customHeight="1" x14ac:dyDescent="0.25">
      <c r="A428" s="797"/>
      <c r="B428" s="568"/>
      <c r="C428" s="569" t="s">
        <v>328</v>
      </c>
      <c r="D428" s="570" t="s">
        <v>263</v>
      </c>
      <c r="E428" s="571" t="s">
        <v>263</v>
      </c>
    </row>
    <row r="429" spans="1:5" ht="39.950000000000003" customHeight="1" x14ac:dyDescent="0.25">
      <c r="A429" s="797"/>
      <c r="B429" s="568"/>
      <c r="C429" s="569" t="s">
        <v>329</v>
      </c>
      <c r="D429" s="570" t="s">
        <v>263</v>
      </c>
      <c r="E429" s="571" t="s">
        <v>263</v>
      </c>
    </row>
    <row r="430" spans="1:5" ht="39.950000000000003" customHeight="1" x14ac:dyDescent="0.25">
      <c r="A430" s="797"/>
      <c r="B430" s="568"/>
      <c r="C430" s="569" t="s">
        <v>330</v>
      </c>
      <c r="D430" s="570" t="s">
        <v>263</v>
      </c>
      <c r="E430" s="571" t="s">
        <v>263</v>
      </c>
    </row>
    <row r="431" spans="1:5" ht="39.950000000000003" customHeight="1" x14ac:dyDescent="0.25">
      <c r="A431" s="797"/>
      <c r="B431" s="568"/>
      <c r="C431" s="569" t="s">
        <v>331</v>
      </c>
      <c r="D431" s="570" t="s">
        <v>263</v>
      </c>
      <c r="E431" s="571" t="s">
        <v>263</v>
      </c>
    </row>
    <row r="432" spans="1:5" ht="39.950000000000003" customHeight="1" x14ac:dyDescent="0.25">
      <c r="A432" s="797"/>
      <c r="B432" s="568"/>
      <c r="C432" s="569" t="s">
        <v>290</v>
      </c>
      <c r="D432" s="570" t="s">
        <v>286</v>
      </c>
      <c r="E432" s="571">
        <v>387</v>
      </c>
    </row>
    <row r="433" spans="1:5" ht="39.950000000000003" customHeight="1" x14ac:dyDescent="0.25">
      <c r="A433" s="797"/>
      <c r="B433" s="568"/>
      <c r="C433" s="569" t="s">
        <v>291</v>
      </c>
      <c r="D433" s="570" t="s">
        <v>292</v>
      </c>
      <c r="E433" s="571">
        <v>193.5</v>
      </c>
    </row>
    <row r="434" spans="1:5" ht="39.950000000000003" customHeight="1" x14ac:dyDescent="0.25">
      <c r="A434" s="797"/>
      <c r="B434" s="568"/>
      <c r="C434" s="569" t="s">
        <v>293</v>
      </c>
      <c r="D434" s="570" t="s">
        <v>294</v>
      </c>
      <c r="E434" s="571" t="s">
        <v>560</v>
      </c>
    </row>
    <row r="435" spans="1:5" ht="39.950000000000003" customHeight="1" x14ac:dyDescent="0.25">
      <c r="A435" s="797"/>
      <c r="B435" s="568"/>
      <c r="C435" s="569" t="s">
        <v>295</v>
      </c>
      <c r="D435" s="570" t="s">
        <v>296</v>
      </c>
      <c r="E435" s="571">
        <v>580.5</v>
      </c>
    </row>
    <row r="436" spans="1:5" ht="39.950000000000003" customHeight="1" x14ac:dyDescent="0.25">
      <c r="A436" s="797"/>
      <c r="B436" s="568"/>
      <c r="C436" s="569" t="s">
        <v>334</v>
      </c>
      <c r="D436" s="570" t="s">
        <v>263</v>
      </c>
      <c r="E436" s="571" t="s">
        <v>263</v>
      </c>
    </row>
    <row r="437" spans="1:5" ht="39.950000000000003" customHeight="1" x14ac:dyDescent="0.25">
      <c r="A437" s="797"/>
      <c r="B437" s="568"/>
      <c r="C437" s="569" t="s">
        <v>335</v>
      </c>
      <c r="D437" s="570" t="s">
        <v>263</v>
      </c>
      <c r="E437" s="571" t="s">
        <v>263</v>
      </c>
    </row>
    <row r="438" spans="1:5" ht="39.950000000000003" customHeight="1" x14ac:dyDescent="0.25">
      <c r="A438" s="797"/>
      <c r="B438" s="568"/>
      <c r="C438" s="569" t="s">
        <v>297</v>
      </c>
      <c r="D438" s="570" t="s">
        <v>298</v>
      </c>
      <c r="E438" s="571">
        <v>967.5</v>
      </c>
    </row>
    <row r="439" spans="1:5" ht="39.950000000000003" customHeight="1" x14ac:dyDescent="0.25">
      <c r="A439" s="797"/>
      <c r="B439" s="568"/>
      <c r="C439" s="569" t="s">
        <v>285</v>
      </c>
      <c r="D439" s="570" t="s">
        <v>286</v>
      </c>
      <c r="E439" s="571">
        <v>387</v>
      </c>
    </row>
    <row r="440" spans="1:5" ht="39.950000000000003" customHeight="1" x14ac:dyDescent="0.25">
      <c r="A440" s="797"/>
      <c r="B440" s="568"/>
      <c r="C440" s="569" t="s">
        <v>287</v>
      </c>
      <c r="D440" s="570" t="s">
        <v>286</v>
      </c>
      <c r="E440" s="571">
        <v>387</v>
      </c>
    </row>
    <row r="441" spans="1:5" ht="39.950000000000003" customHeight="1" x14ac:dyDescent="0.25">
      <c r="A441" s="797"/>
      <c r="B441" s="568"/>
      <c r="C441" s="569" t="s">
        <v>288</v>
      </c>
      <c r="D441" s="570" t="s">
        <v>289</v>
      </c>
      <c r="E441" s="571" t="s">
        <v>561</v>
      </c>
    </row>
    <row r="442" spans="1:5" ht="39.950000000000003" customHeight="1" x14ac:dyDescent="0.25">
      <c r="A442" s="797"/>
      <c r="B442" s="568"/>
      <c r="C442" s="569" t="s">
        <v>299</v>
      </c>
      <c r="D442" s="570" t="s">
        <v>300</v>
      </c>
      <c r="E442" s="571" t="s">
        <v>562</v>
      </c>
    </row>
    <row r="443" spans="1:5" ht="39.950000000000003" customHeight="1" x14ac:dyDescent="0.25">
      <c r="A443" s="797"/>
      <c r="B443" s="568"/>
      <c r="C443" s="569" t="s">
        <v>301</v>
      </c>
      <c r="D443" s="570" t="s">
        <v>302</v>
      </c>
      <c r="E443" s="571" t="s">
        <v>563</v>
      </c>
    </row>
    <row r="444" spans="1:5" ht="39.950000000000003" customHeight="1" x14ac:dyDescent="0.25">
      <c r="A444" s="797"/>
      <c r="B444" s="568"/>
      <c r="C444" s="569" t="s">
        <v>303</v>
      </c>
      <c r="D444" s="570" t="s">
        <v>304</v>
      </c>
      <c r="E444" s="571">
        <v>290.25</v>
      </c>
    </row>
    <row r="445" spans="1:5" ht="39.950000000000003" customHeight="1" x14ac:dyDescent="0.25">
      <c r="A445" s="797"/>
      <c r="B445" s="568"/>
      <c r="C445" s="569" t="s">
        <v>305</v>
      </c>
      <c r="D445" s="570" t="s">
        <v>306</v>
      </c>
      <c r="E445" s="571">
        <v>483.75</v>
      </c>
    </row>
    <row r="446" spans="1:5" ht="39.950000000000003" customHeight="1" x14ac:dyDescent="0.25">
      <c r="A446" s="797"/>
      <c r="B446" s="568"/>
      <c r="C446" s="569" t="s">
        <v>307</v>
      </c>
      <c r="D446" s="570" t="s">
        <v>308</v>
      </c>
      <c r="E446" s="571" t="s">
        <v>564</v>
      </c>
    </row>
    <row r="447" spans="1:5" ht="39.950000000000003" customHeight="1" x14ac:dyDescent="0.25">
      <c r="A447" s="797"/>
      <c r="B447" s="568"/>
      <c r="C447" s="569" t="s">
        <v>309</v>
      </c>
      <c r="D447" s="570" t="s">
        <v>306</v>
      </c>
      <c r="E447" s="571">
        <v>483.75</v>
      </c>
    </row>
    <row r="448" spans="1:5" ht="39.950000000000003" customHeight="1" x14ac:dyDescent="0.25">
      <c r="A448" s="797"/>
      <c r="B448" s="568"/>
      <c r="C448" s="569" t="s">
        <v>310</v>
      </c>
      <c r="D448" s="570" t="s">
        <v>304</v>
      </c>
      <c r="E448" s="571">
        <v>290.25</v>
      </c>
    </row>
    <row r="449" spans="1:5" ht="39.950000000000003" customHeight="1" x14ac:dyDescent="0.25">
      <c r="A449" s="798"/>
      <c r="B449" s="568"/>
      <c r="C449" s="569" t="s">
        <v>311</v>
      </c>
      <c r="D449" s="570" t="s">
        <v>312</v>
      </c>
      <c r="E449" s="571"/>
    </row>
    <row r="450" spans="1:5" ht="39.950000000000003" customHeight="1" x14ac:dyDescent="0.25">
      <c r="A450" s="796">
        <v>20</v>
      </c>
      <c r="B450" s="564" t="s">
        <v>383</v>
      </c>
      <c r="C450" s="565" t="s">
        <v>372</v>
      </c>
      <c r="D450" s="566" t="s">
        <v>567</v>
      </c>
      <c r="E450" s="567" t="s">
        <v>568</v>
      </c>
    </row>
    <row r="451" spans="1:5" ht="39.950000000000003" customHeight="1" x14ac:dyDescent="0.25">
      <c r="A451" s="797"/>
      <c r="B451" s="568"/>
      <c r="C451" s="569" t="s">
        <v>283</v>
      </c>
      <c r="D451" s="570" t="s">
        <v>373</v>
      </c>
      <c r="E451" s="571" t="s">
        <v>263</v>
      </c>
    </row>
    <row r="452" spans="1:5" ht="44.25" customHeight="1" x14ac:dyDescent="0.25">
      <c r="A452" s="797"/>
      <c r="B452" s="568"/>
      <c r="C452" s="569" t="s">
        <v>378</v>
      </c>
      <c r="D452" s="570" t="s">
        <v>379</v>
      </c>
      <c r="E452" s="571" t="s">
        <v>263</v>
      </c>
    </row>
    <row r="453" spans="1:5" ht="67.5" customHeight="1" x14ac:dyDescent="0.25">
      <c r="A453" s="797"/>
      <c r="B453" s="568"/>
      <c r="C453" s="569" t="s">
        <v>374</v>
      </c>
      <c r="D453" s="570" t="s">
        <v>380</v>
      </c>
      <c r="E453" s="571" t="s">
        <v>263</v>
      </c>
    </row>
    <row r="454" spans="1:5" ht="39.950000000000003" customHeight="1" x14ac:dyDescent="0.25">
      <c r="A454" s="797"/>
      <c r="B454" s="568"/>
      <c r="C454" s="569" t="s">
        <v>320</v>
      </c>
      <c r="D454" s="570" t="s">
        <v>263</v>
      </c>
      <c r="E454" s="571" t="s">
        <v>263</v>
      </c>
    </row>
    <row r="455" spans="1:5" ht="39.950000000000003" customHeight="1" x14ac:dyDescent="0.25">
      <c r="A455" s="797"/>
      <c r="B455" s="568"/>
      <c r="C455" s="569" t="s">
        <v>321</v>
      </c>
      <c r="D455" s="570" t="s">
        <v>263</v>
      </c>
      <c r="E455" s="571" t="s">
        <v>263</v>
      </c>
    </row>
    <row r="456" spans="1:5" ht="39.950000000000003" customHeight="1" x14ac:dyDescent="0.25">
      <c r="A456" s="797"/>
      <c r="B456" s="568"/>
      <c r="C456" s="569" t="s">
        <v>322</v>
      </c>
      <c r="D456" s="570" t="s">
        <v>263</v>
      </c>
      <c r="E456" s="571" t="s">
        <v>263</v>
      </c>
    </row>
    <row r="457" spans="1:5" ht="39.950000000000003" customHeight="1" x14ac:dyDescent="0.25">
      <c r="A457" s="797"/>
      <c r="B457" s="568"/>
      <c r="C457" s="569" t="s">
        <v>324</v>
      </c>
      <c r="D457" s="570" t="s">
        <v>263</v>
      </c>
      <c r="E457" s="571" t="s">
        <v>263</v>
      </c>
    </row>
    <row r="458" spans="1:5" ht="39.950000000000003" customHeight="1" x14ac:dyDescent="0.25">
      <c r="A458" s="797"/>
      <c r="B458" s="568"/>
      <c r="C458" s="569" t="s">
        <v>375</v>
      </c>
      <c r="D458" s="570" t="s">
        <v>263</v>
      </c>
      <c r="E458" s="571" t="s">
        <v>263</v>
      </c>
    </row>
    <row r="459" spans="1:5" ht="39.950000000000003" customHeight="1" x14ac:dyDescent="0.25">
      <c r="A459" s="797"/>
      <c r="B459" s="568"/>
      <c r="C459" s="569" t="s">
        <v>376</v>
      </c>
      <c r="D459" s="570" t="s">
        <v>263</v>
      </c>
      <c r="E459" s="571" t="s">
        <v>263</v>
      </c>
    </row>
    <row r="460" spans="1:5" ht="39.950000000000003" customHeight="1" x14ac:dyDescent="0.25">
      <c r="A460" s="797"/>
      <c r="B460" s="568"/>
      <c r="C460" s="569" t="s">
        <v>328</v>
      </c>
      <c r="D460" s="570" t="s">
        <v>263</v>
      </c>
      <c r="E460" s="571" t="s">
        <v>263</v>
      </c>
    </row>
    <row r="461" spans="1:5" ht="39.950000000000003" customHeight="1" x14ac:dyDescent="0.25">
      <c r="A461" s="797"/>
      <c r="B461" s="568"/>
      <c r="C461" s="569" t="s">
        <v>329</v>
      </c>
      <c r="D461" s="570" t="s">
        <v>263</v>
      </c>
      <c r="E461" s="571" t="s">
        <v>263</v>
      </c>
    </row>
    <row r="462" spans="1:5" ht="39.950000000000003" customHeight="1" x14ac:dyDescent="0.25">
      <c r="A462" s="797"/>
      <c r="B462" s="568"/>
      <c r="C462" s="569" t="s">
        <v>330</v>
      </c>
      <c r="D462" s="570" t="s">
        <v>263</v>
      </c>
      <c r="E462" s="571" t="s">
        <v>263</v>
      </c>
    </row>
    <row r="463" spans="1:5" ht="39.950000000000003" customHeight="1" x14ac:dyDescent="0.25">
      <c r="A463" s="797"/>
      <c r="B463" s="568"/>
      <c r="C463" s="569" t="s">
        <v>331</v>
      </c>
      <c r="D463" s="570" t="s">
        <v>263</v>
      </c>
      <c r="E463" s="571" t="s">
        <v>263</v>
      </c>
    </row>
    <row r="464" spans="1:5" ht="39.950000000000003" customHeight="1" x14ac:dyDescent="0.25">
      <c r="A464" s="797"/>
      <c r="B464" s="568"/>
      <c r="C464" s="569" t="s">
        <v>290</v>
      </c>
      <c r="D464" s="570" t="s">
        <v>286</v>
      </c>
      <c r="E464" s="571">
        <v>77.400000000000006</v>
      </c>
    </row>
    <row r="465" spans="1:5" ht="39.950000000000003" customHeight="1" x14ac:dyDescent="0.25">
      <c r="A465" s="797"/>
      <c r="B465" s="568"/>
      <c r="C465" s="569" t="s">
        <v>291</v>
      </c>
      <c r="D465" s="570" t="s">
        <v>292</v>
      </c>
      <c r="E465" s="571">
        <v>38.700000000000003</v>
      </c>
    </row>
    <row r="466" spans="1:5" ht="39.950000000000003" customHeight="1" x14ac:dyDescent="0.25">
      <c r="A466" s="797"/>
      <c r="B466" s="568"/>
      <c r="C466" s="569" t="s">
        <v>293</v>
      </c>
      <c r="D466" s="570" t="s">
        <v>294</v>
      </c>
      <c r="E466" s="571">
        <v>348.3</v>
      </c>
    </row>
    <row r="467" spans="1:5" ht="39.950000000000003" customHeight="1" x14ac:dyDescent="0.25">
      <c r="A467" s="797"/>
      <c r="B467" s="568"/>
      <c r="C467" s="569" t="s">
        <v>295</v>
      </c>
      <c r="D467" s="570" t="s">
        <v>296</v>
      </c>
      <c r="E467" s="571">
        <v>116.1</v>
      </c>
    </row>
    <row r="468" spans="1:5" ht="39.950000000000003" customHeight="1" x14ac:dyDescent="0.25">
      <c r="A468" s="797"/>
      <c r="B468" s="568"/>
      <c r="C468" s="569" t="s">
        <v>334</v>
      </c>
      <c r="D468" s="570" t="s">
        <v>263</v>
      </c>
      <c r="E468" s="571" t="s">
        <v>263</v>
      </c>
    </row>
    <row r="469" spans="1:5" ht="39.950000000000003" customHeight="1" x14ac:dyDescent="0.25">
      <c r="A469" s="797"/>
      <c r="B469" s="568"/>
      <c r="C469" s="569" t="s">
        <v>335</v>
      </c>
      <c r="D469" s="570" t="s">
        <v>263</v>
      </c>
      <c r="E469" s="571" t="s">
        <v>263</v>
      </c>
    </row>
    <row r="470" spans="1:5" ht="39.950000000000003" customHeight="1" x14ac:dyDescent="0.25">
      <c r="A470" s="797"/>
      <c r="B470" s="568"/>
      <c r="C470" s="569" t="s">
        <v>297</v>
      </c>
      <c r="D470" s="570" t="s">
        <v>298</v>
      </c>
      <c r="E470" s="571">
        <v>193.5</v>
      </c>
    </row>
    <row r="471" spans="1:5" ht="39.950000000000003" customHeight="1" x14ac:dyDescent="0.25">
      <c r="A471" s="797"/>
      <c r="B471" s="568"/>
      <c r="C471" s="569" t="s">
        <v>285</v>
      </c>
      <c r="D471" s="570" t="s">
        <v>286</v>
      </c>
      <c r="E471" s="571">
        <v>77.400000000000006</v>
      </c>
    </row>
    <row r="472" spans="1:5" ht="39.950000000000003" customHeight="1" x14ac:dyDescent="0.25">
      <c r="A472" s="797"/>
      <c r="B472" s="568"/>
      <c r="C472" s="569" t="s">
        <v>287</v>
      </c>
      <c r="D472" s="570" t="s">
        <v>286</v>
      </c>
      <c r="E472" s="571">
        <v>77.400000000000006</v>
      </c>
    </row>
    <row r="473" spans="1:5" ht="39.950000000000003" customHeight="1" x14ac:dyDescent="0.25">
      <c r="A473" s="797"/>
      <c r="B473" s="568"/>
      <c r="C473" s="569" t="s">
        <v>288</v>
      </c>
      <c r="D473" s="570" t="s">
        <v>289</v>
      </c>
      <c r="E473" s="571">
        <v>232.2</v>
      </c>
    </row>
    <row r="474" spans="1:5" ht="39.950000000000003" customHeight="1" x14ac:dyDescent="0.25">
      <c r="A474" s="797"/>
      <c r="B474" s="568"/>
      <c r="C474" s="569" t="s">
        <v>299</v>
      </c>
      <c r="D474" s="570" t="s">
        <v>300</v>
      </c>
      <c r="E474" s="571">
        <v>948.15</v>
      </c>
    </row>
    <row r="475" spans="1:5" ht="39.950000000000003" customHeight="1" x14ac:dyDescent="0.25">
      <c r="A475" s="797"/>
      <c r="B475" s="568"/>
      <c r="C475" s="569" t="s">
        <v>301</v>
      </c>
      <c r="D475" s="570" t="s">
        <v>302</v>
      </c>
      <c r="E475" s="571" t="s">
        <v>569</v>
      </c>
    </row>
    <row r="476" spans="1:5" ht="39.950000000000003" customHeight="1" x14ac:dyDescent="0.25">
      <c r="A476" s="797"/>
      <c r="B476" s="568"/>
      <c r="C476" s="569" t="s">
        <v>303</v>
      </c>
      <c r="D476" s="570" t="s">
        <v>304</v>
      </c>
      <c r="E476" s="571">
        <v>58.05</v>
      </c>
    </row>
    <row r="477" spans="1:5" ht="39.950000000000003" customHeight="1" x14ac:dyDescent="0.25">
      <c r="A477" s="797"/>
      <c r="B477" s="568"/>
      <c r="C477" s="569" t="s">
        <v>305</v>
      </c>
      <c r="D477" s="570" t="s">
        <v>306</v>
      </c>
      <c r="E477" s="571">
        <v>96.75</v>
      </c>
    </row>
    <row r="478" spans="1:5" ht="39.950000000000003" customHeight="1" x14ac:dyDescent="0.25">
      <c r="A478" s="797"/>
      <c r="B478" s="568"/>
      <c r="C478" s="569" t="s">
        <v>307</v>
      </c>
      <c r="D478" s="570" t="s">
        <v>308</v>
      </c>
      <c r="E478" s="571">
        <v>387</v>
      </c>
    </row>
    <row r="479" spans="1:5" ht="39.950000000000003" customHeight="1" x14ac:dyDescent="0.25">
      <c r="A479" s="797"/>
      <c r="B479" s="568"/>
      <c r="C479" s="569" t="s">
        <v>309</v>
      </c>
      <c r="D479" s="570" t="s">
        <v>306</v>
      </c>
      <c r="E479" s="571">
        <v>96.75</v>
      </c>
    </row>
    <row r="480" spans="1:5" ht="39.950000000000003" customHeight="1" x14ac:dyDescent="0.25">
      <c r="A480" s="797"/>
      <c r="B480" s="568"/>
      <c r="C480" s="569" t="s">
        <v>310</v>
      </c>
      <c r="D480" s="570" t="s">
        <v>304</v>
      </c>
      <c r="E480" s="571">
        <v>58.05</v>
      </c>
    </row>
    <row r="481" spans="1:5" ht="39.950000000000003" customHeight="1" x14ac:dyDescent="0.25">
      <c r="A481" s="798"/>
      <c r="B481" s="568"/>
      <c r="C481" s="569" t="s">
        <v>311</v>
      </c>
      <c r="D481" s="570" t="s">
        <v>312</v>
      </c>
      <c r="E481" s="571"/>
    </row>
    <row r="482" spans="1:5" ht="39.950000000000003" customHeight="1" x14ac:dyDescent="0.25">
      <c r="A482" s="796">
        <v>21</v>
      </c>
      <c r="B482" s="564" t="s">
        <v>384</v>
      </c>
      <c r="C482" s="565" t="s">
        <v>372</v>
      </c>
      <c r="D482" s="566" t="s">
        <v>566</v>
      </c>
      <c r="E482" s="567" t="s">
        <v>559</v>
      </c>
    </row>
    <row r="483" spans="1:5" ht="39.950000000000003" customHeight="1" x14ac:dyDescent="0.25">
      <c r="A483" s="797"/>
      <c r="B483" s="568"/>
      <c r="C483" s="569" t="s">
        <v>283</v>
      </c>
      <c r="D483" s="570" t="s">
        <v>373</v>
      </c>
      <c r="E483" s="571" t="s">
        <v>263</v>
      </c>
    </row>
    <row r="484" spans="1:5" ht="70.5" customHeight="1" x14ac:dyDescent="0.25">
      <c r="A484" s="797"/>
      <c r="B484" s="568"/>
      <c r="C484" s="569" t="s">
        <v>374</v>
      </c>
      <c r="D484" s="570" t="s">
        <v>380</v>
      </c>
      <c r="E484" s="571" t="s">
        <v>263</v>
      </c>
    </row>
    <row r="485" spans="1:5" ht="39.950000000000003" customHeight="1" x14ac:dyDescent="0.25">
      <c r="A485" s="797"/>
      <c r="B485" s="568"/>
      <c r="C485" s="569" t="s">
        <v>320</v>
      </c>
      <c r="D485" s="570" t="s">
        <v>263</v>
      </c>
      <c r="E485" s="571" t="s">
        <v>263</v>
      </c>
    </row>
    <row r="486" spans="1:5" ht="39.950000000000003" customHeight="1" x14ac:dyDescent="0.25">
      <c r="A486" s="797"/>
      <c r="B486" s="568"/>
      <c r="C486" s="569" t="s">
        <v>321</v>
      </c>
      <c r="D486" s="570" t="s">
        <v>263</v>
      </c>
      <c r="E486" s="571" t="s">
        <v>263</v>
      </c>
    </row>
    <row r="487" spans="1:5" ht="39.950000000000003" customHeight="1" x14ac:dyDescent="0.25">
      <c r="A487" s="797"/>
      <c r="B487" s="568"/>
      <c r="C487" s="569" t="s">
        <v>322</v>
      </c>
      <c r="D487" s="570" t="s">
        <v>263</v>
      </c>
      <c r="E487" s="571" t="s">
        <v>263</v>
      </c>
    </row>
    <row r="488" spans="1:5" ht="39.950000000000003" customHeight="1" x14ac:dyDescent="0.25">
      <c r="A488" s="797"/>
      <c r="B488" s="568"/>
      <c r="C488" s="569" t="s">
        <v>324</v>
      </c>
      <c r="D488" s="570" t="s">
        <v>263</v>
      </c>
      <c r="E488" s="571" t="s">
        <v>263</v>
      </c>
    </row>
    <row r="489" spans="1:5" ht="39.950000000000003" customHeight="1" x14ac:dyDescent="0.25">
      <c r="A489" s="797"/>
      <c r="B489" s="568"/>
      <c r="C489" s="569" t="s">
        <v>375</v>
      </c>
      <c r="D489" s="570" t="s">
        <v>263</v>
      </c>
      <c r="E489" s="571" t="s">
        <v>263</v>
      </c>
    </row>
    <row r="490" spans="1:5" ht="39.950000000000003" customHeight="1" x14ac:dyDescent="0.25">
      <c r="A490" s="797"/>
      <c r="B490" s="568"/>
      <c r="C490" s="569" t="s">
        <v>376</v>
      </c>
      <c r="D490" s="570" t="s">
        <v>263</v>
      </c>
      <c r="E490" s="571" t="s">
        <v>263</v>
      </c>
    </row>
    <row r="491" spans="1:5" ht="39.950000000000003" customHeight="1" x14ac:dyDescent="0.25">
      <c r="A491" s="797"/>
      <c r="B491" s="568"/>
      <c r="C491" s="569" t="s">
        <v>328</v>
      </c>
      <c r="D491" s="570" t="s">
        <v>263</v>
      </c>
      <c r="E491" s="571" t="s">
        <v>263</v>
      </c>
    </row>
    <row r="492" spans="1:5" ht="39.950000000000003" customHeight="1" x14ac:dyDescent="0.25">
      <c r="A492" s="797"/>
      <c r="B492" s="568"/>
      <c r="C492" s="569" t="s">
        <v>329</v>
      </c>
      <c r="D492" s="570" t="s">
        <v>263</v>
      </c>
      <c r="E492" s="571" t="s">
        <v>263</v>
      </c>
    </row>
    <row r="493" spans="1:5" ht="39.950000000000003" customHeight="1" x14ac:dyDescent="0.25">
      <c r="A493" s="797"/>
      <c r="B493" s="568"/>
      <c r="C493" s="569" t="s">
        <v>330</v>
      </c>
      <c r="D493" s="570" t="s">
        <v>263</v>
      </c>
      <c r="E493" s="571" t="s">
        <v>263</v>
      </c>
    </row>
    <row r="494" spans="1:5" ht="39.950000000000003" customHeight="1" x14ac:dyDescent="0.25">
      <c r="A494" s="797"/>
      <c r="B494" s="568"/>
      <c r="C494" s="569" t="s">
        <v>331</v>
      </c>
      <c r="D494" s="570" t="s">
        <v>263</v>
      </c>
      <c r="E494" s="571" t="s">
        <v>263</v>
      </c>
    </row>
    <row r="495" spans="1:5" ht="39.950000000000003" customHeight="1" x14ac:dyDescent="0.25">
      <c r="A495" s="797"/>
      <c r="B495" s="568"/>
      <c r="C495" s="569" t="s">
        <v>290</v>
      </c>
      <c r="D495" s="570" t="s">
        <v>286</v>
      </c>
      <c r="E495" s="571">
        <v>387</v>
      </c>
    </row>
    <row r="496" spans="1:5" ht="39.950000000000003" customHeight="1" x14ac:dyDescent="0.25">
      <c r="A496" s="797"/>
      <c r="B496" s="568"/>
      <c r="C496" s="569" t="s">
        <v>291</v>
      </c>
      <c r="D496" s="570" t="s">
        <v>292</v>
      </c>
      <c r="E496" s="571">
        <v>193.5</v>
      </c>
    </row>
    <row r="497" spans="1:5" ht="39.950000000000003" customHeight="1" x14ac:dyDescent="0.25">
      <c r="A497" s="797"/>
      <c r="B497" s="568"/>
      <c r="C497" s="569" t="s">
        <v>293</v>
      </c>
      <c r="D497" s="570" t="s">
        <v>294</v>
      </c>
      <c r="E497" s="571" t="s">
        <v>560</v>
      </c>
    </row>
    <row r="498" spans="1:5" ht="39.950000000000003" customHeight="1" x14ac:dyDescent="0.25">
      <c r="A498" s="797"/>
      <c r="B498" s="568"/>
      <c r="C498" s="569" t="s">
        <v>295</v>
      </c>
      <c r="D498" s="570" t="s">
        <v>296</v>
      </c>
      <c r="E498" s="571">
        <v>580.5</v>
      </c>
    </row>
    <row r="499" spans="1:5" ht="39.950000000000003" customHeight="1" x14ac:dyDescent="0.25">
      <c r="A499" s="797"/>
      <c r="B499" s="568"/>
      <c r="C499" s="569" t="s">
        <v>334</v>
      </c>
      <c r="D499" s="570" t="s">
        <v>263</v>
      </c>
      <c r="E499" s="571" t="s">
        <v>263</v>
      </c>
    </row>
    <row r="500" spans="1:5" ht="39.950000000000003" customHeight="1" x14ac:dyDescent="0.25">
      <c r="A500" s="797"/>
      <c r="B500" s="568"/>
      <c r="C500" s="569" t="s">
        <v>335</v>
      </c>
      <c r="D500" s="570" t="s">
        <v>263</v>
      </c>
      <c r="E500" s="571" t="s">
        <v>263</v>
      </c>
    </row>
    <row r="501" spans="1:5" ht="39.950000000000003" customHeight="1" x14ac:dyDescent="0.25">
      <c r="A501" s="797"/>
      <c r="B501" s="568"/>
      <c r="C501" s="569" t="s">
        <v>297</v>
      </c>
      <c r="D501" s="570" t="s">
        <v>298</v>
      </c>
      <c r="E501" s="571">
        <v>967.5</v>
      </c>
    </row>
    <row r="502" spans="1:5" ht="39.950000000000003" customHeight="1" x14ac:dyDescent="0.25">
      <c r="A502" s="797"/>
      <c r="B502" s="568"/>
      <c r="C502" s="569" t="s">
        <v>285</v>
      </c>
      <c r="D502" s="570" t="s">
        <v>286</v>
      </c>
      <c r="E502" s="571">
        <v>387</v>
      </c>
    </row>
    <row r="503" spans="1:5" ht="39.950000000000003" customHeight="1" x14ac:dyDescent="0.25">
      <c r="A503" s="797"/>
      <c r="B503" s="568"/>
      <c r="C503" s="569" t="s">
        <v>287</v>
      </c>
      <c r="D503" s="570" t="s">
        <v>286</v>
      </c>
      <c r="E503" s="571">
        <v>387</v>
      </c>
    </row>
    <row r="504" spans="1:5" ht="39.950000000000003" customHeight="1" x14ac:dyDescent="0.25">
      <c r="A504" s="797"/>
      <c r="B504" s="568"/>
      <c r="C504" s="569" t="s">
        <v>288</v>
      </c>
      <c r="D504" s="570" t="s">
        <v>289</v>
      </c>
      <c r="E504" s="571" t="s">
        <v>561</v>
      </c>
    </row>
    <row r="505" spans="1:5" ht="39.950000000000003" customHeight="1" x14ac:dyDescent="0.25">
      <c r="A505" s="797"/>
      <c r="B505" s="568"/>
      <c r="C505" s="569" t="s">
        <v>299</v>
      </c>
      <c r="D505" s="570" t="s">
        <v>300</v>
      </c>
      <c r="E505" s="571" t="s">
        <v>562</v>
      </c>
    </row>
    <row r="506" spans="1:5" ht="39.950000000000003" customHeight="1" x14ac:dyDescent="0.25">
      <c r="A506" s="797"/>
      <c r="B506" s="568"/>
      <c r="C506" s="569" t="s">
        <v>301</v>
      </c>
      <c r="D506" s="570" t="s">
        <v>302</v>
      </c>
      <c r="E506" s="571" t="s">
        <v>563</v>
      </c>
    </row>
    <row r="507" spans="1:5" ht="39.950000000000003" customHeight="1" x14ac:dyDescent="0.25">
      <c r="A507" s="797"/>
      <c r="B507" s="568"/>
      <c r="C507" s="569" t="s">
        <v>303</v>
      </c>
      <c r="D507" s="570" t="s">
        <v>304</v>
      </c>
      <c r="E507" s="571">
        <v>290.25</v>
      </c>
    </row>
    <row r="508" spans="1:5" ht="39.950000000000003" customHeight="1" x14ac:dyDescent="0.25">
      <c r="A508" s="797"/>
      <c r="B508" s="568"/>
      <c r="C508" s="569" t="s">
        <v>305</v>
      </c>
      <c r="D508" s="570" t="s">
        <v>306</v>
      </c>
      <c r="E508" s="571">
        <v>483.75</v>
      </c>
    </row>
    <row r="509" spans="1:5" ht="39.950000000000003" customHeight="1" x14ac:dyDescent="0.25">
      <c r="A509" s="797"/>
      <c r="B509" s="568"/>
      <c r="C509" s="569" t="s">
        <v>307</v>
      </c>
      <c r="D509" s="570" t="s">
        <v>308</v>
      </c>
      <c r="E509" s="571" t="s">
        <v>564</v>
      </c>
    </row>
    <row r="510" spans="1:5" ht="39.950000000000003" customHeight="1" x14ac:dyDescent="0.25">
      <c r="A510" s="797"/>
      <c r="B510" s="568"/>
      <c r="C510" s="569" t="s">
        <v>309</v>
      </c>
      <c r="D510" s="570" t="s">
        <v>306</v>
      </c>
      <c r="E510" s="571">
        <v>483.75</v>
      </c>
    </row>
    <row r="511" spans="1:5" ht="39.950000000000003" customHeight="1" x14ac:dyDescent="0.25">
      <c r="A511" s="797"/>
      <c r="B511" s="568"/>
      <c r="C511" s="569" t="s">
        <v>310</v>
      </c>
      <c r="D511" s="570" t="s">
        <v>304</v>
      </c>
      <c r="E511" s="571">
        <v>290.25</v>
      </c>
    </row>
    <row r="512" spans="1:5" ht="39.950000000000003" customHeight="1" x14ac:dyDescent="0.25">
      <c r="A512" s="798"/>
      <c r="B512" s="568"/>
      <c r="C512" s="569" t="s">
        <v>311</v>
      </c>
      <c r="D512" s="570" t="s">
        <v>312</v>
      </c>
      <c r="E512" s="571"/>
    </row>
    <row r="513" spans="1:5" ht="39.950000000000003" customHeight="1" x14ac:dyDescent="0.25">
      <c r="A513" s="796">
        <v>22</v>
      </c>
      <c r="B513" s="564" t="s">
        <v>385</v>
      </c>
      <c r="C513" s="565" t="s">
        <v>372</v>
      </c>
      <c r="D513" s="566" t="s">
        <v>570</v>
      </c>
      <c r="E513" s="567" t="s">
        <v>571</v>
      </c>
    </row>
    <row r="514" spans="1:5" ht="39.950000000000003" customHeight="1" x14ac:dyDescent="0.25">
      <c r="A514" s="797"/>
      <c r="B514" s="568"/>
      <c r="C514" s="569" t="s">
        <v>283</v>
      </c>
      <c r="D514" s="570" t="s">
        <v>373</v>
      </c>
      <c r="E514" s="571" t="s">
        <v>263</v>
      </c>
    </row>
    <row r="515" spans="1:5" ht="39.950000000000003" customHeight="1" x14ac:dyDescent="0.25">
      <c r="A515" s="797"/>
      <c r="B515" s="568"/>
      <c r="C515" s="569" t="s">
        <v>378</v>
      </c>
      <c r="D515" s="570" t="s">
        <v>379</v>
      </c>
      <c r="E515" s="571" t="s">
        <v>263</v>
      </c>
    </row>
    <row r="516" spans="1:5" ht="66" customHeight="1" x14ac:dyDescent="0.25">
      <c r="A516" s="797"/>
      <c r="B516" s="568"/>
      <c r="C516" s="569" t="s">
        <v>374</v>
      </c>
      <c r="D516" s="570" t="s">
        <v>380</v>
      </c>
      <c r="E516" s="571" t="s">
        <v>263</v>
      </c>
    </row>
    <row r="517" spans="1:5" ht="39.950000000000003" customHeight="1" x14ac:dyDescent="0.25">
      <c r="A517" s="797"/>
      <c r="B517" s="568"/>
      <c r="C517" s="569" t="s">
        <v>320</v>
      </c>
      <c r="D517" s="570" t="s">
        <v>263</v>
      </c>
      <c r="E517" s="571" t="s">
        <v>263</v>
      </c>
    </row>
    <row r="518" spans="1:5" ht="39.950000000000003" customHeight="1" x14ac:dyDescent="0.25">
      <c r="A518" s="797"/>
      <c r="B518" s="568"/>
      <c r="C518" s="569" t="s">
        <v>321</v>
      </c>
      <c r="D518" s="570" t="s">
        <v>263</v>
      </c>
      <c r="E518" s="571" t="s">
        <v>263</v>
      </c>
    </row>
    <row r="519" spans="1:5" ht="39.950000000000003" customHeight="1" x14ac:dyDescent="0.25">
      <c r="A519" s="797"/>
      <c r="B519" s="568"/>
      <c r="C519" s="569" t="s">
        <v>322</v>
      </c>
      <c r="D519" s="570" t="s">
        <v>263</v>
      </c>
      <c r="E519" s="571" t="s">
        <v>263</v>
      </c>
    </row>
    <row r="520" spans="1:5" ht="39.950000000000003" customHeight="1" x14ac:dyDescent="0.25">
      <c r="A520" s="797"/>
      <c r="B520" s="568"/>
      <c r="C520" s="569" t="s">
        <v>324</v>
      </c>
      <c r="D520" s="570" t="s">
        <v>263</v>
      </c>
      <c r="E520" s="571" t="s">
        <v>263</v>
      </c>
    </row>
    <row r="521" spans="1:5" ht="39.950000000000003" customHeight="1" x14ac:dyDescent="0.25">
      <c r="A521" s="797"/>
      <c r="B521" s="568"/>
      <c r="C521" s="569" t="s">
        <v>375</v>
      </c>
      <c r="D521" s="570" t="s">
        <v>263</v>
      </c>
      <c r="E521" s="571" t="s">
        <v>263</v>
      </c>
    </row>
    <row r="522" spans="1:5" ht="39.950000000000003" customHeight="1" x14ac:dyDescent="0.25">
      <c r="A522" s="797"/>
      <c r="B522" s="568"/>
      <c r="C522" s="569" t="s">
        <v>376</v>
      </c>
      <c r="D522" s="570" t="s">
        <v>263</v>
      </c>
      <c r="E522" s="571" t="s">
        <v>263</v>
      </c>
    </row>
    <row r="523" spans="1:5" ht="39.950000000000003" customHeight="1" x14ac:dyDescent="0.25">
      <c r="A523" s="797"/>
      <c r="B523" s="568"/>
      <c r="C523" s="569" t="s">
        <v>328</v>
      </c>
      <c r="D523" s="570" t="s">
        <v>263</v>
      </c>
      <c r="E523" s="571" t="s">
        <v>263</v>
      </c>
    </row>
    <row r="524" spans="1:5" ht="39.950000000000003" customHeight="1" x14ac:dyDescent="0.25">
      <c r="A524" s="797"/>
      <c r="B524" s="568"/>
      <c r="C524" s="569" t="s">
        <v>329</v>
      </c>
      <c r="D524" s="570" t="s">
        <v>263</v>
      </c>
      <c r="E524" s="571" t="s">
        <v>263</v>
      </c>
    </row>
    <row r="525" spans="1:5" ht="39.950000000000003" customHeight="1" x14ac:dyDescent="0.25">
      <c r="A525" s="797"/>
      <c r="B525" s="568"/>
      <c r="C525" s="569" t="s">
        <v>330</v>
      </c>
      <c r="D525" s="570" t="s">
        <v>263</v>
      </c>
      <c r="E525" s="571" t="s">
        <v>263</v>
      </c>
    </row>
    <row r="526" spans="1:5" ht="39.950000000000003" customHeight="1" x14ac:dyDescent="0.25">
      <c r="A526" s="797"/>
      <c r="B526" s="568"/>
      <c r="C526" s="569" t="s">
        <v>331</v>
      </c>
      <c r="D526" s="570" t="s">
        <v>263</v>
      </c>
      <c r="E526" s="571" t="s">
        <v>263</v>
      </c>
    </row>
    <row r="527" spans="1:5" ht="39.950000000000003" customHeight="1" x14ac:dyDescent="0.25">
      <c r="A527" s="797"/>
      <c r="B527" s="568"/>
      <c r="C527" s="569" t="s">
        <v>290</v>
      </c>
      <c r="D527" s="570" t="s">
        <v>286</v>
      </c>
      <c r="E527" s="571">
        <v>232.2</v>
      </c>
    </row>
    <row r="528" spans="1:5" ht="39.950000000000003" customHeight="1" x14ac:dyDescent="0.25">
      <c r="A528" s="797"/>
      <c r="B528" s="568"/>
      <c r="C528" s="569" t="s">
        <v>291</v>
      </c>
      <c r="D528" s="570" t="s">
        <v>292</v>
      </c>
      <c r="E528" s="571">
        <v>116.1</v>
      </c>
    </row>
    <row r="529" spans="1:5" ht="39.950000000000003" customHeight="1" x14ac:dyDescent="0.25">
      <c r="A529" s="797"/>
      <c r="B529" s="568"/>
      <c r="C529" s="569" t="s">
        <v>293</v>
      </c>
      <c r="D529" s="570" t="s">
        <v>294</v>
      </c>
      <c r="E529" s="571" t="s">
        <v>572</v>
      </c>
    </row>
    <row r="530" spans="1:5" ht="39.950000000000003" customHeight="1" x14ac:dyDescent="0.25">
      <c r="A530" s="797"/>
      <c r="B530" s="568"/>
      <c r="C530" s="569" t="s">
        <v>295</v>
      </c>
      <c r="D530" s="570" t="s">
        <v>296</v>
      </c>
      <c r="E530" s="571">
        <v>348.3</v>
      </c>
    </row>
    <row r="531" spans="1:5" ht="39.950000000000003" customHeight="1" x14ac:dyDescent="0.25">
      <c r="A531" s="797"/>
      <c r="B531" s="568"/>
      <c r="C531" s="569" t="s">
        <v>334</v>
      </c>
      <c r="D531" s="570" t="s">
        <v>263</v>
      </c>
      <c r="E531" s="571" t="s">
        <v>263</v>
      </c>
    </row>
    <row r="532" spans="1:5" ht="39.950000000000003" customHeight="1" x14ac:dyDescent="0.25">
      <c r="A532" s="797"/>
      <c r="B532" s="568"/>
      <c r="C532" s="569" t="s">
        <v>335</v>
      </c>
      <c r="D532" s="570" t="s">
        <v>263</v>
      </c>
      <c r="E532" s="571" t="s">
        <v>263</v>
      </c>
    </row>
    <row r="533" spans="1:5" ht="39.950000000000003" customHeight="1" x14ac:dyDescent="0.25">
      <c r="A533" s="797"/>
      <c r="B533" s="568"/>
      <c r="C533" s="569" t="s">
        <v>297</v>
      </c>
      <c r="D533" s="570" t="s">
        <v>298</v>
      </c>
      <c r="E533" s="571">
        <v>580.5</v>
      </c>
    </row>
    <row r="534" spans="1:5" ht="39.950000000000003" customHeight="1" x14ac:dyDescent="0.25">
      <c r="A534" s="797"/>
      <c r="B534" s="568"/>
      <c r="C534" s="569" t="s">
        <v>285</v>
      </c>
      <c r="D534" s="570" t="s">
        <v>286</v>
      </c>
      <c r="E534" s="571">
        <v>232.2</v>
      </c>
    </row>
    <row r="535" spans="1:5" ht="39.950000000000003" customHeight="1" x14ac:dyDescent="0.25">
      <c r="A535" s="797"/>
      <c r="B535" s="568"/>
      <c r="C535" s="569" t="s">
        <v>287</v>
      </c>
      <c r="D535" s="570" t="s">
        <v>286</v>
      </c>
      <c r="E535" s="571">
        <v>232.2</v>
      </c>
    </row>
    <row r="536" spans="1:5" ht="39.950000000000003" customHeight="1" x14ac:dyDescent="0.25">
      <c r="A536" s="797"/>
      <c r="B536" s="568"/>
      <c r="C536" s="569" t="s">
        <v>288</v>
      </c>
      <c r="D536" s="570" t="s">
        <v>289</v>
      </c>
      <c r="E536" s="571">
        <v>696.6</v>
      </c>
    </row>
    <row r="537" spans="1:5" ht="39.950000000000003" customHeight="1" x14ac:dyDescent="0.25">
      <c r="A537" s="797"/>
      <c r="B537" s="568"/>
      <c r="C537" s="569" t="s">
        <v>299</v>
      </c>
      <c r="D537" s="570" t="s">
        <v>300</v>
      </c>
      <c r="E537" s="571" t="s">
        <v>573</v>
      </c>
    </row>
    <row r="538" spans="1:5" ht="39.950000000000003" customHeight="1" x14ac:dyDescent="0.25">
      <c r="A538" s="797"/>
      <c r="B538" s="568"/>
      <c r="C538" s="569" t="s">
        <v>301</v>
      </c>
      <c r="D538" s="570" t="s">
        <v>302</v>
      </c>
      <c r="E538" s="571" t="s">
        <v>574</v>
      </c>
    </row>
    <row r="539" spans="1:5" ht="39.950000000000003" customHeight="1" x14ac:dyDescent="0.25">
      <c r="A539" s="797"/>
      <c r="B539" s="568"/>
      <c r="C539" s="569" t="s">
        <v>303</v>
      </c>
      <c r="D539" s="570" t="s">
        <v>304</v>
      </c>
      <c r="E539" s="571">
        <v>174.15</v>
      </c>
    </row>
    <row r="540" spans="1:5" ht="39.950000000000003" customHeight="1" x14ac:dyDescent="0.25">
      <c r="A540" s="797"/>
      <c r="B540" s="568"/>
      <c r="C540" s="569" t="s">
        <v>305</v>
      </c>
      <c r="D540" s="570" t="s">
        <v>306</v>
      </c>
      <c r="E540" s="571">
        <v>290.25</v>
      </c>
    </row>
    <row r="541" spans="1:5" ht="39.950000000000003" customHeight="1" x14ac:dyDescent="0.25">
      <c r="A541" s="797"/>
      <c r="B541" s="568"/>
      <c r="C541" s="569" t="s">
        <v>307</v>
      </c>
      <c r="D541" s="570" t="s">
        <v>308</v>
      </c>
      <c r="E541" s="571" t="s">
        <v>561</v>
      </c>
    </row>
    <row r="542" spans="1:5" ht="39.950000000000003" customHeight="1" x14ac:dyDescent="0.25">
      <c r="A542" s="797"/>
      <c r="B542" s="568"/>
      <c r="C542" s="569" t="s">
        <v>309</v>
      </c>
      <c r="D542" s="570" t="s">
        <v>306</v>
      </c>
      <c r="E542" s="571">
        <v>290.25</v>
      </c>
    </row>
    <row r="543" spans="1:5" ht="39.950000000000003" customHeight="1" x14ac:dyDescent="0.25">
      <c r="A543" s="797"/>
      <c r="B543" s="568"/>
      <c r="C543" s="569" t="s">
        <v>310</v>
      </c>
      <c r="D543" s="570" t="s">
        <v>304</v>
      </c>
      <c r="E543" s="571">
        <v>174.15</v>
      </c>
    </row>
    <row r="544" spans="1:5" ht="39.950000000000003" customHeight="1" x14ac:dyDescent="0.25">
      <c r="A544" s="798"/>
      <c r="B544" s="568"/>
      <c r="C544" s="569" t="s">
        <v>311</v>
      </c>
      <c r="D544" s="570" t="s">
        <v>312</v>
      </c>
      <c r="E544" s="571"/>
    </row>
    <row r="545" spans="1:5" ht="39.950000000000003" customHeight="1" x14ac:dyDescent="0.25">
      <c r="A545" s="796">
        <v>23</v>
      </c>
      <c r="B545" s="564" t="s">
        <v>386</v>
      </c>
      <c r="C545" s="565" t="s">
        <v>372</v>
      </c>
      <c r="D545" s="566" t="s">
        <v>566</v>
      </c>
      <c r="E545" s="567" t="s">
        <v>559</v>
      </c>
    </row>
    <row r="546" spans="1:5" ht="39.950000000000003" customHeight="1" x14ac:dyDescent="0.25">
      <c r="A546" s="797"/>
      <c r="B546" s="568"/>
      <c r="C546" s="569" t="s">
        <v>283</v>
      </c>
      <c r="D546" s="570" t="s">
        <v>373</v>
      </c>
      <c r="E546" s="571" t="s">
        <v>263</v>
      </c>
    </row>
    <row r="547" spans="1:5" ht="75" customHeight="1" x14ac:dyDescent="0.25">
      <c r="A547" s="797"/>
      <c r="B547" s="568"/>
      <c r="C547" s="569" t="s">
        <v>374</v>
      </c>
      <c r="D547" s="570" t="s">
        <v>380</v>
      </c>
      <c r="E547" s="571" t="s">
        <v>263</v>
      </c>
    </row>
    <row r="548" spans="1:5" ht="39.950000000000003" customHeight="1" x14ac:dyDescent="0.25">
      <c r="A548" s="797"/>
      <c r="B548" s="568"/>
      <c r="C548" s="569" t="s">
        <v>320</v>
      </c>
      <c r="D548" s="570" t="s">
        <v>263</v>
      </c>
      <c r="E548" s="571" t="s">
        <v>263</v>
      </c>
    </row>
    <row r="549" spans="1:5" ht="39.950000000000003" customHeight="1" x14ac:dyDescent="0.25">
      <c r="A549" s="797"/>
      <c r="B549" s="568"/>
      <c r="C549" s="569" t="s">
        <v>321</v>
      </c>
      <c r="D549" s="570" t="s">
        <v>263</v>
      </c>
      <c r="E549" s="571" t="s">
        <v>263</v>
      </c>
    </row>
    <row r="550" spans="1:5" ht="39.950000000000003" customHeight="1" x14ac:dyDescent="0.25">
      <c r="A550" s="797"/>
      <c r="B550" s="568"/>
      <c r="C550" s="569" t="s">
        <v>322</v>
      </c>
      <c r="D550" s="570" t="s">
        <v>263</v>
      </c>
      <c r="E550" s="571" t="s">
        <v>263</v>
      </c>
    </row>
    <row r="551" spans="1:5" ht="39.950000000000003" customHeight="1" x14ac:dyDescent="0.25">
      <c r="A551" s="797"/>
      <c r="B551" s="568"/>
      <c r="C551" s="569" t="s">
        <v>324</v>
      </c>
      <c r="D551" s="570" t="s">
        <v>263</v>
      </c>
      <c r="E551" s="571" t="s">
        <v>263</v>
      </c>
    </row>
    <row r="552" spans="1:5" ht="39.950000000000003" customHeight="1" x14ac:dyDescent="0.25">
      <c r="A552" s="797"/>
      <c r="B552" s="568"/>
      <c r="C552" s="569" t="s">
        <v>375</v>
      </c>
      <c r="D552" s="570" t="s">
        <v>263</v>
      </c>
      <c r="E552" s="571" t="s">
        <v>263</v>
      </c>
    </row>
    <row r="553" spans="1:5" ht="39.950000000000003" customHeight="1" x14ac:dyDescent="0.25">
      <c r="A553" s="797"/>
      <c r="B553" s="568"/>
      <c r="C553" s="569" t="s">
        <v>376</v>
      </c>
      <c r="D553" s="570" t="s">
        <v>263</v>
      </c>
      <c r="E553" s="571" t="s">
        <v>263</v>
      </c>
    </row>
    <row r="554" spans="1:5" ht="39.950000000000003" customHeight="1" x14ac:dyDescent="0.25">
      <c r="A554" s="797"/>
      <c r="B554" s="568"/>
      <c r="C554" s="569" t="s">
        <v>328</v>
      </c>
      <c r="D554" s="570" t="s">
        <v>263</v>
      </c>
      <c r="E554" s="571" t="s">
        <v>263</v>
      </c>
    </row>
    <row r="555" spans="1:5" ht="39.950000000000003" customHeight="1" x14ac:dyDescent="0.25">
      <c r="A555" s="797"/>
      <c r="B555" s="568"/>
      <c r="C555" s="569" t="s">
        <v>329</v>
      </c>
      <c r="D555" s="570" t="s">
        <v>263</v>
      </c>
      <c r="E555" s="571" t="s">
        <v>263</v>
      </c>
    </row>
    <row r="556" spans="1:5" ht="39.950000000000003" customHeight="1" x14ac:dyDescent="0.25">
      <c r="A556" s="797"/>
      <c r="B556" s="568"/>
      <c r="C556" s="569" t="s">
        <v>330</v>
      </c>
      <c r="D556" s="570" t="s">
        <v>263</v>
      </c>
      <c r="E556" s="571" t="s">
        <v>263</v>
      </c>
    </row>
    <row r="557" spans="1:5" ht="39.950000000000003" customHeight="1" x14ac:dyDescent="0.25">
      <c r="A557" s="797"/>
      <c r="B557" s="568"/>
      <c r="C557" s="569" t="s">
        <v>331</v>
      </c>
      <c r="D557" s="570" t="s">
        <v>263</v>
      </c>
      <c r="E557" s="571" t="s">
        <v>263</v>
      </c>
    </row>
    <row r="558" spans="1:5" ht="39.950000000000003" customHeight="1" x14ac:dyDescent="0.25">
      <c r="A558" s="797"/>
      <c r="B558" s="568"/>
      <c r="C558" s="569" t="s">
        <v>290</v>
      </c>
      <c r="D558" s="570" t="s">
        <v>286</v>
      </c>
      <c r="E558" s="571">
        <v>387</v>
      </c>
    </row>
    <row r="559" spans="1:5" ht="39.950000000000003" customHeight="1" x14ac:dyDescent="0.25">
      <c r="A559" s="797"/>
      <c r="B559" s="568"/>
      <c r="C559" s="569" t="s">
        <v>291</v>
      </c>
      <c r="D559" s="570" t="s">
        <v>292</v>
      </c>
      <c r="E559" s="571">
        <v>193.5</v>
      </c>
    </row>
    <row r="560" spans="1:5" ht="39.950000000000003" customHeight="1" x14ac:dyDescent="0.25">
      <c r="A560" s="797"/>
      <c r="B560" s="568"/>
      <c r="C560" s="569" t="s">
        <v>293</v>
      </c>
      <c r="D560" s="570" t="s">
        <v>294</v>
      </c>
      <c r="E560" s="571" t="s">
        <v>560</v>
      </c>
    </row>
    <row r="561" spans="1:5" ht="39.950000000000003" customHeight="1" x14ac:dyDescent="0.25">
      <c r="A561" s="797"/>
      <c r="B561" s="568"/>
      <c r="C561" s="569" t="s">
        <v>295</v>
      </c>
      <c r="D561" s="570" t="s">
        <v>296</v>
      </c>
      <c r="E561" s="571">
        <v>580.5</v>
      </c>
    </row>
    <row r="562" spans="1:5" ht="39.950000000000003" customHeight="1" x14ac:dyDescent="0.25">
      <c r="A562" s="797"/>
      <c r="B562" s="568"/>
      <c r="C562" s="569" t="s">
        <v>334</v>
      </c>
      <c r="D562" s="570" t="s">
        <v>263</v>
      </c>
      <c r="E562" s="571" t="s">
        <v>263</v>
      </c>
    </row>
    <row r="563" spans="1:5" ht="39.950000000000003" customHeight="1" x14ac:dyDescent="0.25">
      <c r="A563" s="797"/>
      <c r="B563" s="568"/>
      <c r="C563" s="569" t="s">
        <v>335</v>
      </c>
      <c r="D563" s="570" t="s">
        <v>263</v>
      </c>
      <c r="E563" s="571" t="s">
        <v>263</v>
      </c>
    </row>
    <row r="564" spans="1:5" ht="39.950000000000003" customHeight="1" x14ac:dyDescent="0.25">
      <c r="A564" s="797"/>
      <c r="B564" s="568"/>
      <c r="C564" s="569" t="s">
        <v>297</v>
      </c>
      <c r="D564" s="570" t="s">
        <v>298</v>
      </c>
      <c r="E564" s="571">
        <v>967.5</v>
      </c>
    </row>
    <row r="565" spans="1:5" ht="39.950000000000003" customHeight="1" x14ac:dyDescent="0.25">
      <c r="A565" s="797"/>
      <c r="B565" s="568"/>
      <c r="C565" s="569" t="s">
        <v>285</v>
      </c>
      <c r="D565" s="570" t="s">
        <v>286</v>
      </c>
      <c r="E565" s="571">
        <v>387</v>
      </c>
    </row>
    <row r="566" spans="1:5" ht="39.950000000000003" customHeight="1" x14ac:dyDescent="0.25">
      <c r="A566" s="797"/>
      <c r="B566" s="568"/>
      <c r="C566" s="569" t="s">
        <v>287</v>
      </c>
      <c r="D566" s="570" t="s">
        <v>286</v>
      </c>
      <c r="E566" s="571">
        <v>387</v>
      </c>
    </row>
    <row r="567" spans="1:5" ht="39.950000000000003" customHeight="1" x14ac:dyDescent="0.25">
      <c r="A567" s="797"/>
      <c r="B567" s="568"/>
      <c r="C567" s="569" t="s">
        <v>288</v>
      </c>
      <c r="D567" s="570" t="s">
        <v>289</v>
      </c>
      <c r="E567" s="571" t="s">
        <v>561</v>
      </c>
    </row>
    <row r="568" spans="1:5" ht="39.950000000000003" customHeight="1" x14ac:dyDescent="0.25">
      <c r="A568" s="797"/>
      <c r="B568" s="568"/>
      <c r="C568" s="569" t="s">
        <v>299</v>
      </c>
      <c r="D568" s="570" t="s">
        <v>300</v>
      </c>
      <c r="E568" s="571" t="s">
        <v>562</v>
      </c>
    </row>
    <row r="569" spans="1:5" ht="39.950000000000003" customHeight="1" x14ac:dyDescent="0.25">
      <c r="A569" s="797"/>
      <c r="B569" s="568"/>
      <c r="C569" s="569" t="s">
        <v>301</v>
      </c>
      <c r="D569" s="570" t="s">
        <v>302</v>
      </c>
      <c r="E569" s="571" t="s">
        <v>563</v>
      </c>
    </row>
    <row r="570" spans="1:5" ht="39.950000000000003" customHeight="1" x14ac:dyDescent="0.25">
      <c r="A570" s="797"/>
      <c r="B570" s="568"/>
      <c r="C570" s="569" t="s">
        <v>303</v>
      </c>
      <c r="D570" s="570" t="s">
        <v>304</v>
      </c>
      <c r="E570" s="571">
        <v>290.25</v>
      </c>
    </row>
    <row r="571" spans="1:5" ht="39.950000000000003" customHeight="1" x14ac:dyDescent="0.25">
      <c r="A571" s="797"/>
      <c r="B571" s="568"/>
      <c r="C571" s="569" t="s">
        <v>305</v>
      </c>
      <c r="D571" s="570" t="s">
        <v>306</v>
      </c>
      <c r="E571" s="571">
        <v>483.75</v>
      </c>
    </row>
    <row r="572" spans="1:5" ht="39.950000000000003" customHeight="1" x14ac:dyDescent="0.25">
      <c r="A572" s="797"/>
      <c r="B572" s="568"/>
      <c r="C572" s="569" t="s">
        <v>307</v>
      </c>
      <c r="D572" s="570" t="s">
        <v>308</v>
      </c>
      <c r="E572" s="571" t="s">
        <v>564</v>
      </c>
    </row>
    <row r="573" spans="1:5" ht="39.950000000000003" customHeight="1" x14ac:dyDescent="0.25">
      <c r="A573" s="797"/>
      <c r="B573" s="568"/>
      <c r="C573" s="569" t="s">
        <v>309</v>
      </c>
      <c r="D573" s="570" t="s">
        <v>306</v>
      </c>
      <c r="E573" s="571">
        <v>483.75</v>
      </c>
    </row>
    <row r="574" spans="1:5" ht="39.950000000000003" customHeight="1" x14ac:dyDescent="0.25">
      <c r="A574" s="797"/>
      <c r="B574" s="568"/>
      <c r="C574" s="569" t="s">
        <v>310</v>
      </c>
      <c r="D574" s="570" t="s">
        <v>304</v>
      </c>
      <c r="E574" s="571">
        <v>290.25</v>
      </c>
    </row>
    <row r="575" spans="1:5" ht="39.950000000000003" customHeight="1" x14ac:dyDescent="0.25">
      <c r="A575" s="798"/>
      <c r="B575" s="568"/>
      <c r="C575" s="569" t="s">
        <v>311</v>
      </c>
      <c r="D575" s="570" t="s">
        <v>312</v>
      </c>
      <c r="E575" s="571"/>
    </row>
    <row r="576" spans="1:5" ht="39.950000000000003" customHeight="1" x14ac:dyDescent="0.25">
      <c r="A576" s="796">
        <v>24</v>
      </c>
      <c r="B576" s="564" t="s">
        <v>386</v>
      </c>
      <c r="C576" s="565" t="s">
        <v>372</v>
      </c>
      <c r="D576" s="566" t="s">
        <v>567</v>
      </c>
      <c r="E576" s="567" t="s">
        <v>568</v>
      </c>
    </row>
    <row r="577" spans="1:5" ht="39.950000000000003" customHeight="1" x14ac:dyDescent="0.25">
      <c r="A577" s="797"/>
      <c r="B577" s="568"/>
      <c r="C577" s="569" t="s">
        <v>283</v>
      </c>
      <c r="D577" s="570" t="s">
        <v>373</v>
      </c>
      <c r="E577" s="571" t="s">
        <v>263</v>
      </c>
    </row>
    <row r="578" spans="1:5" ht="39.950000000000003" customHeight="1" x14ac:dyDescent="0.25">
      <c r="A578" s="797"/>
      <c r="B578" s="568"/>
      <c r="C578" s="569" t="s">
        <v>378</v>
      </c>
      <c r="D578" s="570" t="s">
        <v>379</v>
      </c>
      <c r="E578" s="571" t="s">
        <v>263</v>
      </c>
    </row>
    <row r="579" spans="1:5" ht="70.5" customHeight="1" x14ac:dyDescent="0.25">
      <c r="A579" s="797"/>
      <c r="B579" s="568"/>
      <c r="C579" s="569" t="s">
        <v>374</v>
      </c>
      <c r="D579" s="570" t="s">
        <v>380</v>
      </c>
      <c r="E579" s="571" t="s">
        <v>263</v>
      </c>
    </row>
    <row r="580" spans="1:5" ht="39.950000000000003" customHeight="1" x14ac:dyDescent="0.25">
      <c r="A580" s="797"/>
      <c r="B580" s="568"/>
      <c r="C580" s="569" t="s">
        <v>320</v>
      </c>
      <c r="D580" s="570" t="s">
        <v>263</v>
      </c>
      <c r="E580" s="571" t="s">
        <v>263</v>
      </c>
    </row>
    <row r="581" spans="1:5" ht="39.950000000000003" customHeight="1" x14ac:dyDescent="0.25">
      <c r="A581" s="797"/>
      <c r="B581" s="568"/>
      <c r="C581" s="569" t="s">
        <v>321</v>
      </c>
      <c r="D581" s="570" t="s">
        <v>263</v>
      </c>
      <c r="E581" s="571" t="s">
        <v>263</v>
      </c>
    </row>
    <row r="582" spans="1:5" ht="39.950000000000003" customHeight="1" x14ac:dyDescent="0.25">
      <c r="A582" s="797"/>
      <c r="B582" s="568"/>
      <c r="C582" s="569" t="s">
        <v>322</v>
      </c>
      <c r="D582" s="570" t="s">
        <v>263</v>
      </c>
      <c r="E582" s="571" t="s">
        <v>263</v>
      </c>
    </row>
    <row r="583" spans="1:5" ht="39.950000000000003" customHeight="1" x14ac:dyDescent="0.25">
      <c r="A583" s="797"/>
      <c r="B583" s="568"/>
      <c r="C583" s="569" t="s">
        <v>324</v>
      </c>
      <c r="D583" s="570" t="s">
        <v>263</v>
      </c>
      <c r="E583" s="571" t="s">
        <v>263</v>
      </c>
    </row>
    <row r="584" spans="1:5" ht="39.950000000000003" customHeight="1" x14ac:dyDescent="0.25">
      <c r="A584" s="797"/>
      <c r="B584" s="568"/>
      <c r="C584" s="569" t="s">
        <v>375</v>
      </c>
      <c r="D584" s="570" t="s">
        <v>263</v>
      </c>
      <c r="E584" s="571" t="s">
        <v>263</v>
      </c>
    </row>
    <row r="585" spans="1:5" ht="39.950000000000003" customHeight="1" x14ac:dyDescent="0.25">
      <c r="A585" s="797"/>
      <c r="B585" s="568"/>
      <c r="C585" s="569" t="s">
        <v>376</v>
      </c>
      <c r="D585" s="570" t="s">
        <v>263</v>
      </c>
      <c r="E585" s="571" t="s">
        <v>263</v>
      </c>
    </row>
    <row r="586" spans="1:5" ht="39.950000000000003" customHeight="1" x14ac:dyDescent="0.25">
      <c r="A586" s="797"/>
      <c r="B586" s="568"/>
      <c r="C586" s="569" t="s">
        <v>328</v>
      </c>
      <c r="D586" s="570" t="s">
        <v>263</v>
      </c>
      <c r="E586" s="571" t="s">
        <v>263</v>
      </c>
    </row>
    <row r="587" spans="1:5" ht="39.950000000000003" customHeight="1" x14ac:dyDescent="0.25">
      <c r="A587" s="797"/>
      <c r="B587" s="568"/>
      <c r="C587" s="569" t="s">
        <v>329</v>
      </c>
      <c r="D587" s="570" t="s">
        <v>263</v>
      </c>
      <c r="E587" s="571" t="s">
        <v>263</v>
      </c>
    </row>
    <row r="588" spans="1:5" ht="39.950000000000003" customHeight="1" x14ac:dyDescent="0.25">
      <c r="A588" s="797"/>
      <c r="B588" s="568"/>
      <c r="C588" s="569" t="s">
        <v>330</v>
      </c>
      <c r="D588" s="570" t="s">
        <v>263</v>
      </c>
      <c r="E588" s="571" t="s">
        <v>263</v>
      </c>
    </row>
    <row r="589" spans="1:5" ht="39.950000000000003" customHeight="1" x14ac:dyDescent="0.25">
      <c r="A589" s="797"/>
      <c r="B589" s="568"/>
      <c r="C589" s="569" t="s">
        <v>331</v>
      </c>
      <c r="D589" s="570" t="s">
        <v>263</v>
      </c>
      <c r="E589" s="571" t="s">
        <v>263</v>
      </c>
    </row>
    <row r="590" spans="1:5" ht="39.950000000000003" customHeight="1" x14ac:dyDescent="0.25">
      <c r="A590" s="797"/>
      <c r="B590" s="568"/>
      <c r="C590" s="569" t="s">
        <v>290</v>
      </c>
      <c r="D590" s="570" t="s">
        <v>286</v>
      </c>
      <c r="E590" s="571">
        <v>77.400000000000006</v>
      </c>
    </row>
    <row r="591" spans="1:5" ht="39.950000000000003" customHeight="1" x14ac:dyDescent="0.25">
      <c r="A591" s="797"/>
      <c r="B591" s="568"/>
      <c r="C591" s="569" t="s">
        <v>291</v>
      </c>
      <c r="D591" s="570" t="s">
        <v>292</v>
      </c>
      <c r="E591" s="571">
        <v>38.700000000000003</v>
      </c>
    </row>
    <row r="592" spans="1:5" ht="39.950000000000003" customHeight="1" x14ac:dyDescent="0.25">
      <c r="A592" s="797"/>
      <c r="B592" s="568"/>
      <c r="C592" s="569" t="s">
        <v>293</v>
      </c>
      <c r="D592" s="570" t="s">
        <v>294</v>
      </c>
      <c r="E592" s="571">
        <v>348.3</v>
      </c>
    </row>
    <row r="593" spans="1:5" ht="39.950000000000003" customHeight="1" x14ac:dyDescent="0.25">
      <c r="A593" s="797"/>
      <c r="B593" s="568"/>
      <c r="C593" s="569" t="s">
        <v>295</v>
      </c>
      <c r="D593" s="570" t="s">
        <v>296</v>
      </c>
      <c r="E593" s="571">
        <v>116.1</v>
      </c>
    </row>
    <row r="594" spans="1:5" ht="39.950000000000003" customHeight="1" x14ac:dyDescent="0.25">
      <c r="A594" s="797"/>
      <c r="B594" s="568"/>
      <c r="C594" s="569" t="s">
        <v>334</v>
      </c>
      <c r="D594" s="570" t="s">
        <v>263</v>
      </c>
      <c r="E594" s="571" t="s">
        <v>263</v>
      </c>
    </row>
    <row r="595" spans="1:5" ht="39.950000000000003" customHeight="1" x14ac:dyDescent="0.25">
      <c r="A595" s="797"/>
      <c r="B595" s="568"/>
      <c r="C595" s="569" t="s">
        <v>335</v>
      </c>
      <c r="D595" s="570" t="s">
        <v>263</v>
      </c>
      <c r="E595" s="571" t="s">
        <v>263</v>
      </c>
    </row>
    <row r="596" spans="1:5" ht="39.950000000000003" customHeight="1" x14ac:dyDescent="0.25">
      <c r="A596" s="797"/>
      <c r="B596" s="568"/>
      <c r="C596" s="569" t="s">
        <v>297</v>
      </c>
      <c r="D596" s="570" t="s">
        <v>298</v>
      </c>
      <c r="E596" s="571">
        <v>193.5</v>
      </c>
    </row>
    <row r="597" spans="1:5" ht="39.950000000000003" customHeight="1" x14ac:dyDescent="0.25">
      <c r="A597" s="797"/>
      <c r="B597" s="568"/>
      <c r="C597" s="569" t="s">
        <v>285</v>
      </c>
      <c r="D597" s="570" t="s">
        <v>286</v>
      </c>
      <c r="E597" s="571">
        <v>77.400000000000006</v>
      </c>
    </row>
    <row r="598" spans="1:5" ht="39.950000000000003" customHeight="1" x14ac:dyDescent="0.25">
      <c r="A598" s="797"/>
      <c r="B598" s="568"/>
      <c r="C598" s="569" t="s">
        <v>287</v>
      </c>
      <c r="D598" s="570" t="s">
        <v>286</v>
      </c>
      <c r="E598" s="571">
        <v>77.400000000000006</v>
      </c>
    </row>
    <row r="599" spans="1:5" ht="39.950000000000003" customHeight="1" x14ac:dyDescent="0.25">
      <c r="A599" s="797"/>
      <c r="B599" s="568"/>
      <c r="C599" s="569" t="s">
        <v>288</v>
      </c>
      <c r="D599" s="570" t="s">
        <v>289</v>
      </c>
      <c r="E599" s="571">
        <v>232.2</v>
      </c>
    </row>
    <row r="600" spans="1:5" ht="39.950000000000003" customHeight="1" x14ac:dyDescent="0.25">
      <c r="A600" s="797"/>
      <c r="B600" s="568"/>
      <c r="C600" s="569" t="s">
        <v>299</v>
      </c>
      <c r="D600" s="570" t="s">
        <v>300</v>
      </c>
      <c r="E600" s="571">
        <v>948.15</v>
      </c>
    </row>
    <row r="601" spans="1:5" ht="39.950000000000003" customHeight="1" x14ac:dyDescent="0.25">
      <c r="A601" s="797"/>
      <c r="B601" s="568"/>
      <c r="C601" s="569" t="s">
        <v>301</v>
      </c>
      <c r="D601" s="570" t="s">
        <v>302</v>
      </c>
      <c r="E601" s="571" t="s">
        <v>569</v>
      </c>
    </row>
    <row r="602" spans="1:5" ht="39.950000000000003" customHeight="1" x14ac:dyDescent="0.25">
      <c r="A602" s="797"/>
      <c r="B602" s="568"/>
      <c r="C602" s="569" t="s">
        <v>303</v>
      </c>
      <c r="D602" s="570" t="s">
        <v>304</v>
      </c>
      <c r="E602" s="571">
        <v>58.05</v>
      </c>
    </row>
    <row r="603" spans="1:5" ht="39.950000000000003" customHeight="1" x14ac:dyDescent="0.25">
      <c r="A603" s="797"/>
      <c r="B603" s="568"/>
      <c r="C603" s="569" t="s">
        <v>305</v>
      </c>
      <c r="D603" s="570" t="s">
        <v>306</v>
      </c>
      <c r="E603" s="571">
        <v>96.75</v>
      </c>
    </row>
    <row r="604" spans="1:5" ht="39.950000000000003" customHeight="1" x14ac:dyDescent="0.25">
      <c r="A604" s="797"/>
      <c r="B604" s="568"/>
      <c r="C604" s="569" t="s">
        <v>307</v>
      </c>
      <c r="D604" s="570" t="s">
        <v>308</v>
      </c>
      <c r="E604" s="571">
        <v>387</v>
      </c>
    </row>
    <row r="605" spans="1:5" ht="39.950000000000003" customHeight="1" x14ac:dyDescent="0.25">
      <c r="A605" s="797"/>
      <c r="B605" s="568"/>
      <c r="C605" s="569" t="s">
        <v>309</v>
      </c>
      <c r="D605" s="570" t="s">
        <v>306</v>
      </c>
      <c r="E605" s="571">
        <v>96.75</v>
      </c>
    </row>
    <row r="606" spans="1:5" ht="39.950000000000003" customHeight="1" x14ac:dyDescent="0.25">
      <c r="A606" s="797"/>
      <c r="B606" s="568"/>
      <c r="C606" s="569" t="s">
        <v>310</v>
      </c>
      <c r="D606" s="570" t="s">
        <v>304</v>
      </c>
      <c r="E606" s="571">
        <v>58.05</v>
      </c>
    </row>
    <row r="607" spans="1:5" ht="39.950000000000003" customHeight="1" x14ac:dyDescent="0.25">
      <c r="A607" s="798"/>
      <c r="B607" s="568"/>
      <c r="C607" s="569" t="s">
        <v>311</v>
      </c>
      <c r="D607" s="570" t="s">
        <v>312</v>
      </c>
      <c r="E607" s="571"/>
    </row>
    <row r="608" spans="1:5" ht="39.950000000000003" customHeight="1" x14ac:dyDescent="0.25">
      <c r="A608" s="796">
        <v>25</v>
      </c>
      <c r="B608" s="564" t="s">
        <v>387</v>
      </c>
      <c r="C608" s="565" t="s">
        <v>388</v>
      </c>
      <c r="D608" s="566" t="s">
        <v>575</v>
      </c>
      <c r="E608" s="567" t="s">
        <v>576</v>
      </c>
    </row>
    <row r="609" spans="1:5" ht="39.950000000000003" customHeight="1" x14ac:dyDescent="0.25">
      <c r="A609" s="797"/>
      <c r="B609" s="568"/>
      <c r="C609" s="569" t="s">
        <v>283</v>
      </c>
      <c r="D609" s="570" t="s">
        <v>389</v>
      </c>
      <c r="E609" s="571" t="s">
        <v>263</v>
      </c>
    </row>
    <row r="610" spans="1:5" ht="63.75" customHeight="1" x14ac:dyDescent="0.25">
      <c r="A610" s="797"/>
      <c r="B610" s="568"/>
      <c r="C610" s="569" t="s">
        <v>390</v>
      </c>
      <c r="D610" s="570" t="s">
        <v>391</v>
      </c>
      <c r="E610" s="571" t="s">
        <v>263</v>
      </c>
    </row>
    <row r="611" spans="1:5" ht="39.950000000000003" customHeight="1" x14ac:dyDescent="0.25">
      <c r="A611" s="797"/>
      <c r="B611" s="568"/>
      <c r="C611" s="569" t="s">
        <v>285</v>
      </c>
      <c r="D611" s="570" t="s">
        <v>286</v>
      </c>
      <c r="E611" s="571">
        <v>918.75</v>
      </c>
    </row>
    <row r="612" spans="1:5" ht="39.950000000000003" customHeight="1" x14ac:dyDescent="0.25">
      <c r="A612" s="797"/>
      <c r="B612" s="568"/>
      <c r="C612" s="569" t="s">
        <v>287</v>
      </c>
      <c r="D612" s="570" t="s">
        <v>392</v>
      </c>
      <c r="E612" s="571" t="s">
        <v>577</v>
      </c>
    </row>
    <row r="613" spans="1:5" ht="39.950000000000003" customHeight="1" x14ac:dyDescent="0.25">
      <c r="A613" s="797"/>
      <c r="B613" s="568"/>
      <c r="C613" s="569" t="s">
        <v>393</v>
      </c>
      <c r="D613" s="570" t="s">
        <v>394</v>
      </c>
      <c r="E613" s="571" t="s">
        <v>578</v>
      </c>
    </row>
    <row r="614" spans="1:5" ht="39.950000000000003" customHeight="1" x14ac:dyDescent="0.25">
      <c r="A614" s="797"/>
      <c r="B614" s="568"/>
      <c r="C614" s="569" t="s">
        <v>395</v>
      </c>
      <c r="D614" s="570" t="s">
        <v>396</v>
      </c>
      <c r="E614" s="571" t="s">
        <v>579</v>
      </c>
    </row>
    <row r="615" spans="1:5" ht="39.950000000000003" customHeight="1" x14ac:dyDescent="0.25">
      <c r="A615" s="797"/>
      <c r="B615" s="568"/>
      <c r="C615" s="569" t="s">
        <v>290</v>
      </c>
      <c r="D615" s="570" t="s">
        <v>325</v>
      </c>
      <c r="E615" s="571" t="s">
        <v>580</v>
      </c>
    </row>
    <row r="616" spans="1:5" ht="39.950000000000003" customHeight="1" x14ac:dyDescent="0.25">
      <c r="A616" s="797"/>
      <c r="B616" s="568"/>
      <c r="C616" s="569" t="s">
        <v>293</v>
      </c>
      <c r="D616" s="570" t="s">
        <v>294</v>
      </c>
      <c r="E616" s="571" t="s">
        <v>581</v>
      </c>
    </row>
    <row r="617" spans="1:5" ht="39.950000000000003" customHeight="1" x14ac:dyDescent="0.25">
      <c r="A617" s="797"/>
      <c r="B617" s="568"/>
      <c r="C617" s="569" t="s">
        <v>295</v>
      </c>
      <c r="D617" s="570" t="s">
        <v>292</v>
      </c>
      <c r="E617" s="571">
        <v>459.38</v>
      </c>
    </row>
    <row r="618" spans="1:5" ht="39.950000000000003" customHeight="1" x14ac:dyDescent="0.25">
      <c r="A618" s="797"/>
      <c r="B618" s="568"/>
      <c r="C618" s="569" t="s">
        <v>297</v>
      </c>
      <c r="D618" s="570" t="s">
        <v>325</v>
      </c>
      <c r="E618" s="571" t="s">
        <v>580</v>
      </c>
    </row>
    <row r="619" spans="1:5" ht="39.950000000000003" customHeight="1" x14ac:dyDescent="0.25">
      <c r="A619" s="798"/>
      <c r="B619" s="568"/>
      <c r="C619" s="569" t="s">
        <v>311</v>
      </c>
      <c r="D619" s="570" t="s">
        <v>312</v>
      </c>
      <c r="E619" s="571"/>
    </row>
    <row r="620" spans="1:5" ht="39.950000000000003" customHeight="1" x14ac:dyDescent="0.25">
      <c r="A620" s="807" t="s">
        <v>397</v>
      </c>
      <c r="B620" s="808"/>
      <c r="C620" s="808"/>
      <c r="D620" s="808"/>
      <c r="E620" s="808"/>
    </row>
    <row r="621" spans="1:5" ht="39.950000000000003" customHeight="1" x14ac:dyDescent="0.25">
      <c r="A621" s="796">
        <v>26</v>
      </c>
      <c r="B621" s="564" t="s">
        <v>398</v>
      </c>
      <c r="C621" s="565" t="s">
        <v>399</v>
      </c>
      <c r="D621" s="566" t="s">
        <v>582</v>
      </c>
      <c r="E621" s="567" t="s">
        <v>583</v>
      </c>
    </row>
    <row r="622" spans="1:5" ht="75.75" customHeight="1" x14ac:dyDescent="0.25">
      <c r="A622" s="797"/>
      <c r="B622" s="568"/>
      <c r="C622" s="569" t="s">
        <v>400</v>
      </c>
      <c r="D622" s="570" t="s">
        <v>401</v>
      </c>
      <c r="E622" s="571" t="s">
        <v>263</v>
      </c>
    </row>
    <row r="623" spans="1:5" ht="39.950000000000003" customHeight="1" x14ac:dyDescent="0.25">
      <c r="A623" s="797"/>
      <c r="B623" s="568"/>
      <c r="C623" s="569" t="s">
        <v>283</v>
      </c>
      <c r="D623" s="570" t="s">
        <v>402</v>
      </c>
      <c r="E623" s="571" t="s">
        <v>263</v>
      </c>
    </row>
    <row r="624" spans="1:5" ht="39.950000000000003" customHeight="1" x14ac:dyDescent="0.25">
      <c r="A624" s="797"/>
      <c r="B624" s="568"/>
      <c r="C624" s="569" t="s">
        <v>403</v>
      </c>
      <c r="D624" s="570" t="s">
        <v>404</v>
      </c>
      <c r="E624" s="571" t="s">
        <v>263</v>
      </c>
    </row>
    <row r="625" spans="1:5" ht="39.950000000000003" customHeight="1" x14ac:dyDescent="0.25">
      <c r="A625" s="797"/>
      <c r="B625" s="568"/>
      <c r="C625" s="569" t="s">
        <v>285</v>
      </c>
      <c r="D625" s="570" t="s">
        <v>286</v>
      </c>
      <c r="E625" s="571">
        <v>817</v>
      </c>
    </row>
    <row r="626" spans="1:5" ht="39.950000000000003" customHeight="1" x14ac:dyDescent="0.25">
      <c r="A626" s="797"/>
      <c r="B626" s="568"/>
      <c r="C626" s="569" t="s">
        <v>287</v>
      </c>
      <c r="D626" s="570" t="s">
        <v>286</v>
      </c>
      <c r="E626" s="571">
        <v>817</v>
      </c>
    </row>
    <row r="627" spans="1:5" ht="39.950000000000003" customHeight="1" x14ac:dyDescent="0.25">
      <c r="A627" s="797"/>
      <c r="B627" s="568"/>
      <c r="C627" s="569" t="s">
        <v>288</v>
      </c>
      <c r="D627" s="570" t="s">
        <v>289</v>
      </c>
      <c r="E627" s="571" t="s">
        <v>584</v>
      </c>
    </row>
    <row r="628" spans="1:5" ht="39.950000000000003" customHeight="1" x14ac:dyDescent="0.25">
      <c r="A628" s="797"/>
      <c r="B628" s="568"/>
      <c r="C628" s="569" t="s">
        <v>290</v>
      </c>
      <c r="D628" s="570" t="s">
        <v>286</v>
      </c>
      <c r="E628" s="571">
        <v>817</v>
      </c>
    </row>
    <row r="629" spans="1:5" ht="39.950000000000003" customHeight="1" x14ac:dyDescent="0.25">
      <c r="A629" s="797"/>
      <c r="B629" s="568"/>
      <c r="C629" s="569" t="s">
        <v>291</v>
      </c>
      <c r="D629" s="570" t="s">
        <v>292</v>
      </c>
      <c r="E629" s="571">
        <v>408.5</v>
      </c>
    </row>
    <row r="630" spans="1:5" ht="39.950000000000003" customHeight="1" x14ac:dyDescent="0.25">
      <c r="A630" s="797"/>
      <c r="B630" s="568"/>
      <c r="C630" s="569" t="s">
        <v>293</v>
      </c>
      <c r="D630" s="570" t="s">
        <v>294</v>
      </c>
      <c r="E630" s="571" t="s">
        <v>585</v>
      </c>
    </row>
    <row r="631" spans="1:5" ht="39.950000000000003" customHeight="1" x14ac:dyDescent="0.25">
      <c r="A631" s="797"/>
      <c r="B631" s="568"/>
      <c r="C631" s="569" t="s">
        <v>295</v>
      </c>
      <c r="D631" s="570" t="s">
        <v>296</v>
      </c>
      <c r="E631" s="571" t="s">
        <v>586</v>
      </c>
    </row>
    <row r="632" spans="1:5" ht="39.950000000000003" customHeight="1" x14ac:dyDescent="0.25">
      <c r="A632" s="797"/>
      <c r="B632" s="568"/>
      <c r="C632" s="569" t="s">
        <v>297</v>
      </c>
      <c r="D632" s="570" t="s">
        <v>298</v>
      </c>
      <c r="E632" s="571" t="s">
        <v>587</v>
      </c>
    </row>
    <row r="633" spans="1:5" ht="39.950000000000003" customHeight="1" x14ac:dyDescent="0.25">
      <c r="A633" s="797"/>
      <c r="B633" s="568"/>
      <c r="C633" s="569" t="s">
        <v>299</v>
      </c>
      <c r="D633" s="570" t="s">
        <v>300</v>
      </c>
      <c r="E633" s="571" t="s">
        <v>588</v>
      </c>
    </row>
    <row r="634" spans="1:5" ht="39.950000000000003" customHeight="1" x14ac:dyDescent="0.25">
      <c r="A634" s="797"/>
      <c r="B634" s="568"/>
      <c r="C634" s="569" t="s">
        <v>301</v>
      </c>
      <c r="D634" s="570" t="s">
        <v>302</v>
      </c>
      <c r="E634" s="571" t="s">
        <v>589</v>
      </c>
    </row>
    <row r="635" spans="1:5" ht="39.950000000000003" customHeight="1" x14ac:dyDescent="0.25">
      <c r="A635" s="797"/>
      <c r="B635" s="568"/>
      <c r="C635" s="569" t="s">
        <v>303</v>
      </c>
      <c r="D635" s="570" t="s">
        <v>304</v>
      </c>
      <c r="E635" s="571">
        <v>612.75</v>
      </c>
    </row>
    <row r="636" spans="1:5" ht="39.950000000000003" customHeight="1" x14ac:dyDescent="0.25">
      <c r="A636" s="797"/>
      <c r="B636" s="568"/>
      <c r="C636" s="569" t="s">
        <v>305</v>
      </c>
      <c r="D636" s="570" t="s">
        <v>306</v>
      </c>
      <c r="E636" s="571" t="s">
        <v>590</v>
      </c>
    </row>
    <row r="637" spans="1:5" ht="39.950000000000003" customHeight="1" x14ac:dyDescent="0.25">
      <c r="A637" s="797"/>
      <c r="B637" s="568"/>
      <c r="C637" s="569" t="s">
        <v>307</v>
      </c>
      <c r="D637" s="570" t="s">
        <v>308</v>
      </c>
      <c r="E637" s="571" t="s">
        <v>591</v>
      </c>
    </row>
    <row r="638" spans="1:5" ht="39.950000000000003" customHeight="1" x14ac:dyDescent="0.25">
      <c r="A638" s="797"/>
      <c r="B638" s="568"/>
      <c r="C638" s="569" t="s">
        <v>309</v>
      </c>
      <c r="D638" s="570" t="s">
        <v>306</v>
      </c>
      <c r="E638" s="571" t="s">
        <v>590</v>
      </c>
    </row>
    <row r="639" spans="1:5" ht="39.950000000000003" customHeight="1" x14ac:dyDescent="0.25">
      <c r="A639" s="797"/>
      <c r="B639" s="568"/>
      <c r="C639" s="569" t="s">
        <v>310</v>
      </c>
      <c r="D639" s="570" t="s">
        <v>304</v>
      </c>
      <c r="E639" s="571">
        <v>612.75</v>
      </c>
    </row>
    <row r="640" spans="1:5" ht="39.950000000000003" customHeight="1" x14ac:dyDescent="0.25">
      <c r="A640" s="798"/>
      <c r="B640" s="568"/>
      <c r="C640" s="569" t="s">
        <v>311</v>
      </c>
      <c r="D640" s="570" t="s">
        <v>312</v>
      </c>
      <c r="E640" s="571"/>
    </row>
    <row r="641" spans="1:5" ht="39.950000000000003" customHeight="1" x14ac:dyDescent="0.25">
      <c r="A641" s="796">
        <v>27</v>
      </c>
      <c r="B641" s="564" t="s">
        <v>405</v>
      </c>
      <c r="C641" s="565" t="s">
        <v>406</v>
      </c>
      <c r="D641" s="566" t="s">
        <v>592</v>
      </c>
      <c r="E641" s="567" t="s">
        <v>593</v>
      </c>
    </row>
    <row r="642" spans="1:5" ht="73.5" customHeight="1" x14ac:dyDescent="0.25">
      <c r="A642" s="797"/>
      <c r="B642" s="568"/>
      <c r="C642" s="569" t="s">
        <v>400</v>
      </c>
      <c r="D642" s="570" t="s">
        <v>401</v>
      </c>
      <c r="E642" s="571" t="s">
        <v>263</v>
      </c>
    </row>
    <row r="643" spans="1:5" ht="39.950000000000003" customHeight="1" x14ac:dyDescent="0.25">
      <c r="A643" s="797"/>
      <c r="B643" s="568"/>
      <c r="C643" s="569" t="s">
        <v>283</v>
      </c>
      <c r="D643" s="570" t="s">
        <v>402</v>
      </c>
      <c r="E643" s="571" t="s">
        <v>263</v>
      </c>
    </row>
    <row r="644" spans="1:5" ht="39.950000000000003" customHeight="1" x14ac:dyDescent="0.25">
      <c r="A644" s="797"/>
      <c r="B644" s="568"/>
      <c r="C644" s="569" t="s">
        <v>403</v>
      </c>
      <c r="D644" s="570" t="s">
        <v>404</v>
      </c>
      <c r="E644" s="571" t="s">
        <v>263</v>
      </c>
    </row>
    <row r="645" spans="1:5" ht="39.950000000000003" customHeight="1" x14ac:dyDescent="0.25">
      <c r="A645" s="797"/>
      <c r="B645" s="568"/>
      <c r="C645" s="569" t="s">
        <v>285</v>
      </c>
      <c r="D645" s="570" t="s">
        <v>286</v>
      </c>
      <c r="E645" s="571" t="s">
        <v>594</v>
      </c>
    </row>
    <row r="646" spans="1:5" ht="39.950000000000003" customHeight="1" x14ac:dyDescent="0.25">
      <c r="A646" s="797"/>
      <c r="B646" s="568"/>
      <c r="C646" s="569" t="s">
        <v>287</v>
      </c>
      <c r="D646" s="570" t="s">
        <v>286</v>
      </c>
      <c r="E646" s="571" t="s">
        <v>594</v>
      </c>
    </row>
    <row r="647" spans="1:5" ht="39.950000000000003" customHeight="1" x14ac:dyDescent="0.25">
      <c r="A647" s="797"/>
      <c r="B647" s="568"/>
      <c r="C647" s="569" t="s">
        <v>288</v>
      </c>
      <c r="D647" s="570" t="s">
        <v>289</v>
      </c>
      <c r="E647" s="571" t="s">
        <v>595</v>
      </c>
    </row>
    <row r="648" spans="1:5" ht="39.950000000000003" customHeight="1" x14ac:dyDescent="0.25">
      <c r="A648" s="797"/>
      <c r="B648" s="568"/>
      <c r="C648" s="569" t="s">
        <v>290</v>
      </c>
      <c r="D648" s="570" t="s">
        <v>286</v>
      </c>
      <c r="E648" s="571" t="s">
        <v>594</v>
      </c>
    </row>
    <row r="649" spans="1:5" ht="39.950000000000003" customHeight="1" x14ac:dyDescent="0.25">
      <c r="A649" s="797"/>
      <c r="B649" s="568"/>
      <c r="C649" s="569" t="s">
        <v>291</v>
      </c>
      <c r="D649" s="570" t="s">
        <v>292</v>
      </c>
      <c r="E649" s="571" t="s">
        <v>596</v>
      </c>
    </row>
    <row r="650" spans="1:5" ht="39.950000000000003" customHeight="1" x14ac:dyDescent="0.25">
      <c r="A650" s="797"/>
      <c r="B650" s="568"/>
      <c r="C650" s="569" t="s">
        <v>293</v>
      </c>
      <c r="D650" s="570" t="s">
        <v>294</v>
      </c>
      <c r="E650" s="571" t="s">
        <v>597</v>
      </c>
    </row>
    <row r="651" spans="1:5" ht="39.950000000000003" customHeight="1" x14ac:dyDescent="0.25">
      <c r="A651" s="797"/>
      <c r="B651" s="568"/>
      <c r="C651" s="569" t="s">
        <v>295</v>
      </c>
      <c r="D651" s="570" t="s">
        <v>296</v>
      </c>
      <c r="E651" s="571" t="s">
        <v>598</v>
      </c>
    </row>
    <row r="652" spans="1:5" ht="39.950000000000003" customHeight="1" x14ac:dyDescent="0.25">
      <c r="A652" s="797"/>
      <c r="B652" s="568"/>
      <c r="C652" s="569" t="s">
        <v>297</v>
      </c>
      <c r="D652" s="570" t="s">
        <v>298</v>
      </c>
      <c r="E652" s="571" t="s">
        <v>599</v>
      </c>
    </row>
    <row r="653" spans="1:5" ht="39.950000000000003" customHeight="1" x14ac:dyDescent="0.25">
      <c r="A653" s="797"/>
      <c r="B653" s="568"/>
      <c r="C653" s="569" t="s">
        <v>299</v>
      </c>
      <c r="D653" s="570" t="s">
        <v>300</v>
      </c>
      <c r="E653" s="571" t="s">
        <v>600</v>
      </c>
    </row>
    <row r="654" spans="1:5" ht="39.950000000000003" customHeight="1" x14ac:dyDescent="0.25">
      <c r="A654" s="797"/>
      <c r="B654" s="568"/>
      <c r="C654" s="569" t="s">
        <v>301</v>
      </c>
      <c r="D654" s="570" t="s">
        <v>302</v>
      </c>
      <c r="E654" s="571" t="s">
        <v>601</v>
      </c>
    </row>
    <row r="655" spans="1:5" ht="39.950000000000003" customHeight="1" x14ac:dyDescent="0.25">
      <c r="A655" s="797"/>
      <c r="B655" s="568"/>
      <c r="C655" s="569" t="s">
        <v>303</v>
      </c>
      <c r="D655" s="570" t="s">
        <v>304</v>
      </c>
      <c r="E655" s="571" t="s">
        <v>602</v>
      </c>
    </row>
    <row r="656" spans="1:5" ht="39.950000000000003" customHeight="1" x14ac:dyDescent="0.25">
      <c r="A656" s="797"/>
      <c r="B656" s="568"/>
      <c r="C656" s="569" t="s">
        <v>305</v>
      </c>
      <c r="D656" s="570" t="s">
        <v>306</v>
      </c>
      <c r="E656" s="571" t="s">
        <v>603</v>
      </c>
    </row>
    <row r="657" spans="1:5" ht="39.950000000000003" customHeight="1" x14ac:dyDescent="0.25">
      <c r="A657" s="797"/>
      <c r="B657" s="568"/>
      <c r="C657" s="569" t="s">
        <v>307</v>
      </c>
      <c r="D657" s="570" t="s">
        <v>308</v>
      </c>
      <c r="E657" s="571" t="s">
        <v>604</v>
      </c>
    </row>
    <row r="658" spans="1:5" ht="39.950000000000003" customHeight="1" x14ac:dyDescent="0.25">
      <c r="A658" s="797"/>
      <c r="B658" s="568"/>
      <c r="C658" s="569" t="s">
        <v>309</v>
      </c>
      <c r="D658" s="570" t="s">
        <v>306</v>
      </c>
      <c r="E658" s="571" t="s">
        <v>603</v>
      </c>
    </row>
    <row r="659" spans="1:5" ht="39.950000000000003" customHeight="1" x14ac:dyDescent="0.25">
      <c r="A659" s="797"/>
      <c r="B659" s="568"/>
      <c r="C659" s="569" t="s">
        <v>310</v>
      </c>
      <c r="D659" s="570" t="s">
        <v>304</v>
      </c>
      <c r="E659" s="571" t="s">
        <v>602</v>
      </c>
    </row>
    <row r="660" spans="1:5" ht="39.950000000000003" customHeight="1" x14ac:dyDescent="0.25">
      <c r="A660" s="798"/>
      <c r="B660" s="568"/>
      <c r="C660" s="569" t="s">
        <v>311</v>
      </c>
      <c r="D660" s="570" t="s">
        <v>312</v>
      </c>
      <c r="E660" s="571"/>
    </row>
    <row r="661" spans="1:5" ht="39.950000000000003" customHeight="1" x14ac:dyDescent="0.25">
      <c r="A661" s="796">
        <v>28</v>
      </c>
      <c r="B661" s="564" t="s">
        <v>407</v>
      </c>
      <c r="C661" s="565" t="s">
        <v>408</v>
      </c>
      <c r="D661" s="566" t="s">
        <v>605</v>
      </c>
      <c r="E661" s="567" t="s">
        <v>606</v>
      </c>
    </row>
    <row r="662" spans="1:5" ht="39.950000000000003" customHeight="1" x14ac:dyDescent="0.25">
      <c r="A662" s="797"/>
      <c r="B662" s="568"/>
      <c r="C662" s="569" t="s">
        <v>409</v>
      </c>
      <c r="D662" s="570" t="s">
        <v>410</v>
      </c>
      <c r="E662" s="571" t="s">
        <v>263</v>
      </c>
    </row>
    <row r="663" spans="1:5" ht="66" customHeight="1" x14ac:dyDescent="0.25">
      <c r="A663" s="797"/>
      <c r="B663" s="568"/>
      <c r="C663" s="569" t="s">
        <v>411</v>
      </c>
      <c r="D663" s="570" t="s">
        <v>412</v>
      </c>
      <c r="E663" s="571" t="s">
        <v>263</v>
      </c>
    </row>
    <row r="664" spans="1:5" ht="72.75" customHeight="1" x14ac:dyDescent="0.25">
      <c r="A664" s="797"/>
      <c r="B664" s="568"/>
      <c r="C664" s="569" t="s">
        <v>413</v>
      </c>
      <c r="D664" s="570" t="s">
        <v>414</v>
      </c>
      <c r="E664" s="571" t="s">
        <v>263</v>
      </c>
    </row>
    <row r="665" spans="1:5" ht="39.950000000000003" customHeight="1" x14ac:dyDescent="0.25">
      <c r="A665" s="797"/>
      <c r="B665" s="568"/>
      <c r="C665" s="569" t="s">
        <v>285</v>
      </c>
      <c r="D665" s="570" t="s">
        <v>286</v>
      </c>
      <c r="E665" s="571" t="s">
        <v>607</v>
      </c>
    </row>
    <row r="666" spans="1:5" ht="39.950000000000003" customHeight="1" x14ac:dyDescent="0.25">
      <c r="A666" s="797"/>
      <c r="B666" s="568"/>
      <c r="C666" s="569" t="s">
        <v>320</v>
      </c>
      <c r="D666" s="570" t="s">
        <v>286</v>
      </c>
      <c r="E666" s="571" t="s">
        <v>607</v>
      </c>
    </row>
    <row r="667" spans="1:5" ht="39.950000000000003" customHeight="1" x14ac:dyDescent="0.25">
      <c r="A667" s="797"/>
      <c r="B667" s="568"/>
      <c r="C667" s="569" t="s">
        <v>321</v>
      </c>
      <c r="D667" s="570" t="s">
        <v>298</v>
      </c>
      <c r="E667" s="571" t="s">
        <v>608</v>
      </c>
    </row>
    <row r="668" spans="1:5" ht="39.950000000000003" customHeight="1" x14ac:dyDescent="0.25">
      <c r="A668" s="797"/>
      <c r="B668" s="568"/>
      <c r="C668" s="569" t="s">
        <v>415</v>
      </c>
      <c r="D668" s="570" t="s">
        <v>357</v>
      </c>
      <c r="E668" s="571" t="s">
        <v>609</v>
      </c>
    </row>
    <row r="669" spans="1:5" ht="39.950000000000003" customHeight="1" x14ac:dyDescent="0.25">
      <c r="A669" s="797"/>
      <c r="B669" s="568"/>
      <c r="C669" s="569" t="s">
        <v>416</v>
      </c>
      <c r="D669" s="570" t="s">
        <v>333</v>
      </c>
      <c r="E669" s="571" t="s">
        <v>610</v>
      </c>
    </row>
    <row r="670" spans="1:5" ht="39.950000000000003" customHeight="1" x14ac:dyDescent="0.25">
      <c r="A670" s="797"/>
      <c r="B670" s="568"/>
      <c r="C670" s="569" t="s">
        <v>417</v>
      </c>
      <c r="D670" s="570" t="s">
        <v>286</v>
      </c>
      <c r="E670" s="571" t="s">
        <v>607</v>
      </c>
    </row>
    <row r="671" spans="1:5" ht="39.950000000000003" customHeight="1" x14ac:dyDescent="0.25">
      <c r="A671" s="797"/>
      <c r="B671" s="568"/>
      <c r="C671" s="569" t="s">
        <v>418</v>
      </c>
      <c r="D671" s="570" t="s">
        <v>286</v>
      </c>
      <c r="E671" s="571" t="s">
        <v>607</v>
      </c>
    </row>
    <row r="672" spans="1:5" ht="39.950000000000003" customHeight="1" x14ac:dyDescent="0.25">
      <c r="A672" s="797"/>
      <c r="B672" s="568"/>
      <c r="C672" s="569" t="s">
        <v>419</v>
      </c>
      <c r="D672" s="570" t="s">
        <v>289</v>
      </c>
      <c r="E672" s="571" t="s">
        <v>611</v>
      </c>
    </row>
    <row r="673" spans="1:5" ht="39.950000000000003" customHeight="1" x14ac:dyDescent="0.25">
      <c r="A673" s="797"/>
      <c r="B673" s="568"/>
      <c r="C673" s="569" t="s">
        <v>420</v>
      </c>
      <c r="D673" s="570" t="s">
        <v>286</v>
      </c>
      <c r="E673" s="571" t="s">
        <v>607</v>
      </c>
    </row>
    <row r="674" spans="1:5" ht="39.950000000000003" customHeight="1" x14ac:dyDescent="0.25">
      <c r="A674" s="797"/>
      <c r="B674" s="568"/>
      <c r="C674" s="569" t="s">
        <v>421</v>
      </c>
      <c r="D674" s="570" t="s">
        <v>422</v>
      </c>
      <c r="E674" s="571" t="s">
        <v>612</v>
      </c>
    </row>
    <row r="675" spans="1:5" ht="39.950000000000003" customHeight="1" x14ac:dyDescent="0.25">
      <c r="A675" s="797"/>
      <c r="B675" s="568"/>
      <c r="C675" s="569" t="s">
        <v>290</v>
      </c>
      <c r="D675" s="570" t="s">
        <v>289</v>
      </c>
      <c r="E675" s="571" t="s">
        <v>611</v>
      </c>
    </row>
    <row r="676" spans="1:5" ht="39.950000000000003" customHeight="1" x14ac:dyDescent="0.25">
      <c r="A676" s="797"/>
      <c r="B676" s="568"/>
      <c r="C676" s="569" t="s">
        <v>423</v>
      </c>
      <c r="D676" s="570" t="s">
        <v>333</v>
      </c>
      <c r="E676" s="571" t="s">
        <v>610</v>
      </c>
    </row>
    <row r="677" spans="1:5" ht="39.950000000000003" customHeight="1" x14ac:dyDescent="0.25">
      <c r="A677" s="797"/>
      <c r="B677" s="568"/>
      <c r="C677" s="569" t="s">
        <v>295</v>
      </c>
      <c r="D677" s="570" t="s">
        <v>392</v>
      </c>
      <c r="E677" s="571" t="s">
        <v>613</v>
      </c>
    </row>
    <row r="678" spans="1:5" ht="39.950000000000003" customHeight="1" x14ac:dyDescent="0.25">
      <c r="A678" s="797"/>
      <c r="B678" s="568"/>
      <c r="C678" s="569" t="s">
        <v>424</v>
      </c>
      <c r="D678" s="570" t="s">
        <v>292</v>
      </c>
      <c r="E678" s="571" t="s">
        <v>614</v>
      </c>
    </row>
    <row r="679" spans="1:5" ht="39.950000000000003" customHeight="1" x14ac:dyDescent="0.25">
      <c r="A679" s="797"/>
      <c r="B679" s="568"/>
      <c r="C679" s="569" t="s">
        <v>335</v>
      </c>
      <c r="D679" s="570" t="s">
        <v>286</v>
      </c>
      <c r="E679" s="571" t="s">
        <v>607</v>
      </c>
    </row>
    <row r="680" spans="1:5" ht="39.950000000000003" customHeight="1" x14ac:dyDescent="0.25">
      <c r="A680" s="797"/>
      <c r="B680" s="568"/>
      <c r="C680" s="569" t="s">
        <v>297</v>
      </c>
      <c r="D680" s="570" t="s">
        <v>325</v>
      </c>
      <c r="E680" s="571" t="s">
        <v>615</v>
      </c>
    </row>
    <row r="681" spans="1:5" ht="39.950000000000003" customHeight="1" x14ac:dyDescent="0.25">
      <c r="A681" s="798"/>
      <c r="B681" s="568"/>
      <c r="C681" s="569" t="s">
        <v>311</v>
      </c>
      <c r="D681" s="570" t="s">
        <v>312</v>
      </c>
      <c r="E681" s="571"/>
    </row>
    <row r="682" spans="1:5" ht="39.950000000000003" customHeight="1" x14ac:dyDescent="0.25">
      <c r="A682" s="807" t="s">
        <v>425</v>
      </c>
      <c r="B682" s="808"/>
      <c r="C682" s="808"/>
      <c r="D682" s="808"/>
      <c r="E682" s="808"/>
    </row>
    <row r="683" spans="1:5" ht="39.950000000000003" customHeight="1" x14ac:dyDescent="0.25">
      <c r="A683" s="796">
        <v>29</v>
      </c>
      <c r="B683" s="564" t="s">
        <v>426</v>
      </c>
      <c r="C683" s="565" t="s">
        <v>427</v>
      </c>
      <c r="D683" s="566" t="s">
        <v>1145</v>
      </c>
      <c r="E683" s="567" t="s">
        <v>1146</v>
      </c>
    </row>
    <row r="684" spans="1:5" ht="39.950000000000003" customHeight="1" x14ac:dyDescent="0.25">
      <c r="A684" s="797"/>
      <c r="B684" s="568"/>
      <c r="C684" s="569" t="s">
        <v>754</v>
      </c>
      <c r="D684" s="570" t="s">
        <v>755</v>
      </c>
      <c r="E684" s="571" t="s">
        <v>263</v>
      </c>
    </row>
    <row r="685" spans="1:5" ht="39.950000000000003" customHeight="1" x14ac:dyDescent="0.25">
      <c r="A685" s="797"/>
      <c r="B685" s="568"/>
      <c r="C685" s="569" t="s">
        <v>428</v>
      </c>
      <c r="D685" s="570" t="s">
        <v>429</v>
      </c>
      <c r="E685" s="571" t="s">
        <v>263</v>
      </c>
    </row>
    <row r="686" spans="1:5" ht="74.25" customHeight="1" x14ac:dyDescent="0.25">
      <c r="A686" s="797"/>
      <c r="B686" s="568"/>
      <c r="C686" s="569" t="s">
        <v>281</v>
      </c>
      <c r="D686" s="570" t="s">
        <v>282</v>
      </c>
      <c r="E686" s="571" t="s">
        <v>263</v>
      </c>
    </row>
    <row r="687" spans="1:5" ht="39.950000000000003" customHeight="1" x14ac:dyDescent="0.25">
      <c r="A687" s="797"/>
      <c r="B687" s="568"/>
      <c r="C687" s="569" t="s">
        <v>283</v>
      </c>
      <c r="D687" s="570" t="s">
        <v>284</v>
      </c>
      <c r="E687" s="571" t="s">
        <v>263</v>
      </c>
    </row>
    <row r="688" spans="1:5" ht="39.950000000000003" customHeight="1" x14ac:dyDescent="0.25">
      <c r="A688" s="797"/>
      <c r="B688" s="568"/>
      <c r="C688" s="569" t="s">
        <v>285</v>
      </c>
      <c r="D688" s="570" t="s">
        <v>286</v>
      </c>
      <c r="E688" s="571">
        <v>41.82</v>
      </c>
    </row>
    <row r="689" spans="1:5" ht="39.950000000000003" customHeight="1" x14ac:dyDescent="0.25">
      <c r="A689" s="797"/>
      <c r="B689" s="568"/>
      <c r="C689" s="569" t="s">
        <v>287</v>
      </c>
      <c r="D689" s="570" t="s">
        <v>286</v>
      </c>
      <c r="E689" s="571">
        <v>41.82</v>
      </c>
    </row>
    <row r="690" spans="1:5" ht="39.950000000000003" customHeight="1" x14ac:dyDescent="0.25">
      <c r="A690" s="797"/>
      <c r="B690" s="568"/>
      <c r="C690" s="569" t="s">
        <v>288</v>
      </c>
      <c r="D690" s="570" t="s">
        <v>289</v>
      </c>
      <c r="E690" s="571">
        <v>125.45</v>
      </c>
    </row>
    <row r="691" spans="1:5" ht="39.950000000000003" customHeight="1" x14ac:dyDescent="0.25">
      <c r="A691" s="797"/>
      <c r="B691" s="568"/>
      <c r="C691" s="569" t="s">
        <v>290</v>
      </c>
      <c r="D691" s="570" t="s">
        <v>286</v>
      </c>
      <c r="E691" s="571">
        <v>41.82</v>
      </c>
    </row>
    <row r="692" spans="1:5" ht="39.950000000000003" customHeight="1" x14ac:dyDescent="0.25">
      <c r="A692" s="797"/>
      <c r="B692" s="568"/>
      <c r="C692" s="569" t="s">
        <v>291</v>
      </c>
      <c r="D692" s="570" t="s">
        <v>292</v>
      </c>
      <c r="E692" s="571">
        <v>20.91</v>
      </c>
    </row>
    <row r="693" spans="1:5" ht="39.950000000000003" customHeight="1" x14ac:dyDescent="0.25">
      <c r="A693" s="797"/>
      <c r="B693" s="568"/>
      <c r="C693" s="569" t="s">
        <v>293</v>
      </c>
      <c r="D693" s="570" t="s">
        <v>294</v>
      </c>
      <c r="E693" s="571">
        <v>188.18</v>
      </c>
    </row>
    <row r="694" spans="1:5" ht="39.950000000000003" customHeight="1" x14ac:dyDescent="0.25">
      <c r="A694" s="797"/>
      <c r="B694" s="568"/>
      <c r="C694" s="569" t="s">
        <v>295</v>
      </c>
      <c r="D694" s="570" t="s">
        <v>296</v>
      </c>
      <c r="E694" s="571">
        <v>62.73</v>
      </c>
    </row>
    <row r="695" spans="1:5" ht="39.950000000000003" customHeight="1" x14ac:dyDescent="0.25">
      <c r="A695" s="797"/>
      <c r="B695" s="568"/>
      <c r="C695" s="569" t="s">
        <v>297</v>
      </c>
      <c r="D695" s="570" t="s">
        <v>298</v>
      </c>
      <c r="E695" s="571">
        <v>104.54</v>
      </c>
    </row>
    <row r="696" spans="1:5" ht="39.950000000000003" customHeight="1" x14ac:dyDescent="0.25">
      <c r="A696" s="797"/>
      <c r="B696" s="568"/>
      <c r="C696" s="569" t="s">
        <v>299</v>
      </c>
      <c r="D696" s="570" t="s">
        <v>300</v>
      </c>
      <c r="E696" s="571">
        <v>512.27</v>
      </c>
    </row>
    <row r="697" spans="1:5" ht="39.950000000000003" customHeight="1" x14ac:dyDescent="0.25">
      <c r="A697" s="797"/>
      <c r="B697" s="568"/>
      <c r="C697" s="569" t="s">
        <v>301</v>
      </c>
      <c r="D697" s="570" t="s">
        <v>302</v>
      </c>
      <c r="E697" s="571">
        <v>574.99</v>
      </c>
    </row>
    <row r="698" spans="1:5" ht="39.950000000000003" customHeight="1" x14ac:dyDescent="0.25">
      <c r="A698" s="797"/>
      <c r="B698" s="568"/>
      <c r="C698" s="569" t="s">
        <v>303</v>
      </c>
      <c r="D698" s="570" t="s">
        <v>304</v>
      </c>
      <c r="E698" s="571">
        <v>31.36</v>
      </c>
    </row>
    <row r="699" spans="1:5" ht="39.950000000000003" customHeight="1" x14ac:dyDescent="0.25">
      <c r="A699" s="797"/>
      <c r="B699" s="568"/>
      <c r="C699" s="569" t="s">
        <v>305</v>
      </c>
      <c r="D699" s="570" t="s">
        <v>306</v>
      </c>
      <c r="E699" s="571">
        <v>52.27</v>
      </c>
    </row>
    <row r="700" spans="1:5" ht="39.950000000000003" customHeight="1" x14ac:dyDescent="0.25">
      <c r="A700" s="797"/>
      <c r="B700" s="568"/>
      <c r="C700" s="569" t="s">
        <v>307</v>
      </c>
      <c r="D700" s="570" t="s">
        <v>308</v>
      </c>
      <c r="E700" s="571">
        <v>209.09</v>
      </c>
    </row>
    <row r="701" spans="1:5" ht="39.950000000000003" customHeight="1" x14ac:dyDescent="0.25">
      <c r="A701" s="797"/>
      <c r="B701" s="568"/>
      <c r="C701" s="569" t="s">
        <v>309</v>
      </c>
      <c r="D701" s="570" t="s">
        <v>306</v>
      </c>
      <c r="E701" s="571">
        <v>52.27</v>
      </c>
    </row>
    <row r="702" spans="1:5" ht="39.950000000000003" customHeight="1" x14ac:dyDescent="0.25">
      <c r="A702" s="797"/>
      <c r="B702" s="568"/>
      <c r="C702" s="569" t="s">
        <v>310</v>
      </c>
      <c r="D702" s="570" t="s">
        <v>304</v>
      </c>
      <c r="E702" s="571">
        <v>31.36</v>
      </c>
    </row>
    <row r="703" spans="1:5" ht="39.950000000000003" customHeight="1" x14ac:dyDescent="0.25">
      <c r="A703" s="798"/>
      <c r="B703" s="568"/>
      <c r="C703" s="569" t="s">
        <v>311</v>
      </c>
      <c r="D703" s="570" t="s">
        <v>312</v>
      </c>
      <c r="E703" s="571"/>
    </row>
    <row r="704" spans="1:5" ht="39.950000000000003" customHeight="1" x14ac:dyDescent="0.25">
      <c r="A704" s="796">
        <v>30</v>
      </c>
      <c r="B704" s="564" t="s">
        <v>430</v>
      </c>
      <c r="C704" s="565" t="s">
        <v>431</v>
      </c>
      <c r="D704" s="566" t="s">
        <v>616</v>
      </c>
      <c r="E704" s="567" t="s">
        <v>617</v>
      </c>
    </row>
    <row r="705" spans="1:5" ht="39.950000000000003" customHeight="1" x14ac:dyDescent="0.25">
      <c r="A705" s="797"/>
      <c r="B705" s="568"/>
      <c r="C705" s="569" t="s">
        <v>432</v>
      </c>
      <c r="D705" s="570" t="s">
        <v>433</v>
      </c>
      <c r="E705" s="571" t="s">
        <v>263</v>
      </c>
    </row>
    <row r="706" spans="1:5" ht="39.950000000000003" customHeight="1" x14ac:dyDescent="0.25">
      <c r="A706" s="797"/>
      <c r="B706" s="568"/>
      <c r="C706" s="569" t="s">
        <v>283</v>
      </c>
      <c r="D706" s="570" t="s">
        <v>434</v>
      </c>
      <c r="E706" s="571" t="s">
        <v>263</v>
      </c>
    </row>
    <row r="707" spans="1:5" ht="49.5" customHeight="1" x14ac:dyDescent="0.25">
      <c r="A707" s="797"/>
      <c r="B707" s="568"/>
      <c r="C707" s="569" t="s">
        <v>435</v>
      </c>
      <c r="D707" s="570" t="s">
        <v>436</v>
      </c>
      <c r="E707" s="571" t="s">
        <v>263</v>
      </c>
    </row>
    <row r="708" spans="1:5" ht="39.950000000000003" customHeight="1" x14ac:dyDescent="0.25">
      <c r="A708" s="797"/>
      <c r="B708" s="568"/>
      <c r="C708" s="569" t="s">
        <v>285</v>
      </c>
      <c r="D708" s="570" t="s">
        <v>286</v>
      </c>
      <c r="E708" s="571">
        <v>40.44</v>
      </c>
    </row>
    <row r="709" spans="1:5" ht="39.950000000000003" customHeight="1" x14ac:dyDescent="0.25">
      <c r="A709" s="797"/>
      <c r="B709" s="568"/>
      <c r="C709" s="569" t="s">
        <v>287</v>
      </c>
      <c r="D709" s="570" t="s">
        <v>286</v>
      </c>
      <c r="E709" s="571">
        <v>40.44</v>
      </c>
    </row>
    <row r="710" spans="1:5" ht="39.950000000000003" customHeight="1" x14ac:dyDescent="0.25">
      <c r="A710" s="797"/>
      <c r="B710" s="568"/>
      <c r="C710" s="569" t="s">
        <v>437</v>
      </c>
      <c r="D710" s="570" t="s">
        <v>353</v>
      </c>
      <c r="E710" s="571">
        <v>444.79</v>
      </c>
    </row>
    <row r="711" spans="1:5" ht="39.950000000000003" customHeight="1" x14ac:dyDescent="0.25">
      <c r="A711" s="797"/>
      <c r="B711" s="568"/>
      <c r="C711" s="569" t="s">
        <v>438</v>
      </c>
      <c r="D711" s="570" t="s">
        <v>439</v>
      </c>
      <c r="E711" s="571">
        <v>545.88</v>
      </c>
    </row>
    <row r="712" spans="1:5" ht="39.950000000000003" customHeight="1" x14ac:dyDescent="0.25">
      <c r="A712" s="797"/>
      <c r="B712" s="568"/>
      <c r="C712" s="569" t="s">
        <v>440</v>
      </c>
      <c r="D712" s="570" t="s">
        <v>292</v>
      </c>
      <c r="E712" s="571">
        <v>20.22</v>
      </c>
    </row>
    <row r="713" spans="1:5" ht="39.950000000000003" customHeight="1" x14ac:dyDescent="0.25">
      <c r="A713" s="797"/>
      <c r="B713" s="568"/>
      <c r="C713" s="569" t="s">
        <v>441</v>
      </c>
      <c r="D713" s="570" t="s">
        <v>286</v>
      </c>
      <c r="E713" s="571">
        <v>40.44</v>
      </c>
    </row>
    <row r="714" spans="1:5" ht="39.950000000000003" customHeight="1" x14ac:dyDescent="0.25">
      <c r="A714" s="797"/>
      <c r="B714" s="568"/>
      <c r="C714" s="569" t="s">
        <v>442</v>
      </c>
      <c r="D714" s="570" t="s">
        <v>443</v>
      </c>
      <c r="E714" s="571">
        <v>303.26</v>
      </c>
    </row>
    <row r="715" spans="1:5" ht="39.950000000000003" customHeight="1" x14ac:dyDescent="0.25">
      <c r="A715" s="797"/>
      <c r="B715" s="568"/>
      <c r="C715" s="569" t="s">
        <v>444</v>
      </c>
      <c r="D715" s="570" t="s">
        <v>286</v>
      </c>
      <c r="E715" s="571">
        <v>40.44</v>
      </c>
    </row>
    <row r="716" spans="1:5" ht="39.950000000000003" customHeight="1" x14ac:dyDescent="0.25">
      <c r="A716" s="797"/>
      <c r="B716" s="568"/>
      <c r="C716" s="569" t="s">
        <v>445</v>
      </c>
      <c r="D716" s="570" t="s">
        <v>292</v>
      </c>
      <c r="E716" s="571">
        <v>20.22</v>
      </c>
    </row>
    <row r="717" spans="1:5" ht="39.950000000000003" customHeight="1" x14ac:dyDescent="0.25">
      <c r="A717" s="797"/>
      <c r="B717" s="568"/>
      <c r="C717" s="569" t="s">
        <v>288</v>
      </c>
      <c r="D717" s="570" t="s">
        <v>289</v>
      </c>
      <c r="E717" s="571">
        <v>121.31</v>
      </c>
    </row>
    <row r="718" spans="1:5" ht="39.950000000000003" customHeight="1" x14ac:dyDescent="0.25">
      <c r="A718" s="797"/>
      <c r="B718" s="568"/>
      <c r="C718" s="569" t="s">
        <v>446</v>
      </c>
      <c r="D718" s="570" t="s">
        <v>286</v>
      </c>
      <c r="E718" s="571">
        <v>40.44</v>
      </c>
    </row>
    <row r="719" spans="1:5" ht="39.950000000000003" customHeight="1" x14ac:dyDescent="0.25">
      <c r="A719" s="797"/>
      <c r="B719" s="568"/>
      <c r="C719" s="569" t="s">
        <v>291</v>
      </c>
      <c r="D719" s="570" t="s">
        <v>292</v>
      </c>
      <c r="E719" s="571">
        <v>20.22</v>
      </c>
    </row>
    <row r="720" spans="1:5" ht="39.950000000000003" customHeight="1" x14ac:dyDescent="0.25">
      <c r="A720" s="797"/>
      <c r="B720" s="568"/>
      <c r="C720" s="569" t="s">
        <v>447</v>
      </c>
      <c r="D720" s="570" t="s">
        <v>294</v>
      </c>
      <c r="E720" s="571">
        <v>181.96</v>
      </c>
    </row>
    <row r="721" spans="1:5" ht="39.950000000000003" customHeight="1" x14ac:dyDescent="0.25">
      <c r="A721" s="797"/>
      <c r="B721" s="568"/>
      <c r="C721" s="569" t="s">
        <v>295</v>
      </c>
      <c r="D721" s="570" t="s">
        <v>296</v>
      </c>
      <c r="E721" s="571">
        <v>60.65</v>
      </c>
    </row>
    <row r="722" spans="1:5" ht="39.950000000000003" customHeight="1" x14ac:dyDescent="0.25">
      <c r="A722" s="797"/>
      <c r="B722" s="568"/>
      <c r="C722" s="569" t="s">
        <v>297</v>
      </c>
      <c r="D722" s="570" t="s">
        <v>298</v>
      </c>
      <c r="E722" s="571">
        <v>101.09</v>
      </c>
    </row>
    <row r="723" spans="1:5" ht="39.950000000000003" customHeight="1" x14ac:dyDescent="0.25">
      <c r="A723" s="798"/>
      <c r="B723" s="568"/>
      <c r="C723" s="569" t="s">
        <v>311</v>
      </c>
      <c r="D723" s="570" t="s">
        <v>312</v>
      </c>
      <c r="E723" s="571"/>
    </row>
    <row r="724" spans="1:5" ht="39.950000000000003" customHeight="1" x14ac:dyDescent="0.25">
      <c r="A724" s="796">
        <v>31</v>
      </c>
      <c r="B724" s="564" t="s">
        <v>448</v>
      </c>
      <c r="C724" s="565" t="s">
        <v>449</v>
      </c>
      <c r="D724" s="566" t="s">
        <v>618</v>
      </c>
      <c r="E724" s="567" t="s">
        <v>619</v>
      </c>
    </row>
    <row r="725" spans="1:5" ht="39.950000000000003" customHeight="1" x14ac:dyDescent="0.25">
      <c r="A725" s="797"/>
      <c r="B725" s="568"/>
      <c r="C725" s="569" t="s">
        <v>432</v>
      </c>
      <c r="D725" s="570" t="s">
        <v>433</v>
      </c>
      <c r="E725" s="571" t="s">
        <v>263</v>
      </c>
    </row>
    <row r="726" spans="1:5" ht="39.950000000000003" customHeight="1" x14ac:dyDescent="0.25">
      <c r="A726" s="797"/>
      <c r="B726" s="568"/>
      <c r="C726" s="569" t="s">
        <v>283</v>
      </c>
      <c r="D726" s="570" t="s">
        <v>434</v>
      </c>
      <c r="E726" s="571" t="s">
        <v>263</v>
      </c>
    </row>
    <row r="727" spans="1:5" ht="39.950000000000003" customHeight="1" x14ac:dyDescent="0.25">
      <c r="A727" s="797"/>
      <c r="B727" s="568"/>
      <c r="C727" s="569" t="s">
        <v>435</v>
      </c>
      <c r="D727" s="570" t="s">
        <v>436</v>
      </c>
      <c r="E727" s="571" t="s">
        <v>263</v>
      </c>
    </row>
    <row r="728" spans="1:5" ht="39.950000000000003" customHeight="1" x14ac:dyDescent="0.25">
      <c r="A728" s="797"/>
      <c r="B728" s="568"/>
      <c r="C728" s="569" t="s">
        <v>285</v>
      </c>
      <c r="D728" s="570" t="s">
        <v>286</v>
      </c>
      <c r="E728" s="571">
        <v>32.14</v>
      </c>
    </row>
    <row r="729" spans="1:5" ht="39.950000000000003" customHeight="1" x14ac:dyDescent="0.25">
      <c r="A729" s="797"/>
      <c r="B729" s="568"/>
      <c r="C729" s="569" t="s">
        <v>287</v>
      </c>
      <c r="D729" s="570" t="s">
        <v>286</v>
      </c>
      <c r="E729" s="571">
        <v>32.14</v>
      </c>
    </row>
    <row r="730" spans="1:5" ht="39.950000000000003" customHeight="1" x14ac:dyDescent="0.25">
      <c r="A730" s="797"/>
      <c r="B730" s="568"/>
      <c r="C730" s="569" t="s">
        <v>437</v>
      </c>
      <c r="D730" s="570" t="s">
        <v>353</v>
      </c>
      <c r="E730" s="571">
        <v>353.55</v>
      </c>
    </row>
    <row r="731" spans="1:5" ht="39.950000000000003" customHeight="1" x14ac:dyDescent="0.25">
      <c r="A731" s="797"/>
      <c r="B731" s="568"/>
      <c r="C731" s="569" t="s">
        <v>438</v>
      </c>
      <c r="D731" s="570" t="s">
        <v>439</v>
      </c>
      <c r="E731" s="571">
        <v>433.9</v>
      </c>
    </row>
    <row r="732" spans="1:5" ht="39.950000000000003" customHeight="1" x14ac:dyDescent="0.25">
      <c r="A732" s="797"/>
      <c r="B732" s="568"/>
      <c r="C732" s="569" t="s">
        <v>440</v>
      </c>
      <c r="D732" s="570" t="s">
        <v>292</v>
      </c>
      <c r="E732" s="571">
        <v>16.07</v>
      </c>
    </row>
    <row r="733" spans="1:5" ht="39.950000000000003" customHeight="1" x14ac:dyDescent="0.25">
      <c r="A733" s="797"/>
      <c r="B733" s="568"/>
      <c r="C733" s="569" t="s">
        <v>441</v>
      </c>
      <c r="D733" s="570" t="s">
        <v>286</v>
      </c>
      <c r="E733" s="571">
        <v>32.14</v>
      </c>
    </row>
    <row r="734" spans="1:5" ht="39.950000000000003" customHeight="1" x14ac:dyDescent="0.25">
      <c r="A734" s="797"/>
      <c r="B734" s="568"/>
      <c r="C734" s="569" t="s">
        <v>442</v>
      </c>
      <c r="D734" s="570" t="s">
        <v>443</v>
      </c>
      <c r="E734" s="571">
        <v>241.06</v>
      </c>
    </row>
    <row r="735" spans="1:5" ht="39.950000000000003" customHeight="1" x14ac:dyDescent="0.25">
      <c r="A735" s="797"/>
      <c r="B735" s="568"/>
      <c r="C735" s="569" t="s">
        <v>444</v>
      </c>
      <c r="D735" s="570" t="s">
        <v>286</v>
      </c>
      <c r="E735" s="571">
        <v>32.14</v>
      </c>
    </row>
    <row r="736" spans="1:5" ht="39.950000000000003" customHeight="1" x14ac:dyDescent="0.25">
      <c r="A736" s="797"/>
      <c r="B736" s="568"/>
      <c r="C736" s="569" t="s">
        <v>445</v>
      </c>
      <c r="D736" s="570" t="s">
        <v>292</v>
      </c>
      <c r="E736" s="571">
        <v>16.07</v>
      </c>
    </row>
    <row r="737" spans="1:5" ht="39.950000000000003" customHeight="1" x14ac:dyDescent="0.25">
      <c r="A737" s="797"/>
      <c r="B737" s="568"/>
      <c r="C737" s="569" t="s">
        <v>288</v>
      </c>
      <c r="D737" s="570" t="s">
        <v>289</v>
      </c>
      <c r="E737" s="571">
        <v>96.42</v>
      </c>
    </row>
    <row r="738" spans="1:5" ht="39.950000000000003" customHeight="1" x14ac:dyDescent="0.25">
      <c r="A738" s="797"/>
      <c r="B738" s="568"/>
      <c r="C738" s="569" t="s">
        <v>446</v>
      </c>
      <c r="D738" s="570" t="s">
        <v>286</v>
      </c>
      <c r="E738" s="571">
        <v>32.14</v>
      </c>
    </row>
    <row r="739" spans="1:5" ht="39.950000000000003" customHeight="1" x14ac:dyDescent="0.25">
      <c r="A739" s="797"/>
      <c r="B739" s="568"/>
      <c r="C739" s="569" t="s">
        <v>291</v>
      </c>
      <c r="D739" s="570" t="s">
        <v>292</v>
      </c>
      <c r="E739" s="571">
        <v>16.07</v>
      </c>
    </row>
    <row r="740" spans="1:5" ht="39.950000000000003" customHeight="1" x14ac:dyDescent="0.25">
      <c r="A740" s="797"/>
      <c r="B740" s="568"/>
      <c r="C740" s="569" t="s">
        <v>447</v>
      </c>
      <c r="D740" s="570" t="s">
        <v>294</v>
      </c>
      <c r="E740" s="571">
        <v>144.63</v>
      </c>
    </row>
    <row r="741" spans="1:5" ht="39.950000000000003" customHeight="1" x14ac:dyDescent="0.25">
      <c r="A741" s="797"/>
      <c r="B741" s="568"/>
      <c r="C741" s="569" t="s">
        <v>295</v>
      </c>
      <c r="D741" s="570" t="s">
        <v>296</v>
      </c>
      <c r="E741" s="571">
        <v>48.21</v>
      </c>
    </row>
    <row r="742" spans="1:5" ht="39.950000000000003" customHeight="1" x14ac:dyDescent="0.25">
      <c r="A742" s="797"/>
      <c r="B742" s="568"/>
      <c r="C742" s="569" t="s">
        <v>297</v>
      </c>
      <c r="D742" s="570" t="s">
        <v>298</v>
      </c>
      <c r="E742" s="571">
        <v>80.349999999999994</v>
      </c>
    </row>
    <row r="743" spans="1:5" ht="39.950000000000003" customHeight="1" x14ac:dyDescent="0.25">
      <c r="A743" s="798"/>
      <c r="B743" s="568"/>
      <c r="C743" s="569" t="s">
        <v>311</v>
      </c>
      <c r="D743" s="570" t="s">
        <v>312</v>
      </c>
      <c r="E743" s="571"/>
    </row>
    <row r="744" spans="1:5" ht="39.950000000000003" customHeight="1" x14ac:dyDescent="0.25">
      <c r="A744" s="807" t="s">
        <v>450</v>
      </c>
      <c r="B744" s="808"/>
      <c r="C744" s="808"/>
      <c r="D744" s="808"/>
      <c r="E744" s="808"/>
    </row>
    <row r="745" spans="1:5" ht="39.950000000000003" customHeight="1" x14ac:dyDescent="0.25">
      <c r="A745" s="796">
        <v>32</v>
      </c>
      <c r="B745" s="564" t="s">
        <v>451</v>
      </c>
      <c r="C745" s="565" t="s">
        <v>452</v>
      </c>
      <c r="D745" s="566" t="s">
        <v>620</v>
      </c>
      <c r="E745" s="567">
        <v>260</v>
      </c>
    </row>
    <row r="746" spans="1:5" ht="39.950000000000003" customHeight="1" x14ac:dyDescent="0.25">
      <c r="A746" s="797"/>
      <c r="B746" s="568"/>
      <c r="C746" s="569" t="s">
        <v>283</v>
      </c>
      <c r="D746" s="570" t="s">
        <v>453</v>
      </c>
      <c r="E746" s="571" t="s">
        <v>263</v>
      </c>
    </row>
    <row r="747" spans="1:5" ht="39.950000000000003" customHeight="1" x14ac:dyDescent="0.25">
      <c r="A747" s="797"/>
      <c r="B747" s="568"/>
      <c r="C747" s="569" t="s">
        <v>454</v>
      </c>
      <c r="D747" s="570" t="s">
        <v>455</v>
      </c>
      <c r="E747" s="571" t="s">
        <v>263</v>
      </c>
    </row>
    <row r="748" spans="1:5" ht="39.950000000000003" customHeight="1" x14ac:dyDescent="0.25">
      <c r="A748" s="797"/>
      <c r="B748" s="568"/>
      <c r="C748" s="569" t="s">
        <v>456</v>
      </c>
      <c r="D748" s="570" t="s">
        <v>332</v>
      </c>
      <c r="E748" s="571">
        <v>78</v>
      </c>
    </row>
    <row r="749" spans="1:5" ht="39.950000000000003" customHeight="1" x14ac:dyDescent="0.25">
      <c r="A749" s="797"/>
      <c r="B749" s="568"/>
      <c r="C749" s="569" t="s">
        <v>457</v>
      </c>
      <c r="D749" s="570" t="s">
        <v>458</v>
      </c>
      <c r="E749" s="571">
        <v>174.2</v>
      </c>
    </row>
    <row r="750" spans="1:5" ht="39.950000000000003" customHeight="1" x14ac:dyDescent="0.25">
      <c r="A750" s="797"/>
      <c r="B750" s="568"/>
      <c r="C750" s="569" t="s">
        <v>459</v>
      </c>
      <c r="D750" s="570" t="s">
        <v>296</v>
      </c>
      <c r="E750" s="571">
        <v>7.8</v>
      </c>
    </row>
    <row r="751" spans="1:5" ht="39.950000000000003" customHeight="1" x14ac:dyDescent="0.25">
      <c r="A751" s="798"/>
      <c r="B751" s="568"/>
      <c r="C751" s="569" t="s">
        <v>311</v>
      </c>
      <c r="D751" s="570" t="s">
        <v>312</v>
      </c>
      <c r="E751" s="571"/>
    </row>
    <row r="752" spans="1:5" ht="39.950000000000003" customHeight="1" x14ac:dyDescent="0.25">
      <c r="A752" s="796">
        <v>33</v>
      </c>
      <c r="B752" s="564" t="s">
        <v>460</v>
      </c>
      <c r="C752" s="565" t="s">
        <v>461</v>
      </c>
      <c r="D752" s="566" t="s">
        <v>621</v>
      </c>
      <c r="E752" s="567" t="s">
        <v>622</v>
      </c>
    </row>
    <row r="753" spans="1:5" ht="39.950000000000003" customHeight="1" x14ac:dyDescent="0.25">
      <c r="A753" s="797"/>
      <c r="B753" s="568"/>
      <c r="C753" s="569" t="s">
        <v>462</v>
      </c>
      <c r="D753" s="570" t="s">
        <v>463</v>
      </c>
      <c r="E753" s="571" t="s">
        <v>263</v>
      </c>
    </row>
    <row r="754" spans="1:5" ht="39.950000000000003" customHeight="1" x14ac:dyDescent="0.25">
      <c r="A754" s="797"/>
      <c r="B754" s="568"/>
      <c r="C754" s="569" t="s">
        <v>283</v>
      </c>
      <c r="D754" s="570" t="s">
        <v>315</v>
      </c>
      <c r="E754" s="571" t="s">
        <v>263</v>
      </c>
    </row>
    <row r="755" spans="1:5" ht="39.950000000000003" customHeight="1" x14ac:dyDescent="0.25">
      <c r="A755" s="798"/>
      <c r="B755" s="568"/>
      <c r="C755" s="569" t="s">
        <v>464</v>
      </c>
      <c r="D755" s="570" t="s">
        <v>465</v>
      </c>
      <c r="E755" s="571" t="s">
        <v>263</v>
      </c>
    </row>
    <row r="756" spans="1:5" ht="39.950000000000003" customHeight="1" x14ac:dyDescent="0.25">
      <c r="A756" s="796">
        <v>34</v>
      </c>
      <c r="B756" s="564" t="s">
        <v>466</v>
      </c>
      <c r="C756" s="565" t="s">
        <v>467</v>
      </c>
      <c r="D756" s="566" t="s">
        <v>623</v>
      </c>
      <c r="E756" s="567" t="s">
        <v>624</v>
      </c>
    </row>
    <row r="757" spans="1:5" ht="39.950000000000003" customHeight="1" x14ac:dyDescent="0.25">
      <c r="A757" s="797"/>
      <c r="B757" s="568"/>
      <c r="C757" s="569" t="s">
        <v>283</v>
      </c>
      <c r="D757" s="570" t="s">
        <v>468</v>
      </c>
      <c r="E757" s="571" t="s">
        <v>263</v>
      </c>
    </row>
    <row r="758" spans="1:5" ht="39.950000000000003" customHeight="1" x14ac:dyDescent="0.25">
      <c r="A758" s="798"/>
      <c r="B758" s="568"/>
      <c r="C758" s="569" t="s">
        <v>464</v>
      </c>
      <c r="D758" s="570" t="s">
        <v>469</v>
      </c>
      <c r="E758" s="571" t="s">
        <v>263</v>
      </c>
    </row>
    <row r="759" spans="1:5" ht="39.950000000000003" customHeight="1" x14ac:dyDescent="0.25">
      <c r="A759" s="563"/>
      <c r="B759" s="801" t="s">
        <v>793</v>
      </c>
      <c r="C759" s="802"/>
      <c r="D759" s="802"/>
      <c r="E759" s="572"/>
    </row>
    <row r="760" spans="1:5" ht="39.950000000000003" customHeight="1" x14ac:dyDescent="0.25">
      <c r="A760" s="563"/>
      <c r="B760" s="803" t="s">
        <v>1147</v>
      </c>
      <c r="C760" s="804"/>
      <c r="D760" s="804"/>
      <c r="E760" s="567" t="s">
        <v>1148</v>
      </c>
    </row>
    <row r="761" spans="1:5" ht="39.950000000000003" customHeight="1" x14ac:dyDescent="0.25">
      <c r="A761" s="563"/>
      <c r="B761" s="803" t="s">
        <v>1149</v>
      </c>
      <c r="C761" s="804"/>
      <c r="D761" s="804"/>
      <c r="E761" s="567" t="s">
        <v>1150</v>
      </c>
    </row>
    <row r="762" spans="1:5" ht="39.950000000000003" customHeight="1" x14ac:dyDescent="0.25">
      <c r="A762" s="573"/>
      <c r="B762" s="805" t="s">
        <v>470</v>
      </c>
      <c r="C762" s="806"/>
      <c r="D762" s="806"/>
      <c r="E762" s="574" t="s">
        <v>1151</v>
      </c>
    </row>
    <row r="763" spans="1:5" ht="39.950000000000003" customHeight="1" x14ac:dyDescent="0.25">
      <c r="A763" s="573"/>
      <c r="B763" s="805" t="s">
        <v>1240</v>
      </c>
      <c r="C763" s="806"/>
      <c r="D763" s="806"/>
      <c r="E763" s="574" t="s">
        <v>1241</v>
      </c>
    </row>
    <row r="764" spans="1:5" ht="39.950000000000003" customHeight="1" x14ac:dyDescent="0.25">
      <c r="A764" s="575"/>
      <c r="B764" s="799" t="s">
        <v>471</v>
      </c>
      <c r="C764" s="800"/>
      <c r="D764" s="800"/>
      <c r="E764" s="576">
        <v>3510801.15</v>
      </c>
    </row>
    <row r="765" spans="1:5" x14ac:dyDescent="0.25">
      <c r="A765" s="554"/>
      <c r="B765" s="553"/>
      <c r="C765" s="552"/>
      <c r="D765" s="555"/>
      <c r="E765" s="560"/>
    </row>
    <row r="766" spans="1:5" x14ac:dyDescent="0.25">
      <c r="A766" s="536"/>
      <c r="B766" s="536"/>
      <c r="C766" s="536"/>
      <c r="D766" s="536"/>
      <c r="E766" s="536"/>
    </row>
    <row r="768" spans="1:5" x14ac:dyDescent="0.25">
      <c r="A768" s="559" t="s">
        <v>1242</v>
      </c>
      <c r="B768" s="535"/>
      <c r="C768" s="535"/>
      <c r="D768" s="535"/>
      <c r="E768" s="535"/>
    </row>
    <row r="769" spans="1:1" x14ac:dyDescent="0.25">
      <c r="A769" s="559" t="s">
        <v>472</v>
      </c>
    </row>
    <row r="770" spans="1:1" x14ac:dyDescent="0.25">
      <c r="A770" s="559" t="s">
        <v>473</v>
      </c>
    </row>
    <row r="771" spans="1:1" x14ac:dyDescent="0.25">
      <c r="A771" s="559" t="s">
        <v>474</v>
      </c>
    </row>
    <row r="773" spans="1:1" x14ac:dyDescent="0.25">
      <c r="A773" s="556"/>
    </row>
  </sheetData>
  <mergeCells count="53">
    <mergeCell ref="A19:E19"/>
    <mergeCell ref="A264:E264"/>
    <mergeCell ref="A620:E620"/>
    <mergeCell ref="A682:E682"/>
    <mergeCell ref="A744:E744"/>
    <mergeCell ref="A20:A38"/>
    <mergeCell ref="A83:A103"/>
    <mergeCell ref="A61:A82"/>
    <mergeCell ref="A39:A60"/>
    <mergeCell ref="A191:A212"/>
    <mergeCell ref="A169:A190"/>
    <mergeCell ref="A147:A168"/>
    <mergeCell ref="A126:A146"/>
    <mergeCell ref="A104:A125"/>
    <mergeCell ref="A285:A304"/>
    <mergeCell ref="A265:A284"/>
    <mergeCell ref="B764:D764"/>
    <mergeCell ref="B759:D759"/>
    <mergeCell ref="B760:D760"/>
    <mergeCell ref="B761:D761"/>
    <mergeCell ref="B762:D762"/>
    <mergeCell ref="B763:D763"/>
    <mergeCell ref="A235:A253"/>
    <mergeCell ref="A254:A263"/>
    <mergeCell ref="A213:A234"/>
    <mergeCell ref="A419:A449"/>
    <mergeCell ref="A388:A418"/>
    <mergeCell ref="A356:A387"/>
    <mergeCell ref="A325:A355"/>
    <mergeCell ref="A305:A324"/>
    <mergeCell ref="A576:A607"/>
    <mergeCell ref="A545:A575"/>
    <mergeCell ref="A513:A544"/>
    <mergeCell ref="A482:A512"/>
    <mergeCell ref="A450:A481"/>
    <mergeCell ref="A683:A703"/>
    <mergeCell ref="A661:A681"/>
    <mergeCell ref="A641:A660"/>
    <mergeCell ref="A621:A640"/>
    <mergeCell ref="A608:A619"/>
    <mergeCell ref="A752:A755"/>
    <mergeCell ref="A756:A758"/>
    <mergeCell ref="A745:A751"/>
    <mergeCell ref="A724:A743"/>
    <mergeCell ref="A704:A723"/>
    <mergeCell ref="A2:B2"/>
    <mergeCell ref="C3:E3"/>
    <mergeCell ref="A5:D5"/>
    <mergeCell ref="B13:E13"/>
    <mergeCell ref="A8:D8"/>
    <mergeCell ref="B11:E11"/>
    <mergeCell ref="A4:E4"/>
    <mergeCell ref="A7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A7" sqref="A7:G7"/>
    </sheetView>
  </sheetViews>
  <sheetFormatPr defaultRowHeight="15" x14ac:dyDescent="0.25"/>
  <cols>
    <col min="1" max="1" width="5.28515625" customWidth="1"/>
    <col min="2" max="2" width="71.5703125" customWidth="1"/>
    <col min="4" max="4" width="9" customWidth="1"/>
    <col min="5" max="5" width="39.42578125" customWidth="1"/>
    <col min="6" max="6" width="15.5703125" customWidth="1"/>
    <col min="7" max="7" width="15.42578125" customWidth="1"/>
  </cols>
  <sheetData>
    <row r="1" spans="1:7" x14ac:dyDescent="0.25">
      <c r="A1" s="383"/>
      <c r="B1" s="392"/>
      <c r="C1" s="392"/>
      <c r="D1" s="383"/>
      <c r="E1" s="383"/>
      <c r="F1" s="383"/>
      <c r="G1" s="389" t="s">
        <v>266</v>
      </c>
    </row>
    <row r="2" spans="1:7" x14ac:dyDescent="0.25">
      <c r="A2" s="401"/>
      <c r="B2" s="392"/>
      <c r="C2" s="392"/>
      <c r="D2" s="390"/>
      <c r="E2" s="390"/>
      <c r="F2" s="390"/>
      <c r="G2" s="390"/>
    </row>
    <row r="3" spans="1:7" ht="15" customHeight="1" x14ac:dyDescent="0.25">
      <c r="A3" s="820" t="s">
        <v>1063</v>
      </c>
      <c r="B3" s="820"/>
      <c r="C3" s="820"/>
      <c r="D3" s="820"/>
      <c r="E3" s="820"/>
      <c r="F3" s="821"/>
      <c r="G3" s="821"/>
    </row>
    <row r="4" spans="1:7" ht="15" customHeight="1" x14ac:dyDescent="0.25">
      <c r="A4" s="822" t="s">
        <v>950</v>
      </c>
      <c r="B4" s="822"/>
      <c r="C4" s="822"/>
      <c r="D4" s="822"/>
      <c r="E4" s="822"/>
      <c r="F4" s="823"/>
      <c r="G4" s="823"/>
    </row>
    <row r="5" spans="1:7" ht="15" customHeight="1" x14ac:dyDescent="0.25">
      <c r="A5" s="822" t="s">
        <v>951</v>
      </c>
      <c r="B5" s="822"/>
      <c r="C5" s="822"/>
      <c r="D5" s="822"/>
      <c r="E5" s="822"/>
      <c r="F5" s="823"/>
      <c r="G5" s="823"/>
    </row>
    <row r="6" spans="1:7" ht="15" customHeight="1" x14ac:dyDescent="0.25">
      <c r="A6" s="822" t="s">
        <v>952</v>
      </c>
      <c r="B6" s="822"/>
      <c r="C6" s="822"/>
      <c r="D6" s="822"/>
      <c r="E6" s="822"/>
      <c r="F6" s="823"/>
      <c r="G6" s="823"/>
    </row>
    <row r="7" spans="1:7" ht="22.5" customHeight="1" x14ac:dyDescent="0.25">
      <c r="A7" s="822" t="s">
        <v>1175</v>
      </c>
      <c r="B7" s="822"/>
      <c r="C7" s="822"/>
      <c r="D7" s="822"/>
      <c r="E7" s="822"/>
      <c r="F7" s="823"/>
      <c r="G7" s="823"/>
    </row>
    <row r="8" spans="1:7" x14ac:dyDescent="0.25">
      <c r="A8" s="385"/>
      <c r="B8" s="385"/>
      <c r="C8" s="386"/>
      <c r="D8" s="386"/>
      <c r="E8" s="387"/>
      <c r="F8" s="383"/>
      <c r="G8" s="383"/>
    </row>
    <row r="9" spans="1:7" ht="36" x14ac:dyDescent="0.25">
      <c r="A9" s="388" t="s">
        <v>275</v>
      </c>
      <c r="B9" s="391" t="s">
        <v>37</v>
      </c>
      <c r="C9" s="391" t="s">
        <v>797</v>
      </c>
      <c r="D9" s="391" t="s">
        <v>953</v>
      </c>
      <c r="E9" s="391" t="s">
        <v>880</v>
      </c>
      <c r="F9" s="395" t="s">
        <v>954</v>
      </c>
      <c r="G9" s="395" t="s">
        <v>955</v>
      </c>
    </row>
    <row r="10" spans="1:7" x14ac:dyDescent="0.25">
      <c r="A10" s="407">
        <v>1</v>
      </c>
      <c r="B10" s="408">
        <v>2</v>
      </c>
      <c r="C10" s="408">
        <v>3</v>
      </c>
      <c r="D10" s="408">
        <v>4</v>
      </c>
      <c r="E10" s="408">
        <v>5</v>
      </c>
      <c r="F10" s="407">
        <v>6</v>
      </c>
      <c r="G10" s="407">
        <v>7</v>
      </c>
    </row>
    <row r="11" spans="1:7" ht="15" customHeight="1" x14ac:dyDescent="0.25">
      <c r="A11" s="818" t="s">
        <v>956</v>
      </c>
      <c r="B11" s="819"/>
      <c r="C11" s="819"/>
      <c r="D11" s="819"/>
      <c r="E11" s="819"/>
      <c r="F11" s="819"/>
      <c r="G11" s="819"/>
    </row>
    <row r="12" spans="1:7" ht="45.75" customHeight="1" x14ac:dyDescent="0.25">
      <c r="A12" s="815">
        <v>1</v>
      </c>
      <c r="B12" s="410" t="s">
        <v>1064</v>
      </c>
      <c r="C12" s="411" t="s">
        <v>964</v>
      </c>
      <c r="D12" s="412">
        <v>17</v>
      </c>
      <c r="E12" s="413" t="s">
        <v>1065</v>
      </c>
      <c r="F12" s="412" t="s">
        <v>1066</v>
      </c>
      <c r="G12" s="414">
        <v>242.47</v>
      </c>
    </row>
    <row r="13" spans="1:7" ht="77.25" customHeight="1" x14ac:dyDescent="0.25">
      <c r="A13" s="816"/>
      <c r="B13" s="415"/>
      <c r="C13" s="416"/>
      <c r="D13" s="417"/>
      <c r="E13" s="418" t="s">
        <v>1067</v>
      </c>
      <c r="F13" s="417"/>
      <c r="G13" s="419" t="s">
        <v>263</v>
      </c>
    </row>
    <row r="14" spans="1:7" ht="87" customHeight="1" x14ac:dyDescent="0.25">
      <c r="A14" s="817"/>
      <c r="B14" s="415"/>
      <c r="C14" s="416"/>
      <c r="D14" s="417"/>
      <c r="E14" s="418" t="s">
        <v>1068</v>
      </c>
      <c r="F14" s="417"/>
      <c r="G14" s="419" t="s">
        <v>263</v>
      </c>
    </row>
    <row r="15" spans="1:7" ht="57.75" customHeight="1" x14ac:dyDescent="0.25">
      <c r="A15" s="815">
        <v>2</v>
      </c>
      <c r="B15" s="410" t="s">
        <v>1069</v>
      </c>
      <c r="C15" s="411" t="s">
        <v>1070</v>
      </c>
      <c r="D15" s="412">
        <v>7</v>
      </c>
      <c r="E15" s="413" t="s">
        <v>1071</v>
      </c>
      <c r="F15" s="412" t="s">
        <v>1072</v>
      </c>
      <c r="G15" s="414">
        <v>81.14</v>
      </c>
    </row>
    <row r="16" spans="1:7" ht="78.75" customHeight="1" x14ac:dyDescent="0.25">
      <c r="A16" s="816"/>
      <c r="B16" s="415"/>
      <c r="C16" s="416"/>
      <c r="D16" s="417"/>
      <c r="E16" s="418" t="s">
        <v>1073</v>
      </c>
      <c r="F16" s="417"/>
      <c r="G16" s="419" t="s">
        <v>263</v>
      </c>
    </row>
    <row r="17" spans="1:7" ht="81" customHeight="1" x14ac:dyDescent="0.25">
      <c r="A17" s="817"/>
      <c r="B17" s="415"/>
      <c r="C17" s="416"/>
      <c r="D17" s="417"/>
      <c r="E17" s="418" t="s">
        <v>1074</v>
      </c>
      <c r="F17" s="417"/>
      <c r="G17" s="419" t="s">
        <v>263</v>
      </c>
    </row>
    <row r="18" spans="1:7" ht="48" customHeight="1" x14ac:dyDescent="0.25">
      <c r="A18" s="815">
        <v>3</v>
      </c>
      <c r="B18" s="410" t="s">
        <v>1075</v>
      </c>
      <c r="C18" s="411" t="s">
        <v>1070</v>
      </c>
      <c r="D18" s="412">
        <v>7</v>
      </c>
      <c r="E18" s="413" t="s">
        <v>1076</v>
      </c>
      <c r="F18" s="412" t="s">
        <v>1077</v>
      </c>
      <c r="G18" s="414">
        <v>71.739999999999995</v>
      </c>
    </row>
    <row r="19" spans="1:7" ht="82.5" customHeight="1" x14ac:dyDescent="0.25">
      <c r="A19" s="816"/>
      <c r="B19" s="415"/>
      <c r="C19" s="416"/>
      <c r="D19" s="417"/>
      <c r="E19" s="418" t="s">
        <v>1073</v>
      </c>
      <c r="F19" s="417"/>
      <c r="G19" s="419" t="s">
        <v>263</v>
      </c>
    </row>
    <row r="20" spans="1:7" ht="77.25" customHeight="1" x14ac:dyDescent="0.25">
      <c r="A20" s="817"/>
      <c r="B20" s="415"/>
      <c r="C20" s="416"/>
      <c r="D20" s="417"/>
      <c r="E20" s="418" t="s">
        <v>1074</v>
      </c>
      <c r="F20" s="417"/>
      <c r="G20" s="419" t="s">
        <v>263</v>
      </c>
    </row>
    <row r="21" spans="1:7" ht="47.25" customHeight="1" x14ac:dyDescent="0.25">
      <c r="A21" s="815">
        <v>4</v>
      </c>
      <c r="B21" s="410" t="s">
        <v>1078</v>
      </c>
      <c r="C21" s="411" t="s">
        <v>1070</v>
      </c>
      <c r="D21" s="412">
        <v>5</v>
      </c>
      <c r="E21" s="413" t="s">
        <v>1079</v>
      </c>
      <c r="F21" s="412" t="s">
        <v>1080</v>
      </c>
      <c r="G21" s="414">
        <v>316.68</v>
      </c>
    </row>
    <row r="22" spans="1:7" ht="76.5" customHeight="1" x14ac:dyDescent="0.25">
      <c r="A22" s="816"/>
      <c r="B22" s="415"/>
      <c r="C22" s="416"/>
      <c r="D22" s="417"/>
      <c r="E22" s="418" t="s">
        <v>1073</v>
      </c>
      <c r="F22" s="417"/>
      <c r="G22" s="419" t="s">
        <v>263</v>
      </c>
    </row>
    <row r="23" spans="1:7" ht="78.75" customHeight="1" x14ac:dyDescent="0.25">
      <c r="A23" s="817"/>
      <c r="B23" s="415"/>
      <c r="C23" s="416"/>
      <c r="D23" s="417"/>
      <c r="E23" s="418" t="s">
        <v>1074</v>
      </c>
      <c r="F23" s="417"/>
      <c r="G23" s="419" t="s">
        <v>263</v>
      </c>
    </row>
    <row r="24" spans="1:7" ht="39" customHeight="1" x14ac:dyDescent="0.25">
      <c r="A24" s="815">
        <v>5</v>
      </c>
      <c r="B24" s="410" t="s">
        <v>1081</v>
      </c>
      <c r="C24" s="411" t="s">
        <v>1070</v>
      </c>
      <c r="D24" s="412">
        <v>5</v>
      </c>
      <c r="E24" s="413" t="s">
        <v>1082</v>
      </c>
      <c r="F24" s="412" t="s">
        <v>1083</v>
      </c>
      <c r="G24" s="414">
        <v>170.52</v>
      </c>
    </row>
    <row r="25" spans="1:7" ht="78.75" customHeight="1" x14ac:dyDescent="0.25">
      <c r="A25" s="816"/>
      <c r="B25" s="415"/>
      <c r="C25" s="416"/>
      <c r="D25" s="417"/>
      <c r="E25" s="418" t="s">
        <v>1073</v>
      </c>
      <c r="F25" s="417"/>
      <c r="G25" s="419" t="s">
        <v>263</v>
      </c>
    </row>
    <row r="26" spans="1:7" ht="86.25" customHeight="1" x14ac:dyDescent="0.25">
      <c r="A26" s="817"/>
      <c r="B26" s="415"/>
      <c r="C26" s="416"/>
      <c r="D26" s="417"/>
      <c r="E26" s="418" t="s">
        <v>1074</v>
      </c>
      <c r="F26" s="417"/>
      <c r="G26" s="419" t="s">
        <v>263</v>
      </c>
    </row>
    <row r="27" spans="1:7" ht="32.25" customHeight="1" x14ac:dyDescent="0.25">
      <c r="A27" s="815">
        <v>6</v>
      </c>
      <c r="B27" s="410" t="s">
        <v>1084</v>
      </c>
      <c r="C27" s="411" t="s">
        <v>1070</v>
      </c>
      <c r="D27" s="412">
        <v>5</v>
      </c>
      <c r="E27" s="413" t="s">
        <v>1085</v>
      </c>
      <c r="F27" s="412" t="s">
        <v>1086</v>
      </c>
      <c r="G27" s="414">
        <v>157.91999999999999</v>
      </c>
    </row>
    <row r="28" spans="1:7" ht="75" customHeight="1" x14ac:dyDescent="0.25">
      <c r="A28" s="816"/>
      <c r="B28" s="415"/>
      <c r="C28" s="416"/>
      <c r="D28" s="417"/>
      <c r="E28" s="418" t="s">
        <v>1073</v>
      </c>
      <c r="F28" s="417"/>
      <c r="G28" s="419" t="s">
        <v>263</v>
      </c>
    </row>
    <row r="29" spans="1:7" ht="88.5" customHeight="1" x14ac:dyDescent="0.25">
      <c r="A29" s="817"/>
      <c r="B29" s="415"/>
      <c r="C29" s="416"/>
      <c r="D29" s="417"/>
      <c r="E29" s="418" t="s">
        <v>1074</v>
      </c>
      <c r="F29" s="417"/>
      <c r="G29" s="419" t="s">
        <v>263</v>
      </c>
    </row>
    <row r="30" spans="1:7" x14ac:dyDescent="0.25">
      <c r="A30" s="409" t="s">
        <v>209</v>
      </c>
      <c r="B30" s="809" t="s">
        <v>1028</v>
      </c>
      <c r="C30" s="810"/>
      <c r="D30" s="810"/>
      <c r="E30" s="810"/>
      <c r="F30" s="810"/>
      <c r="G30" s="420"/>
    </row>
    <row r="31" spans="1:7" x14ac:dyDescent="0.25">
      <c r="A31" s="409" t="s">
        <v>209</v>
      </c>
      <c r="B31" s="811" t="s">
        <v>1087</v>
      </c>
      <c r="C31" s="812"/>
      <c r="D31" s="812"/>
      <c r="E31" s="812"/>
      <c r="F31" s="812"/>
      <c r="G31" s="414" t="s">
        <v>1088</v>
      </c>
    </row>
    <row r="32" spans="1:7" ht="15" customHeight="1" x14ac:dyDescent="0.25">
      <c r="A32" s="409" t="s">
        <v>209</v>
      </c>
      <c r="B32" s="811" t="s">
        <v>1159</v>
      </c>
      <c r="C32" s="812"/>
      <c r="D32" s="812"/>
      <c r="E32" s="812"/>
      <c r="F32" s="812"/>
      <c r="G32" s="414" t="s">
        <v>1160</v>
      </c>
    </row>
    <row r="33" spans="1:7" x14ac:dyDescent="0.25">
      <c r="A33" s="409" t="s">
        <v>209</v>
      </c>
      <c r="B33" s="809" t="s">
        <v>973</v>
      </c>
      <c r="C33" s="810"/>
      <c r="D33" s="810"/>
      <c r="E33" s="810"/>
      <c r="F33" s="810"/>
      <c r="G33" s="420" t="s">
        <v>1160</v>
      </c>
    </row>
    <row r="34" spans="1:7" ht="15" customHeight="1" x14ac:dyDescent="0.25">
      <c r="A34" s="818" t="s">
        <v>974</v>
      </c>
      <c r="B34" s="819"/>
      <c r="C34" s="819"/>
      <c r="D34" s="819"/>
      <c r="E34" s="819"/>
      <c r="F34" s="819"/>
      <c r="G34" s="819"/>
    </row>
    <row r="35" spans="1:7" ht="57" customHeight="1" x14ac:dyDescent="0.25">
      <c r="A35" s="409">
        <v>7</v>
      </c>
      <c r="B35" s="410" t="s">
        <v>1089</v>
      </c>
      <c r="C35" s="411" t="s">
        <v>964</v>
      </c>
      <c r="D35" s="412">
        <v>17</v>
      </c>
      <c r="E35" s="413" t="s">
        <v>1090</v>
      </c>
      <c r="F35" s="412" t="s">
        <v>1091</v>
      </c>
      <c r="G35" s="414">
        <v>40.97</v>
      </c>
    </row>
    <row r="36" spans="1:7" ht="50.25" customHeight="1" x14ac:dyDescent="0.25">
      <c r="A36" s="815">
        <v>8</v>
      </c>
      <c r="B36" s="410" t="s">
        <v>1092</v>
      </c>
      <c r="C36" s="411" t="s">
        <v>991</v>
      </c>
      <c r="D36" s="412">
        <v>1</v>
      </c>
      <c r="E36" s="413" t="s">
        <v>1093</v>
      </c>
      <c r="F36" s="412" t="s">
        <v>1094</v>
      </c>
      <c r="G36" s="414">
        <v>700</v>
      </c>
    </row>
    <row r="37" spans="1:7" ht="55.5" customHeight="1" x14ac:dyDescent="0.25">
      <c r="A37" s="817"/>
      <c r="B37" s="415"/>
      <c r="C37" s="416"/>
      <c r="D37" s="417"/>
      <c r="E37" s="418" t="s">
        <v>1095</v>
      </c>
      <c r="F37" s="417"/>
      <c r="G37" s="419" t="s">
        <v>263</v>
      </c>
    </row>
    <row r="38" spans="1:7" ht="76.5" customHeight="1" x14ac:dyDescent="0.25">
      <c r="A38" s="815">
        <v>9</v>
      </c>
      <c r="B38" s="410" t="s">
        <v>1096</v>
      </c>
      <c r="C38" s="411" t="s">
        <v>995</v>
      </c>
      <c r="D38" s="412">
        <v>0.25</v>
      </c>
      <c r="E38" s="413" t="s">
        <v>1097</v>
      </c>
      <c r="F38" s="412" t="s">
        <v>1098</v>
      </c>
      <c r="G38" s="414">
        <v>15.36</v>
      </c>
    </row>
    <row r="39" spans="1:7" ht="67.5" customHeight="1" x14ac:dyDescent="0.25">
      <c r="A39" s="817"/>
      <c r="B39" s="415"/>
      <c r="C39" s="416"/>
      <c r="D39" s="417"/>
      <c r="E39" s="418" t="s">
        <v>1099</v>
      </c>
      <c r="F39" s="417"/>
      <c r="G39" s="419" t="s">
        <v>263</v>
      </c>
    </row>
    <row r="40" spans="1:7" ht="15" customHeight="1" x14ac:dyDescent="0.25">
      <c r="A40" s="409" t="s">
        <v>209</v>
      </c>
      <c r="B40" s="809" t="s">
        <v>1043</v>
      </c>
      <c r="C40" s="810"/>
      <c r="D40" s="810"/>
      <c r="E40" s="810"/>
      <c r="F40" s="810"/>
      <c r="G40" s="420"/>
    </row>
    <row r="41" spans="1:7" x14ac:dyDescent="0.25">
      <c r="A41" s="409" t="s">
        <v>209</v>
      </c>
      <c r="B41" s="811" t="s">
        <v>1100</v>
      </c>
      <c r="C41" s="812"/>
      <c r="D41" s="812"/>
      <c r="E41" s="812"/>
      <c r="F41" s="812"/>
      <c r="G41" s="414">
        <v>756.33</v>
      </c>
    </row>
    <row r="42" spans="1:7" ht="15" customHeight="1" x14ac:dyDescent="0.25">
      <c r="A42" s="409" t="s">
        <v>209</v>
      </c>
      <c r="B42" s="811" t="s">
        <v>1159</v>
      </c>
      <c r="C42" s="812"/>
      <c r="D42" s="812"/>
      <c r="E42" s="812"/>
      <c r="F42" s="812"/>
      <c r="G42" s="414" t="s">
        <v>1161</v>
      </c>
    </row>
    <row r="43" spans="1:7" ht="15" customHeight="1" x14ac:dyDescent="0.25">
      <c r="A43" s="409" t="s">
        <v>209</v>
      </c>
      <c r="B43" s="809" t="s">
        <v>1000</v>
      </c>
      <c r="C43" s="810"/>
      <c r="D43" s="810"/>
      <c r="E43" s="810"/>
      <c r="F43" s="810"/>
      <c r="G43" s="420" t="s">
        <v>1161</v>
      </c>
    </row>
    <row r="44" spans="1:7" ht="15" customHeight="1" x14ac:dyDescent="0.25">
      <c r="A44" s="818" t="s">
        <v>1001</v>
      </c>
      <c r="B44" s="819"/>
      <c r="C44" s="819"/>
      <c r="D44" s="819"/>
      <c r="E44" s="819"/>
      <c r="F44" s="819"/>
      <c r="G44" s="819"/>
    </row>
    <row r="45" spans="1:7" ht="60" customHeight="1" x14ac:dyDescent="0.25">
      <c r="A45" s="409">
        <v>10</v>
      </c>
      <c r="B45" s="410" t="s">
        <v>1101</v>
      </c>
      <c r="C45" s="411" t="s">
        <v>1102</v>
      </c>
      <c r="D45" s="412">
        <v>7</v>
      </c>
      <c r="E45" s="413" t="s">
        <v>1103</v>
      </c>
      <c r="F45" s="412" t="s">
        <v>1104</v>
      </c>
      <c r="G45" s="414">
        <v>54.6</v>
      </c>
    </row>
    <row r="46" spans="1:7" ht="64.5" customHeight="1" x14ac:dyDescent="0.25">
      <c r="A46" s="409">
        <v>11</v>
      </c>
      <c r="B46" s="410" t="s">
        <v>1105</v>
      </c>
      <c r="C46" s="411" t="s">
        <v>1102</v>
      </c>
      <c r="D46" s="412">
        <v>7</v>
      </c>
      <c r="E46" s="413" t="s">
        <v>1106</v>
      </c>
      <c r="F46" s="412" t="s">
        <v>1107</v>
      </c>
      <c r="G46" s="414" t="s">
        <v>1108</v>
      </c>
    </row>
    <row r="47" spans="1:7" ht="69.75" customHeight="1" x14ac:dyDescent="0.25">
      <c r="A47" s="409">
        <v>12</v>
      </c>
      <c r="B47" s="410" t="s">
        <v>1109</v>
      </c>
      <c r="C47" s="411" t="s">
        <v>1102</v>
      </c>
      <c r="D47" s="412">
        <v>5</v>
      </c>
      <c r="E47" s="413" t="s">
        <v>1110</v>
      </c>
      <c r="F47" s="412" t="s">
        <v>1111</v>
      </c>
      <c r="G47" s="414">
        <v>98.5</v>
      </c>
    </row>
    <row r="48" spans="1:7" x14ac:dyDescent="0.25">
      <c r="A48" s="409">
        <v>13</v>
      </c>
      <c r="B48" s="410" t="s">
        <v>1112</v>
      </c>
      <c r="C48" s="411" t="s">
        <v>1070</v>
      </c>
      <c r="D48" s="412">
        <v>5</v>
      </c>
      <c r="E48" s="413" t="s">
        <v>1113</v>
      </c>
      <c r="F48" s="412" t="s">
        <v>1114</v>
      </c>
      <c r="G48" s="414">
        <v>481</v>
      </c>
    </row>
    <row r="49" spans="1:7" ht="15" customHeight="1" x14ac:dyDescent="0.25">
      <c r="A49" s="409" t="s">
        <v>209</v>
      </c>
      <c r="B49" s="809" t="s">
        <v>1115</v>
      </c>
      <c r="C49" s="810"/>
      <c r="D49" s="810"/>
      <c r="E49" s="810"/>
      <c r="F49" s="810"/>
      <c r="G49" s="420"/>
    </row>
    <row r="50" spans="1:7" x14ac:dyDescent="0.25">
      <c r="A50" s="409" t="s">
        <v>209</v>
      </c>
      <c r="B50" s="811" t="s">
        <v>1116</v>
      </c>
      <c r="C50" s="812"/>
      <c r="D50" s="812"/>
      <c r="E50" s="812"/>
      <c r="F50" s="812"/>
      <c r="G50" s="414" t="s">
        <v>1117</v>
      </c>
    </row>
    <row r="51" spans="1:7" ht="15" customHeight="1" x14ac:dyDescent="0.25">
      <c r="A51" s="409" t="s">
        <v>209</v>
      </c>
      <c r="B51" s="811" t="s">
        <v>1159</v>
      </c>
      <c r="C51" s="812"/>
      <c r="D51" s="812"/>
      <c r="E51" s="812"/>
      <c r="F51" s="812"/>
      <c r="G51" s="414" t="s">
        <v>1162</v>
      </c>
    </row>
    <row r="52" spans="1:7" ht="15" customHeight="1" x14ac:dyDescent="0.25">
      <c r="A52" s="409" t="s">
        <v>209</v>
      </c>
      <c r="B52" s="809" t="s">
        <v>1118</v>
      </c>
      <c r="C52" s="810"/>
      <c r="D52" s="810"/>
      <c r="E52" s="810"/>
      <c r="F52" s="810"/>
      <c r="G52" s="420" t="s">
        <v>1162</v>
      </c>
    </row>
    <row r="53" spans="1:7" ht="15" customHeight="1" x14ac:dyDescent="0.25">
      <c r="A53" s="818" t="s">
        <v>1002</v>
      </c>
      <c r="B53" s="819"/>
      <c r="C53" s="819"/>
      <c r="D53" s="819"/>
      <c r="E53" s="819"/>
      <c r="F53" s="819"/>
      <c r="G53" s="819"/>
    </row>
    <row r="54" spans="1:7" ht="63.75" customHeight="1" x14ac:dyDescent="0.25">
      <c r="A54" s="409">
        <v>14</v>
      </c>
      <c r="B54" s="410" t="s">
        <v>1003</v>
      </c>
      <c r="C54" s="411" t="s">
        <v>1004</v>
      </c>
      <c r="D54" s="412">
        <v>0.13750000000000001</v>
      </c>
      <c r="E54" s="413" t="s">
        <v>1005</v>
      </c>
      <c r="F54" s="412" t="s">
        <v>1119</v>
      </c>
      <c r="G54" s="414">
        <v>143.06</v>
      </c>
    </row>
    <row r="55" spans="1:7" ht="65.25" customHeight="1" x14ac:dyDescent="0.25">
      <c r="A55" s="409">
        <v>15</v>
      </c>
      <c r="B55" s="410" t="s">
        <v>1051</v>
      </c>
      <c r="C55" s="411" t="s">
        <v>1004</v>
      </c>
      <c r="D55" s="412">
        <v>0.36399999999999999</v>
      </c>
      <c r="E55" s="413" t="s">
        <v>1008</v>
      </c>
      <c r="F55" s="412" t="s">
        <v>1120</v>
      </c>
      <c r="G55" s="414">
        <v>430.8</v>
      </c>
    </row>
    <row r="56" spans="1:7" ht="32.25" customHeight="1" x14ac:dyDescent="0.25">
      <c r="A56" s="815">
        <v>16</v>
      </c>
      <c r="B56" s="410" t="s">
        <v>1010</v>
      </c>
      <c r="C56" s="411" t="s">
        <v>1004</v>
      </c>
      <c r="D56" s="412">
        <v>0.06</v>
      </c>
      <c r="E56" s="413" t="s">
        <v>1011</v>
      </c>
      <c r="F56" s="412" t="s">
        <v>1121</v>
      </c>
      <c r="G56" s="414">
        <v>177.53</v>
      </c>
    </row>
    <row r="57" spans="1:7" ht="140.25" customHeight="1" x14ac:dyDescent="0.25">
      <c r="A57" s="817"/>
      <c r="B57" s="415"/>
      <c r="C57" s="416"/>
      <c r="D57" s="417"/>
      <c r="E57" s="418" t="s">
        <v>1013</v>
      </c>
      <c r="F57" s="417"/>
      <c r="G57" s="419" t="s">
        <v>263</v>
      </c>
    </row>
    <row r="58" spans="1:7" x14ac:dyDescent="0.25">
      <c r="A58" s="409" t="s">
        <v>209</v>
      </c>
      <c r="B58" s="809" t="s">
        <v>1014</v>
      </c>
      <c r="C58" s="810"/>
      <c r="D58" s="810"/>
      <c r="E58" s="810"/>
      <c r="F58" s="810"/>
      <c r="G58" s="420"/>
    </row>
    <row r="59" spans="1:7" x14ac:dyDescent="0.25">
      <c r="A59" s="409" t="s">
        <v>209</v>
      </c>
      <c r="B59" s="811" t="s">
        <v>1122</v>
      </c>
      <c r="C59" s="812"/>
      <c r="D59" s="812"/>
      <c r="E59" s="812"/>
      <c r="F59" s="812"/>
      <c r="G59" s="414">
        <v>751.39</v>
      </c>
    </row>
    <row r="60" spans="1:7" ht="15" customHeight="1" x14ac:dyDescent="0.25">
      <c r="A60" s="409" t="s">
        <v>209</v>
      </c>
      <c r="B60" s="811" t="s">
        <v>1159</v>
      </c>
      <c r="C60" s="812"/>
      <c r="D60" s="812"/>
      <c r="E60" s="812"/>
      <c r="F60" s="812"/>
      <c r="G60" s="414" t="s">
        <v>1163</v>
      </c>
    </row>
    <row r="61" spans="1:7" x14ac:dyDescent="0.25">
      <c r="A61" s="409" t="s">
        <v>209</v>
      </c>
      <c r="B61" s="809" t="s">
        <v>1016</v>
      </c>
      <c r="C61" s="810"/>
      <c r="D61" s="810"/>
      <c r="E61" s="810"/>
      <c r="F61" s="810"/>
      <c r="G61" s="420" t="s">
        <v>1163</v>
      </c>
    </row>
    <row r="62" spans="1:7" x14ac:dyDescent="0.25">
      <c r="A62" s="409" t="s">
        <v>209</v>
      </c>
      <c r="B62" s="809" t="s">
        <v>793</v>
      </c>
      <c r="C62" s="810"/>
      <c r="D62" s="810"/>
      <c r="E62" s="810"/>
      <c r="F62" s="810"/>
      <c r="G62" s="420"/>
    </row>
    <row r="63" spans="1:7" x14ac:dyDescent="0.25">
      <c r="A63" s="409" t="s">
        <v>209</v>
      </c>
      <c r="B63" s="811" t="s">
        <v>1123</v>
      </c>
      <c r="C63" s="812"/>
      <c r="D63" s="812"/>
      <c r="E63" s="812"/>
      <c r="F63" s="812"/>
      <c r="G63" s="414" t="s">
        <v>1124</v>
      </c>
    </row>
    <row r="64" spans="1:7" ht="31.5" customHeight="1" x14ac:dyDescent="0.25">
      <c r="A64" s="409" t="s">
        <v>209</v>
      </c>
      <c r="B64" s="811" t="s">
        <v>1159</v>
      </c>
      <c r="C64" s="812"/>
      <c r="D64" s="812"/>
      <c r="E64" s="812"/>
      <c r="F64" s="812"/>
      <c r="G64" s="414" t="s">
        <v>1164</v>
      </c>
    </row>
    <row r="65" spans="1:13" ht="20.25" customHeight="1" x14ac:dyDescent="0.25">
      <c r="A65" s="421" t="s">
        <v>209</v>
      </c>
      <c r="B65" s="813" t="s">
        <v>471</v>
      </c>
      <c r="C65" s="814"/>
      <c r="D65" s="814"/>
      <c r="E65" s="814"/>
      <c r="F65" s="814"/>
      <c r="G65" s="422">
        <v>262074.26</v>
      </c>
      <c r="H65" s="390"/>
      <c r="I65" s="390"/>
      <c r="J65" s="390"/>
      <c r="K65" s="390"/>
      <c r="L65" s="390"/>
      <c r="M65" s="390"/>
    </row>
    <row r="66" spans="1:13" x14ac:dyDescent="0.25">
      <c r="A66" s="399"/>
      <c r="B66" s="393"/>
      <c r="C66" s="398"/>
      <c r="D66" s="394"/>
      <c r="E66" s="397"/>
      <c r="F66" s="394"/>
      <c r="G66" s="400"/>
      <c r="H66" s="390"/>
      <c r="I66" s="390"/>
      <c r="J66" s="390"/>
      <c r="K66" s="390"/>
      <c r="L66" s="390"/>
      <c r="M66" s="390"/>
    </row>
    <row r="67" spans="1:13" x14ac:dyDescent="0.25">
      <c r="A67" s="402"/>
      <c r="B67" s="403"/>
      <c r="C67" s="403"/>
      <c r="D67" s="403"/>
      <c r="E67" s="403"/>
      <c r="F67" s="403"/>
      <c r="G67" s="404"/>
      <c r="H67" s="403"/>
      <c r="I67" s="403"/>
      <c r="J67" s="403"/>
      <c r="K67" s="403"/>
      <c r="L67" s="403"/>
      <c r="M67" s="403"/>
    </row>
    <row r="68" spans="1:13" x14ac:dyDescent="0.25">
      <c r="A68" s="399"/>
      <c r="B68" s="393"/>
      <c r="C68" s="398"/>
      <c r="D68" s="394"/>
      <c r="E68" s="405"/>
      <c r="F68" s="394"/>
      <c r="G68" s="406"/>
      <c r="H68" s="390"/>
      <c r="I68" s="390"/>
      <c r="J68" s="390"/>
      <c r="K68" s="390"/>
      <c r="L68" s="390"/>
      <c r="M68" s="390"/>
    </row>
    <row r="69" spans="1:13" x14ac:dyDescent="0.25">
      <c r="A69" s="384"/>
      <c r="B69" s="384"/>
      <c r="C69" s="384"/>
      <c r="D69" s="384"/>
      <c r="E69" s="384"/>
      <c r="F69" s="390"/>
      <c r="G69" s="390"/>
      <c r="H69" s="390"/>
      <c r="I69" s="390"/>
      <c r="J69" s="390"/>
      <c r="K69" s="390"/>
      <c r="L69" s="390"/>
      <c r="M69" s="390"/>
    </row>
    <row r="70" spans="1:13" x14ac:dyDescent="0.25">
      <c r="A70" s="396" t="s">
        <v>472</v>
      </c>
      <c r="B70" s="390"/>
      <c r="C70" s="396"/>
      <c r="D70" s="390"/>
      <c r="E70" s="390"/>
      <c r="F70" s="390"/>
      <c r="G70" s="390"/>
      <c r="H70" s="390"/>
      <c r="I70" s="390"/>
      <c r="J70" s="390"/>
      <c r="K70" s="390"/>
      <c r="L70" s="390"/>
      <c r="M70" s="390"/>
    </row>
    <row r="71" spans="1:13" x14ac:dyDescent="0.25">
      <c r="A71" s="396" t="s">
        <v>473</v>
      </c>
      <c r="B71" s="390"/>
      <c r="C71" s="396"/>
      <c r="D71" s="390"/>
      <c r="E71" s="390"/>
      <c r="F71" s="390"/>
      <c r="G71" s="390"/>
      <c r="H71" s="390"/>
      <c r="I71" s="390"/>
      <c r="J71" s="390"/>
      <c r="K71" s="390"/>
      <c r="L71" s="390"/>
      <c r="M71" s="390"/>
    </row>
    <row r="72" spans="1:13" x14ac:dyDescent="0.25">
      <c r="A72" s="396" t="s">
        <v>474</v>
      </c>
      <c r="B72" s="390"/>
      <c r="C72" s="396"/>
      <c r="D72" s="390"/>
      <c r="E72" s="390"/>
      <c r="F72" s="390"/>
      <c r="G72" s="390"/>
      <c r="H72" s="390"/>
      <c r="I72" s="390"/>
      <c r="J72" s="390"/>
      <c r="K72" s="390"/>
      <c r="L72" s="390"/>
      <c r="M72" s="390"/>
    </row>
  </sheetData>
  <mergeCells count="38">
    <mergeCell ref="A44:G44"/>
    <mergeCell ref="B49:F49"/>
    <mergeCell ref="B50:F50"/>
    <mergeCell ref="B51:F51"/>
    <mergeCell ref="B52:F52"/>
    <mergeCell ref="A34:G34"/>
    <mergeCell ref="B40:F40"/>
    <mergeCell ref="B41:F41"/>
    <mergeCell ref="B42:F42"/>
    <mergeCell ref="B43:F43"/>
    <mergeCell ref="A36:A37"/>
    <mergeCell ref="A38:A39"/>
    <mergeCell ref="A11:G11"/>
    <mergeCell ref="B30:F30"/>
    <mergeCell ref="B31:F31"/>
    <mergeCell ref="B32:F32"/>
    <mergeCell ref="B33:F33"/>
    <mergeCell ref="A3:G3"/>
    <mergeCell ref="A4:G4"/>
    <mergeCell ref="A5:G5"/>
    <mergeCell ref="A6:G6"/>
    <mergeCell ref="A7:G7"/>
    <mergeCell ref="B62:F62"/>
    <mergeCell ref="B63:F63"/>
    <mergeCell ref="B64:F64"/>
    <mergeCell ref="B65:F65"/>
    <mergeCell ref="A12:A14"/>
    <mergeCell ref="A15:A17"/>
    <mergeCell ref="A18:A20"/>
    <mergeCell ref="A21:A23"/>
    <mergeCell ref="A24:A26"/>
    <mergeCell ref="A27:A29"/>
    <mergeCell ref="A53:G53"/>
    <mergeCell ref="B58:F58"/>
    <mergeCell ref="B59:F59"/>
    <mergeCell ref="B60:F60"/>
    <mergeCell ref="B61:F61"/>
    <mergeCell ref="A56:A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40" workbookViewId="0">
      <selection activeCell="B49" sqref="B49:F49"/>
    </sheetView>
  </sheetViews>
  <sheetFormatPr defaultRowHeight="15" x14ac:dyDescent="0.25"/>
  <cols>
    <col min="1" max="1" width="5.42578125" customWidth="1"/>
    <col min="2" max="2" width="37.7109375" customWidth="1"/>
    <col min="4" max="4" width="9.85546875" customWidth="1"/>
    <col min="5" max="5" width="30.5703125" customWidth="1"/>
    <col min="6" max="6" width="20" customWidth="1"/>
    <col min="7" max="7" width="15.5703125" customWidth="1"/>
  </cols>
  <sheetData>
    <row r="1" spans="1:7" x14ac:dyDescent="0.25">
      <c r="A1" s="464"/>
      <c r="B1" s="472"/>
      <c r="C1" s="472"/>
      <c r="D1" s="464"/>
      <c r="E1" s="464"/>
      <c r="F1" s="464"/>
      <c r="G1" s="469" t="s">
        <v>266</v>
      </c>
    </row>
    <row r="2" spans="1:7" x14ac:dyDescent="0.25">
      <c r="A2" s="480"/>
      <c r="B2" s="472"/>
      <c r="C2" s="472"/>
      <c r="D2" s="470"/>
      <c r="E2" s="470"/>
      <c r="F2" s="470"/>
      <c r="G2" s="470"/>
    </row>
    <row r="3" spans="1:7" ht="15" customHeight="1" x14ac:dyDescent="0.25">
      <c r="A3" s="820" t="s">
        <v>1170</v>
      </c>
      <c r="B3" s="820"/>
      <c r="C3" s="820"/>
      <c r="D3" s="820"/>
      <c r="E3" s="820"/>
      <c r="F3" s="821"/>
      <c r="G3" s="821"/>
    </row>
    <row r="4" spans="1:7" ht="15" customHeight="1" x14ac:dyDescent="0.25">
      <c r="A4" s="822" t="s">
        <v>950</v>
      </c>
      <c r="B4" s="822"/>
      <c r="C4" s="822"/>
      <c r="D4" s="822"/>
      <c r="E4" s="822"/>
      <c r="F4" s="823"/>
      <c r="G4" s="823"/>
    </row>
    <row r="5" spans="1:7" ht="15" customHeight="1" x14ac:dyDescent="0.25">
      <c r="A5" s="822" t="s">
        <v>951</v>
      </c>
      <c r="B5" s="822"/>
      <c r="C5" s="822"/>
      <c r="D5" s="822"/>
      <c r="E5" s="822"/>
      <c r="F5" s="823"/>
      <c r="G5" s="823"/>
    </row>
    <row r="6" spans="1:7" ht="15" customHeight="1" x14ac:dyDescent="0.25">
      <c r="A6" s="822" t="s">
        <v>952</v>
      </c>
      <c r="B6" s="822"/>
      <c r="C6" s="822"/>
      <c r="D6" s="822"/>
      <c r="E6" s="822"/>
      <c r="F6" s="823"/>
      <c r="G6" s="823"/>
    </row>
    <row r="7" spans="1:7" ht="36.75" customHeight="1" x14ac:dyDescent="0.25">
      <c r="A7" s="822" t="s">
        <v>1176</v>
      </c>
      <c r="B7" s="822"/>
      <c r="C7" s="822"/>
      <c r="D7" s="822"/>
      <c r="E7" s="822"/>
      <c r="F7" s="824"/>
      <c r="G7" s="824"/>
    </row>
    <row r="8" spans="1:7" x14ac:dyDescent="0.25">
      <c r="A8" s="465"/>
      <c r="B8" s="465"/>
      <c r="C8" s="466"/>
      <c r="D8" s="466"/>
      <c r="E8" s="467"/>
      <c r="F8" s="464"/>
      <c r="G8" s="464"/>
    </row>
    <row r="9" spans="1:7" ht="36" x14ac:dyDescent="0.25">
      <c r="A9" s="468" t="s">
        <v>275</v>
      </c>
      <c r="B9" s="471" t="s">
        <v>37</v>
      </c>
      <c r="C9" s="471" t="s">
        <v>797</v>
      </c>
      <c r="D9" s="471" t="s">
        <v>953</v>
      </c>
      <c r="E9" s="471" t="s">
        <v>880</v>
      </c>
      <c r="F9" s="475" t="s">
        <v>954</v>
      </c>
      <c r="G9" s="475" t="s">
        <v>955</v>
      </c>
    </row>
    <row r="10" spans="1:7" x14ac:dyDescent="0.25">
      <c r="A10" s="481">
        <v>1</v>
      </c>
      <c r="B10" s="482">
        <v>2</v>
      </c>
      <c r="C10" s="482">
        <v>3</v>
      </c>
      <c r="D10" s="482">
        <v>4</v>
      </c>
      <c r="E10" s="482">
        <v>5</v>
      </c>
      <c r="F10" s="481">
        <v>6</v>
      </c>
      <c r="G10" s="481">
        <v>7</v>
      </c>
    </row>
    <row r="11" spans="1:7" ht="15" customHeight="1" x14ac:dyDescent="0.25">
      <c r="A11" s="818" t="s">
        <v>956</v>
      </c>
      <c r="B11" s="819"/>
      <c r="C11" s="819"/>
      <c r="D11" s="819"/>
      <c r="E11" s="819"/>
      <c r="F11" s="819"/>
      <c r="G11" s="819"/>
    </row>
    <row r="12" spans="1:7" ht="50.25" customHeight="1" x14ac:dyDescent="0.25">
      <c r="A12" s="815">
        <v>1</v>
      </c>
      <c r="B12" s="484" t="s">
        <v>957</v>
      </c>
      <c r="C12" s="485" t="s">
        <v>958</v>
      </c>
      <c r="D12" s="486">
        <v>10</v>
      </c>
      <c r="E12" s="487" t="s">
        <v>959</v>
      </c>
      <c r="F12" s="486" t="s">
        <v>960</v>
      </c>
      <c r="G12" s="488">
        <v>504</v>
      </c>
    </row>
    <row r="13" spans="1:7" ht="78" customHeight="1" x14ac:dyDescent="0.25">
      <c r="A13" s="816"/>
      <c r="B13" s="489"/>
      <c r="C13" s="490"/>
      <c r="D13" s="491"/>
      <c r="E13" s="492" t="s">
        <v>961</v>
      </c>
      <c r="F13" s="491"/>
      <c r="G13" s="493" t="s">
        <v>263</v>
      </c>
    </row>
    <row r="14" spans="1:7" ht="53.25" customHeight="1" x14ac:dyDescent="0.25">
      <c r="A14" s="817"/>
      <c r="B14" s="489"/>
      <c r="C14" s="490"/>
      <c r="D14" s="491"/>
      <c r="E14" s="492" t="s">
        <v>962</v>
      </c>
      <c r="F14" s="491"/>
      <c r="G14" s="493" t="s">
        <v>263</v>
      </c>
    </row>
    <row r="15" spans="1:7" ht="58.5" customHeight="1" x14ac:dyDescent="0.25">
      <c r="A15" s="815">
        <v>2</v>
      </c>
      <c r="B15" s="484" t="s">
        <v>963</v>
      </c>
      <c r="C15" s="485" t="s">
        <v>964</v>
      </c>
      <c r="D15" s="486">
        <v>12</v>
      </c>
      <c r="E15" s="487" t="s">
        <v>965</v>
      </c>
      <c r="F15" s="486" t="s">
        <v>966</v>
      </c>
      <c r="G15" s="488">
        <v>403.2</v>
      </c>
    </row>
    <row r="16" spans="1:7" ht="81" customHeight="1" x14ac:dyDescent="0.25">
      <c r="A16" s="816"/>
      <c r="B16" s="489"/>
      <c r="C16" s="490"/>
      <c r="D16" s="491"/>
      <c r="E16" s="492" t="s">
        <v>961</v>
      </c>
      <c r="F16" s="491"/>
      <c r="G16" s="493" t="s">
        <v>263</v>
      </c>
    </row>
    <row r="17" spans="1:7" ht="52.5" customHeight="1" x14ac:dyDescent="0.25">
      <c r="A17" s="817"/>
      <c r="B17" s="489"/>
      <c r="C17" s="490"/>
      <c r="D17" s="491"/>
      <c r="E17" s="492" t="s">
        <v>962</v>
      </c>
      <c r="F17" s="491"/>
      <c r="G17" s="493" t="s">
        <v>263</v>
      </c>
    </row>
    <row r="18" spans="1:7" ht="29.25" customHeight="1" x14ac:dyDescent="0.25">
      <c r="A18" s="815">
        <v>3</v>
      </c>
      <c r="B18" s="484" t="s">
        <v>967</v>
      </c>
      <c r="C18" s="485" t="s">
        <v>968</v>
      </c>
      <c r="D18" s="486">
        <v>25</v>
      </c>
      <c r="E18" s="487" t="s">
        <v>969</v>
      </c>
      <c r="F18" s="486" t="s">
        <v>970</v>
      </c>
      <c r="G18" s="488">
        <v>294</v>
      </c>
    </row>
    <row r="19" spans="1:7" ht="85.5" customHeight="1" x14ac:dyDescent="0.25">
      <c r="A19" s="816"/>
      <c r="B19" s="489"/>
      <c r="C19" s="490"/>
      <c r="D19" s="491"/>
      <c r="E19" s="492" t="s">
        <v>961</v>
      </c>
      <c r="F19" s="491"/>
      <c r="G19" s="493" t="s">
        <v>263</v>
      </c>
    </row>
    <row r="20" spans="1:7" ht="55.5" customHeight="1" x14ac:dyDescent="0.25">
      <c r="A20" s="817"/>
      <c r="B20" s="489"/>
      <c r="C20" s="490"/>
      <c r="D20" s="491"/>
      <c r="E20" s="492" t="s">
        <v>962</v>
      </c>
      <c r="F20" s="491"/>
      <c r="G20" s="493" t="s">
        <v>263</v>
      </c>
    </row>
    <row r="21" spans="1:7" ht="15" customHeight="1" x14ac:dyDescent="0.25">
      <c r="A21" s="483" t="s">
        <v>209</v>
      </c>
      <c r="B21" s="809" t="s">
        <v>1028</v>
      </c>
      <c r="C21" s="810"/>
      <c r="D21" s="810"/>
      <c r="E21" s="810"/>
      <c r="F21" s="810"/>
      <c r="G21" s="494"/>
    </row>
    <row r="22" spans="1:7" x14ac:dyDescent="0.25">
      <c r="A22" s="483" t="s">
        <v>209</v>
      </c>
      <c r="B22" s="811" t="s">
        <v>971</v>
      </c>
      <c r="C22" s="812"/>
      <c r="D22" s="812"/>
      <c r="E22" s="812"/>
      <c r="F22" s="812"/>
      <c r="G22" s="488" t="s">
        <v>972</v>
      </c>
    </row>
    <row r="23" spans="1:7" ht="15" customHeight="1" x14ac:dyDescent="0.25">
      <c r="A23" s="483" t="s">
        <v>209</v>
      </c>
      <c r="B23" s="811" t="s">
        <v>1159</v>
      </c>
      <c r="C23" s="812"/>
      <c r="D23" s="812"/>
      <c r="E23" s="812"/>
      <c r="F23" s="812"/>
      <c r="G23" s="488" t="s">
        <v>1171</v>
      </c>
    </row>
    <row r="24" spans="1:7" ht="15" customHeight="1" x14ac:dyDescent="0.25">
      <c r="A24" s="483" t="s">
        <v>209</v>
      </c>
      <c r="B24" s="809" t="s">
        <v>973</v>
      </c>
      <c r="C24" s="810"/>
      <c r="D24" s="810"/>
      <c r="E24" s="810"/>
      <c r="F24" s="810"/>
      <c r="G24" s="494" t="s">
        <v>1171</v>
      </c>
    </row>
    <row r="25" spans="1:7" ht="15" customHeight="1" x14ac:dyDescent="0.25">
      <c r="A25" s="818" t="s">
        <v>974</v>
      </c>
      <c r="B25" s="819"/>
      <c r="C25" s="819"/>
      <c r="D25" s="819"/>
      <c r="E25" s="819"/>
      <c r="F25" s="819"/>
      <c r="G25" s="819"/>
    </row>
    <row r="26" spans="1:7" ht="45.75" customHeight="1" x14ac:dyDescent="0.25">
      <c r="A26" s="483">
        <v>4</v>
      </c>
      <c r="B26" s="484" t="s">
        <v>975</v>
      </c>
      <c r="C26" s="485" t="s">
        <v>958</v>
      </c>
      <c r="D26" s="486">
        <v>10</v>
      </c>
      <c r="E26" s="487" t="s">
        <v>976</v>
      </c>
      <c r="F26" s="486" t="s">
        <v>977</v>
      </c>
      <c r="G26" s="488">
        <v>100</v>
      </c>
    </row>
    <row r="27" spans="1:7" ht="54.75" customHeight="1" x14ac:dyDescent="0.25">
      <c r="A27" s="483">
        <v>5</v>
      </c>
      <c r="B27" s="484" t="s">
        <v>978</v>
      </c>
      <c r="C27" s="485" t="s">
        <v>964</v>
      </c>
      <c r="D27" s="486">
        <v>12</v>
      </c>
      <c r="E27" s="487" t="s">
        <v>979</v>
      </c>
      <c r="F27" s="486" t="s">
        <v>980</v>
      </c>
      <c r="G27" s="488">
        <v>84</v>
      </c>
    </row>
    <row r="28" spans="1:7" ht="61.5" customHeight="1" x14ac:dyDescent="0.25">
      <c r="A28" s="483">
        <v>6</v>
      </c>
      <c r="B28" s="484" t="s">
        <v>981</v>
      </c>
      <c r="C28" s="485" t="s">
        <v>982</v>
      </c>
      <c r="D28" s="486">
        <v>1</v>
      </c>
      <c r="E28" s="487" t="s">
        <v>983</v>
      </c>
      <c r="F28" s="486" t="s">
        <v>984</v>
      </c>
      <c r="G28" s="488">
        <v>61</v>
      </c>
    </row>
    <row r="29" spans="1:7" ht="83.25" customHeight="1" x14ac:dyDescent="0.25">
      <c r="A29" s="483">
        <v>7</v>
      </c>
      <c r="B29" s="484" t="s">
        <v>985</v>
      </c>
      <c r="C29" s="485" t="s">
        <v>986</v>
      </c>
      <c r="D29" s="486">
        <v>3</v>
      </c>
      <c r="E29" s="487" t="s">
        <v>987</v>
      </c>
      <c r="F29" s="486" t="s">
        <v>988</v>
      </c>
      <c r="G29" s="488">
        <v>231</v>
      </c>
    </row>
    <row r="30" spans="1:7" ht="89.25" customHeight="1" x14ac:dyDescent="0.25">
      <c r="A30" s="483">
        <v>8</v>
      </c>
      <c r="B30" s="484" t="s">
        <v>989</v>
      </c>
      <c r="C30" s="485" t="s">
        <v>986</v>
      </c>
      <c r="D30" s="486">
        <v>3</v>
      </c>
      <c r="E30" s="487" t="s">
        <v>987</v>
      </c>
      <c r="F30" s="486" t="s">
        <v>988</v>
      </c>
      <c r="G30" s="488">
        <v>231</v>
      </c>
    </row>
    <row r="31" spans="1:7" ht="76.5" customHeight="1" x14ac:dyDescent="0.25">
      <c r="A31" s="483">
        <v>9</v>
      </c>
      <c r="B31" s="484" t="s">
        <v>990</v>
      </c>
      <c r="C31" s="485" t="s">
        <v>991</v>
      </c>
      <c r="D31" s="486">
        <v>1</v>
      </c>
      <c r="E31" s="487" t="s">
        <v>992</v>
      </c>
      <c r="F31" s="486" t="s">
        <v>993</v>
      </c>
      <c r="G31" s="488">
        <v>450</v>
      </c>
    </row>
    <row r="32" spans="1:7" ht="102" customHeight="1" x14ac:dyDescent="0.25">
      <c r="A32" s="483">
        <v>10</v>
      </c>
      <c r="B32" s="484" t="s">
        <v>994</v>
      </c>
      <c r="C32" s="485" t="s">
        <v>995</v>
      </c>
      <c r="D32" s="486">
        <v>0.7</v>
      </c>
      <c r="E32" s="487" t="s">
        <v>996</v>
      </c>
      <c r="F32" s="486" t="s">
        <v>997</v>
      </c>
      <c r="G32" s="488">
        <v>494.9</v>
      </c>
    </row>
    <row r="33" spans="1:7" ht="15" customHeight="1" x14ac:dyDescent="0.25">
      <c r="A33" s="483" t="s">
        <v>209</v>
      </c>
      <c r="B33" s="809" t="s">
        <v>1043</v>
      </c>
      <c r="C33" s="810"/>
      <c r="D33" s="810"/>
      <c r="E33" s="810"/>
      <c r="F33" s="810"/>
      <c r="G33" s="494"/>
    </row>
    <row r="34" spans="1:7" x14ac:dyDescent="0.25">
      <c r="A34" s="483" t="s">
        <v>209</v>
      </c>
      <c r="B34" s="811" t="s">
        <v>998</v>
      </c>
      <c r="C34" s="812"/>
      <c r="D34" s="812"/>
      <c r="E34" s="812"/>
      <c r="F34" s="812"/>
      <c r="G34" s="488" t="s">
        <v>999</v>
      </c>
    </row>
    <row r="35" spans="1:7" ht="15" customHeight="1" x14ac:dyDescent="0.25">
      <c r="A35" s="483" t="s">
        <v>209</v>
      </c>
      <c r="B35" s="811" t="s">
        <v>1159</v>
      </c>
      <c r="C35" s="812"/>
      <c r="D35" s="812"/>
      <c r="E35" s="812"/>
      <c r="F35" s="812"/>
      <c r="G35" s="488" t="s">
        <v>1172</v>
      </c>
    </row>
    <row r="36" spans="1:7" ht="15" customHeight="1" x14ac:dyDescent="0.25">
      <c r="A36" s="483" t="s">
        <v>209</v>
      </c>
      <c r="B36" s="809" t="s">
        <v>1000</v>
      </c>
      <c r="C36" s="810"/>
      <c r="D36" s="810"/>
      <c r="E36" s="810"/>
      <c r="F36" s="810"/>
      <c r="G36" s="494" t="s">
        <v>1172</v>
      </c>
    </row>
    <row r="37" spans="1:7" ht="15" customHeight="1" x14ac:dyDescent="0.25">
      <c r="A37" s="818" t="s">
        <v>1001</v>
      </c>
      <c r="B37" s="819"/>
      <c r="C37" s="819"/>
      <c r="D37" s="819"/>
      <c r="E37" s="819"/>
      <c r="F37" s="819"/>
      <c r="G37" s="819"/>
    </row>
    <row r="38" spans="1:7" ht="15" customHeight="1" x14ac:dyDescent="0.25">
      <c r="A38" s="818" t="s">
        <v>1002</v>
      </c>
      <c r="B38" s="819"/>
      <c r="C38" s="819"/>
      <c r="D38" s="819"/>
      <c r="E38" s="819"/>
      <c r="F38" s="819"/>
      <c r="G38" s="819"/>
    </row>
    <row r="39" spans="1:7" ht="82.5" customHeight="1" x14ac:dyDescent="0.25">
      <c r="A39" s="483">
        <v>11</v>
      </c>
      <c r="B39" s="484" t="s">
        <v>1003</v>
      </c>
      <c r="C39" s="485" t="s">
        <v>1004</v>
      </c>
      <c r="D39" s="486">
        <v>0.13750000000000001</v>
      </c>
      <c r="E39" s="487" t="s">
        <v>1005</v>
      </c>
      <c r="F39" s="486" t="s">
        <v>1006</v>
      </c>
      <c r="G39" s="488">
        <v>165.17</v>
      </c>
    </row>
    <row r="40" spans="1:7" ht="71.25" customHeight="1" x14ac:dyDescent="0.25">
      <c r="A40" s="483">
        <v>12</v>
      </c>
      <c r="B40" s="484" t="s">
        <v>1007</v>
      </c>
      <c r="C40" s="485" t="s">
        <v>1004</v>
      </c>
      <c r="D40" s="486">
        <v>0.32200000000000001</v>
      </c>
      <c r="E40" s="487" t="s">
        <v>1008</v>
      </c>
      <c r="F40" s="486" t="s">
        <v>1009</v>
      </c>
      <c r="G40" s="488">
        <v>439.97</v>
      </c>
    </row>
    <row r="41" spans="1:7" ht="33" customHeight="1" x14ac:dyDescent="0.25">
      <c r="A41" s="815">
        <v>13</v>
      </c>
      <c r="B41" s="484" t="s">
        <v>1010</v>
      </c>
      <c r="C41" s="485" t="s">
        <v>1004</v>
      </c>
      <c r="D41" s="486">
        <v>0.06</v>
      </c>
      <c r="E41" s="487" t="s">
        <v>1011</v>
      </c>
      <c r="F41" s="486" t="s">
        <v>1012</v>
      </c>
      <c r="G41" s="488">
        <v>204.96</v>
      </c>
    </row>
    <row r="42" spans="1:7" ht="149.25" customHeight="1" x14ac:dyDescent="0.25">
      <c r="A42" s="817"/>
      <c r="B42" s="489"/>
      <c r="C42" s="490"/>
      <c r="D42" s="491"/>
      <c r="E42" s="492" t="s">
        <v>1013</v>
      </c>
      <c r="F42" s="491"/>
      <c r="G42" s="493" t="s">
        <v>263</v>
      </c>
    </row>
    <row r="43" spans="1:7" ht="15" customHeight="1" x14ac:dyDescent="0.25">
      <c r="A43" s="483" t="s">
        <v>209</v>
      </c>
      <c r="B43" s="809" t="s">
        <v>1014</v>
      </c>
      <c r="C43" s="810"/>
      <c r="D43" s="810"/>
      <c r="E43" s="810"/>
      <c r="F43" s="810"/>
      <c r="G43" s="494"/>
    </row>
    <row r="44" spans="1:7" x14ac:dyDescent="0.25">
      <c r="A44" s="483" t="s">
        <v>209</v>
      </c>
      <c r="B44" s="811" t="s">
        <v>1015</v>
      </c>
      <c r="C44" s="812"/>
      <c r="D44" s="812"/>
      <c r="E44" s="812"/>
      <c r="F44" s="812"/>
      <c r="G44" s="488">
        <v>810.1</v>
      </c>
    </row>
    <row r="45" spans="1:7" ht="32.25" customHeight="1" x14ac:dyDescent="0.25">
      <c r="A45" s="483" t="s">
        <v>209</v>
      </c>
      <c r="B45" s="811" t="s">
        <v>1159</v>
      </c>
      <c r="C45" s="812"/>
      <c r="D45" s="812"/>
      <c r="E45" s="812"/>
      <c r="F45" s="812"/>
      <c r="G45" s="488" t="s">
        <v>1173</v>
      </c>
    </row>
    <row r="46" spans="1:7" ht="15" customHeight="1" x14ac:dyDescent="0.25">
      <c r="A46" s="483" t="s">
        <v>209</v>
      </c>
      <c r="B46" s="809" t="s">
        <v>1016</v>
      </c>
      <c r="C46" s="810"/>
      <c r="D46" s="810"/>
      <c r="E46" s="810"/>
      <c r="F46" s="810"/>
      <c r="G46" s="494" t="s">
        <v>1173</v>
      </c>
    </row>
    <row r="47" spans="1:7" x14ac:dyDescent="0.25">
      <c r="A47" s="483" t="s">
        <v>209</v>
      </c>
      <c r="B47" s="809" t="s">
        <v>793</v>
      </c>
      <c r="C47" s="810"/>
      <c r="D47" s="810"/>
      <c r="E47" s="810"/>
      <c r="F47" s="810"/>
      <c r="G47" s="494"/>
    </row>
    <row r="48" spans="1:7" x14ac:dyDescent="0.25">
      <c r="A48" s="483" t="s">
        <v>209</v>
      </c>
      <c r="B48" s="811" t="s">
        <v>1017</v>
      </c>
      <c r="C48" s="812"/>
      <c r="D48" s="812"/>
      <c r="E48" s="812"/>
      <c r="F48" s="812"/>
      <c r="G48" s="488" t="s">
        <v>1018</v>
      </c>
    </row>
    <row r="49" spans="1:13" ht="39" customHeight="1" x14ac:dyDescent="0.25">
      <c r="A49" s="483" t="s">
        <v>209</v>
      </c>
      <c r="B49" s="811" t="s">
        <v>1159</v>
      </c>
      <c r="C49" s="812"/>
      <c r="D49" s="812"/>
      <c r="E49" s="812"/>
      <c r="F49" s="812"/>
      <c r="G49" s="488" t="s">
        <v>1174</v>
      </c>
      <c r="H49" s="470"/>
      <c r="I49" s="470"/>
      <c r="J49" s="470"/>
      <c r="K49" s="470"/>
      <c r="L49" s="470"/>
      <c r="M49" s="470"/>
    </row>
    <row r="50" spans="1:13" x14ac:dyDescent="0.25">
      <c r="A50" s="495" t="s">
        <v>209</v>
      </c>
      <c r="B50" s="813" t="s">
        <v>471</v>
      </c>
      <c r="C50" s="814"/>
      <c r="D50" s="814"/>
      <c r="E50" s="814"/>
      <c r="F50" s="814"/>
      <c r="G50" s="422">
        <v>227814.41</v>
      </c>
      <c r="H50" s="470"/>
      <c r="I50" s="470"/>
      <c r="J50" s="470"/>
      <c r="K50" s="470"/>
      <c r="L50" s="470"/>
      <c r="M50" s="470"/>
    </row>
    <row r="51" spans="1:13" x14ac:dyDescent="0.25">
      <c r="A51" s="478"/>
      <c r="B51" s="473"/>
      <c r="C51" s="477"/>
      <c r="D51" s="474"/>
      <c r="E51" s="476"/>
      <c r="F51" s="474"/>
      <c r="G51" s="479"/>
      <c r="H51" s="470"/>
      <c r="I51" s="470"/>
      <c r="J51" s="470"/>
      <c r="K51" s="470"/>
      <c r="L51" s="470"/>
      <c r="M51" s="470"/>
    </row>
  </sheetData>
  <mergeCells count="29">
    <mergeCell ref="B46:F46"/>
    <mergeCell ref="B47:F47"/>
    <mergeCell ref="B48:F48"/>
    <mergeCell ref="B49:F49"/>
    <mergeCell ref="B50:F50"/>
    <mergeCell ref="A37:G37"/>
    <mergeCell ref="A38:G38"/>
    <mergeCell ref="B43:F43"/>
    <mergeCell ref="B44:F44"/>
    <mergeCell ref="B45:F45"/>
    <mergeCell ref="A41:A42"/>
    <mergeCell ref="A25:G25"/>
    <mergeCell ref="B33:F33"/>
    <mergeCell ref="B34:F34"/>
    <mergeCell ref="B35:F35"/>
    <mergeCell ref="B36:F36"/>
    <mergeCell ref="A11:G11"/>
    <mergeCell ref="B21:F21"/>
    <mergeCell ref="B22:F22"/>
    <mergeCell ref="B23:F23"/>
    <mergeCell ref="B24:F24"/>
    <mergeCell ref="A12:A14"/>
    <mergeCell ref="A15:A17"/>
    <mergeCell ref="A18:A20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8" workbookViewId="0">
      <selection activeCell="B39" sqref="B39:F39"/>
    </sheetView>
  </sheetViews>
  <sheetFormatPr defaultRowHeight="15" x14ac:dyDescent="0.25"/>
  <cols>
    <col min="1" max="1" width="5.42578125" customWidth="1"/>
    <col min="2" max="2" width="38.42578125" customWidth="1"/>
    <col min="4" max="4" width="16.7109375" customWidth="1"/>
    <col min="5" max="5" width="30.5703125" customWidth="1"/>
    <col min="6" max="6" width="20" customWidth="1"/>
    <col min="7" max="7" width="15.5703125" customWidth="1"/>
  </cols>
  <sheetData>
    <row r="1" spans="1:7" x14ac:dyDescent="0.25">
      <c r="A1" s="425"/>
      <c r="B1" s="434"/>
      <c r="C1" s="434"/>
      <c r="D1" s="425"/>
      <c r="E1" s="425"/>
      <c r="F1" s="425"/>
      <c r="G1" s="431" t="s">
        <v>266</v>
      </c>
    </row>
    <row r="2" spans="1:7" x14ac:dyDescent="0.25">
      <c r="A2" s="443"/>
      <c r="B2" s="434"/>
      <c r="C2" s="434"/>
      <c r="D2" s="432"/>
      <c r="E2" s="432"/>
      <c r="F2" s="432"/>
      <c r="G2" s="432"/>
    </row>
    <row r="3" spans="1:7" ht="15" customHeight="1" x14ac:dyDescent="0.25">
      <c r="A3" s="820" t="s">
        <v>1019</v>
      </c>
      <c r="B3" s="820"/>
      <c r="C3" s="820"/>
      <c r="D3" s="820"/>
      <c r="E3" s="820"/>
      <c r="F3" s="821"/>
      <c r="G3" s="821"/>
    </row>
    <row r="4" spans="1:7" ht="15" customHeight="1" x14ac:dyDescent="0.25">
      <c r="A4" s="822" t="s">
        <v>950</v>
      </c>
      <c r="B4" s="822"/>
      <c r="C4" s="822"/>
      <c r="D4" s="822"/>
      <c r="E4" s="822"/>
      <c r="F4" s="823"/>
      <c r="G4" s="823"/>
    </row>
    <row r="5" spans="1:7" ht="15" customHeight="1" x14ac:dyDescent="0.25">
      <c r="A5" s="822" t="s">
        <v>951</v>
      </c>
      <c r="B5" s="822"/>
      <c r="C5" s="822"/>
      <c r="D5" s="822"/>
      <c r="E5" s="822"/>
      <c r="F5" s="823"/>
      <c r="G5" s="823"/>
    </row>
    <row r="6" spans="1:7" ht="15" customHeight="1" x14ac:dyDescent="0.25">
      <c r="A6" s="822" t="s">
        <v>952</v>
      </c>
      <c r="B6" s="822"/>
      <c r="C6" s="822"/>
      <c r="D6" s="822"/>
      <c r="E6" s="822"/>
      <c r="F6" s="823"/>
      <c r="G6" s="823"/>
    </row>
    <row r="7" spans="1:7" ht="18.75" customHeight="1" x14ac:dyDescent="0.25">
      <c r="A7" s="822" t="s">
        <v>1177</v>
      </c>
      <c r="B7" s="822"/>
      <c r="C7" s="822"/>
      <c r="D7" s="822"/>
      <c r="E7" s="822"/>
      <c r="F7" s="824"/>
      <c r="G7" s="824"/>
    </row>
    <row r="8" spans="1:7" x14ac:dyDescent="0.25">
      <c r="A8" s="427"/>
      <c r="B8" s="427"/>
      <c r="C8" s="428"/>
      <c r="D8" s="428"/>
      <c r="E8" s="429"/>
      <c r="F8" s="425"/>
      <c r="G8" s="425"/>
    </row>
    <row r="9" spans="1:7" ht="36" x14ac:dyDescent="0.25">
      <c r="A9" s="430" t="s">
        <v>275</v>
      </c>
      <c r="B9" s="433" t="s">
        <v>37</v>
      </c>
      <c r="C9" s="433" t="s">
        <v>797</v>
      </c>
      <c r="D9" s="433" t="s">
        <v>953</v>
      </c>
      <c r="E9" s="433" t="s">
        <v>880</v>
      </c>
      <c r="F9" s="437" t="s">
        <v>954</v>
      </c>
      <c r="G9" s="437" t="s">
        <v>955</v>
      </c>
    </row>
    <row r="10" spans="1:7" x14ac:dyDescent="0.25">
      <c r="A10" s="449">
        <v>1</v>
      </c>
      <c r="B10" s="450">
        <v>2</v>
      </c>
      <c r="C10" s="450">
        <v>3</v>
      </c>
      <c r="D10" s="450">
        <v>4</v>
      </c>
      <c r="E10" s="450">
        <v>5</v>
      </c>
      <c r="F10" s="449">
        <v>6</v>
      </c>
      <c r="G10" s="449">
        <v>7</v>
      </c>
    </row>
    <row r="11" spans="1:7" ht="15" customHeight="1" x14ac:dyDescent="0.25">
      <c r="A11" s="818" t="s">
        <v>956</v>
      </c>
      <c r="B11" s="819"/>
      <c r="C11" s="819"/>
      <c r="D11" s="819"/>
      <c r="E11" s="819"/>
      <c r="F11" s="819"/>
      <c r="G11" s="819"/>
    </row>
    <row r="12" spans="1:7" ht="81" customHeight="1" x14ac:dyDescent="0.25">
      <c r="A12" s="815">
        <v>1</v>
      </c>
      <c r="B12" s="452" t="s">
        <v>1020</v>
      </c>
      <c r="C12" s="453" t="s">
        <v>1021</v>
      </c>
      <c r="D12" s="454">
        <v>16</v>
      </c>
      <c r="E12" s="455" t="s">
        <v>1022</v>
      </c>
      <c r="F12" s="454" t="s">
        <v>1023</v>
      </c>
      <c r="G12" s="456" t="s">
        <v>1024</v>
      </c>
    </row>
    <row r="13" spans="1:7" ht="143.25" customHeight="1" x14ac:dyDescent="0.25">
      <c r="A13" s="816"/>
      <c r="B13" s="457"/>
      <c r="C13" s="458"/>
      <c r="D13" s="459"/>
      <c r="E13" s="460" t="s">
        <v>1025</v>
      </c>
      <c r="F13" s="459"/>
      <c r="G13" s="461" t="s">
        <v>263</v>
      </c>
    </row>
    <row r="14" spans="1:7" ht="95.25" customHeight="1" x14ac:dyDescent="0.25">
      <c r="A14" s="816"/>
      <c r="B14" s="457"/>
      <c r="C14" s="458"/>
      <c r="D14" s="459"/>
      <c r="E14" s="460" t="s">
        <v>1026</v>
      </c>
      <c r="F14" s="459"/>
      <c r="G14" s="461" t="s">
        <v>263</v>
      </c>
    </row>
    <row r="15" spans="1:7" ht="78.75" customHeight="1" x14ac:dyDescent="0.25">
      <c r="A15" s="817"/>
      <c r="B15" s="457"/>
      <c r="C15" s="458"/>
      <c r="D15" s="459"/>
      <c r="E15" s="460" t="s">
        <v>1027</v>
      </c>
      <c r="F15" s="459"/>
      <c r="G15" s="461" t="s">
        <v>263</v>
      </c>
    </row>
    <row r="16" spans="1:7" ht="15" customHeight="1" x14ac:dyDescent="0.25">
      <c r="A16" s="451" t="s">
        <v>209</v>
      </c>
      <c r="B16" s="809" t="s">
        <v>1028</v>
      </c>
      <c r="C16" s="810"/>
      <c r="D16" s="810"/>
      <c r="E16" s="810"/>
      <c r="F16" s="810"/>
      <c r="G16" s="462"/>
    </row>
    <row r="17" spans="1:7" x14ac:dyDescent="0.25">
      <c r="A17" s="451" t="s">
        <v>209</v>
      </c>
      <c r="B17" s="811" t="s">
        <v>1029</v>
      </c>
      <c r="C17" s="812"/>
      <c r="D17" s="812"/>
      <c r="E17" s="812"/>
      <c r="F17" s="812"/>
      <c r="G17" s="456" t="s">
        <v>1024</v>
      </c>
    </row>
    <row r="18" spans="1:7" ht="34.5" customHeight="1" x14ac:dyDescent="0.25">
      <c r="A18" s="451" t="s">
        <v>209</v>
      </c>
      <c r="B18" s="811" t="s">
        <v>1165</v>
      </c>
      <c r="C18" s="812"/>
      <c r="D18" s="812"/>
      <c r="E18" s="812"/>
      <c r="F18" s="812"/>
      <c r="G18" s="456" t="s">
        <v>1166</v>
      </c>
    </row>
    <row r="19" spans="1:7" ht="15" customHeight="1" x14ac:dyDescent="0.25">
      <c r="A19" s="451" t="s">
        <v>209</v>
      </c>
      <c r="B19" s="809" t="s">
        <v>973</v>
      </c>
      <c r="C19" s="810"/>
      <c r="D19" s="810"/>
      <c r="E19" s="810"/>
      <c r="F19" s="810"/>
      <c r="G19" s="462" t="s">
        <v>1166</v>
      </c>
    </row>
    <row r="20" spans="1:7" ht="15" customHeight="1" x14ac:dyDescent="0.25">
      <c r="A20" s="818" t="s">
        <v>974</v>
      </c>
      <c r="B20" s="819"/>
      <c r="C20" s="819"/>
      <c r="D20" s="819"/>
      <c r="E20" s="819"/>
      <c r="F20" s="819"/>
      <c r="G20" s="819"/>
    </row>
    <row r="21" spans="1:7" ht="84.75" customHeight="1" x14ac:dyDescent="0.25">
      <c r="A21" s="451">
        <v>2</v>
      </c>
      <c r="B21" s="452" t="s">
        <v>1030</v>
      </c>
      <c r="C21" s="453" t="s">
        <v>1021</v>
      </c>
      <c r="D21" s="454">
        <v>16</v>
      </c>
      <c r="E21" s="455" t="s">
        <v>1031</v>
      </c>
      <c r="F21" s="454" t="s">
        <v>1032</v>
      </c>
      <c r="G21" s="456" t="s">
        <v>1033</v>
      </c>
    </row>
    <row r="22" spans="1:7" ht="107.25" customHeight="1" x14ac:dyDescent="0.25">
      <c r="A22" s="451">
        <v>3</v>
      </c>
      <c r="B22" s="452" t="s">
        <v>1034</v>
      </c>
      <c r="C22" s="453" t="s">
        <v>991</v>
      </c>
      <c r="D22" s="454">
        <v>4.2999999999999997E-2</v>
      </c>
      <c r="E22" s="455" t="s">
        <v>1035</v>
      </c>
      <c r="F22" s="454" t="s">
        <v>1036</v>
      </c>
      <c r="G22" s="456" t="s">
        <v>1037</v>
      </c>
    </row>
    <row r="23" spans="1:7" ht="111.75" customHeight="1" x14ac:dyDescent="0.25">
      <c r="A23" s="451">
        <v>4</v>
      </c>
      <c r="B23" s="452" t="s">
        <v>1038</v>
      </c>
      <c r="C23" s="453" t="s">
        <v>1039</v>
      </c>
      <c r="D23" s="454">
        <v>0.1</v>
      </c>
      <c r="E23" s="455" t="s">
        <v>1040</v>
      </c>
      <c r="F23" s="454" t="s">
        <v>1041</v>
      </c>
      <c r="G23" s="456" t="s">
        <v>1042</v>
      </c>
    </row>
    <row r="24" spans="1:7" ht="15" customHeight="1" x14ac:dyDescent="0.25">
      <c r="A24" s="451" t="s">
        <v>209</v>
      </c>
      <c r="B24" s="809" t="s">
        <v>1043</v>
      </c>
      <c r="C24" s="810"/>
      <c r="D24" s="810"/>
      <c r="E24" s="810"/>
      <c r="F24" s="810"/>
      <c r="G24" s="462"/>
    </row>
    <row r="25" spans="1:7" x14ac:dyDescent="0.25">
      <c r="A25" s="451" t="s">
        <v>209</v>
      </c>
      <c r="B25" s="811" t="s">
        <v>1044</v>
      </c>
      <c r="C25" s="812"/>
      <c r="D25" s="812"/>
      <c r="E25" s="812"/>
      <c r="F25" s="812"/>
      <c r="G25" s="456" t="s">
        <v>1045</v>
      </c>
    </row>
    <row r="26" spans="1:7" ht="36" customHeight="1" x14ac:dyDescent="0.25">
      <c r="A26" s="451" t="s">
        <v>209</v>
      </c>
      <c r="B26" s="811" t="s">
        <v>1165</v>
      </c>
      <c r="C26" s="812"/>
      <c r="D26" s="812"/>
      <c r="E26" s="812"/>
      <c r="F26" s="812"/>
      <c r="G26" s="456" t="s">
        <v>1167</v>
      </c>
    </row>
    <row r="27" spans="1:7" ht="15" customHeight="1" x14ac:dyDescent="0.25">
      <c r="A27" s="451" t="s">
        <v>209</v>
      </c>
      <c r="B27" s="809" t="s">
        <v>1000</v>
      </c>
      <c r="C27" s="810"/>
      <c r="D27" s="810"/>
      <c r="E27" s="810"/>
      <c r="F27" s="810"/>
      <c r="G27" s="462" t="s">
        <v>1167</v>
      </c>
    </row>
    <row r="28" spans="1:7" ht="15" customHeight="1" x14ac:dyDescent="0.25">
      <c r="A28" s="818" t="s">
        <v>1046</v>
      </c>
      <c r="B28" s="819"/>
      <c r="C28" s="819"/>
      <c r="D28" s="819"/>
      <c r="E28" s="819"/>
      <c r="F28" s="819"/>
      <c r="G28" s="819"/>
    </row>
    <row r="29" spans="1:7" ht="69.75" customHeight="1" x14ac:dyDescent="0.25">
      <c r="A29" s="451">
        <v>5</v>
      </c>
      <c r="B29" s="452" t="s">
        <v>1047</v>
      </c>
      <c r="C29" s="453" t="s">
        <v>1004</v>
      </c>
      <c r="D29" s="454">
        <v>0.13750000000000001</v>
      </c>
      <c r="E29" s="455" t="s">
        <v>1048</v>
      </c>
      <c r="F29" s="454" t="s">
        <v>1049</v>
      </c>
      <c r="G29" s="456" t="s">
        <v>1050</v>
      </c>
    </row>
    <row r="30" spans="1:7" ht="69.75" customHeight="1" x14ac:dyDescent="0.25">
      <c r="A30" s="451">
        <v>6</v>
      </c>
      <c r="B30" s="452" t="s">
        <v>1051</v>
      </c>
      <c r="C30" s="453" t="s">
        <v>1004</v>
      </c>
      <c r="D30" s="454">
        <v>0.36399999999999999</v>
      </c>
      <c r="E30" s="455" t="s">
        <v>1048</v>
      </c>
      <c r="F30" s="454" t="s">
        <v>1052</v>
      </c>
      <c r="G30" s="456" t="s">
        <v>1053</v>
      </c>
    </row>
    <row r="31" spans="1:7" ht="44.25" customHeight="1" x14ac:dyDescent="0.25">
      <c r="A31" s="815">
        <v>7</v>
      </c>
      <c r="B31" s="452" t="s">
        <v>1010</v>
      </c>
      <c r="C31" s="453" t="s">
        <v>1004</v>
      </c>
      <c r="D31" s="454">
        <v>0.06</v>
      </c>
      <c r="E31" s="455" t="s">
        <v>1054</v>
      </c>
      <c r="F31" s="454" t="s">
        <v>1055</v>
      </c>
      <c r="G31" s="456" t="s">
        <v>1056</v>
      </c>
    </row>
    <row r="32" spans="1:7" ht="162.75" customHeight="1" x14ac:dyDescent="0.25">
      <c r="A32" s="817"/>
      <c r="B32" s="457"/>
      <c r="C32" s="458"/>
      <c r="D32" s="459"/>
      <c r="E32" s="460" t="s">
        <v>1013</v>
      </c>
      <c r="F32" s="459"/>
      <c r="G32" s="461" t="s">
        <v>263</v>
      </c>
    </row>
    <row r="33" spans="1:13" ht="15" customHeight="1" x14ac:dyDescent="0.25">
      <c r="A33" s="451" t="s">
        <v>209</v>
      </c>
      <c r="B33" s="809" t="s">
        <v>1057</v>
      </c>
      <c r="C33" s="810"/>
      <c r="D33" s="810"/>
      <c r="E33" s="810"/>
      <c r="F33" s="810"/>
      <c r="G33" s="462"/>
      <c r="H33" s="432"/>
      <c r="I33" s="432"/>
      <c r="J33" s="432"/>
      <c r="K33" s="432"/>
      <c r="L33" s="432"/>
      <c r="M33" s="432"/>
    </row>
    <row r="34" spans="1:13" x14ac:dyDescent="0.25">
      <c r="A34" s="451" t="s">
        <v>209</v>
      </c>
      <c r="B34" s="811" t="s">
        <v>1058</v>
      </c>
      <c r="C34" s="812"/>
      <c r="D34" s="812"/>
      <c r="E34" s="812"/>
      <c r="F34" s="812"/>
      <c r="G34" s="456" t="s">
        <v>1059</v>
      </c>
      <c r="H34" s="432"/>
      <c r="I34" s="432"/>
      <c r="J34" s="432"/>
      <c r="K34" s="432"/>
      <c r="L34" s="432"/>
      <c r="M34" s="432"/>
    </row>
    <row r="35" spans="1:13" ht="32.25" customHeight="1" x14ac:dyDescent="0.25">
      <c r="A35" s="451" t="s">
        <v>209</v>
      </c>
      <c r="B35" s="811" t="s">
        <v>1165</v>
      </c>
      <c r="C35" s="812"/>
      <c r="D35" s="812"/>
      <c r="E35" s="812"/>
      <c r="F35" s="812"/>
      <c r="G35" s="456" t="s">
        <v>1168</v>
      </c>
      <c r="H35" s="432"/>
      <c r="I35" s="432"/>
      <c r="J35" s="432"/>
      <c r="K35" s="432"/>
      <c r="L35" s="432"/>
      <c r="M35" s="432"/>
    </row>
    <row r="36" spans="1:13" ht="15" customHeight="1" x14ac:dyDescent="0.25">
      <c r="A36" s="451" t="s">
        <v>209</v>
      </c>
      <c r="B36" s="809" t="s">
        <v>1060</v>
      </c>
      <c r="C36" s="810"/>
      <c r="D36" s="810"/>
      <c r="E36" s="810"/>
      <c r="F36" s="810"/>
      <c r="G36" s="462" t="s">
        <v>1168</v>
      </c>
      <c r="H36" s="432"/>
      <c r="I36" s="432"/>
      <c r="J36" s="432"/>
      <c r="K36" s="432"/>
      <c r="L36" s="432"/>
      <c r="M36" s="432"/>
    </row>
    <row r="37" spans="1:13" x14ac:dyDescent="0.25">
      <c r="A37" s="451" t="s">
        <v>209</v>
      </c>
      <c r="B37" s="809" t="s">
        <v>793</v>
      </c>
      <c r="C37" s="810"/>
      <c r="D37" s="810"/>
      <c r="E37" s="810"/>
      <c r="F37" s="810"/>
      <c r="G37" s="462"/>
      <c r="H37" s="432"/>
      <c r="I37" s="432"/>
      <c r="J37" s="432"/>
      <c r="K37" s="432"/>
      <c r="L37" s="432"/>
      <c r="M37" s="432"/>
    </row>
    <row r="38" spans="1:13" x14ac:dyDescent="0.25">
      <c r="A38" s="451" t="s">
        <v>209</v>
      </c>
      <c r="B38" s="811" t="s">
        <v>1061</v>
      </c>
      <c r="C38" s="812"/>
      <c r="D38" s="812"/>
      <c r="E38" s="812"/>
      <c r="F38" s="812"/>
      <c r="G38" s="456" t="s">
        <v>1062</v>
      </c>
      <c r="H38" s="432"/>
      <c r="I38" s="432"/>
      <c r="J38" s="432"/>
      <c r="K38" s="432"/>
      <c r="L38" s="432"/>
      <c r="M38" s="432"/>
    </row>
    <row r="39" spans="1:13" ht="42.75" customHeight="1" x14ac:dyDescent="0.25">
      <c r="A39" s="451" t="s">
        <v>209</v>
      </c>
      <c r="B39" s="811" t="s">
        <v>1165</v>
      </c>
      <c r="C39" s="812"/>
      <c r="D39" s="812"/>
      <c r="E39" s="812"/>
      <c r="F39" s="812"/>
      <c r="G39" s="456" t="s">
        <v>1169</v>
      </c>
      <c r="H39" s="432"/>
      <c r="I39" s="432"/>
      <c r="J39" s="432"/>
      <c r="K39" s="432"/>
      <c r="L39" s="432"/>
      <c r="M39" s="432"/>
    </row>
    <row r="40" spans="1:13" x14ac:dyDescent="0.25">
      <c r="A40" s="463" t="s">
        <v>209</v>
      </c>
      <c r="B40" s="813" t="s">
        <v>471</v>
      </c>
      <c r="C40" s="814"/>
      <c r="D40" s="814"/>
      <c r="E40" s="814"/>
      <c r="F40" s="814"/>
      <c r="G40" s="422">
        <v>495454.65</v>
      </c>
      <c r="H40" s="432"/>
      <c r="I40" s="432"/>
      <c r="J40" s="432"/>
      <c r="K40" s="432"/>
      <c r="L40" s="432"/>
      <c r="M40" s="432"/>
    </row>
    <row r="41" spans="1:13" x14ac:dyDescent="0.25">
      <c r="A41" s="441"/>
      <c r="B41" s="435"/>
      <c r="C41" s="440"/>
      <c r="D41" s="436"/>
      <c r="E41" s="439"/>
      <c r="F41" s="436"/>
      <c r="G41" s="442"/>
      <c r="H41" s="432"/>
      <c r="I41" s="432"/>
      <c r="J41" s="432"/>
      <c r="K41" s="432"/>
      <c r="L41" s="432"/>
      <c r="M41" s="432"/>
    </row>
    <row r="42" spans="1:13" x14ac:dyDescent="0.25">
      <c r="A42" s="444"/>
      <c r="B42" s="445"/>
      <c r="C42" s="445"/>
      <c r="D42" s="445"/>
      <c r="E42" s="445"/>
      <c r="F42" s="445"/>
      <c r="G42" s="446"/>
      <c r="H42" s="445"/>
      <c r="I42" s="445"/>
      <c r="J42" s="445"/>
      <c r="K42" s="445"/>
      <c r="L42" s="445"/>
      <c r="M42" s="445"/>
    </row>
    <row r="43" spans="1:13" x14ac:dyDescent="0.25">
      <c r="A43" s="441"/>
      <c r="B43" s="435"/>
      <c r="C43" s="440"/>
      <c r="D43" s="436"/>
      <c r="E43" s="447"/>
      <c r="F43" s="436"/>
      <c r="G43" s="448"/>
      <c r="H43" s="432"/>
      <c r="I43" s="432"/>
      <c r="J43" s="432"/>
      <c r="K43" s="432"/>
      <c r="L43" s="432"/>
      <c r="M43" s="432"/>
    </row>
    <row r="44" spans="1:13" x14ac:dyDescent="0.25">
      <c r="A44" s="426"/>
      <c r="B44" s="426"/>
      <c r="C44" s="426"/>
      <c r="D44" s="426"/>
      <c r="E44" s="426"/>
      <c r="F44" s="432"/>
      <c r="G44" s="432"/>
      <c r="H44" s="432"/>
      <c r="I44" s="432"/>
      <c r="J44" s="432"/>
      <c r="K44" s="432"/>
      <c r="L44" s="432"/>
      <c r="M44" s="432"/>
    </row>
    <row r="45" spans="1:13" x14ac:dyDescent="0.25">
      <c r="A45" s="438" t="s">
        <v>472</v>
      </c>
      <c r="B45" s="432"/>
      <c r="C45" s="438"/>
      <c r="D45" s="432"/>
      <c r="E45" s="432"/>
      <c r="F45" s="432"/>
      <c r="G45" s="432"/>
      <c r="H45" s="432"/>
      <c r="I45" s="432"/>
      <c r="J45" s="432"/>
      <c r="K45" s="432"/>
      <c r="L45" s="432"/>
      <c r="M45" s="432"/>
    </row>
    <row r="46" spans="1:13" x14ac:dyDescent="0.25">
      <c r="A46" s="438" t="s">
        <v>473</v>
      </c>
      <c r="B46" s="432"/>
      <c r="C46" s="438"/>
      <c r="D46" s="432"/>
      <c r="E46" s="432"/>
      <c r="F46" s="432"/>
      <c r="G46" s="432"/>
      <c r="H46" s="432"/>
      <c r="I46" s="432"/>
      <c r="J46" s="432"/>
      <c r="K46" s="432"/>
      <c r="L46" s="432"/>
      <c r="M46" s="432"/>
    </row>
    <row r="47" spans="1:13" x14ac:dyDescent="0.25">
      <c r="A47" s="438" t="s">
        <v>474</v>
      </c>
      <c r="B47" s="432"/>
      <c r="C47" s="438"/>
      <c r="D47" s="432"/>
      <c r="E47" s="432"/>
      <c r="F47" s="432"/>
      <c r="G47" s="432"/>
      <c r="H47" s="432"/>
      <c r="I47" s="432"/>
      <c r="J47" s="432"/>
      <c r="K47" s="432"/>
      <c r="L47" s="432"/>
      <c r="M47" s="432"/>
    </row>
  </sheetData>
  <mergeCells count="26">
    <mergeCell ref="A11:G11"/>
    <mergeCell ref="B16:F16"/>
    <mergeCell ref="B17:F17"/>
    <mergeCell ref="B18:F18"/>
    <mergeCell ref="B19:F19"/>
    <mergeCell ref="A7:G7"/>
    <mergeCell ref="A3:G3"/>
    <mergeCell ref="A4:G4"/>
    <mergeCell ref="A5:G5"/>
    <mergeCell ref="A6:G6"/>
    <mergeCell ref="B37:F37"/>
    <mergeCell ref="B38:F38"/>
    <mergeCell ref="B39:F39"/>
    <mergeCell ref="B40:F40"/>
    <mergeCell ref="A12:A15"/>
    <mergeCell ref="A31:A32"/>
    <mergeCell ref="A28:G28"/>
    <mergeCell ref="B33:F33"/>
    <mergeCell ref="B34:F34"/>
    <mergeCell ref="B35:F35"/>
    <mergeCell ref="B36:F36"/>
    <mergeCell ref="A20:G20"/>
    <mergeCell ref="B24:F24"/>
    <mergeCell ref="B25:F25"/>
    <mergeCell ref="B26:F26"/>
    <mergeCell ref="B27:F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19" workbookViewId="0">
      <selection activeCell="G81" sqref="G81"/>
    </sheetView>
  </sheetViews>
  <sheetFormatPr defaultRowHeight="15" x14ac:dyDescent="0.25"/>
  <cols>
    <col min="1" max="1" width="6.7109375" style="339" customWidth="1"/>
    <col min="2" max="2" width="21.42578125" style="339" customWidth="1"/>
    <col min="3" max="3" width="32" style="339" customWidth="1"/>
    <col min="4" max="5" width="8.42578125" style="339" customWidth="1"/>
    <col min="6" max="8" width="9.140625" style="339"/>
    <col min="9" max="9" width="14" style="339" customWidth="1"/>
  </cols>
  <sheetData>
    <row r="1" spans="1:9" s="222" customFormat="1" x14ac:dyDescent="0.25">
      <c r="A1" s="827" t="s">
        <v>874</v>
      </c>
      <c r="B1" s="827"/>
      <c r="C1" s="827"/>
      <c r="D1" s="827"/>
      <c r="E1" s="827"/>
      <c r="F1" s="827"/>
      <c r="G1" s="827"/>
      <c r="H1" s="827"/>
      <c r="I1" s="827"/>
    </row>
    <row r="2" spans="1:9" s="222" customFormat="1" x14ac:dyDescent="0.25">
      <c r="A2" s="828" t="s">
        <v>875</v>
      </c>
      <c r="B2" s="828"/>
      <c r="C2" s="828"/>
      <c r="D2" s="828"/>
      <c r="E2" s="828"/>
      <c r="F2" s="828"/>
      <c r="G2" s="828"/>
      <c r="H2" s="828"/>
      <c r="I2" s="828"/>
    </row>
    <row r="3" spans="1:9" s="222" customFormat="1" ht="27.75" customHeight="1" x14ac:dyDescent="0.25">
      <c r="A3" s="829" t="s">
        <v>24</v>
      </c>
      <c r="B3" s="830"/>
      <c r="C3" s="830"/>
      <c r="D3" s="830"/>
      <c r="E3" s="830"/>
      <c r="F3" s="830"/>
      <c r="G3" s="830"/>
      <c r="H3" s="830"/>
      <c r="I3" s="830"/>
    </row>
    <row r="4" spans="1:9" s="222" customFormat="1" ht="15" customHeight="1" x14ac:dyDescent="0.25">
      <c r="A4" s="831" t="s">
        <v>876</v>
      </c>
      <c r="B4" s="831"/>
      <c r="C4" s="831"/>
      <c r="D4" s="831"/>
      <c r="E4" s="831"/>
      <c r="F4" s="831"/>
      <c r="G4" s="831"/>
      <c r="H4" s="831"/>
      <c r="I4" s="831"/>
    </row>
    <row r="5" spans="1:9" s="222" customFormat="1" x14ac:dyDescent="0.25">
      <c r="A5" s="223"/>
      <c r="B5" s="224"/>
      <c r="C5" s="224"/>
      <c r="D5" s="224"/>
      <c r="E5" s="224"/>
      <c r="F5" s="224"/>
      <c r="G5" s="224"/>
      <c r="H5" s="224"/>
      <c r="I5" s="224"/>
    </row>
    <row r="6" spans="1:9" s="222" customFormat="1" ht="15" customHeight="1" x14ac:dyDescent="0.25">
      <c r="A6" s="831" t="s">
        <v>877</v>
      </c>
      <c r="B6" s="831"/>
      <c r="C6" s="831"/>
      <c r="D6" s="831"/>
      <c r="E6" s="831"/>
      <c r="F6" s="831"/>
      <c r="G6" s="831"/>
      <c r="H6" s="831"/>
      <c r="I6" s="831"/>
    </row>
    <row r="7" spans="1:9" s="222" customFormat="1" x14ac:dyDescent="0.25">
      <c r="A7" s="225"/>
      <c r="B7" s="224"/>
      <c r="C7" s="224"/>
      <c r="D7" s="226"/>
      <c r="E7" s="224"/>
      <c r="F7" s="224"/>
      <c r="G7" s="224"/>
      <c r="H7" s="224"/>
      <c r="I7" s="224"/>
    </row>
    <row r="8" spans="1:9" s="222" customFormat="1" ht="26.25" customHeight="1" x14ac:dyDescent="0.25">
      <c r="A8" s="825" t="s">
        <v>878</v>
      </c>
      <c r="B8" s="825"/>
      <c r="C8" s="826" t="s">
        <v>879</v>
      </c>
      <c r="D8" s="826"/>
      <c r="E8" s="826"/>
      <c r="F8" s="826"/>
      <c r="G8" s="826"/>
      <c r="H8" s="826"/>
      <c r="I8" s="826"/>
    </row>
    <row r="9" spans="1:9" s="222" customFormat="1" x14ac:dyDescent="0.25">
      <c r="A9" s="225"/>
      <c r="B9" s="224"/>
      <c r="C9" s="224"/>
      <c r="D9" s="227"/>
      <c r="E9" s="224"/>
      <c r="F9" s="224"/>
      <c r="G9" s="224"/>
      <c r="H9" s="224"/>
      <c r="I9" s="224"/>
    </row>
    <row r="10" spans="1:9" s="222" customFormat="1" ht="38.25" x14ac:dyDescent="0.25">
      <c r="A10" s="228" t="s">
        <v>0</v>
      </c>
      <c r="B10" s="229" t="s">
        <v>880</v>
      </c>
      <c r="C10" s="229" t="s">
        <v>37</v>
      </c>
      <c r="D10" s="230" t="s">
        <v>881</v>
      </c>
      <c r="E10" s="229" t="s">
        <v>882</v>
      </c>
      <c r="F10" s="229" t="s">
        <v>883</v>
      </c>
      <c r="G10" s="229" t="s">
        <v>884</v>
      </c>
      <c r="H10" s="229" t="s">
        <v>884</v>
      </c>
      <c r="I10" s="229" t="s">
        <v>885</v>
      </c>
    </row>
    <row r="11" spans="1:9" s="222" customFormat="1" x14ac:dyDescent="0.25">
      <c r="A11" s="228">
        <v>1</v>
      </c>
      <c r="B11" s="229">
        <v>2</v>
      </c>
      <c r="C11" s="229">
        <v>3</v>
      </c>
      <c r="D11" s="229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</row>
    <row r="12" spans="1:9" s="222" customFormat="1" ht="27" customHeight="1" x14ac:dyDescent="0.25">
      <c r="A12" s="832" t="s">
        <v>886</v>
      </c>
      <c r="B12" s="833"/>
      <c r="C12" s="833"/>
      <c r="D12" s="833"/>
      <c r="E12" s="833"/>
      <c r="F12" s="833"/>
      <c r="G12" s="833"/>
      <c r="H12" s="833"/>
      <c r="I12" s="834"/>
    </row>
    <row r="13" spans="1:9" s="222" customFormat="1" ht="79.5" customHeight="1" x14ac:dyDescent="0.25">
      <c r="A13" s="835">
        <v>1</v>
      </c>
      <c r="B13" s="835" t="s">
        <v>887</v>
      </c>
      <c r="C13" s="231" t="s">
        <v>888</v>
      </c>
      <c r="D13" s="835" t="s">
        <v>138</v>
      </c>
      <c r="E13" s="839">
        <v>10.44</v>
      </c>
      <c r="F13" s="841">
        <v>1838</v>
      </c>
      <c r="G13" s="833"/>
      <c r="H13" s="844"/>
      <c r="I13" s="846">
        <f>E13*F13*H15</f>
        <v>23026.46</v>
      </c>
    </row>
    <row r="14" spans="1:9" s="222" customFormat="1" ht="13.5" customHeight="1" x14ac:dyDescent="0.25">
      <c r="A14" s="836"/>
      <c r="B14" s="837"/>
      <c r="C14" s="232" t="s">
        <v>889</v>
      </c>
      <c r="D14" s="838"/>
      <c r="E14" s="840"/>
      <c r="F14" s="842"/>
      <c r="G14" s="843"/>
      <c r="H14" s="845"/>
      <c r="I14" s="847"/>
    </row>
    <row r="15" spans="1:9" s="236" customFormat="1" x14ac:dyDescent="0.25">
      <c r="A15" s="836"/>
      <c r="B15" s="836"/>
      <c r="C15" s="233" t="s">
        <v>890</v>
      </c>
      <c r="D15" s="234" t="s">
        <v>891</v>
      </c>
      <c r="E15" s="235"/>
      <c r="F15" s="234"/>
      <c r="G15" s="234"/>
      <c r="H15" s="234">
        <v>1.2</v>
      </c>
      <c r="I15" s="848"/>
    </row>
    <row r="16" spans="1:9" s="236" customFormat="1" ht="51" x14ac:dyDescent="0.25">
      <c r="A16" s="849">
        <v>2</v>
      </c>
      <c r="B16" s="852" t="s">
        <v>892</v>
      </c>
      <c r="C16" s="237" t="s">
        <v>893</v>
      </c>
      <c r="D16" s="238"/>
      <c r="E16" s="239"/>
      <c r="F16" s="238"/>
      <c r="G16" s="238"/>
      <c r="H16" s="238"/>
      <c r="I16" s="238"/>
    </row>
    <row r="17" spans="1:9" s="236" customFormat="1" x14ac:dyDescent="0.25">
      <c r="A17" s="850"/>
      <c r="B17" s="853"/>
      <c r="C17" s="240" t="s">
        <v>889</v>
      </c>
      <c r="D17" s="241" t="s">
        <v>138</v>
      </c>
      <c r="E17" s="242">
        <v>10.94</v>
      </c>
      <c r="F17" s="243">
        <v>1838</v>
      </c>
      <c r="G17" s="244"/>
      <c r="H17" s="245"/>
      <c r="I17" s="245">
        <f>E17*F17*H18</f>
        <v>24129.26</v>
      </c>
    </row>
    <row r="18" spans="1:9" s="236" customFormat="1" x14ac:dyDescent="0.25">
      <c r="A18" s="851"/>
      <c r="B18" s="854"/>
      <c r="C18" s="246" t="s">
        <v>890</v>
      </c>
      <c r="D18" s="247" t="s">
        <v>891</v>
      </c>
      <c r="E18" s="248"/>
      <c r="F18" s="249"/>
      <c r="G18" s="250"/>
      <c r="H18" s="251">
        <v>1.2</v>
      </c>
      <c r="I18" s="252"/>
    </row>
    <row r="19" spans="1:9" s="236" customFormat="1" ht="38.25" x14ac:dyDescent="0.25">
      <c r="A19" s="852">
        <v>3</v>
      </c>
      <c r="B19" s="852" t="s">
        <v>894</v>
      </c>
      <c r="C19" s="237" t="s">
        <v>895</v>
      </c>
      <c r="D19" s="238"/>
      <c r="E19" s="237"/>
      <c r="F19" s="238"/>
      <c r="G19" s="238"/>
      <c r="H19" s="238"/>
      <c r="I19" s="238"/>
    </row>
    <row r="20" spans="1:9" s="236" customFormat="1" x14ac:dyDescent="0.25">
      <c r="A20" s="854"/>
      <c r="B20" s="854"/>
      <c r="C20" s="253" t="s">
        <v>896</v>
      </c>
      <c r="D20" s="254" t="s">
        <v>897</v>
      </c>
      <c r="E20" s="255">
        <v>455</v>
      </c>
      <c r="F20" s="256">
        <v>54</v>
      </c>
      <c r="G20" s="256"/>
      <c r="H20" s="257">
        <v>1.2</v>
      </c>
      <c r="I20" s="256">
        <f>ROUND(E20*F20,0)*H20</f>
        <v>29484</v>
      </c>
    </row>
    <row r="21" spans="1:9" s="236" customFormat="1" ht="51" x14ac:dyDescent="0.25">
      <c r="A21" s="852">
        <v>4</v>
      </c>
      <c r="B21" s="852" t="s">
        <v>898</v>
      </c>
      <c r="C21" s="237" t="s">
        <v>899</v>
      </c>
      <c r="D21" s="238"/>
      <c r="E21" s="237"/>
      <c r="F21" s="238"/>
      <c r="G21" s="238"/>
      <c r="H21" s="238"/>
      <c r="I21" s="238"/>
    </row>
    <row r="22" spans="1:9" s="236" customFormat="1" x14ac:dyDescent="0.25">
      <c r="A22" s="854"/>
      <c r="B22" s="854"/>
      <c r="C22" s="253" t="s">
        <v>900</v>
      </c>
      <c r="D22" s="254" t="s">
        <v>897</v>
      </c>
      <c r="E22" s="258">
        <v>48</v>
      </c>
      <c r="F22" s="256">
        <v>323</v>
      </c>
      <c r="G22" s="256"/>
      <c r="H22" s="257">
        <v>1.2</v>
      </c>
      <c r="I22" s="256">
        <f>ROUND(E22*F22,0)*H22</f>
        <v>18605</v>
      </c>
    </row>
    <row r="23" spans="1:9" s="236" customFormat="1" x14ac:dyDescent="0.25">
      <c r="A23" s="852">
        <v>4</v>
      </c>
      <c r="B23" s="852" t="s">
        <v>901</v>
      </c>
      <c r="C23" s="238" t="s">
        <v>902</v>
      </c>
      <c r="D23" s="238"/>
      <c r="E23" s="237"/>
      <c r="F23" s="259"/>
      <c r="G23" s="259"/>
      <c r="H23" s="238"/>
      <c r="I23" s="259"/>
    </row>
    <row r="24" spans="1:9" s="236" customFormat="1" x14ac:dyDescent="0.25">
      <c r="A24" s="854"/>
      <c r="B24" s="854"/>
      <c r="C24" s="253" t="s">
        <v>903</v>
      </c>
      <c r="D24" s="254" t="s">
        <v>138</v>
      </c>
      <c r="E24" s="260">
        <v>20.399999999999999</v>
      </c>
      <c r="F24" s="256">
        <v>1555</v>
      </c>
      <c r="G24" s="256"/>
      <c r="H24" s="261">
        <v>1.2</v>
      </c>
      <c r="I24" s="256">
        <f>E24*F24*H24</f>
        <v>38066</v>
      </c>
    </row>
    <row r="25" spans="1:9" s="236" customFormat="1" ht="25.5" x14ac:dyDescent="0.25">
      <c r="A25" s="852">
        <v>5</v>
      </c>
      <c r="B25" s="852" t="s">
        <v>904</v>
      </c>
      <c r="C25" s="238" t="s">
        <v>905</v>
      </c>
      <c r="D25" s="238"/>
      <c r="E25" s="237"/>
      <c r="F25" s="259"/>
      <c r="G25" s="259"/>
      <c r="H25" s="238"/>
      <c r="I25" s="259"/>
    </row>
    <row r="26" spans="1:9" s="236" customFormat="1" ht="26.25" customHeight="1" x14ac:dyDescent="0.25">
      <c r="A26" s="853"/>
      <c r="B26" s="853"/>
      <c r="C26" s="253" t="s">
        <v>906</v>
      </c>
      <c r="D26" s="241" t="s">
        <v>138</v>
      </c>
      <c r="E26" s="262">
        <v>20.399999999999999</v>
      </c>
      <c r="F26" s="256">
        <v>814</v>
      </c>
      <c r="G26" s="256"/>
      <c r="H26" s="263">
        <v>1.2</v>
      </c>
      <c r="I26" s="256">
        <f>E26*F26*H26</f>
        <v>19927</v>
      </c>
    </row>
    <row r="27" spans="1:9" s="236" customFormat="1" ht="19.5" hidden="1" customHeight="1" x14ac:dyDescent="0.25">
      <c r="A27" s="853"/>
      <c r="B27" s="853"/>
      <c r="C27" s="264" t="s">
        <v>907</v>
      </c>
      <c r="D27" s="265" t="s">
        <v>908</v>
      </c>
      <c r="E27" s="264"/>
      <c r="F27" s="265"/>
      <c r="G27" s="265"/>
      <c r="H27" s="265"/>
      <c r="I27" s="265"/>
    </row>
    <row r="28" spans="1:9" s="236" customFormat="1" ht="19.5" hidden="1" customHeight="1" x14ac:dyDescent="0.25">
      <c r="A28" s="853"/>
      <c r="B28" s="853"/>
      <c r="C28" s="266" t="s">
        <v>909</v>
      </c>
      <c r="D28" s="266" t="s">
        <v>138</v>
      </c>
      <c r="E28" s="267">
        <v>0</v>
      </c>
      <c r="F28" s="268">
        <v>743</v>
      </c>
      <c r="G28" s="268"/>
      <c r="H28" s="269">
        <v>1</v>
      </c>
      <c r="I28" s="270">
        <f>ROUND((F28*E28*H28),0)</f>
        <v>0</v>
      </c>
    </row>
    <row r="29" spans="1:9" s="236" customFormat="1" ht="19.5" hidden="1" customHeight="1" x14ac:dyDescent="0.25">
      <c r="A29" s="853"/>
      <c r="B29" s="853"/>
      <c r="C29" s="271"/>
      <c r="D29" s="266"/>
      <c r="E29" s="272"/>
      <c r="F29" s="273"/>
      <c r="G29" s="273"/>
      <c r="H29" s="269"/>
      <c r="I29" s="273"/>
    </row>
    <row r="30" spans="1:9" s="222" customFormat="1" ht="37.5" hidden="1" customHeight="1" x14ac:dyDescent="0.25">
      <c r="A30" s="853"/>
      <c r="B30" s="853"/>
      <c r="C30" s="237" t="s">
        <v>910</v>
      </c>
      <c r="D30" s="238"/>
      <c r="E30" s="239"/>
      <c r="F30" s="238"/>
      <c r="G30" s="238"/>
      <c r="H30" s="238"/>
      <c r="I30" s="238"/>
    </row>
    <row r="31" spans="1:9" s="222" customFormat="1" ht="27.75" hidden="1" customHeight="1" x14ac:dyDescent="0.25">
      <c r="A31" s="853"/>
      <c r="B31" s="853"/>
      <c r="C31" s="240" t="s">
        <v>911</v>
      </c>
      <c r="D31" s="241" t="s">
        <v>138</v>
      </c>
      <c r="E31" s="274">
        <v>0</v>
      </c>
      <c r="F31" s="243">
        <v>3458</v>
      </c>
      <c r="G31" s="243"/>
      <c r="H31" s="245">
        <v>0.8</v>
      </c>
      <c r="I31" s="252">
        <f>ROUND(F31*E31,0)*H31</f>
        <v>0</v>
      </c>
    </row>
    <row r="32" spans="1:9" s="222" customFormat="1" ht="15.75" customHeight="1" x14ac:dyDescent="0.25">
      <c r="A32" s="854"/>
      <c r="B32" s="854"/>
      <c r="C32" s="240" t="s">
        <v>912</v>
      </c>
      <c r="D32" s="247"/>
      <c r="E32" s="275"/>
      <c r="F32" s="249">
        <v>49</v>
      </c>
      <c r="G32" s="249"/>
      <c r="H32" s="251"/>
      <c r="I32" s="252">
        <f>E26*F32</f>
        <v>1000</v>
      </c>
    </row>
    <row r="33" spans="1:9" s="276" customFormat="1" ht="15" hidden="1" customHeight="1" x14ac:dyDescent="0.25">
      <c r="A33" s="849"/>
      <c r="B33" s="238"/>
      <c r="C33" s="237"/>
      <c r="D33" s="238"/>
      <c r="E33" s="237"/>
      <c r="F33" s="238"/>
      <c r="G33" s="238"/>
      <c r="H33" s="238"/>
      <c r="I33" s="238"/>
    </row>
    <row r="34" spans="1:9" s="276" customFormat="1" ht="15" hidden="1" customHeight="1" x14ac:dyDescent="0.25">
      <c r="A34" s="851"/>
      <c r="B34" s="254"/>
      <c r="C34" s="240"/>
      <c r="D34" s="241"/>
      <c r="E34" s="240"/>
      <c r="F34" s="243"/>
      <c r="G34" s="243"/>
      <c r="H34" s="245"/>
      <c r="I34" s="243"/>
    </row>
    <row r="35" spans="1:9" s="276" customFormat="1" hidden="1" x14ac:dyDescent="0.25">
      <c r="A35" s="849"/>
      <c r="B35" s="849"/>
      <c r="C35" s="235"/>
      <c r="D35" s="234"/>
      <c r="E35" s="235"/>
      <c r="F35" s="234"/>
      <c r="G35" s="234"/>
      <c r="H35" s="234"/>
      <c r="I35" s="238"/>
    </row>
    <row r="36" spans="1:9" s="276" customFormat="1" hidden="1" x14ac:dyDescent="0.25">
      <c r="A36" s="851"/>
      <c r="B36" s="851"/>
      <c r="C36" s="233"/>
      <c r="D36" s="277"/>
      <c r="E36" s="233"/>
      <c r="F36" s="252"/>
      <c r="G36" s="252"/>
      <c r="H36" s="245"/>
      <c r="I36" s="243"/>
    </row>
    <row r="37" spans="1:9" s="222" customFormat="1" hidden="1" x14ac:dyDescent="0.25">
      <c r="A37" s="849"/>
      <c r="B37" s="238"/>
      <c r="C37" s="237"/>
      <c r="D37" s="238"/>
      <c r="E37" s="237"/>
      <c r="F37" s="238"/>
      <c r="G37" s="238"/>
      <c r="H37" s="238"/>
      <c r="I37" s="238"/>
    </row>
    <row r="38" spans="1:9" s="222" customFormat="1" hidden="1" x14ac:dyDescent="0.25">
      <c r="A38" s="851"/>
      <c r="B38" s="254"/>
      <c r="C38" s="240"/>
      <c r="D38" s="241"/>
      <c r="E38" s="240"/>
      <c r="F38" s="243"/>
      <c r="G38" s="243"/>
      <c r="H38" s="245"/>
      <c r="I38" s="243"/>
    </row>
    <row r="39" spans="1:9" s="222" customFormat="1" hidden="1" x14ac:dyDescent="0.25">
      <c r="A39" s="849"/>
      <c r="B39" s="835"/>
      <c r="C39" s="278"/>
      <c r="D39" s="279"/>
      <c r="E39" s="278"/>
      <c r="F39" s="279"/>
      <c r="G39" s="279"/>
      <c r="H39" s="279"/>
      <c r="I39" s="265"/>
    </row>
    <row r="40" spans="1:9" s="222" customFormat="1" hidden="1" x14ac:dyDescent="0.25">
      <c r="A40" s="850"/>
      <c r="B40" s="836"/>
      <c r="C40" s="280"/>
      <c r="D40" s="280"/>
      <c r="E40" s="281"/>
      <c r="F40" s="282"/>
      <c r="G40" s="282"/>
      <c r="H40" s="283"/>
      <c r="I40" s="270"/>
    </row>
    <row r="41" spans="1:9" s="222" customFormat="1" hidden="1" x14ac:dyDescent="0.25">
      <c r="A41" s="851"/>
      <c r="B41" s="838"/>
      <c r="C41" s="284"/>
      <c r="D41" s="280"/>
      <c r="E41" s="281"/>
      <c r="F41" s="285"/>
      <c r="G41" s="285"/>
      <c r="H41" s="283"/>
      <c r="I41" s="273"/>
    </row>
    <row r="42" spans="1:9" s="222" customFormat="1" hidden="1" x14ac:dyDescent="0.25">
      <c r="A42" s="849">
        <v>11</v>
      </c>
      <c r="B42" s="835" t="s">
        <v>913</v>
      </c>
      <c r="C42" s="835" t="s">
        <v>914</v>
      </c>
      <c r="D42" s="855"/>
      <c r="E42" s="835">
        <v>15</v>
      </c>
      <c r="F42" s="857">
        <v>402</v>
      </c>
      <c r="G42" s="286"/>
      <c r="H42" s="859">
        <v>1</v>
      </c>
      <c r="I42" s="861">
        <v>0</v>
      </c>
    </row>
    <row r="43" spans="1:9" s="222" customFormat="1" ht="26.25" hidden="1" customHeight="1" x14ac:dyDescent="0.25">
      <c r="A43" s="850"/>
      <c r="B43" s="836"/>
      <c r="C43" s="838"/>
      <c r="D43" s="856"/>
      <c r="E43" s="838"/>
      <c r="F43" s="858"/>
      <c r="G43" s="285"/>
      <c r="H43" s="860"/>
      <c r="I43" s="862"/>
    </row>
    <row r="44" spans="1:9" s="222" customFormat="1" hidden="1" x14ac:dyDescent="0.25">
      <c r="A44" s="851"/>
      <c r="B44" s="838"/>
      <c r="C44" s="281"/>
      <c r="D44" s="287"/>
      <c r="E44" s="288"/>
      <c r="F44" s="289"/>
      <c r="G44" s="289"/>
      <c r="H44" s="290"/>
      <c r="I44" s="291"/>
    </row>
    <row r="45" spans="1:9" s="294" customFormat="1" ht="25.5" hidden="1" x14ac:dyDescent="0.25">
      <c r="A45" s="234">
        <v>8</v>
      </c>
      <c r="B45" s="835" t="s">
        <v>915</v>
      </c>
      <c r="C45" s="237" t="s">
        <v>916</v>
      </c>
      <c r="D45" s="279" t="s">
        <v>917</v>
      </c>
      <c r="E45" s="278"/>
      <c r="F45" s="286"/>
      <c r="G45" s="286"/>
      <c r="H45" s="292"/>
      <c r="I45" s="293"/>
    </row>
    <row r="46" spans="1:9" s="294" customFormat="1" hidden="1" x14ac:dyDescent="0.25">
      <c r="A46" s="295"/>
      <c r="B46" s="838"/>
      <c r="C46" s="253"/>
      <c r="D46" s="280"/>
      <c r="E46" s="281">
        <v>0</v>
      </c>
      <c r="F46" s="285">
        <v>4278</v>
      </c>
      <c r="G46" s="285"/>
      <c r="H46" s="283"/>
      <c r="I46" s="270">
        <f>E46*F46</f>
        <v>0</v>
      </c>
    </row>
    <row r="47" spans="1:9" s="222" customFormat="1" ht="25.5" hidden="1" x14ac:dyDescent="0.25">
      <c r="A47" s="849">
        <v>9</v>
      </c>
      <c r="B47" s="835" t="s">
        <v>918</v>
      </c>
      <c r="C47" s="278" t="s">
        <v>919</v>
      </c>
      <c r="D47" s="835" t="s">
        <v>138</v>
      </c>
      <c r="E47" s="835">
        <v>0</v>
      </c>
      <c r="F47" s="285">
        <v>15649</v>
      </c>
      <c r="G47" s="296"/>
      <c r="H47" s="859">
        <v>1.2</v>
      </c>
      <c r="I47" s="273">
        <f>ROUND(F47*E47*H47,0)</f>
        <v>0</v>
      </c>
    </row>
    <row r="48" spans="1:9" s="222" customFormat="1" hidden="1" x14ac:dyDescent="0.25">
      <c r="A48" s="851"/>
      <c r="B48" s="838"/>
      <c r="C48" s="284" t="s">
        <v>920</v>
      </c>
      <c r="D48" s="838"/>
      <c r="E48" s="838"/>
      <c r="F48" s="285">
        <v>2996</v>
      </c>
      <c r="G48" s="285"/>
      <c r="H48" s="860"/>
      <c r="I48" s="273">
        <f>ROUND(H47*F48*E47,0)</f>
        <v>0</v>
      </c>
    </row>
    <row r="49" spans="1:9" s="222" customFormat="1" ht="25.5" hidden="1" x14ac:dyDescent="0.25">
      <c r="A49" s="849">
        <v>10</v>
      </c>
      <c r="B49" s="835" t="s">
        <v>921</v>
      </c>
      <c r="C49" s="278" t="s">
        <v>922</v>
      </c>
      <c r="D49" s="835" t="s">
        <v>923</v>
      </c>
      <c r="E49" s="835">
        <v>0</v>
      </c>
      <c r="F49" s="289">
        <v>146</v>
      </c>
      <c r="G49" s="286"/>
      <c r="H49" s="859">
        <v>1</v>
      </c>
      <c r="I49" s="297">
        <f>ROUND(F49*E49*H49,0)</f>
        <v>0</v>
      </c>
    </row>
    <row r="50" spans="1:9" s="222" customFormat="1" hidden="1" x14ac:dyDescent="0.25">
      <c r="A50" s="851"/>
      <c r="B50" s="838"/>
      <c r="C50" s="284" t="s">
        <v>920</v>
      </c>
      <c r="D50" s="838"/>
      <c r="E50" s="838"/>
      <c r="F50" s="285">
        <v>84</v>
      </c>
      <c r="G50" s="285"/>
      <c r="H50" s="860"/>
      <c r="I50" s="273">
        <f>ROUND(H49*F50*E49,0)</f>
        <v>0</v>
      </c>
    </row>
    <row r="51" spans="1:9" s="276" customFormat="1" hidden="1" x14ac:dyDescent="0.25">
      <c r="A51" s="849"/>
      <c r="B51" s="238"/>
      <c r="C51" s="237"/>
      <c r="D51" s="238"/>
      <c r="E51" s="237"/>
      <c r="F51" s="238"/>
      <c r="G51" s="238"/>
      <c r="H51" s="238"/>
      <c r="I51" s="238"/>
    </row>
    <row r="52" spans="1:9" s="276" customFormat="1" hidden="1" x14ac:dyDescent="0.25">
      <c r="A52" s="851"/>
      <c r="B52" s="254"/>
      <c r="C52" s="240"/>
      <c r="D52" s="241"/>
      <c r="E52" s="240"/>
      <c r="F52" s="243"/>
      <c r="G52" s="243"/>
      <c r="H52" s="245"/>
      <c r="I52" s="243"/>
    </row>
    <row r="53" spans="1:9" s="222" customFormat="1" ht="15" hidden="1" customHeight="1" x14ac:dyDescent="0.25">
      <c r="A53" s="866"/>
      <c r="B53" s="867"/>
      <c r="C53" s="867"/>
      <c r="D53" s="867"/>
      <c r="E53" s="867"/>
      <c r="F53" s="867"/>
      <c r="G53" s="867"/>
      <c r="H53" s="868"/>
      <c r="I53" s="298"/>
    </row>
    <row r="54" spans="1:9" s="222" customFormat="1" ht="15" hidden="1" customHeight="1" x14ac:dyDescent="0.25">
      <c r="A54" s="866"/>
      <c r="B54" s="867"/>
      <c r="C54" s="867"/>
      <c r="D54" s="867"/>
      <c r="E54" s="867"/>
      <c r="F54" s="867"/>
      <c r="G54" s="867"/>
      <c r="H54" s="868"/>
      <c r="I54" s="299"/>
    </row>
    <row r="55" spans="1:9" s="222" customFormat="1" ht="15" customHeight="1" x14ac:dyDescent="0.25">
      <c r="A55" s="866" t="s">
        <v>924</v>
      </c>
      <c r="B55" s="867"/>
      <c r="C55" s="867"/>
      <c r="D55" s="867"/>
      <c r="E55" s="867"/>
      <c r="F55" s="867"/>
      <c r="G55" s="867"/>
      <c r="H55" s="868"/>
      <c r="I55" s="299">
        <f>I26+I24+I22+I20+I17+I13</f>
        <v>153238</v>
      </c>
    </row>
    <row r="56" spans="1:9" s="222" customFormat="1" ht="15" customHeight="1" x14ac:dyDescent="0.25">
      <c r="A56" s="866" t="s">
        <v>920</v>
      </c>
      <c r="B56" s="867"/>
      <c r="C56" s="867"/>
      <c r="D56" s="867"/>
      <c r="E56" s="867"/>
      <c r="F56" s="867"/>
      <c r="G56" s="867"/>
      <c r="H56" s="868"/>
      <c r="I56" s="299">
        <f>I32</f>
        <v>1000</v>
      </c>
    </row>
    <row r="57" spans="1:9" s="222" customFormat="1" ht="15" hidden="1" customHeight="1" x14ac:dyDescent="0.25">
      <c r="A57" s="869" t="s">
        <v>925</v>
      </c>
      <c r="B57" s="870"/>
      <c r="C57" s="870"/>
      <c r="D57" s="870"/>
      <c r="E57" s="870"/>
      <c r="F57" s="871"/>
      <c r="G57" s="300"/>
      <c r="H57" s="301">
        <v>1</v>
      </c>
      <c r="I57" s="302">
        <f>ROUND(I55*H57,0)</f>
        <v>153238</v>
      </c>
    </row>
    <row r="58" spans="1:9" s="222" customFormat="1" ht="15" hidden="1" customHeight="1" x14ac:dyDescent="0.25">
      <c r="A58" s="869" t="s">
        <v>926</v>
      </c>
      <c r="B58" s="870"/>
      <c r="C58" s="870"/>
      <c r="D58" s="870"/>
      <c r="E58" s="870"/>
      <c r="F58" s="871"/>
      <c r="G58" s="300"/>
      <c r="H58" s="301">
        <v>1</v>
      </c>
      <c r="I58" s="303">
        <f>ROUND(H58*I57,0)</f>
        <v>153238</v>
      </c>
    </row>
    <row r="59" spans="1:9" s="222" customFormat="1" ht="15" hidden="1" customHeight="1" x14ac:dyDescent="0.25">
      <c r="A59" s="866" t="s">
        <v>927</v>
      </c>
      <c r="B59" s="867"/>
      <c r="C59" s="867"/>
      <c r="D59" s="867"/>
      <c r="E59" s="867"/>
      <c r="F59" s="867"/>
      <c r="G59" s="867"/>
      <c r="H59" s="867"/>
      <c r="I59" s="868"/>
    </row>
    <row r="60" spans="1:9" s="222" customFormat="1" hidden="1" x14ac:dyDescent="0.25">
      <c r="A60" s="304"/>
      <c r="B60" s="287"/>
      <c r="C60" s="287"/>
      <c r="D60" s="287"/>
      <c r="E60" s="287"/>
      <c r="F60" s="289"/>
      <c r="G60" s="289"/>
      <c r="H60" s="287"/>
      <c r="I60" s="289"/>
    </row>
    <row r="61" spans="1:9" s="222" customFormat="1" hidden="1" x14ac:dyDescent="0.25">
      <c r="A61" s="304"/>
      <c r="B61" s="287"/>
      <c r="C61" s="287"/>
      <c r="D61" s="287"/>
      <c r="E61" s="287"/>
      <c r="F61" s="289"/>
      <c r="G61" s="289"/>
      <c r="H61" s="287"/>
      <c r="I61" s="289"/>
    </row>
    <row r="62" spans="1:9" s="222" customFormat="1" ht="15" customHeight="1" x14ac:dyDescent="0.25">
      <c r="A62" s="866" t="s">
        <v>928</v>
      </c>
      <c r="B62" s="867"/>
      <c r="C62" s="867"/>
      <c r="D62" s="867"/>
      <c r="E62" s="867"/>
      <c r="F62" s="867"/>
      <c r="G62" s="867"/>
      <c r="H62" s="868"/>
      <c r="I62" s="298">
        <f>I55+I56</f>
        <v>154238</v>
      </c>
    </row>
    <row r="63" spans="1:9" s="222" customFormat="1" x14ac:dyDescent="0.25">
      <c r="A63" s="866"/>
      <c r="B63" s="867"/>
      <c r="C63" s="867"/>
      <c r="D63" s="867"/>
      <c r="E63" s="867"/>
      <c r="F63" s="868"/>
      <c r="G63" s="305"/>
      <c r="H63" s="287"/>
      <c r="I63" s="299"/>
    </row>
    <row r="64" spans="1:9" s="222" customFormat="1" ht="15" customHeight="1" x14ac:dyDescent="0.25">
      <c r="A64" s="866" t="s">
        <v>929</v>
      </c>
      <c r="B64" s="867"/>
      <c r="C64" s="867"/>
      <c r="D64" s="867"/>
      <c r="E64" s="867"/>
      <c r="F64" s="867"/>
      <c r="G64" s="867"/>
      <c r="H64" s="867"/>
      <c r="I64" s="868"/>
    </row>
    <row r="65" spans="1:11" s="222" customFormat="1" x14ac:dyDescent="0.25">
      <c r="A65" s="304">
        <v>6</v>
      </c>
      <c r="B65" s="295" t="s">
        <v>930</v>
      </c>
      <c r="C65" s="295" t="s">
        <v>931</v>
      </c>
      <c r="D65" s="295" t="s">
        <v>932</v>
      </c>
      <c r="E65" s="306"/>
      <c r="F65" s="307">
        <v>11.25</v>
      </c>
      <c r="G65" s="307"/>
      <c r="H65" s="295">
        <v>1</v>
      </c>
      <c r="I65" s="308">
        <f>(I55)*F65/100</f>
        <v>17239</v>
      </c>
    </row>
    <row r="66" spans="1:11" s="222" customFormat="1" x14ac:dyDescent="0.25">
      <c r="A66" s="304">
        <v>7</v>
      </c>
      <c r="B66" s="304" t="s">
        <v>933</v>
      </c>
      <c r="C66" s="304" t="s">
        <v>934</v>
      </c>
      <c r="D66" s="304" t="s">
        <v>932</v>
      </c>
      <c r="E66" s="309"/>
      <c r="F66" s="310">
        <v>36.4</v>
      </c>
      <c r="G66" s="310"/>
      <c r="H66" s="304">
        <v>1</v>
      </c>
      <c r="I66" s="311">
        <f>ROUND((I55+I65)*F66/100,0)</f>
        <v>62054</v>
      </c>
    </row>
    <row r="67" spans="1:11" s="222" customFormat="1" x14ac:dyDescent="0.25">
      <c r="A67" s="304">
        <v>8</v>
      </c>
      <c r="B67" s="304" t="s">
        <v>935</v>
      </c>
      <c r="C67" s="304" t="s">
        <v>936</v>
      </c>
      <c r="D67" s="304" t="s">
        <v>932</v>
      </c>
      <c r="E67" s="304"/>
      <c r="F67" s="304">
        <v>6</v>
      </c>
      <c r="G67" s="304"/>
      <c r="H67" s="304">
        <v>2</v>
      </c>
      <c r="I67" s="311">
        <f>ROUND((F67/100)*(I55+I65)*H67,0)</f>
        <v>20457</v>
      </c>
    </row>
    <row r="68" spans="1:11" s="222" customFormat="1" ht="15" customHeight="1" x14ac:dyDescent="0.25">
      <c r="A68" s="863" t="s">
        <v>928</v>
      </c>
      <c r="B68" s="864"/>
      <c r="C68" s="864"/>
      <c r="D68" s="864"/>
      <c r="E68" s="864"/>
      <c r="F68" s="864"/>
      <c r="G68" s="864"/>
      <c r="H68" s="865"/>
      <c r="I68" s="298">
        <f>I65+I66+I67</f>
        <v>99750</v>
      </c>
    </row>
    <row r="69" spans="1:11" s="222" customFormat="1" ht="15" customHeight="1" x14ac:dyDescent="0.25">
      <c r="A69" s="866" t="s">
        <v>937</v>
      </c>
      <c r="B69" s="867"/>
      <c r="C69" s="867"/>
      <c r="D69" s="867"/>
      <c r="E69" s="867"/>
      <c r="F69" s="867"/>
      <c r="G69" s="867"/>
      <c r="H69" s="868"/>
      <c r="I69" s="298">
        <f>I62+I68</f>
        <v>253988</v>
      </c>
    </row>
    <row r="70" spans="1:11" s="236" customFormat="1" x14ac:dyDescent="0.25">
      <c r="A70" s="849">
        <v>9</v>
      </c>
      <c r="B70" s="849" t="s">
        <v>938</v>
      </c>
      <c r="C70" s="234" t="s">
        <v>939</v>
      </c>
      <c r="D70" s="835" t="s">
        <v>940</v>
      </c>
      <c r="E70" s="234"/>
      <c r="F70" s="235"/>
      <c r="G70" s="235"/>
      <c r="H70" s="234"/>
      <c r="I70" s="234"/>
    </row>
    <row r="71" spans="1:11" s="236" customFormat="1" ht="25.5" x14ac:dyDescent="0.25">
      <c r="A71" s="850"/>
      <c r="B71" s="850"/>
      <c r="C71" s="277" t="s">
        <v>941</v>
      </c>
      <c r="D71" s="836"/>
      <c r="E71" s="277">
        <v>1</v>
      </c>
      <c r="F71" s="312">
        <f>(3400)+ 49064*(2.4/100)</f>
        <v>4578</v>
      </c>
      <c r="G71" s="312"/>
      <c r="H71" s="313"/>
      <c r="I71" s="252">
        <f>F71</f>
        <v>4578</v>
      </c>
    </row>
    <row r="72" spans="1:11" s="236" customFormat="1" x14ac:dyDescent="0.25">
      <c r="A72" s="851"/>
      <c r="B72" s="851"/>
      <c r="C72" s="308">
        <f>I62</f>
        <v>154238</v>
      </c>
      <c r="D72" s="838"/>
      <c r="E72" s="295"/>
      <c r="F72" s="314"/>
      <c r="G72" s="314"/>
      <c r="H72" s="315"/>
      <c r="I72" s="308"/>
    </row>
    <row r="73" spans="1:11" s="236" customFormat="1" x14ac:dyDescent="0.25">
      <c r="A73" s="849">
        <v>10</v>
      </c>
      <c r="B73" s="849" t="s">
        <v>942</v>
      </c>
      <c r="C73" s="234" t="s">
        <v>943</v>
      </c>
      <c r="D73" s="849" t="s">
        <v>944</v>
      </c>
      <c r="E73" s="234"/>
      <c r="F73" s="235"/>
      <c r="G73" s="235"/>
      <c r="H73" s="234"/>
      <c r="I73" s="234"/>
    </row>
    <row r="74" spans="1:11" s="236" customFormat="1" ht="25.5" x14ac:dyDescent="0.25">
      <c r="A74" s="850"/>
      <c r="B74" s="850"/>
      <c r="C74" s="277" t="s">
        <v>945</v>
      </c>
      <c r="D74" s="850"/>
      <c r="E74" s="277">
        <v>1</v>
      </c>
      <c r="F74" s="312">
        <f>6600+ ( 49064*3.6/100)</f>
        <v>8366</v>
      </c>
      <c r="G74" s="312"/>
      <c r="H74" s="313"/>
      <c r="I74" s="252">
        <f>F74</f>
        <v>8366</v>
      </c>
    </row>
    <row r="75" spans="1:11" s="236" customFormat="1" x14ac:dyDescent="0.25">
      <c r="A75" s="851"/>
      <c r="B75" s="851"/>
      <c r="C75" s="308">
        <f>I62</f>
        <v>154238</v>
      </c>
      <c r="D75" s="851"/>
      <c r="E75" s="295"/>
      <c r="F75" s="314"/>
      <c r="G75" s="314"/>
      <c r="H75" s="315"/>
      <c r="I75" s="308"/>
    </row>
    <row r="76" spans="1:11" s="222" customFormat="1" ht="15" customHeight="1" x14ac:dyDescent="0.25">
      <c r="A76" s="863" t="s">
        <v>928</v>
      </c>
      <c r="B76" s="864"/>
      <c r="C76" s="864"/>
      <c r="D76" s="864"/>
      <c r="E76" s="864"/>
      <c r="F76" s="864"/>
      <c r="G76" s="864"/>
      <c r="H76" s="865"/>
      <c r="I76" s="316">
        <f>ROUND(I74+I71,0)</f>
        <v>12944</v>
      </c>
    </row>
    <row r="77" spans="1:11" s="222" customFormat="1" ht="54.75" customHeight="1" x14ac:dyDescent="0.25">
      <c r="A77" s="317">
        <v>11</v>
      </c>
      <c r="B77" s="304" t="s">
        <v>946</v>
      </c>
      <c r="C77" s="318" t="s">
        <v>947</v>
      </c>
      <c r="D77" s="319">
        <v>0.1</v>
      </c>
      <c r="E77" s="320"/>
      <c r="F77" s="228"/>
      <c r="G77" s="228"/>
      <c r="H77" s="321"/>
      <c r="I77" s="316">
        <f xml:space="preserve"> (I69+I76)*10%</f>
        <v>26693</v>
      </c>
    </row>
    <row r="78" spans="1:11" s="222" customFormat="1" ht="15" customHeight="1" x14ac:dyDescent="0.25">
      <c r="A78" s="863" t="s">
        <v>948</v>
      </c>
      <c r="B78" s="864"/>
      <c r="C78" s="864"/>
      <c r="D78" s="864"/>
      <c r="E78" s="864"/>
      <c r="F78" s="865"/>
      <c r="G78" s="321"/>
      <c r="H78" s="322"/>
      <c r="I78" s="323">
        <f>I76+I69+I77</f>
        <v>293625</v>
      </c>
      <c r="K78" s="324"/>
    </row>
    <row r="79" spans="1:11" s="236" customFormat="1" ht="36.75" customHeight="1" x14ac:dyDescent="0.25">
      <c r="A79" s="863" t="s">
        <v>949</v>
      </c>
      <c r="B79" s="864"/>
      <c r="C79" s="864"/>
      <c r="D79" s="864"/>
      <c r="E79" s="864"/>
      <c r="F79" s="865"/>
      <c r="G79" s="321"/>
      <c r="H79" s="228"/>
      <c r="I79" s="325">
        <f>I78</f>
        <v>293625</v>
      </c>
    </row>
    <row r="80" spans="1:11" s="222" customFormat="1" ht="44.25" customHeight="1" x14ac:dyDescent="0.25">
      <c r="A80" s="866" t="s">
        <v>1178</v>
      </c>
      <c r="B80" s="867"/>
      <c r="C80" s="867"/>
      <c r="D80" s="867"/>
      <c r="E80" s="867"/>
      <c r="F80" s="868"/>
      <c r="G80" s="305">
        <v>5.46</v>
      </c>
      <c r="H80" s="287"/>
      <c r="I80" s="326">
        <f>I79*G80</f>
        <v>1603192.5</v>
      </c>
    </row>
    <row r="81" spans="1:9" s="222" customFormat="1" x14ac:dyDescent="0.25">
      <c r="A81" s="225"/>
      <c r="B81" s="224"/>
      <c r="C81" s="224"/>
      <c r="D81" s="224"/>
      <c r="E81" s="224"/>
      <c r="F81" s="224"/>
      <c r="G81" s="224"/>
      <c r="H81" s="224"/>
      <c r="I81" s="224"/>
    </row>
    <row r="82" spans="1:9" s="222" customFormat="1" x14ac:dyDescent="0.25">
      <c r="A82" s="327"/>
      <c r="B82" s="328"/>
      <c r="C82" s="224"/>
      <c r="D82" s="224"/>
      <c r="E82" s="224"/>
      <c r="F82" s="224"/>
      <c r="G82" s="224"/>
      <c r="H82" s="224"/>
      <c r="I82" s="224"/>
    </row>
    <row r="83" spans="1:9" s="331" customFormat="1" ht="12.75" x14ac:dyDescent="0.2">
      <c r="A83" s="327"/>
      <c r="B83" s="328"/>
      <c r="C83" s="329"/>
      <c r="D83" s="330"/>
      <c r="E83" s="330"/>
      <c r="F83" s="330"/>
      <c r="G83" s="330"/>
      <c r="H83" s="330"/>
      <c r="I83" s="330"/>
    </row>
    <row r="84" spans="1:9" s="331" customFormat="1" ht="14.25" x14ac:dyDescent="0.2">
      <c r="A84" s="332"/>
      <c r="B84" s="333"/>
      <c r="C84" s="333"/>
      <c r="D84" s="330"/>
      <c r="E84" s="330"/>
      <c r="F84" s="330"/>
      <c r="G84" s="330"/>
      <c r="H84" s="330"/>
      <c r="I84" s="330"/>
    </row>
    <row r="85" spans="1:9" s="331" customFormat="1" ht="25.5" customHeight="1" x14ac:dyDescent="0.2">
      <c r="A85" s="334"/>
      <c r="B85" s="333"/>
      <c r="C85" s="333"/>
      <c r="D85" s="330"/>
      <c r="E85" s="330"/>
      <c r="F85" s="330"/>
      <c r="G85" s="330"/>
      <c r="H85" s="330"/>
      <c r="I85" s="330"/>
    </row>
    <row r="86" spans="1:9" s="222" customFormat="1" ht="15.75" x14ac:dyDescent="0.25">
      <c r="A86" s="335"/>
      <c r="B86" s="336"/>
      <c r="C86" s="337"/>
      <c r="D86" s="337"/>
      <c r="E86" s="336"/>
      <c r="F86" s="337"/>
      <c r="G86" s="337"/>
      <c r="H86" s="337"/>
      <c r="I86" s="337"/>
    </row>
    <row r="87" spans="1:9" s="222" customFormat="1" ht="15.75" x14ac:dyDescent="0.25">
      <c r="A87" s="872"/>
      <c r="B87" s="872"/>
      <c r="C87" s="872"/>
      <c r="D87" s="337"/>
      <c r="E87" s="873"/>
      <c r="F87" s="873"/>
      <c r="G87" s="873"/>
      <c r="H87" s="873"/>
      <c r="I87" s="873"/>
    </row>
    <row r="88" spans="1:9" s="222" customFormat="1" ht="15.75" x14ac:dyDescent="0.25">
      <c r="A88" s="873"/>
      <c r="B88" s="873"/>
      <c r="C88" s="873"/>
      <c r="D88" s="337"/>
      <c r="E88" s="873"/>
      <c r="F88" s="873"/>
      <c r="G88" s="873"/>
      <c r="H88" s="873"/>
      <c r="I88" s="873"/>
    </row>
    <row r="89" spans="1:9" s="222" customFormat="1" ht="15.75" x14ac:dyDescent="0.25">
      <c r="A89" s="337"/>
      <c r="B89" s="336"/>
      <c r="C89" s="337"/>
      <c r="D89" s="337"/>
      <c r="E89" s="336"/>
      <c r="F89" s="337"/>
      <c r="G89" s="337"/>
      <c r="H89" s="337"/>
      <c r="I89" s="337"/>
    </row>
    <row r="90" spans="1:9" s="222" customFormat="1" ht="15.75" x14ac:dyDescent="0.25">
      <c r="A90" s="873"/>
      <c r="B90" s="873"/>
      <c r="C90" s="873"/>
      <c r="D90" s="337"/>
      <c r="E90" s="873"/>
      <c r="F90" s="873"/>
      <c r="G90" s="873"/>
      <c r="H90" s="873"/>
      <c r="I90" s="873"/>
    </row>
    <row r="91" spans="1:9" s="222" customFormat="1" ht="15.75" x14ac:dyDescent="0.25">
      <c r="A91" s="337"/>
      <c r="B91" s="336"/>
      <c r="C91" s="337"/>
      <c r="D91" s="337"/>
      <c r="E91" s="338"/>
      <c r="F91" s="336"/>
      <c r="G91" s="336"/>
      <c r="H91" s="337"/>
      <c r="I91" s="337"/>
    </row>
    <row r="92" spans="1:9" s="222" customFormat="1" ht="15.75" x14ac:dyDescent="0.25">
      <c r="A92" s="872"/>
      <c r="B92" s="872"/>
      <c r="C92" s="872"/>
      <c r="D92" s="338"/>
      <c r="E92" s="338"/>
      <c r="F92" s="338"/>
      <c r="G92" s="338"/>
      <c r="H92" s="338"/>
      <c r="I92" s="338"/>
    </row>
    <row r="93" spans="1:9" s="222" customFormat="1" ht="15.75" x14ac:dyDescent="0.25">
      <c r="A93" s="873"/>
      <c r="B93" s="873"/>
      <c r="C93" s="873"/>
      <c r="D93" s="338"/>
      <c r="E93" s="338"/>
      <c r="F93" s="338"/>
      <c r="G93" s="338"/>
      <c r="H93" s="338"/>
      <c r="I93" s="338"/>
    </row>
    <row r="94" spans="1:9" s="222" customFormat="1" ht="15.75" x14ac:dyDescent="0.25">
      <c r="A94" s="874"/>
      <c r="B94" s="874"/>
      <c r="C94" s="874"/>
      <c r="D94" s="338"/>
      <c r="E94" s="338"/>
      <c r="F94" s="338"/>
      <c r="G94" s="338"/>
      <c r="H94" s="338"/>
      <c r="I94" s="338"/>
    </row>
    <row r="95" spans="1:9" s="222" customFormat="1" ht="15.75" x14ac:dyDescent="0.25">
      <c r="A95" s="873"/>
      <c r="B95" s="873"/>
      <c r="C95" s="873"/>
      <c r="D95" s="338"/>
      <c r="E95" s="338"/>
      <c r="F95" s="338"/>
      <c r="G95" s="338"/>
      <c r="H95" s="338"/>
      <c r="I95" s="338"/>
    </row>
  </sheetData>
  <mergeCells count="84">
    <mergeCell ref="A94:C94"/>
    <mergeCell ref="A95:C95"/>
    <mergeCell ref="A88:C88"/>
    <mergeCell ref="E88:I88"/>
    <mergeCell ref="A90:C90"/>
    <mergeCell ref="E90:I90"/>
    <mergeCell ref="A92:C92"/>
    <mergeCell ref="A93:C93"/>
    <mergeCell ref="A76:H76"/>
    <mergeCell ref="A78:F78"/>
    <mergeCell ref="A79:F79"/>
    <mergeCell ref="A80:F80"/>
    <mergeCell ref="A87:C87"/>
    <mergeCell ref="E87:I87"/>
    <mergeCell ref="A69:H69"/>
    <mergeCell ref="A70:A72"/>
    <mergeCell ref="B70:B72"/>
    <mergeCell ref="D70:D72"/>
    <mergeCell ref="A73:A75"/>
    <mergeCell ref="B73:B75"/>
    <mergeCell ref="D73:D75"/>
    <mergeCell ref="A68:H68"/>
    <mergeCell ref="A51:A52"/>
    <mergeCell ref="A53:H53"/>
    <mergeCell ref="A54:H54"/>
    <mergeCell ref="A55:H55"/>
    <mergeCell ref="A56:H56"/>
    <mergeCell ref="A57:F57"/>
    <mergeCell ref="A58:F58"/>
    <mergeCell ref="A59:I59"/>
    <mergeCell ref="A62:H62"/>
    <mergeCell ref="A63:F63"/>
    <mergeCell ref="A64:I64"/>
    <mergeCell ref="A47:A48"/>
    <mergeCell ref="B47:B48"/>
    <mergeCell ref="D47:D48"/>
    <mergeCell ref="E47:E48"/>
    <mergeCell ref="H47:H48"/>
    <mergeCell ref="A49:A50"/>
    <mergeCell ref="B49:B50"/>
    <mergeCell ref="D49:D50"/>
    <mergeCell ref="E49:E50"/>
    <mergeCell ref="H49:H50"/>
    <mergeCell ref="D42:D43"/>
    <mergeCell ref="E42:E43"/>
    <mergeCell ref="F42:F43"/>
    <mergeCell ref="H42:H43"/>
    <mergeCell ref="I42:I43"/>
    <mergeCell ref="B45:B46"/>
    <mergeCell ref="A37:A38"/>
    <mergeCell ref="A39:A41"/>
    <mergeCell ref="B39:B41"/>
    <mergeCell ref="A42:A44"/>
    <mergeCell ref="B42:B44"/>
    <mergeCell ref="C42:C43"/>
    <mergeCell ref="A23:A24"/>
    <mergeCell ref="B23:B24"/>
    <mergeCell ref="A25:A32"/>
    <mergeCell ref="B25:B32"/>
    <mergeCell ref="A33:A34"/>
    <mergeCell ref="A35:A36"/>
    <mergeCell ref="B35:B36"/>
    <mergeCell ref="A16:A18"/>
    <mergeCell ref="B16:B18"/>
    <mergeCell ref="A19:A20"/>
    <mergeCell ref="B19:B20"/>
    <mergeCell ref="A21:A22"/>
    <mergeCell ref="B21:B22"/>
    <mergeCell ref="A12:I12"/>
    <mergeCell ref="A13:A15"/>
    <mergeCell ref="B13:B15"/>
    <mergeCell ref="D13:D14"/>
    <mergeCell ref="E13:E14"/>
    <mergeCell ref="F13:F14"/>
    <mergeCell ref="G13:G14"/>
    <mergeCell ref="H13:H14"/>
    <mergeCell ref="I13:I15"/>
    <mergeCell ref="A8:B8"/>
    <mergeCell ref="C8:I8"/>
    <mergeCell ref="A1:I1"/>
    <mergeCell ref="A2:I2"/>
    <mergeCell ref="A3:I3"/>
    <mergeCell ref="A4:I4"/>
    <mergeCell ref="A6:I6"/>
  </mergeCells>
  <conditionalFormatting sqref="A35 A16">
    <cfRule type="expression" dxfId="0" priority="1" stopIfTrue="1">
      <formula>IF(#REF!="К",8,)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C8" sqref="C8"/>
    </sheetView>
  </sheetViews>
  <sheetFormatPr defaultRowHeight="15" x14ac:dyDescent="0.25"/>
  <cols>
    <col min="1" max="1" width="3.85546875" customWidth="1"/>
    <col min="2" max="2" width="42.5703125" customWidth="1"/>
    <col min="3" max="3" width="18.7109375" customWidth="1"/>
  </cols>
  <sheetData>
    <row r="3" spans="1:3" x14ac:dyDescent="0.25">
      <c r="A3" s="875" t="s">
        <v>1312</v>
      </c>
      <c r="B3" s="875"/>
      <c r="C3" s="875"/>
    </row>
    <row r="5" spans="1:3" x14ac:dyDescent="0.25">
      <c r="A5" s="626" t="s">
        <v>828</v>
      </c>
      <c r="B5" s="626" t="s">
        <v>1309</v>
      </c>
      <c r="C5" s="627">
        <f>НМЦ!E24</f>
        <v>1892679652.54</v>
      </c>
    </row>
    <row r="6" spans="1:3" x14ac:dyDescent="0.25">
      <c r="A6" s="626" t="s">
        <v>829</v>
      </c>
      <c r="B6" s="626" t="s">
        <v>1310</v>
      </c>
      <c r="C6" s="627">
        <f>НМЦ!E19*0.0136</f>
        <v>25387405.399999999</v>
      </c>
    </row>
    <row r="7" spans="1:3" x14ac:dyDescent="0.25">
      <c r="A7" s="626" t="s">
        <v>831</v>
      </c>
      <c r="B7" s="626" t="s">
        <v>1311</v>
      </c>
      <c r="C7" s="627">
        <f>Экспертиза!H21</f>
        <v>1170054.94</v>
      </c>
    </row>
    <row r="8" spans="1:3" x14ac:dyDescent="0.25">
      <c r="A8" s="626"/>
      <c r="B8" s="628" t="s">
        <v>1305</v>
      </c>
      <c r="C8" s="627">
        <f>SUM(C5:C7)</f>
        <v>1919237112.8800001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32" workbookViewId="0">
      <selection activeCell="B37" sqref="B37"/>
    </sheetView>
  </sheetViews>
  <sheetFormatPr defaultRowHeight="15" x14ac:dyDescent="0.25"/>
  <cols>
    <col min="1" max="1" width="22" style="79" customWidth="1"/>
    <col min="2" max="2" width="51.5703125" style="79" customWidth="1"/>
    <col min="3" max="3" width="62.140625" style="79" customWidth="1"/>
    <col min="4" max="16384" width="9.140625" style="79"/>
  </cols>
  <sheetData>
    <row r="1" spans="1:3" ht="15.75" x14ac:dyDescent="0.25">
      <c r="A1" s="636" t="s">
        <v>162</v>
      </c>
      <c r="B1" s="636"/>
      <c r="C1" s="636"/>
    </row>
    <row r="2" spans="1:3" ht="81.75" customHeight="1" x14ac:dyDescent="0.25">
      <c r="A2" s="637" t="s">
        <v>169</v>
      </c>
      <c r="B2" s="638"/>
      <c r="C2" s="638"/>
    </row>
    <row r="3" spans="1:3" ht="33.75" customHeight="1" x14ac:dyDescent="0.25">
      <c r="A3" s="647" t="s">
        <v>24</v>
      </c>
      <c r="B3" s="648"/>
      <c r="C3" s="648"/>
    </row>
    <row r="4" spans="1:3" ht="139.5" customHeight="1" x14ac:dyDescent="0.25">
      <c r="A4" s="639" t="s">
        <v>172</v>
      </c>
      <c r="B4" s="639"/>
      <c r="C4" s="639"/>
    </row>
    <row r="5" spans="1:3" ht="69" customHeight="1" x14ac:dyDescent="0.25">
      <c r="A5" s="639" t="s">
        <v>187</v>
      </c>
      <c r="B5" s="639"/>
      <c r="C5" s="639"/>
    </row>
    <row r="6" spans="1:3" ht="28.5" customHeight="1" x14ac:dyDescent="0.25">
      <c r="A6" s="641" t="s">
        <v>1141</v>
      </c>
      <c r="B6" s="641"/>
      <c r="C6" s="641"/>
    </row>
    <row r="7" spans="1:3" ht="84" customHeight="1" x14ac:dyDescent="0.25">
      <c r="A7" s="642" t="s">
        <v>1138</v>
      </c>
      <c r="B7" s="642"/>
      <c r="C7" s="642"/>
    </row>
    <row r="8" spans="1:3" ht="27.75" customHeight="1" x14ac:dyDescent="0.25">
      <c r="A8" s="643" t="s">
        <v>1139</v>
      </c>
      <c r="B8" s="643"/>
      <c r="C8" s="643"/>
    </row>
    <row r="9" spans="1:3" ht="27.75" customHeight="1" x14ac:dyDescent="0.25">
      <c r="A9" s="644" t="s">
        <v>1181</v>
      </c>
      <c r="B9" s="644"/>
      <c r="C9" s="644"/>
    </row>
    <row r="10" spans="1:3" ht="69" customHeight="1" x14ac:dyDescent="0.25">
      <c r="A10" s="645" t="s">
        <v>186</v>
      </c>
      <c r="B10" s="645"/>
      <c r="C10" s="645"/>
    </row>
    <row r="11" spans="1:3" ht="69" customHeight="1" x14ac:dyDescent="0.25">
      <c r="A11" s="646" t="s">
        <v>1140</v>
      </c>
      <c r="B11" s="646"/>
      <c r="C11" s="646"/>
    </row>
    <row r="12" spans="1:3" ht="32.25" customHeight="1" x14ac:dyDescent="0.25">
      <c r="A12" s="637" t="s">
        <v>170</v>
      </c>
      <c r="B12" s="637"/>
      <c r="C12" s="637"/>
    </row>
    <row r="13" spans="1:3" ht="34.5" customHeight="1" x14ac:dyDescent="0.25">
      <c r="A13" s="640" t="s">
        <v>188</v>
      </c>
      <c r="B13" s="640"/>
      <c r="C13" s="640"/>
    </row>
    <row r="14" spans="1:3" ht="80.25" customHeight="1" x14ac:dyDescent="0.25">
      <c r="A14" s="642" t="s">
        <v>184</v>
      </c>
      <c r="B14" s="642"/>
      <c r="C14" s="642"/>
    </row>
    <row r="15" spans="1:3" ht="45" customHeight="1" x14ac:dyDescent="0.25">
      <c r="A15" s="650" t="s">
        <v>185</v>
      </c>
      <c r="B15" s="650"/>
      <c r="C15" s="650"/>
    </row>
    <row r="16" spans="1:3" ht="27.75" customHeight="1" x14ac:dyDescent="0.25">
      <c r="A16" s="644" t="s">
        <v>1180</v>
      </c>
      <c r="B16" s="644"/>
      <c r="C16" s="644"/>
    </row>
    <row r="17" spans="1:3" ht="73.5" customHeight="1" x14ac:dyDescent="0.25">
      <c r="A17" s="645" t="s">
        <v>186</v>
      </c>
      <c r="B17" s="645"/>
      <c r="C17" s="645"/>
    </row>
    <row r="18" spans="1:3" ht="33" customHeight="1" x14ac:dyDescent="0.25">
      <c r="A18" s="637" t="s">
        <v>171</v>
      </c>
      <c r="B18" s="637"/>
      <c r="C18" s="637"/>
    </row>
    <row r="19" spans="1:3" ht="33" customHeight="1" x14ac:dyDescent="0.25">
      <c r="A19" s="639" t="s">
        <v>189</v>
      </c>
      <c r="B19" s="639"/>
      <c r="C19" s="639"/>
    </row>
    <row r="20" spans="1:3" ht="114" customHeight="1" x14ac:dyDescent="0.25">
      <c r="A20" s="639" t="s">
        <v>173</v>
      </c>
      <c r="B20" s="639"/>
      <c r="C20" s="639"/>
    </row>
    <row r="21" spans="1:3" ht="64.5" customHeight="1" x14ac:dyDescent="0.25">
      <c r="A21" s="639" t="s">
        <v>174</v>
      </c>
      <c r="B21" s="639"/>
      <c r="C21" s="639"/>
    </row>
    <row r="22" spans="1:3" ht="68.25" customHeight="1" x14ac:dyDescent="0.25">
      <c r="A22" s="649" t="s">
        <v>175</v>
      </c>
      <c r="B22" s="649"/>
      <c r="C22" s="649"/>
    </row>
    <row r="23" spans="1:3" ht="32.25" customHeight="1" x14ac:dyDescent="0.25">
      <c r="A23" s="639" t="s">
        <v>177</v>
      </c>
      <c r="B23" s="639"/>
      <c r="C23" s="639"/>
    </row>
    <row r="24" spans="1:3" ht="149.25" customHeight="1" x14ac:dyDescent="0.25">
      <c r="A24" s="639" t="s">
        <v>176</v>
      </c>
      <c r="B24" s="639"/>
      <c r="C24" s="639"/>
    </row>
    <row r="25" spans="1:3" ht="107.25" customHeight="1" x14ac:dyDescent="0.25">
      <c r="A25" s="639" t="s">
        <v>178</v>
      </c>
      <c r="B25" s="639"/>
      <c r="C25" s="639"/>
    </row>
    <row r="26" spans="1:3" ht="59.25" customHeight="1" x14ac:dyDescent="0.25">
      <c r="A26" s="639" t="s">
        <v>179</v>
      </c>
      <c r="B26" s="639"/>
      <c r="C26" s="639"/>
    </row>
    <row r="27" spans="1:3" ht="30" customHeight="1" x14ac:dyDescent="0.25">
      <c r="A27" s="649" t="s">
        <v>180</v>
      </c>
      <c r="B27" s="649"/>
      <c r="C27" s="649"/>
    </row>
    <row r="28" spans="1:3" ht="102" customHeight="1" x14ac:dyDescent="0.25">
      <c r="A28" s="640" t="s">
        <v>181</v>
      </c>
      <c r="B28" s="640"/>
      <c r="C28" s="640"/>
    </row>
    <row r="29" spans="1:3" ht="40.5" customHeight="1" x14ac:dyDescent="0.25">
      <c r="A29" s="640" t="s">
        <v>182</v>
      </c>
      <c r="B29" s="640"/>
      <c r="C29" s="640"/>
    </row>
    <row r="30" spans="1:3" ht="78.75" customHeight="1" x14ac:dyDescent="0.25">
      <c r="A30" s="640" t="s">
        <v>1182</v>
      </c>
      <c r="B30" s="640"/>
      <c r="C30" s="640"/>
    </row>
    <row r="31" spans="1:3" ht="107.25" customHeight="1" x14ac:dyDescent="0.25">
      <c r="A31" s="652" t="s">
        <v>183</v>
      </c>
      <c r="B31" s="652"/>
      <c r="C31" s="652"/>
    </row>
    <row r="32" spans="1:3" ht="82.5" customHeight="1" x14ac:dyDescent="0.25">
      <c r="A32" s="653" t="s">
        <v>163</v>
      </c>
      <c r="B32" s="653"/>
      <c r="C32" s="653"/>
    </row>
    <row r="33" spans="1:10" ht="27.75" customHeight="1" x14ac:dyDescent="0.25">
      <c r="A33" s="639" t="s">
        <v>164</v>
      </c>
      <c r="B33" s="639"/>
      <c r="C33" s="639"/>
    </row>
    <row r="34" spans="1:10" ht="15.75" x14ac:dyDescent="0.25">
      <c r="A34" s="80"/>
      <c r="B34" s="80"/>
      <c r="C34" s="80"/>
    </row>
    <row r="35" spans="1:10" ht="15.75" x14ac:dyDescent="0.25">
      <c r="A35" s="81" t="s">
        <v>165</v>
      </c>
      <c r="B35" s="82"/>
      <c r="C35" s="81"/>
    </row>
    <row r="36" spans="1:10" ht="15.75" x14ac:dyDescent="0.25">
      <c r="A36" s="651"/>
      <c r="B36" s="651"/>
      <c r="C36" s="651"/>
    </row>
    <row r="37" spans="1:10" ht="15.75" x14ac:dyDescent="0.25">
      <c r="A37" s="81"/>
      <c r="B37" s="82">
        <f>НМЦ!E24</f>
        <v>1892679652.54</v>
      </c>
      <c r="C37" s="81" t="s">
        <v>166</v>
      </c>
    </row>
    <row r="38" spans="1:10" ht="15.75" x14ac:dyDescent="0.25">
      <c r="A38" s="83"/>
      <c r="B38" s="83"/>
      <c r="C38" s="83"/>
    </row>
    <row r="39" spans="1:10" ht="57.75" customHeight="1" x14ac:dyDescent="0.25">
      <c r="A39" s="632" t="s">
        <v>167</v>
      </c>
      <c r="B39" s="632"/>
      <c r="C39" s="84" t="s">
        <v>168</v>
      </c>
      <c r="D39" s="85"/>
      <c r="E39" s="85"/>
      <c r="F39" s="86"/>
      <c r="G39" s="86"/>
      <c r="H39" s="87"/>
      <c r="I39" s="12"/>
      <c r="J39" s="88"/>
    </row>
    <row r="40" spans="1:10" ht="15.75" x14ac:dyDescent="0.25">
      <c r="A40" s="83"/>
      <c r="B40" s="83"/>
      <c r="C40" s="83"/>
    </row>
    <row r="41" spans="1:10" ht="15.75" x14ac:dyDescent="0.25">
      <c r="A41" s="83"/>
      <c r="B41" s="83"/>
      <c r="C41" s="83"/>
    </row>
  </sheetData>
  <mergeCells count="35">
    <mergeCell ref="A27:C27"/>
    <mergeCell ref="A29:C29"/>
    <mergeCell ref="A30:C30"/>
    <mergeCell ref="A36:C36"/>
    <mergeCell ref="A39:B39"/>
    <mergeCell ref="A28:C28"/>
    <mergeCell ref="A31:C31"/>
    <mergeCell ref="A32:C32"/>
    <mergeCell ref="A33:C33"/>
    <mergeCell ref="A18:C18"/>
    <mergeCell ref="A14:C14"/>
    <mergeCell ref="A15:C15"/>
    <mergeCell ref="A16:C16"/>
    <mergeCell ref="A17:C17"/>
    <mergeCell ref="A25:C25"/>
    <mergeCell ref="A24:C24"/>
    <mergeCell ref="A23:C23"/>
    <mergeCell ref="A26:C26"/>
    <mergeCell ref="A19:C19"/>
    <mergeCell ref="A20:C20"/>
    <mergeCell ref="A21:C21"/>
    <mergeCell ref="A22:C22"/>
    <mergeCell ref="A1:C1"/>
    <mergeCell ref="A2:C2"/>
    <mergeCell ref="A4:C4"/>
    <mergeCell ref="A13:C13"/>
    <mergeCell ref="A5:C5"/>
    <mergeCell ref="A6:C6"/>
    <mergeCell ref="A7:C7"/>
    <mergeCell ref="A8:C8"/>
    <mergeCell ref="A9:C9"/>
    <mergeCell ref="A10:C10"/>
    <mergeCell ref="A11:C11"/>
    <mergeCell ref="A3:C3"/>
    <mergeCell ref="A12:C12"/>
  </mergeCells>
  <pageMargins left="0.7" right="0.7" top="0.75" bottom="0.75" header="0.3" footer="0.3"/>
  <pageSetup paperSize="9" scale="64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33"/>
    </sheetView>
  </sheetViews>
  <sheetFormatPr defaultRowHeight="15" x14ac:dyDescent="0.25"/>
  <cols>
    <col min="2" max="2" width="45.7109375" customWidth="1"/>
    <col min="3" max="3" width="17.7109375" customWidth="1"/>
    <col min="4" max="4" width="21" customWidth="1"/>
    <col min="5" max="5" width="17.42578125" customWidth="1"/>
  </cols>
  <sheetData>
    <row r="1" spans="1:5" ht="15.75" x14ac:dyDescent="0.25">
      <c r="A1" s="654" t="s">
        <v>213</v>
      </c>
      <c r="B1" s="654"/>
      <c r="C1" s="654"/>
      <c r="D1" s="654"/>
      <c r="E1" s="654"/>
    </row>
    <row r="2" spans="1:5" ht="15.75" x14ac:dyDescent="0.25">
      <c r="A2" s="655" t="s">
        <v>214</v>
      </c>
      <c r="B2" s="655"/>
      <c r="C2" s="655"/>
      <c r="D2" s="655"/>
      <c r="E2" s="655"/>
    </row>
    <row r="3" spans="1:5" ht="33" customHeight="1" x14ac:dyDescent="0.25">
      <c r="A3" s="656" t="s">
        <v>24</v>
      </c>
      <c r="B3" s="655"/>
      <c r="C3" s="655"/>
      <c r="D3" s="655"/>
      <c r="E3" s="655"/>
    </row>
    <row r="4" spans="1:5" ht="15.75" x14ac:dyDescent="0.25">
      <c r="A4" s="119"/>
      <c r="B4" s="119"/>
      <c r="C4" s="119"/>
      <c r="D4" s="119"/>
      <c r="E4" s="119"/>
    </row>
    <row r="5" spans="1:5" ht="15.75" x14ac:dyDescent="0.25">
      <c r="A5" s="120" t="s">
        <v>215</v>
      </c>
      <c r="B5" s="120"/>
      <c r="C5" s="121">
        <f>ROUNDUP((C7-C6)/30.5,1)</f>
        <v>16.5</v>
      </c>
      <c r="D5" s="122"/>
      <c r="E5" s="83"/>
    </row>
    <row r="6" spans="1:5" ht="15.75" x14ac:dyDescent="0.25">
      <c r="A6" s="120" t="s">
        <v>216</v>
      </c>
      <c r="B6" s="120"/>
      <c r="C6" s="123">
        <f>НМЦК!F84</f>
        <v>45108</v>
      </c>
      <c r="D6" s="122"/>
      <c r="E6" s="83"/>
    </row>
    <row r="7" spans="1:5" ht="15.75" x14ac:dyDescent="0.25">
      <c r="A7" s="120" t="s">
        <v>217</v>
      </c>
      <c r="B7" s="120"/>
      <c r="C7" s="123">
        <f>НМЦК!F104</f>
        <v>45611</v>
      </c>
      <c r="D7" s="122"/>
      <c r="E7" s="83"/>
    </row>
    <row r="8" spans="1:5" ht="15.75" x14ac:dyDescent="0.25">
      <c r="A8" s="120"/>
      <c r="B8" s="124"/>
      <c r="C8" s="124"/>
      <c r="D8" s="83"/>
      <c r="E8" s="83"/>
    </row>
    <row r="9" spans="1:5" ht="15.75" x14ac:dyDescent="0.25">
      <c r="A9" s="657" t="s">
        <v>218</v>
      </c>
      <c r="B9" s="658" t="s">
        <v>219</v>
      </c>
      <c r="C9" s="657" t="s">
        <v>220</v>
      </c>
      <c r="D9" s="657"/>
      <c r="E9" s="657"/>
    </row>
    <row r="10" spans="1:5" ht="15.75" x14ac:dyDescent="0.25">
      <c r="A10" s="657"/>
      <c r="B10" s="659"/>
      <c r="C10" s="125" t="s">
        <v>221</v>
      </c>
      <c r="D10" s="125" t="s">
        <v>222</v>
      </c>
      <c r="E10" s="125" t="s">
        <v>223</v>
      </c>
    </row>
    <row r="11" spans="1:5" ht="15.75" x14ac:dyDescent="0.25">
      <c r="A11" s="125">
        <v>1</v>
      </c>
      <c r="B11" s="125">
        <v>2</v>
      </c>
      <c r="C11" s="125">
        <v>3</v>
      </c>
      <c r="D11" s="126">
        <v>4</v>
      </c>
      <c r="E11" s="126">
        <v>5</v>
      </c>
    </row>
    <row r="12" spans="1:5" ht="15.75" x14ac:dyDescent="0.25">
      <c r="A12" s="127" t="s">
        <v>224</v>
      </c>
      <c r="B12" s="128" t="s">
        <v>233</v>
      </c>
      <c r="C12" s="129">
        <f>'Смета контракта'!G6</f>
        <v>4913070.33</v>
      </c>
      <c r="D12" s="130">
        <f>C12*0.2</f>
        <v>982614.07</v>
      </c>
      <c r="E12" s="130">
        <f>C12+D12</f>
        <v>5895684.4000000004</v>
      </c>
    </row>
    <row r="13" spans="1:5" ht="15.75" x14ac:dyDescent="0.25">
      <c r="A13" s="131"/>
      <c r="B13" s="132" t="s">
        <v>226</v>
      </c>
      <c r="C13" s="133"/>
      <c r="D13" s="134"/>
      <c r="E13" s="134"/>
    </row>
    <row r="14" spans="1:5" ht="15.75" x14ac:dyDescent="0.25">
      <c r="A14" s="131"/>
      <c r="B14" s="135" t="s">
        <v>227</v>
      </c>
      <c r="C14" s="133">
        <f>'Смета контракта'!G8</f>
        <v>98770.81</v>
      </c>
      <c r="D14" s="134">
        <f>C14*0.2</f>
        <v>19754.16</v>
      </c>
      <c r="E14" s="134">
        <f>C14+D14</f>
        <v>118524.97</v>
      </c>
    </row>
    <row r="15" spans="1:5" ht="15.75" x14ac:dyDescent="0.25">
      <c r="A15" s="127" t="s">
        <v>229</v>
      </c>
      <c r="B15" s="128" t="s">
        <v>225</v>
      </c>
      <c r="C15" s="129">
        <f>НМЦК!P19</f>
        <v>16719152.199999999</v>
      </c>
      <c r="D15" s="130">
        <f>C15*0.2</f>
        <v>3343830.44</v>
      </c>
      <c r="E15" s="130">
        <f>C15+D15</f>
        <v>20062982.640000001</v>
      </c>
    </row>
    <row r="16" spans="1:5" ht="15.75" x14ac:dyDescent="0.25">
      <c r="A16" s="131"/>
      <c r="B16" s="132" t="s">
        <v>226</v>
      </c>
      <c r="C16" s="133"/>
      <c r="D16" s="134"/>
      <c r="E16" s="134"/>
    </row>
    <row r="17" spans="1:5" ht="15.75" x14ac:dyDescent="0.25">
      <c r="A17" s="131"/>
      <c r="B17" s="135" t="s">
        <v>227</v>
      </c>
      <c r="C17" s="133">
        <f>НМЦК!P21</f>
        <v>486965.6</v>
      </c>
      <c r="D17" s="134">
        <f>C17*0.2</f>
        <v>97393.12</v>
      </c>
      <c r="E17" s="134">
        <f>C17+D17</f>
        <v>584358.72</v>
      </c>
    </row>
    <row r="18" spans="1:5" ht="15.75" x14ac:dyDescent="0.25">
      <c r="A18" s="131"/>
      <c r="B18" s="135" t="s">
        <v>228</v>
      </c>
      <c r="C18" s="133">
        <f>НМЦК!P19-НМЦК!L19</f>
        <v>155696.48000000001</v>
      </c>
      <c r="D18" s="134">
        <f>C18*0.2</f>
        <v>31139.3</v>
      </c>
      <c r="E18" s="134">
        <f>C18+D18</f>
        <v>186835.78</v>
      </c>
    </row>
    <row r="19" spans="1:5" ht="31.5" x14ac:dyDescent="0.25">
      <c r="A19" s="136" t="s">
        <v>3</v>
      </c>
      <c r="B19" s="137" t="s">
        <v>230</v>
      </c>
      <c r="C19" s="129">
        <f>НМЦК!P22</f>
        <v>1555600821.25</v>
      </c>
      <c r="D19" s="130">
        <f>C19*0.2</f>
        <v>311120164.25</v>
      </c>
      <c r="E19" s="130">
        <f>C19+D19</f>
        <v>1866720985.5</v>
      </c>
    </row>
    <row r="20" spans="1:5" ht="15.75" x14ac:dyDescent="0.25">
      <c r="A20" s="138"/>
      <c r="B20" s="132" t="s">
        <v>226</v>
      </c>
      <c r="C20" s="133"/>
      <c r="D20" s="134"/>
      <c r="E20" s="134"/>
    </row>
    <row r="21" spans="1:5" ht="15.75" x14ac:dyDescent="0.25">
      <c r="A21" s="138"/>
      <c r="B21" s="135" t="s">
        <v>26</v>
      </c>
      <c r="C21" s="133">
        <f>'Смета контракта'!H13</f>
        <v>716074948.38</v>
      </c>
      <c r="D21" s="134">
        <f>C21*0.2</f>
        <v>143214989.68000001</v>
      </c>
      <c r="E21" s="134">
        <f>C21+D21</f>
        <v>859289938.05999994</v>
      </c>
    </row>
    <row r="22" spans="1:5" ht="15.75" x14ac:dyDescent="0.25">
      <c r="A22" s="138"/>
      <c r="B22" s="135" t="s">
        <v>227</v>
      </c>
      <c r="C22" s="133">
        <f>НМЦК!P70</f>
        <v>45308761.780000001</v>
      </c>
      <c r="D22" s="134">
        <f>C22*0.2</f>
        <v>9061752.3599999994</v>
      </c>
      <c r="E22" s="134">
        <f>C22+D22</f>
        <v>54370514.140000001</v>
      </c>
    </row>
    <row r="23" spans="1:5" ht="15.75" x14ac:dyDescent="0.25">
      <c r="A23" s="138"/>
      <c r="B23" s="135" t="s">
        <v>228</v>
      </c>
      <c r="C23" s="133">
        <f>НМЦК!P22-НМЦК!L22</f>
        <v>58535263.340000004</v>
      </c>
      <c r="D23" s="134">
        <f>C23*0.2</f>
        <v>11707052.67</v>
      </c>
      <c r="E23" s="134">
        <f>C23+D23</f>
        <v>70242316.010000005</v>
      </c>
    </row>
    <row r="24" spans="1:5" ht="15.75" x14ac:dyDescent="0.25">
      <c r="A24" s="139"/>
      <c r="B24" s="139" t="s">
        <v>234</v>
      </c>
      <c r="C24" s="140">
        <f>C12+C15+C19</f>
        <v>1577233043.78</v>
      </c>
      <c r="D24" s="140">
        <f>D12+D15+D19</f>
        <v>315446608.75999999</v>
      </c>
      <c r="E24" s="140">
        <f>E12+E15+E19</f>
        <v>1892679652.54</v>
      </c>
    </row>
    <row r="25" spans="1:5" ht="15.75" x14ac:dyDescent="0.25">
      <c r="A25" s="132"/>
      <c r="B25" s="132" t="s">
        <v>226</v>
      </c>
      <c r="C25" s="141"/>
      <c r="D25" s="142"/>
      <c r="E25" s="142"/>
    </row>
    <row r="26" spans="1:5" ht="15.75" x14ac:dyDescent="0.25">
      <c r="A26" s="143"/>
      <c r="B26" s="135" t="s">
        <v>231</v>
      </c>
      <c r="C26" s="133">
        <f>C21</f>
        <v>716074948.38</v>
      </c>
      <c r="D26" s="144">
        <f>C26*20%</f>
        <v>143214989.68000001</v>
      </c>
      <c r="E26" s="144">
        <f t="shared" ref="E26" si="0">C26+D26</f>
        <v>859289938.05999994</v>
      </c>
    </row>
    <row r="27" spans="1:5" ht="15.75" x14ac:dyDescent="0.25">
      <c r="A27" s="145"/>
      <c r="B27" s="145" t="s">
        <v>232</v>
      </c>
      <c r="C27" s="133">
        <f>C14+C17+C22</f>
        <v>45894498.189999998</v>
      </c>
      <c r="D27" s="144">
        <f>C27*0.2</f>
        <v>9178899.6400000006</v>
      </c>
      <c r="E27" s="144">
        <f>C27+D27</f>
        <v>55073397.829999998</v>
      </c>
    </row>
    <row r="28" spans="1:5" ht="15.75" x14ac:dyDescent="0.25">
      <c r="A28" s="146"/>
      <c r="B28" s="135" t="s">
        <v>228</v>
      </c>
      <c r="C28" s="133">
        <f>C18+C23</f>
        <v>58690959.82</v>
      </c>
      <c r="D28" s="144">
        <f>C28*0.2</f>
        <v>11738191.960000001</v>
      </c>
      <c r="E28" s="144">
        <f>C28+D28</f>
        <v>70429151.780000001</v>
      </c>
    </row>
    <row r="29" spans="1:5" x14ac:dyDescent="0.25">
      <c r="A29" s="79"/>
      <c r="B29" s="79"/>
      <c r="C29" s="79"/>
      <c r="D29" s="79"/>
      <c r="E29" s="79"/>
    </row>
    <row r="30" spans="1:5" x14ac:dyDescent="0.25">
      <c r="A30" s="79"/>
      <c r="B30" s="79"/>
      <c r="C30" s="79"/>
      <c r="D30" s="79"/>
      <c r="E30" s="79"/>
    </row>
    <row r="31" spans="1:5" x14ac:dyDescent="0.25">
      <c r="A31" s="79"/>
      <c r="B31" s="79"/>
      <c r="C31" s="79"/>
      <c r="D31" s="79"/>
      <c r="E31" s="79"/>
    </row>
    <row r="32" spans="1:5" x14ac:dyDescent="0.25">
      <c r="A32" s="79"/>
      <c r="B32" s="79"/>
      <c r="C32" s="79"/>
      <c r="D32" s="79"/>
      <c r="E32" s="79"/>
    </row>
    <row r="33" spans="1:5" ht="56.25" customHeight="1" x14ac:dyDescent="0.25">
      <c r="A33" s="632" t="s">
        <v>167</v>
      </c>
      <c r="B33" s="632"/>
      <c r="C33" s="632"/>
      <c r="D33" s="86"/>
      <c r="E33" s="147" t="s">
        <v>168</v>
      </c>
    </row>
  </sheetData>
  <mergeCells count="7">
    <mergeCell ref="A33:C33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scale="78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pane ySplit="4" topLeftCell="A36" activePane="bottomLeft" state="frozen"/>
      <selection pane="bottomLeft" sqref="A1:E55"/>
    </sheetView>
  </sheetViews>
  <sheetFormatPr defaultRowHeight="15" outlineLevelCol="1" x14ac:dyDescent="0.25"/>
  <cols>
    <col min="2" max="2" width="36.7109375" customWidth="1" outlineLevel="1"/>
    <col min="3" max="3" width="40" customWidth="1"/>
    <col min="4" max="4" width="16.7109375" customWidth="1"/>
    <col min="5" max="5" width="13.5703125" customWidth="1"/>
    <col min="6" max="6" width="12.140625" customWidth="1"/>
  </cols>
  <sheetData>
    <row r="1" spans="1:6" ht="28.5" customHeight="1" x14ac:dyDescent="0.25">
      <c r="A1" s="660" t="s">
        <v>803</v>
      </c>
      <c r="B1" s="660"/>
      <c r="C1" s="660"/>
      <c r="D1" s="660"/>
      <c r="E1" s="660"/>
    </row>
    <row r="2" spans="1:6" ht="23.25" customHeight="1" x14ac:dyDescent="0.25">
      <c r="A2" s="660" t="s">
        <v>795</v>
      </c>
      <c r="B2" s="660"/>
      <c r="C2" s="660"/>
      <c r="D2" s="660"/>
      <c r="E2" s="660"/>
    </row>
    <row r="3" spans="1:6" ht="87.75" customHeight="1" x14ac:dyDescent="0.25">
      <c r="A3" s="661" t="s">
        <v>23</v>
      </c>
      <c r="B3" s="661" t="s">
        <v>1</v>
      </c>
      <c r="C3" s="662" t="s">
        <v>796</v>
      </c>
      <c r="D3" s="662" t="s">
        <v>797</v>
      </c>
      <c r="E3" s="662" t="s">
        <v>798</v>
      </c>
    </row>
    <row r="4" spans="1:6" ht="40.5" customHeight="1" x14ac:dyDescent="0.25">
      <c r="A4" s="661"/>
      <c r="B4" s="661"/>
      <c r="C4" s="662"/>
      <c r="D4" s="662"/>
      <c r="E4" s="662"/>
    </row>
    <row r="5" spans="1:6" ht="15.75" x14ac:dyDescent="0.25">
      <c r="A5" s="202">
        <v>1</v>
      </c>
      <c r="B5" s="202">
        <v>2</v>
      </c>
      <c r="C5" s="202">
        <v>3</v>
      </c>
      <c r="D5" s="202">
        <v>3</v>
      </c>
      <c r="E5" s="202">
        <v>4</v>
      </c>
    </row>
    <row r="6" spans="1:6" ht="47.25" x14ac:dyDescent="0.25">
      <c r="A6" s="19">
        <v>1</v>
      </c>
      <c r="B6" s="19"/>
      <c r="C6" s="20" t="s">
        <v>161</v>
      </c>
      <c r="D6" s="71"/>
      <c r="E6" s="71"/>
      <c r="F6" s="10"/>
    </row>
    <row r="7" spans="1:6" ht="15.75" x14ac:dyDescent="0.25">
      <c r="A7" s="194" t="s">
        <v>52</v>
      </c>
      <c r="B7" s="189" t="s">
        <v>77</v>
      </c>
      <c r="C7" s="341" t="s">
        <v>1130</v>
      </c>
      <c r="D7" s="197" t="s">
        <v>250</v>
      </c>
      <c r="E7" s="198">
        <v>1</v>
      </c>
      <c r="F7" s="10"/>
    </row>
    <row r="8" spans="1:6" ht="94.5" x14ac:dyDescent="0.25">
      <c r="A8" s="194" t="s">
        <v>1129</v>
      </c>
      <c r="B8" s="190" t="s">
        <v>1131</v>
      </c>
      <c r="C8" s="341" t="s">
        <v>1137</v>
      </c>
      <c r="D8" s="197" t="s">
        <v>250</v>
      </c>
      <c r="E8" s="198">
        <v>1</v>
      </c>
      <c r="F8" s="10"/>
    </row>
    <row r="9" spans="1:6" ht="31.5" x14ac:dyDescent="0.25">
      <c r="A9" s="194" t="s">
        <v>1132</v>
      </c>
      <c r="B9" s="189" t="s">
        <v>77</v>
      </c>
      <c r="C9" s="347" t="s">
        <v>160</v>
      </c>
      <c r="D9" s="197" t="s">
        <v>250</v>
      </c>
      <c r="E9" s="198">
        <v>1</v>
      </c>
    </row>
    <row r="10" spans="1:6" ht="31.5" x14ac:dyDescent="0.25">
      <c r="A10" s="19">
        <v>2</v>
      </c>
      <c r="B10" s="19"/>
      <c r="C10" s="20" t="s">
        <v>50</v>
      </c>
      <c r="D10" s="71"/>
      <c r="E10" s="71"/>
      <c r="F10" s="10"/>
    </row>
    <row r="11" spans="1:6" ht="27.75" customHeight="1" x14ac:dyDescent="0.25">
      <c r="A11" s="23" t="s">
        <v>53</v>
      </c>
      <c r="B11" s="189" t="s">
        <v>77</v>
      </c>
      <c r="C11" s="22" t="s">
        <v>51</v>
      </c>
      <c r="D11" s="197" t="s">
        <v>250</v>
      </c>
      <c r="E11" s="198">
        <v>1</v>
      </c>
      <c r="F11" s="10"/>
    </row>
    <row r="12" spans="1:6" ht="118.5" customHeight="1" x14ac:dyDescent="0.25">
      <c r="A12" s="23" t="s">
        <v>54</v>
      </c>
      <c r="B12" s="190" t="s">
        <v>78</v>
      </c>
      <c r="C12" s="11" t="s">
        <v>42</v>
      </c>
      <c r="D12" s="197" t="s">
        <v>250</v>
      </c>
      <c r="E12" s="198">
        <v>1</v>
      </c>
      <c r="F12" s="10"/>
    </row>
    <row r="13" spans="1:6" ht="33" customHeight="1" x14ac:dyDescent="0.25">
      <c r="A13" s="24" t="s">
        <v>3</v>
      </c>
      <c r="B13" s="19"/>
      <c r="C13" s="15" t="s">
        <v>49</v>
      </c>
      <c r="D13" s="14"/>
      <c r="E13" s="14"/>
      <c r="F13" s="10"/>
    </row>
    <row r="14" spans="1:6" ht="31.5" x14ac:dyDescent="0.25">
      <c r="A14" s="23" t="s">
        <v>55</v>
      </c>
      <c r="B14" s="191" t="s">
        <v>872</v>
      </c>
      <c r="C14" s="28" t="s">
        <v>2</v>
      </c>
      <c r="D14" s="197" t="s">
        <v>250</v>
      </c>
      <c r="E14" s="198">
        <v>1</v>
      </c>
      <c r="F14" s="10"/>
    </row>
    <row r="15" spans="1:6" ht="15.75" x14ac:dyDescent="0.25">
      <c r="A15" s="23" t="s">
        <v>56</v>
      </c>
      <c r="B15" s="191" t="s">
        <v>873</v>
      </c>
      <c r="C15" s="28" t="s">
        <v>79</v>
      </c>
      <c r="D15" s="197" t="s">
        <v>250</v>
      </c>
      <c r="E15" s="198">
        <v>1</v>
      </c>
      <c r="F15" s="10"/>
    </row>
    <row r="16" spans="1:6" ht="15.75" x14ac:dyDescent="0.25">
      <c r="A16" s="23" t="s">
        <v>57</v>
      </c>
      <c r="B16" s="192" t="s">
        <v>80</v>
      </c>
      <c r="C16" s="28" t="s">
        <v>4</v>
      </c>
      <c r="D16" s="197" t="s">
        <v>250</v>
      </c>
      <c r="E16" s="198">
        <v>1</v>
      </c>
      <c r="F16" s="10"/>
    </row>
    <row r="17" spans="1:6" ht="15.75" x14ac:dyDescent="0.25">
      <c r="A17" s="23" t="s">
        <v>58</v>
      </c>
      <c r="B17" s="191" t="s">
        <v>5</v>
      </c>
      <c r="C17" s="28" t="s">
        <v>6</v>
      </c>
      <c r="D17" s="197" t="s">
        <v>250</v>
      </c>
      <c r="E17" s="198">
        <v>1</v>
      </c>
      <c r="F17" s="10"/>
    </row>
    <row r="18" spans="1:6" ht="15.75" x14ac:dyDescent="0.25">
      <c r="A18" s="26"/>
      <c r="B18" s="193" t="s">
        <v>804</v>
      </c>
      <c r="C18" s="29" t="s">
        <v>6</v>
      </c>
      <c r="D18" s="199" t="s">
        <v>250</v>
      </c>
      <c r="E18" s="200">
        <v>1</v>
      </c>
      <c r="F18" s="10"/>
    </row>
    <row r="19" spans="1:6" ht="15.75" x14ac:dyDescent="0.25">
      <c r="A19" s="26"/>
      <c r="B19" s="193" t="s">
        <v>805</v>
      </c>
      <c r="C19" s="29" t="s">
        <v>27</v>
      </c>
      <c r="D19" s="199" t="s">
        <v>250</v>
      </c>
      <c r="E19" s="200">
        <v>1</v>
      </c>
      <c r="F19" s="10"/>
    </row>
    <row r="20" spans="1:6" ht="15.75" x14ac:dyDescent="0.25">
      <c r="A20" s="26"/>
      <c r="B20" s="193" t="s">
        <v>806</v>
      </c>
      <c r="C20" s="29" t="s">
        <v>28</v>
      </c>
      <c r="D20" s="199" t="s">
        <v>250</v>
      </c>
      <c r="E20" s="200">
        <v>1</v>
      </c>
      <c r="F20" s="10"/>
    </row>
    <row r="21" spans="1:6" ht="15.75" x14ac:dyDescent="0.25">
      <c r="A21" s="26"/>
      <c r="B21" s="193" t="s">
        <v>807</v>
      </c>
      <c r="C21" s="29" t="s">
        <v>29</v>
      </c>
      <c r="D21" s="199" t="s">
        <v>250</v>
      </c>
      <c r="E21" s="200">
        <v>1</v>
      </c>
      <c r="F21" s="10"/>
    </row>
    <row r="22" spans="1:6" ht="31.5" x14ac:dyDescent="0.25">
      <c r="A22" s="23" t="s">
        <v>59</v>
      </c>
      <c r="B22" s="191" t="s">
        <v>808</v>
      </c>
      <c r="C22" s="28" t="s">
        <v>9</v>
      </c>
      <c r="D22" s="197" t="s">
        <v>250</v>
      </c>
      <c r="E22" s="198">
        <v>1</v>
      </c>
      <c r="F22" s="10"/>
    </row>
    <row r="23" spans="1:6" ht="31.5" x14ac:dyDescent="0.25">
      <c r="A23" s="23" t="s">
        <v>60</v>
      </c>
      <c r="B23" s="191" t="s">
        <v>7</v>
      </c>
      <c r="C23" s="28" t="s">
        <v>8</v>
      </c>
      <c r="D23" s="197" t="s">
        <v>250</v>
      </c>
      <c r="E23" s="198">
        <v>1</v>
      </c>
      <c r="F23" s="10"/>
    </row>
    <row r="24" spans="1:6" ht="15.75" x14ac:dyDescent="0.25">
      <c r="A24" s="26"/>
      <c r="B24" s="193" t="s">
        <v>809</v>
      </c>
      <c r="C24" s="29" t="s">
        <v>85</v>
      </c>
      <c r="D24" s="199" t="s">
        <v>250</v>
      </c>
      <c r="E24" s="200">
        <v>1</v>
      </c>
      <c r="F24" s="10"/>
    </row>
    <row r="25" spans="1:6" ht="31.5" x14ac:dyDescent="0.25">
      <c r="A25" s="26"/>
      <c r="B25" s="193" t="s">
        <v>810</v>
      </c>
      <c r="C25" s="29" t="s">
        <v>91</v>
      </c>
      <c r="D25" s="199" t="s">
        <v>250</v>
      </c>
      <c r="E25" s="200">
        <v>1</v>
      </c>
      <c r="F25" s="10"/>
    </row>
    <row r="26" spans="1:6" ht="15.75" x14ac:dyDescent="0.25">
      <c r="A26" s="26"/>
      <c r="B26" s="193" t="s">
        <v>811</v>
      </c>
      <c r="C26" s="29" t="s">
        <v>794</v>
      </c>
      <c r="D26" s="199" t="s">
        <v>250</v>
      </c>
      <c r="E26" s="200">
        <v>1</v>
      </c>
      <c r="F26" s="10"/>
    </row>
    <row r="27" spans="1:6" ht="31.5" x14ac:dyDescent="0.25">
      <c r="A27" s="26"/>
      <c r="B27" s="193" t="s">
        <v>812</v>
      </c>
      <c r="C27" s="29" t="s">
        <v>86</v>
      </c>
      <c r="D27" s="199" t="s">
        <v>250</v>
      </c>
      <c r="E27" s="200">
        <v>1</v>
      </c>
      <c r="F27" s="10"/>
    </row>
    <row r="28" spans="1:6" ht="31.5" x14ac:dyDescent="0.25">
      <c r="A28" s="26"/>
      <c r="B28" s="193" t="s">
        <v>813</v>
      </c>
      <c r="C28" s="29" t="s">
        <v>87</v>
      </c>
      <c r="D28" s="199" t="s">
        <v>250</v>
      </c>
      <c r="E28" s="200">
        <v>1</v>
      </c>
      <c r="F28" s="10"/>
    </row>
    <row r="29" spans="1:6" ht="15.75" x14ac:dyDescent="0.25">
      <c r="A29" s="26"/>
      <c r="B29" s="193" t="s">
        <v>814</v>
      </c>
      <c r="C29" s="29" t="s">
        <v>88</v>
      </c>
      <c r="D29" s="199" t="s">
        <v>250</v>
      </c>
      <c r="E29" s="200">
        <v>1</v>
      </c>
      <c r="F29" s="10"/>
    </row>
    <row r="30" spans="1:6" ht="15.75" x14ac:dyDescent="0.25">
      <c r="A30" s="26"/>
      <c r="B30" s="193" t="s">
        <v>815</v>
      </c>
      <c r="C30" s="29" t="s">
        <v>89</v>
      </c>
      <c r="D30" s="199" t="s">
        <v>250</v>
      </c>
      <c r="E30" s="200">
        <v>1</v>
      </c>
      <c r="F30" s="10"/>
    </row>
    <row r="31" spans="1:6" ht="15.75" x14ac:dyDescent="0.25">
      <c r="A31" s="26"/>
      <c r="B31" s="193" t="s">
        <v>816</v>
      </c>
      <c r="C31" s="29" t="s">
        <v>90</v>
      </c>
      <c r="D31" s="199" t="s">
        <v>250</v>
      </c>
      <c r="E31" s="200">
        <v>1</v>
      </c>
      <c r="F31" s="10"/>
    </row>
    <row r="32" spans="1:6" ht="47.25" x14ac:dyDescent="0.25">
      <c r="A32" s="23" t="s">
        <v>61</v>
      </c>
      <c r="B32" s="191" t="s">
        <v>10</v>
      </c>
      <c r="C32" s="28" t="s">
        <v>11</v>
      </c>
      <c r="D32" s="197" t="s">
        <v>250</v>
      </c>
      <c r="E32" s="198">
        <v>1</v>
      </c>
      <c r="F32" s="10"/>
    </row>
    <row r="33" spans="1:6" ht="31.5" x14ac:dyDescent="0.25">
      <c r="A33" s="26"/>
      <c r="B33" s="193" t="s">
        <v>817</v>
      </c>
      <c r="C33" s="29" t="s">
        <v>92</v>
      </c>
      <c r="D33" s="199" t="s">
        <v>250</v>
      </c>
      <c r="E33" s="200">
        <v>1</v>
      </c>
      <c r="F33" s="10"/>
    </row>
    <row r="34" spans="1:6" ht="47.25" x14ac:dyDescent="0.25">
      <c r="A34" s="26"/>
      <c r="B34" s="193" t="s">
        <v>818</v>
      </c>
      <c r="C34" s="29" t="s">
        <v>93</v>
      </c>
      <c r="D34" s="199" t="s">
        <v>250</v>
      </c>
      <c r="E34" s="200">
        <v>1</v>
      </c>
      <c r="F34" s="10"/>
    </row>
    <row r="35" spans="1:6" ht="15.75" x14ac:dyDescent="0.25">
      <c r="A35" s="26"/>
      <c r="B35" s="193" t="s">
        <v>819</v>
      </c>
      <c r="C35" s="29" t="s">
        <v>94</v>
      </c>
      <c r="D35" s="199" t="s">
        <v>250</v>
      </c>
      <c r="E35" s="200">
        <v>1</v>
      </c>
      <c r="F35" s="10"/>
    </row>
    <row r="36" spans="1:6" ht="15.75" x14ac:dyDescent="0.25">
      <c r="A36" s="23" t="s">
        <v>62</v>
      </c>
      <c r="B36" s="191" t="s">
        <v>12</v>
      </c>
      <c r="C36" s="28" t="s">
        <v>13</v>
      </c>
      <c r="D36" s="197" t="s">
        <v>250</v>
      </c>
      <c r="E36" s="198">
        <v>1</v>
      </c>
      <c r="F36" s="10"/>
    </row>
    <row r="37" spans="1:6" ht="31.5" x14ac:dyDescent="0.25">
      <c r="A37" s="26"/>
      <c r="B37" s="193" t="s">
        <v>820</v>
      </c>
      <c r="C37" s="29" t="s">
        <v>95</v>
      </c>
      <c r="D37" s="199" t="s">
        <v>250</v>
      </c>
      <c r="E37" s="200">
        <v>1</v>
      </c>
      <c r="F37" s="10"/>
    </row>
    <row r="38" spans="1:6" ht="31.5" x14ac:dyDescent="0.25">
      <c r="A38" s="26"/>
      <c r="B38" s="193" t="s">
        <v>821</v>
      </c>
      <c r="C38" s="29" t="s">
        <v>96</v>
      </c>
      <c r="D38" s="199" t="s">
        <v>250</v>
      </c>
      <c r="E38" s="200">
        <v>1</v>
      </c>
      <c r="F38" s="10"/>
    </row>
    <row r="39" spans="1:6" ht="31.5" x14ac:dyDescent="0.25">
      <c r="A39" s="23" t="s">
        <v>63</v>
      </c>
      <c r="B39" s="192" t="s">
        <v>97</v>
      </c>
      <c r="C39" s="28" t="s">
        <v>14</v>
      </c>
      <c r="D39" s="197" t="s">
        <v>250</v>
      </c>
      <c r="E39" s="198">
        <v>1</v>
      </c>
      <c r="F39" s="10"/>
    </row>
    <row r="40" spans="1:6" ht="15.75" x14ac:dyDescent="0.25">
      <c r="A40" s="23" t="s">
        <v>64</v>
      </c>
      <c r="B40" s="192" t="s">
        <v>98</v>
      </c>
      <c r="C40" s="28" t="s">
        <v>15</v>
      </c>
      <c r="D40" s="197" t="s">
        <v>250</v>
      </c>
      <c r="E40" s="198">
        <v>1</v>
      </c>
      <c r="F40" s="10"/>
    </row>
    <row r="41" spans="1:6" ht="47.25" x14ac:dyDescent="0.25">
      <c r="A41" s="23" t="s">
        <v>65</v>
      </c>
      <c r="B41" s="192" t="s">
        <v>99</v>
      </c>
      <c r="C41" s="28" t="s">
        <v>158</v>
      </c>
      <c r="D41" s="197" t="s">
        <v>250</v>
      </c>
      <c r="E41" s="198">
        <v>1</v>
      </c>
      <c r="F41" s="10"/>
    </row>
    <row r="42" spans="1:6" ht="15.75" x14ac:dyDescent="0.25">
      <c r="A42" s="23" t="s">
        <v>66</v>
      </c>
      <c r="B42" s="192" t="s">
        <v>100</v>
      </c>
      <c r="C42" s="28" t="s">
        <v>16</v>
      </c>
      <c r="D42" s="197" t="s">
        <v>250</v>
      </c>
      <c r="E42" s="198">
        <v>1</v>
      </c>
      <c r="F42" s="10"/>
    </row>
    <row r="43" spans="1:6" ht="31.5" x14ac:dyDescent="0.25">
      <c r="A43" s="23" t="s">
        <v>67</v>
      </c>
      <c r="B43" s="192" t="s">
        <v>101</v>
      </c>
      <c r="C43" s="28" t="s">
        <v>17</v>
      </c>
      <c r="D43" s="197" t="s">
        <v>250</v>
      </c>
      <c r="E43" s="198">
        <v>1</v>
      </c>
      <c r="F43" s="10"/>
    </row>
    <row r="44" spans="1:6" ht="15.75" x14ac:dyDescent="0.25">
      <c r="A44" s="23" t="s">
        <v>68</v>
      </c>
      <c r="B44" s="192" t="s">
        <v>102</v>
      </c>
      <c r="C44" s="28" t="s">
        <v>18</v>
      </c>
      <c r="D44" s="197" t="s">
        <v>250</v>
      </c>
      <c r="E44" s="198">
        <v>1</v>
      </c>
      <c r="F44" s="10"/>
    </row>
    <row r="45" spans="1:6" ht="31.5" x14ac:dyDescent="0.25">
      <c r="A45" s="23" t="s">
        <v>69</v>
      </c>
      <c r="B45" s="192" t="s">
        <v>103</v>
      </c>
      <c r="C45" s="28" t="s">
        <v>159</v>
      </c>
      <c r="D45" s="197" t="s">
        <v>250</v>
      </c>
      <c r="E45" s="198">
        <v>1</v>
      </c>
      <c r="F45" s="10"/>
    </row>
    <row r="46" spans="1:6" ht="31.5" x14ac:dyDescent="0.25">
      <c r="A46" s="23" t="s">
        <v>70</v>
      </c>
      <c r="B46" s="192" t="s">
        <v>104</v>
      </c>
      <c r="C46" s="28" t="s">
        <v>19</v>
      </c>
      <c r="D46" s="197" t="s">
        <v>250</v>
      </c>
      <c r="E46" s="198">
        <v>1</v>
      </c>
      <c r="F46" s="10"/>
    </row>
    <row r="47" spans="1:6" ht="15.75" x14ac:dyDescent="0.25">
      <c r="A47" s="23" t="s">
        <v>71</v>
      </c>
      <c r="B47" s="192" t="s">
        <v>105</v>
      </c>
      <c r="C47" s="28" t="s">
        <v>20</v>
      </c>
      <c r="D47" s="197" t="s">
        <v>250</v>
      </c>
      <c r="E47" s="198">
        <v>1</v>
      </c>
      <c r="F47" s="10"/>
    </row>
    <row r="48" spans="1:6" ht="15.75" x14ac:dyDescent="0.25">
      <c r="A48" s="23" t="s">
        <v>72</v>
      </c>
      <c r="B48" s="192" t="s">
        <v>106</v>
      </c>
      <c r="C48" s="28" t="s">
        <v>21</v>
      </c>
      <c r="D48" s="197" t="s">
        <v>250</v>
      </c>
      <c r="E48" s="198">
        <v>1</v>
      </c>
      <c r="F48" s="10"/>
    </row>
    <row r="49" spans="1:6" ht="31.5" x14ac:dyDescent="0.25">
      <c r="A49" s="23" t="s">
        <v>73</v>
      </c>
      <c r="B49" s="192" t="s">
        <v>107</v>
      </c>
      <c r="C49" s="28" t="s">
        <v>22</v>
      </c>
      <c r="D49" s="197" t="s">
        <v>250</v>
      </c>
      <c r="E49" s="198">
        <v>1</v>
      </c>
      <c r="F49" s="10"/>
    </row>
    <row r="50" spans="1:6" ht="15.75" x14ac:dyDescent="0.25">
      <c r="A50" s="23" t="s">
        <v>74</v>
      </c>
      <c r="B50" s="194" t="s">
        <v>108</v>
      </c>
      <c r="C50" s="11" t="s">
        <v>154</v>
      </c>
      <c r="D50" s="197" t="s">
        <v>250</v>
      </c>
      <c r="E50" s="198">
        <v>1</v>
      </c>
      <c r="F50" s="10"/>
    </row>
    <row r="51" spans="1:6" ht="31.5" customHeight="1" x14ac:dyDescent="0.25">
      <c r="A51" s="23" t="s">
        <v>75</v>
      </c>
      <c r="B51" s="221" t="s">
        <v>862</v>
      </c>
      <c r="C51" s="11" t="s">
        <v>861</v>
      </c>
      <c r="D51" s="197" t="s">
        <v>250</v>
      </c>
      <c r="E51" s="198">
        <v>1</v>
      </c>
      <c r="F51" s="10"/>
    </row>
    <row r="52" spans="1:6" ht="57" customHeight="1" x14ac:dyDescent="0.25">
      <c r="A52" s="23" t="s">
        <v>76</v>
      </c>
      <c r="B52" s="190" t="s">
        <v>156</v>
      </c>
      <c r="C52" s="11" t="s">
        <v>157</v>
      </c>
      <c r="D52" s="197" t="s">
        <v>250</v>
      </c>
      <c r="E52" s="198">
        <v>1</v>
      </c>
      <c r="F52" s="10"/>
    </row>
    <row r="53" spans="1:6" ht="15.75" x14ac:dyDescent="0.25">
      <c r="A53" s="1"/>
      <c r="B53" s="1"/>
      <c r="C53" s="21" t="s">
        <v>43</v>
      </c>
      <c r="D53" s="78"/>
      <c r="E53" s="78"/>
    </row>
    <row r="54" spans="1:6" ht="15.75" x14ac:dyDescent="0.25">
      <c r="A54" s="1"/>
      <c r="B54" s="1"/>
      <c r="C54" s="21" t="s">
        <v>44</v>
      </c>
      <c r="D54" s="78"/>
      <c r="E54" s="78"/>
    </row>
    <row r="55" spans="1:6" ht="15.75" x14ac:dyDescent="0.25">
      <c r="A55" s="1"/>
      <c r="B55" s="1"/>
      <c r="C55" s="21" t="s">
        <v>45</v>
      </c>
      <c r="D55" s="78"/>
      <c r="E55" s="78"/>
    </row>
    <row r="56" spans="1:6" ht="15.75" x14ac:dyDescent="0.25">
      <c r="A56" s="2"/>
      <c r="B56" s="2"/>
      <c r="C56" s="2"/>
      <c r="D56" s="2"/>
      <c r="E56" s="2"/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13" zoomScale="60" zoomScaleNormal="100" workbookViewId="0">
      <selection activeCell="H55" sqref="A1:H55"/>
    </sheetView>
  </sheetViews>
  <sheetFormatPr defaultRowHeight="15" outlineLevelCol="1" x14ac:dyDescent="0.25"/>
  <cols>
    <col min="2" max="2" width="36.7109375" hidden="1" customWidth="1" outlineLevel="1"/>
    <col min="3" max="3" width="40" customWidth="1" collapsed="1"/>
    <col min="4" max="4" width="16.7109375" customWidth="1"/>
    <col min="5" max="5" width="13.5703125" customWidth="1"/>
    <col min="6" max="6" width="16.85546875" customWidth="1"/>
    <col min="7" max="7" width="17.7109375" customWidth="1"/>
    <col min="8" max="8" width="19" customWidth="1"/>
    <col min="9" max="9" width="12.140625" customWidth="1"/>
  </cols>
  <sheetData>
    <row r="1" spans="1:9" ht="35.25" customHeight="1" x14ac:dyDescent="0.25">
      <c r="A1" s="660" t="s">
        <v>1313</v>
      </c>
      <c r="B1" s="660"/>
      <c r="C1" s="660"/>
      <c r="D1" s="660"/>
      <c r="E1" s="660"/>
      <c r="F1" s="660"/>
      <c r="G1" s="660"/>
      <c r="H1" s="660"/>
    </row>
    <row r="2" spans="1:9" ht="23.25" customHeight="1" x14ac:dyDescent="0.25">
      <c r="A2" s="660" t="s">
        <v>795</v>
      </c>
      <c r="B2" s="660"/>
      <c r="C2" s="660"/>
      <c r="D2" s="660"/>
      <c r="E2" s="660"/>
      <c r="F2" s="660"/>
      <c r="G2" s="660"/>
      <c r="H2" s="660"/>
    </row>
    <row r="3" spans="1:9" ht="87.75" customHeight="1" x14ac:dyDescent="0.25">
      <c r="A3" s="665" t="s">
        <v>23</v>
      </c>
      <c r="B3" s="665" t="s">
        <v>1</v>
      </c>
      <c r="C3" s="663" t="s">
        <v>796</v>
      </c>
      <c r="D3" s="663" t="s">
        <v>797</v>
      </c>
      <c r="E3" s="663" t="s">
        <v>798</v>
      </c>
      <c r="F3" s="662" t="s">
        <v>799</v>
      </c>
      <c r="G3" s="662"/>
      <c r="H3" s="663" t="s">
        <v>800</v>
      </c>
    </row>
    <row r="4" spans="1:9" ht="40.5" customHeight="1" x14ac:dyDescent="0.25">
      <c r="A4" s="666"/>
      <c r="B4" s="666"/>
      <c r="C4" s="664"/>
      <c r="D4" s="664"/>
      <c r="E4" s="667"/>
      <c r="F4" s="188" t="s">
        <v>801</v>
      </c>
      <c r="G4" s="188" t="s">
        <v>802</v>
      </c>
      <c r="H4" s="664"/>
    </row>
    <row r="5" spans="1:9" ht="15.75" x14ac:dyDescent="0.25">
      <c r="A5" s="30">
        <v>1</v>
      </c>
      <c r="B5" s="30"/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1:9" ht="47.25" x14ac:dyDescent="0.25">
      <c r="A6" s="19">
        <v>1</v>
      </c>
      <c r="B6" s="19"/>
      <c r="C6" s="20" t="s">
        <v>161</v>
      </c>
      <c r="D6" s="71"/>
      <c r="E6" s="71"/>
      <c r="F6" s="71">
        <f>F7+F8+F9</f>
        <v>4913070.33</v>
      </c>
      <c r="G6" s="71">
        <f>G7+G8+G9</f>
        <v>4913070.33</v>
      </c>
      <c r="H6" s="71"/>
      <c r="I6" s="10"/>
    </row>
    <row r="7" spans="1:9" ht="15.75" x14ac:dyDescent="0.25">
      <c r="A7" s="23" t="s">
        <v>52</v>
      </c>
      <c r="B7" s="31" t="s">
        <v>77</v>
      </c>
      <c r="C7" s="341" t="s">
        <v>1130</v>
      </c>
      <c r="D7" s="197" t="s">
        <v>250</v>
      </c>
      <c r="E7" s="198">
        <v>1</v>
      </c>
      <c r="F7" s="346">
        <f>НМЦК!P16</f>
        <v>987708.14</v>
      </c>
      <c r="G7" s="346">
        <f>F7</f>
        <v>987708.14</v>
      </c>
      <c r="H7" s="340"/>
      <c r="I7" s="10"/>
    </row>
    <row r="8" spans="1:9" ht="47.25" customHeight="1" x14ac:dyDescent="0.25">
      <c r="A8" s="23" t="s">
        <v>1129</v>
      </c>
      <c r="B8" s="32" t="s">
        <v>1131</v>
      </c>
      <c r="C8" s="341" t="s">
        <v>1137</v>
      </c>
      <c r="D8" s="197" t="s">
        <v>250</v>
      </c>
      <c r="E8" s="198">
        <v>1</v>
      </c>
      <c r="F8" s="346">
        <f>НМЦК!P17</f>
        <v>98770.81</v>
      </c>
      <c r="G8" s="346">
        <f>F8</f>
        <v>98770.81</v>
      </c>
      <c r="H8" s="340"/>
      <c r="I8" s="10"/>
    </row>
    <row r="9" spans="1:9" ht="31.5" x14ac:dyDescent="0.25">
      <c r="A9" s="23" t="s">
        <v>1132</v>
      </c>
      <c r="B9" s="31" t="s">
        <v>77</v>
      </c>
      <c r="C9" s="11" t="s">
        <v>160</v>
      </c>
      <c r="D9" s="197" t="s">
        <v>250</v>
      </c>
      <c r="E9" s="198">
        <v>1</v>
      </c>
      <c r="F9" s="197">
        <f>НМЦК!P18</f>
        <v>3826591.38</v>
      </c>
      <c r="G9" s="197">
        <f>F9</f>
        <v>3826591.38</v>
      </c>
      <c r="H9" s="197"/>
    </row>
    <row r="10" spans="1:9" ht="31.5" x14ac:dyDescent="0.25">
      <c r="A10" s="19">
        <v>2</v>
      </c>
      <c r="B10" s="19"/>
      <c r="C10" s="20" t="s">
        <v>50</v>
      </c>
      <c r="D10" s="71"/>
      <c r="E10" s="71"/>
      <c r="F10" s="71">
        <f>F11+F12</f>
        <v>16719152.199999999</v>
      </c>
      <c r="G10" s="71">
        <f>G11+G12</f>
        <v>16719152.199999999</v>
      </c>
      <c r="H10" s="71"/>
      <c r="I10" s="10"/>
    </row>
    <row r="11" spans="1:9" ht="15.75" x14ac:dyDescent="0.25">
      <c r="A11" s="23" t="s">
        <v>53</v>
      </c>
      <c r="B11" s="189" t="s">
        <v>77</v>
      </c>
      <c r="C11" s="22" t="s">
        <v>51</v>
      </c>
      <c r="D11" s="197" t="s">
        <v>250</v>
      </c>
      <c r="E11" s="198">
        <v>1</v>
      </c>
      <c r="F11" s="197">
        <f>НМЦК!P20</f>
        <v>16232186.6</v>
      </c>
      <c r="G11" s="197">
        <f>F11</f>
        <v>16232186.6</v>
      </c>
      <c r="H11" s="197"/>
      <c r="I11" s="10"/>
    </row>
    <row r="12" spans="1:9" ht="31.5" customHeight="1" x14ac:dyDescent="0.25">
      <c r="A12" s="23" t="s">
        <v>54</v>
      </c>
      <c r="B12" s="190" t="s">
        <v>78</v>
      </c>
      <c r="C12" s="11" t="s">
        <v>42</v>
      </c>
      <c r="D12" s="197" t="s">
        <v>250</v>
      </c>
      <c r="E12" s="198">
        <v>1</v>
      </c>
      <c r="F12" s="187">
        <f>НМЦК!P21</f>
        <v>486965.6</v>
      </c>
      <c r="G12" s="187">
        <f>F12</f>
        <v>486965.6</v>
      </c>
      <c r="H12" s="187"/>
      <c r="I12" s="10"/>
    </row>
    <row r="13" spans="1:9" ht="33" customHeight="1" x14ac:dyDescent="0.25">
      <c r="A13" s="24" t="s">
        <v>3</v>
      </c>
      <c r="B13" s="19"/>
      <c r="C13" s="15" t="s">
        <v>49</v>
      </c>
      <c r="D13" s="14"/>
      <c r="E13" s="14"/>
      <c r="F13" s="14">
        <f>F14+F15+F16+F17+F22+F23+F32+F36+F39+F40+F41+F42+F43+F44+F45+F46+F47+F48+F49+F50+F51+F52</f>
        <v>1555600821.25</v>
      </c>
      <c r="G13" s="14">
        <f>G14+G15+G16+G17+G22+G23+G32+G36+G39+G40+G41+G42+G43+G44+G45+G46+G47+G48+G49+G50+G51+G52</f>
        <v>1555600821.25</v>
      </c>
      <c r="H13" s="14">
        <f>H14+H15+H16+H17+H22+H23+H32+H36+H39+H40+H41+H42+H43+H44+H45+H46+H47+H48+H49+H50+H51+H52</f>
        <v>716074948.38</v>
      </c>
      <c r="I13" s="10"/>
    </row>
    <row r="14" spans="1:9" ht="31.5" x14ac:dyDescent="0.25">
      <c r="A14" s="23" t="s">
        <v>55</v>
      </c>
      <c r="B14" s="192" t="s">
        <v>872</v>
      </c>
      <c r="C14" s="28" t="s">
        <v>2</v>
      </c>
      <c r="D14" s="197" t="s">
        <v>250</v>
      </c>
      <c r="E14" s="198">
        <v>1</v>
      </c>
      <c r="F14" s="187">
        <f>НМЦК!P23</f>
        <v>8468821.7899999991</v>
      </c>
      <c r="G14" s="187">
        <f t="shared" ref="G14:G16" si="0">F14</f>
        <v>8468821.7899999991</v>
      </c>
      <c r="H14" s="187"/>
      <c r="I14" s="10"/>
    </row>
    <row r="15" spans="1:9" ht="15.75" x14ac:dyDescent="0.25">
      <c r="A15" s="23" t="s">
        <v>56</v>
      </c>
      <c r="B15" s="192" t="s">
        <v>873</v>
      </c>
      <c r="C15" s="28" t="s">
        <v>79</v>
      </c>
      <c r="D15" s="197" t="s">
        <v>250</v>
      </c>
      <c r="E15" s="198">
        <v>1</v>
      </c>
      <c r="F15" s="187">
        <f>НМЦК!P24</f>
        <v>72444755.140000001</v>
      </c>
      <c r="G15" s="187">
        <f t="shared" si="0"/>
        <v>72444755.140000001</v>
      </c>
      <c r="H15" s="187"/>
      <c r="I15" s="10"/>
    </row>
    <row r="16" spans="1:9" ht="15.75" x14ac:dyDescent="0.25">
      <c r="A16" s="23" t="s">
        <v>57</v>
      </c>
      <c r="B16" s="192" t="s">
        <v>80</v>
      </c>
      <c r="C16" s="28" t="s">
        <v>4</v>
      </c>
      <c r="D16" s="197" t="s">
        <v>250</v>
      </c>
      <c r="E16" s="198">
        <v>1</v>
      </c>
      <c r="F16" s="201">
        <f>НМЦК!P25</f>
        <v>1665877.33</v>
      </c>
      <c r="G16" s="187">
        <f t="shared" si="0"/>
        <v>1665877.33</v>
      </c>
      <c r="H16" s="201"/>
      <c r="I16" s="10"/>
    </row>
    <row r="17" spans="1:9" ht="15.75" x14ac:dyDescent="0.25">
      <c r="A17" s="23" t="s">
        <v>58</v>
      </c>
      <c r="B17" s="191" t="s">
        <v>5</v>
      </c>
      <c r="C17" s="28" t="s">
        <v>6</v>
      </c>
      <c r="D17" s="197" t="s">
        <v>250</v>
      </c>
      <c r="E17" s="198">
        <v>1</v>
      </c>
      <c r="F17" s="201">
        <f>F18+F19+F20+F21</f>
        <v>245374695.91</v>
      </c>
      <c r="G17" s="201">
        <f>G18+G19+G20+G21</f>
        <v>245374695.91</v>
      </c>
      <c r="H17" s="201">
        <f>H18+H19+H20+H21</f>
        <v>1596854.87</v>
      </c>
      <c r="I17" s="10"/>
    </row>
    <row r="18" spans="1:9" ht="15.75" x14ac:dyDescent="0.25">
      <c r="A18" s="26"/>
      <c r="B18" s="193" t="s">
        <v>804</v>
      </c>
      <c r="C18" s="29" t="s">
        <v>6</v>
      </c>
      <c r="D18" s="199" t="s">
        <v>250</v>
      </c>
      <c r="E18" s="200">
        <v>1</v>
      </c>
      <c r="F18" s="196">
        <f>НМЦК!P27</f>
        <v>199410956.03999999</v>
      </c>
      <c r="G18" s="196">
        <f t="shared" ref="G18:G22" si="1">F18</f>
        <v>199410956.03999999</v>
      </c>
      <c r="H18" s="196"/>
      <c r="I18" s="10"/>
    </row>
    <row r="19" spans="1:9" ht="15.75" x14ac:dyDescent="0.25">
      <c r="A19" s="26"/>
      <c r="B19" s="193" t="s">
        <v>805</v>
      </c>
      <c r="C19" s="29" t="s">
        <v>27</v>
      </c>
      <c r="D19" s="199" t="s">
        <v>250</v>
      </c>
      <c r="E19" s="200">
        <v>1</v>
      </c>
      <c r="F19" s="196">
        <f>НМЦК!P28</f>
        <v>7857862.4199999999</v>
      </c>
      <c r="G19" s="196">
        <f t="shared" si="1"/>
        <v>7857862.4199999999</v>
      </c>
      <c r="H19" s="196"/>
      <c r="I19" s="10"/>
    </row>
    <row r="20" spans="1:9" ht="15.75" x14ac:dyDescent="0.25">
      <c r="A20" s="26"/>
      <c r="B20" s="193" t="s">
        <v>806</v>
      </c>
      <c r="C20" s="29" t="s">
        <v>28</v>
      </c>
      <c r="D20" s="199" t="s">
        <v>250</v>
      </c>
      <c r="E20" s="200">
        <v>1</v>
      </c>
      <c r="F20" s="196">
        <f>НМЦК!P29</f>
        <v>36014889.990000002</v>
      </c>
      <c r="G20" s="196">
        <f t="shared" si="1"/>
        <v>36014889.990000002</v>
      </c>
      <c r="H20" s="196">
        <f>НМЦК!E29*НМЦК!M29*НМЦК!O29</f>
        <v>1030518.51</v>
      </c>
      <c r="I20" s="10"/>
    </row>
    <row r="21" spans="1:9" ht="15.75" x14ac:dyDescent="0.25">
      <c r="A21" s="26"/>
      <c r="B21" s="193" t="s">
        <v>807</v>
      </c>
      <c r="C21" s="29" t="s">
        <v>29</v>
      </c>
      <c r="D21" s="199" t="s">
        <v>250</v>
      </c>
      <c r="E21" s="200">
        <v>1</v>
      </c>
      <c r="F21" s="196">
        <f>НМЦК!P30</f>
        <v>2090987.46</v>
      </c>
      <c r="G21" s="196">
        <f t="shared" si="1"/>
        <v>2090987.46</v>
      </c>
      <c r="H21" s="196">
        <f>НМЦК!E30*НМЦК!M30*НМЦК!O30</f>
        <v>566336.36</v>
      </c>
      <c r="I21" s="10"/>
    </row>
    <row r="22" spans="1:9" ht="31.5" x14ac:dyDescent="0.25">
      <c r="A22" s="23" t="s">
        <v>59</v>
      </c>
      <c r="B22" s="191" t="s">
        <v>808</v>
      </c>
      <c r="C22" s="28" t="s">
        <v>9</v>
      </c>
      <c r="D22" s="197" t="s">
        <v>250</v>
      </c>
      <c r="E22" s="198">
        <v>1</v>
      </c>
      <c r="F22" s="187">
        <f>НМЦК!P31</f>
        <v>110127935</v>
      </c>
      <c r="G22" s="187">
        <f t="shared" si="1"/>
        <v>110127935</v>
      </c>
      <c r="H22" s="187"/>
      <c r="I22" s="10"/>
    </row>
    <row r="23" spans="1:9" ht="31.5" x14ac:dyDescent="0.25">
      <c r="A23" s="23" t="s">
        <v>60</v>
      </c>
      <c r="B23" s="191" t="s">
        <v>7</v>
      </c>
      <c r="C23" s="28" t="s">
        <v>8</v>
      </c>
      <c r="D23" s="197" t="s">
        <v>250</v>
      </c>
      <c r="E23" s="198">
        <v>1</v>
      </c>
      <c r="F23" s="201">
        <f>F24+F25+F26+F27+F28+F29+F30+F31</f>
        <v>338082377.85000002</v>
      </c>
      <c r="G23" s="201">
        <f>G24+G25+G26+G27+G28+G29+G30+G31</f>
        <v>338082377.85000002</v>
      </c>
      <c r="H23" s="201">
        <f>H24+H25+H26+H27+H28+H29+H30+H31</f>
        <v>277272364.32999998</v>
      </c>
      <c r="I23" s="10"/>
    </row>
    <row r="24" spans="1:9" ht="15.75" x14ac:dyDescent="0.25">
      <c r="A24" s="26"/>
      <c r="B24" s="193" t="s">
        <v>809</v>
      </c>
      <c r="C24" s="29" t="s">
        <v>85</v>
      </c>
      <c r="D24" s="199" t="s">
        <v>250</v>
      </c>
      <c r="E24" s="200">
        <v>1</v>
      </c>
      <c r="F24" s="196">
        <f>НМЦК!P33</f>
        <v>282606679.19999999</v>
      </c>
      <c r="G24" s="196">
        <f t="shared" ref="G24:G31" si="2">F24</f>
        <v>282606679.19999999</v>
      </c>
      <c r="H24" s="196">
        <f>НМЦК!E33*НМЦК!M33*НМЦК!O33</f>
        <v>276609844.94999999</v>
      </c>
      <c r="I24" s="10"/>
    </row>
    <row r="25" spans="1:9" ht="31.5" x14ac:dyDescent="0.25">
      <c r="A25" s="26"/>
      <c r="B25" s="193" t="s">
        <v>810</v>
      </c>
      <c r="C25" s="29" t="s">
        <v>91</v>
      </c>
      <c r="D25" s="199" t="s">
        <v>250</v>
      </c>
      <c r="E25" s="200">
        <v>1</v>
      </c>
      <c r="F25" s="196">
        <f>НМЦК!P34</f>
        <v>1128363.3799999999</v>
      </c>
      <c r="G25" s="196">
        <f t="shared" si="2"/>
        <v>1128363.3799999999</v>
      </c>
      <c r="H25" s="196"/>
      <c r="I25" s="10"/>
    </row>
    <row r="26" spans="1:9" ht="15.75" x14ac:dyDescent="0.25">
      <c r="A26" s="26"/>
      <c r="B26" s="193" t="s">
        <v>811</v>
      </c>
      <c r="C26" s="29" t="s">
        <v>794</v>
      </c>
      <c r="D26" s="199" t="s">
        <v>250</v>
      </c>
      <c r="E26" s="200">
        <v>1</v>
      </c>
      <c r="F26" s="196">
        <f>НМЦК!P35</f>
        <v>1654383.31</v>
      </c>
      <c r="G26" s="196">
        <f t="shared" si="2"/>
        <v>1654383.31</v>
      </c>
      <c r="H26" s="196">
        <f>НМЦК!E35*НМЦК!M35*НМЦК!O35</f>
        <v>15542.71</v>
      </c>
      <c r="I26" s="10"/>
    </row>
    <row r="27" spans="1:9" ht="31.5" x14ac:dyDescent="0.25">
      <c r="A27" s="26"/>
      <c r="B27" s="193" t="s">
        <v>812</v>
      </c>
      <c r="C27" s="29" t="s">
        <v>86</v>
      </c>
      <c r="D27" s="199" t="s">
        <v>250</v>
      </c>
      <c r="E27" s="200">
        <v>1</v>
      </c>
      <c r="F27" s="196">
        <f>НМЦК!P36</f>
        <v>3370598.53</v>
      </c>
      <c r="G27" s="196">
        <f t="shared" si="2"/>
        <v>3370598.53</v>
      </c>
      <c r="H27" s="196"/>
      <c r="I27" s="10"/>
    </row>
    <row r="28" spans="1:9" ht="31.5" x14ac:dyDescent="0.25">
      <c r="A28" s="26"/>
      <c r="B28" s="193" t="s">
        <v>813</v>
      </c>
      <c r="C28" s="29" t="s">
        <v>87</v>
      </c>
      <c r="D28" s="199" t="s">
        <v>250</v>
      </c>
      <c r="E28" s="200">
        <v>1</v>
      </c>
      <c r="F28" s="196">
        <f>НМЦК!P37</f>
        <v>5807080.9000000004</v>
      </c>
      <c r="G28" s="196">
        <f t="shared" si="2"/>
        <v>5807080.9000000004</v>
      </c>
      <c r="H28" s="196"/>
      <c r="I28" s="10"/>
    </row>
    <row r="29" spans="1:9" ht="15.75" x14ac:dyDescent="0.25">
      <c r="A29" s="26"/>
      <c r="B29" s="193" t="s">
        <v>814</v>
      </c>
      <c r="C29" s="29" t="s">
        <v>88</v>
      </c>
      <c r="D29" s="199" t="s">
        <v>250</v>
      </c>
      <c r="E29" s="200">
        <v>1</v>
      </c>
      <c r="F29" s="196">
        <f>НМЦК!P38</f>
        <v>34823750.409999996</v>
      </c>
      <c r="G29" s="196">
        <f t="shared" si="2"/>
        <v>34823750.409999996</v>
      </c>
      <c r="H29" s="196"/>
      <c r="I29" s="10"/>
    </row>
    <row r="30" spans="1:9" ht="15.75" x14ac:dyDescent="0.25">
      <c r="A30" s="26"/>
      <c r="B30" s="193" t="s">
        <v>815</v>
      </c>
      <c r="C30" s="29" t="s">
        <v>89</v>
      </c>
      <c r="D30" s="199" t="s">
        <v>250</v>
      </c>
      <c r="E30" s="200">
        <v>1</v>
      </c>
      <c r="F30" s="196">
        <f>НМЦК!P39</f>
        <v>7929010.2999999998</v>
      </c>
      <c r="G30" s="196">
        <f t="shared" si="2"/>
        <v>7929010.2999999998</v>
      </c>
      <c r="H30" s="196"/>
      <c r="I30" s="10"/>
    </row>
    <row r="31" spans="1:9" ht="15.75" x14ac:dyDescent="0.25">
      <c r="A31" s="26"/>
      <c r="B31" s="193" t="s">
        <v>816</v>
      </c>
      <c r="C31" s="29" t="s">
        <v>90</v>
      </c>
      <c r="D31" s="199" t="s">
        <v>250</v>
      </c>
      <c r="E31" s="200">
        <v>1</v>
      </c>
      <c r="F31" s="196">
        <f>НМЦК!P40</f>
        <v>762511.82</v>
      </c>
      <c r="G31" s="196">
        <f t="shared" si="2"/>
        <v>762511.82</v>
      </c>
      <c r="H31" s="196">
        <f>НМЦК!E40*НМЦК!M40*НМЦК!O40</f>
        <v>646976.67000000004</v>
      </c>
      <c r="I31" s="10"/>
    </row>
    <row r="32" spans="1:9" ht="47.25" x14ac:dyDescent="0.25">
      <c r="A32" s="23" t="s">
        <v>61</v>
      </c>
      <c r="B32" s="191" t="s">
        <v>10</v>
      </c>
      <c r="C32" s="28" t="s">
        <v>11</v>
      </c>
      <c r="D32" s="197" t="s">
        <v>250</v>
      </c>
      <c r="E32" s="198">
        <v>1</v>
      </c>
      <c r="F32" s="187">
        <f>F33+F34+F35</f>
        <v>420898760.17000002</v>
      </c>
      <c r="G32" s="187">
        <f>G33+G34+G35</f>
        <v>420898760.17000002</v>
      </c>
      <c r="H32" s="187">
        <f>H33+H34+H35</f>
        <v>416349177.29000002</v>
      </c>
      <c r="I32" s="10"/>
    </row>
    <row r="33" spans="1:9" ht="47.25" x14ac:dyDescent="0.25">
      <c r="A33" s="26"/>
      <c r="B33" s="193" t="s">
        <v>817</v>
      </c>
      <c r="C33" s="29" t="s">
        <v>92</v>
      </c>
      <c r="D33" s="199" t="s">
        <v>250</v>
      </c>
      <c r="E33" s="200">
        <v>1</v>
      </c>
      <c r="F33" s="196">
        <f>НМЦК!P42</f>
        <v>3240809.81</v>
      </c>
      <c r="G33" s="196">
        <f t="shared" ref="G33:G52" si="3">F33</f>
        <v>3240809.81</v>
      </c>
      <c r="H33" s="196"/>
      <c r="I33" s="10"/>
    </row>
    <row r="34" spans="1:9" ht="47.25" x14ac:dyDescent="0.25">
      <c r="A34" s="26"/>
      <c r="B34" s="193" t="s">
        <v>818</v>
      </c>
      <c r="C34" s="29" t="s">
        <v>93</v>
      </c>
      <c r="D34" s="199" t="s">
        <v>250</v>
      </c>
      <c r="E34" s="200">
        <v>1</v>
      </c>
      <c r="F34" s="196">
        <f>НМЦК!P43</f>
        <v>416635214.41000003</v>
      </c>
      <c r="G34" s="196">
        <f t="shared" si="3"/>
        <v>416635214.41000003</v>
      </c>
      <c r="H34" s="196">
        <f>НМЦК!E43*НМЦК!M43*НМЦК!O43</f>
        <v>416349177.29000002</v>
      </c>
      <c r="I34" s="10"/>
    </row>
    <row r="35" spans="1:9" ht="15.75" x14ac:dyDescent="0.25">
      <c r="A35" s="26"/>
      <c r="B35" s="193" t="s">
        <v>819</v>
      </c>
      <c r="C35" s="29" t="s">
        <v>94</v>
      </c>
      <c r="D35" s="199" t="s">
        <v>250</v>
      </c>
      <c r="E35" s="200">
        <v>1</v>
      </c>
      <c r="F35" s="196">
        <f>НМЦК!P44</f>
        <v>1022735.95</v>
      </c>
      <c r="G35" s="196">
        <f t="shared" si="3"/>
        <v>1022735.95</v>
      </c>
      <c r="H35" s="196"/>
      <c r="I35" s="10"/>
    </row>
    <row r="36" spans="1:9" ht="15.75" x14ac:dyDescent="0.25">
      <c r="A36" s="23" t="s">
        <v>62</v>
      </c>
      <c r="B36" s="191" t="s">
        <v>12</v>
      </c>
      <c r="C36" s="28" t="s">
        <v>13</v>
      </c>
      <c r="D36" s="197" t="s">
        <v>250</v>
      </c>
      <c r="E36" s="198">
        <v>1</v>
      </c>
      <c r="F36" s="187">
        <f>F37+F38</f>
        <v>258643185.34</v>
      </c>
      <c r="G36" s="187">
        <f>G37+G38</f>
        <v>258643185.34</v>
      </c>
      <c r="H36" s="187"/>
      <c r="I36" s="10"/>
    </row>
    <row r="37" spans="1:9" ht="31.5" x14ac:dyDescent="0.25">
      <c r="A37" s="26"/>
      <c r="B37" s="193" t="s">
        <v>820</v>
      </c>
      <c r="C37" s="29" t="s">
        <v>95</v>
      </c>
      <c r="D37" s="199" t="s">
        <v>250</v>
      </c>
      <c r="E37" s="200">
        <v>1</v>
      </c>
      <c r="F37" s="196">
        <f>НМЦК!P46</f>
        <v>3965979.9</v>
      </c>
      <c r="G37" s="196">
        <f t="shared" si="3"/>
        <v>3965979.9</v>
      </c>
      <c r="H37" s="196"/>
      <c r="I37" s="10"/>
    </row>
    <row r="38" spans="1:9" ht="31.5" x14ac:dyDescent="0.25">
      <c r="A38" s="26"/>
      <c r="B38" s="193" t="s">
        <v>821</v>
      </c>
      <c r="C38" s="29" t="s">
        <v>96</v>
      </c>
      <c r="D38" s="199" t="s">
        <v>250</v>
      </c>
      <c r="E38" s="200">
        <v>1</v>
      </c>
      <c r="F38" s="196">
        <f>НМЦК!P47</f>
        <v>254677205.44</v>
      </c>
      <c r="G38" s="196">
        <f t="shared" si="3"/>
        <v>254677205.44</v>
      </c>
      <c r="H38" s="196"/>
      <c r="I38" s="10"/>
    </row>
    <row r="39" spans="1:9" ht="31.5" x14ac:dyDescent="0.25">
      <c r="A39" s="23" t="s">
        <v>63</v>
      </c>
      <c r="B39" s="192" t="s">
        <v>97</v>
      </c>
      <c r="C39" s="28" t="s">
        <v>14</v>
      </c>
      <c r="D39" s="197" t="s">
        <v>250</v>
      </c>
      <c r="E39" s="198">
        <v>1</v>
      </c>
      <c r="F39" s="187">
        <f>НМЦК!P48</f>
        <v>2166978.23</v>
      </c>
      <c r="G39" s="187">
        <f t="shared" si="3"/>
        <v>2166978.23</v>
      </c>
      <c r="H39" s="187"/>
      <c r="I39" s="10"/>
    </row>
    <row r="40" spans="1:9" ht="15.75" x14ac:dyDescent="0.25">
      <c r="A40" s="23" t="s">
        <v>64</v>
      </c>
      <c r="B40" s="192" t="s">
        <v>98</v>
      </c>
      <c r="C40" s="28" t="s">
        <v>15</v>
      </c>
      <c r="D40" s="197" t="s">
        <v>250</v>
      </c>
      <c r="E40" s="198">
        <v>1</v>
      </c>
      <c r="F40" s="187">
        <f>НМЦК!P49</f>
        <v>2236062.92</v>
      </c>
      <c r="G40" s="187">
        <f t="shared" si="3"/>
        <v>2236062.92</v>
      </c>
      <c r="H40" s="187"/>
      <c r="I40" s="10"/>
    </row>
    <row r="41" spans="1:9" ht="47.25" x14ac:dyDescent="0.25">
      <c r="A41" s="23" t="s">
        <v>65</v>
      </c>
      <c r="B41" s="192" t="s">
        <v>99</v>
      </c>
      <c r="C41" s="28" t="s">
        <v>158</v>
      </c>
      <c r="D41" s="197" t="s">
        <v>250</v>
      </c>
      <c r="E41" s="198">
        <v>1</v>
      </c>
      <c r="F41" s="187">
        <f>НМЦК!P50</f>
        <v>3303969.02</v>
      </c>
      <c r="G41" s="187">
        <f t="shared" si="3"/>
        <v>3303969.02</v>
      </c>
      <c r="H41" s="187"/>
      <c r="I41" s="10"/>
    </row>
    <row r="42" spans="1:9" ht="15.75" x14ac:dyDescent="0.25">
      <c r="A42" s="23" t="s">
        <v>66</v>
      </c>
      <c r="B42" s="192" t="s">
        <v>100</v>
      </c>
      <c r="C42" s="28" t="s">
        <v>16</v>
      </c>
      <c r="D42" s="197" t="s">
        <v>250</v>
      </c>
      <c r="E42" s="198">
        <v>1</v>
      </c>
      <c r="F42" s="187">
        <f>НМЦК!P51</f>
        <v>60005.17</v>
      </c>
      <c r="G42" s="187">
        <f t="shared" si="3"/>
        <v>60005.17</v>
      </c>
      <c r="H42" s="187"/>
      <c r="I42" s="10"/>
    </row>
    <row r="43" spans="1:9" ht="31.5" x14ac:dyDescent="0.25">
      <c r="A43" s="23" t="s">
        <v>67</v>
      </c>
      <c r="B43" s="192" t="s">
        <v>101</v>
      </c>
      <c r="C43" s="28" t="s">
        <v>17</v>
      </c>
      <c r="D43" s="197" t="s">
        <v>250</v>
      </c>
      <c r="E43" s="198">
        <v>1</v>
      </c>
      <c r="F43" s="187">
        <f>НМЦК!P52</f>
        <v>240018.39</v>
      </c>
      <c r="G43" s="187">
        <f t="shared" si="3"/>
        <v>240018.39</v>
      </c>
      <c r="H43" s="187"/>
      <c r="I43" s="10"/>
    </row>
    <row r="44" spans="1:9" ht="15.75" x14ac:dyDescent="0.25">
      <c r="A44" s="23" t="s">
        <v>68</v>
      </c>
      <c r="B44" s="192" t="s">
        <v>102</v>
      </c>
      <c r="C44" s="28" t="s">
        <v>18</v>
      </c>
      <c r="D44" s="197" t="s">
        <v>250</v>
      </c>
      <c r="E44" s="198">
        <v>1</v>
      </c>
      <c r="F44" s="187">
        <f>НМЦК!P53</f>
        <v>1310212.1100000001</v>
      </c>
      <c r="G44" s="187">
        <f t="shared" si="3"/>
        <v>1310212.1100000001</v>
      </c>
      <c r="H44" s="187"/>
      <c r="I44" s="10"/>
    </row>
    <row r="45" spans="1:9" ht="31.5" x14ac:dyDescent="0.25">
      <c r="A45" s="23" t="s">
        <v>69</v>
      </c>
      <c r="B45" s="192" t="s">
        <v>103</v>
      </c>
      <c r="C45" s="28" t="s">
        <v>159</v>
      </c>
      <c r="D45" s="197" t="s">
        <v>250</v>
      </c>
      <c r="E45" s="198">
        <v>1</v>
      </c>
      <c r="F45" s="187">
        <f>НМЦК!P54</f>
        <v>1310212.1100000001</v>
      </c>
      <c r="G45" s="187">
        <f t="shared" si="3"/>
        <v>1310212.1100000001</v>
      </c>
      <c r="H45" s="187"/>
      <c r="I45" s="10"/>
    </row>
    <row r="46" spans="1:9" ht="31.5" x14ac:dyDescent="0.25">
      <c r="A46" s="23" t="s">
        <v>70</v>
      </c>
      <c r="B46" s="192" t="s">
        <v>104</v>
      </c>
      <c r="C46" s="28" t="s">
        <v>19</v>
      </c>
      <c r="D46" s="197" t="s">
        <v>250</v>
      </c>
      <c r="E46" s="198">
        <v>1</v>
      </c>
      <c r="F46" s="187">
        <f>НМЦК!P55</f>
        <v>1480408.12</v>
      </c>
      <c r="G46" s="187">
        <f t="shared" si="3"/>
        <v>1480408.12</v>
      </c>
      <c r="H46" s="187"/>
      <c r="I46" s="10"/>
    </row>
    <row r="47" spans="1:9" ht="15.75" x14ac:dyDescent="0.25">
      <c r="A47" s="23" t="s">
        <v>71</v>
      </c>
      <c r="B47" s="192" t="s">
        <v>105</v>
      </c>
      <c r="C47" s="28" t="s">
        <v>20</v>
      </c>
      <c r="D47" s="197" t="s">
        <v>250</v>
      </c>
      <c r="E47" s="198">
        <v>1</v>
      </c>
      <c r="F47" s="187">
        <f>НМЦК!P56</f>
        <v>1858635.75</v>
      </c>
      <c r="G47" s="187">
        <f t="shared" si="3"/>
        <v>1858635.75</v>
      </c>
      <c r="H47" s="187"/>
      <c r="I47" s="10"/>
    </row>
    <row r="48" spans="1:9" ht="15.75" x14ac:dyDescent="0.25">
      <c r="A48" s="23" t="s">
        <v>72</v>
      </c>
      <c r="B48" s="192" t="s">
        <v>106</v>
      </c>
      <c r="C48" s="28" t="s">
        <v>21</v>
      </c>
      <c r="D48" s="197" t="s">
        <v>250</v>
      </c>
      <c r="E48" s="198">
        <v>1</v>
      </c>
      <c r="F48" s="187">
        <f>НМЦК!P57</f>
        <v>9015356.5099999998</v>
      </c>
      <c r="G48" s="187">
        <f t="shared" si="3"/>
        <v>9015356.5099999998</v>
      </c>
      <c r="H48" s="187"/>
      <c r="I48" s="10"/>
    </row>
    <row r="49" spans="1:9" ht="31.5" x14ac:dyDescent="0.25">
      <c r="A49" s="23" t="s">
        <v>73</v>
      </c>
      <c r="B49" s="192" t="s">
        <v>107</v>
      </c>
      <c r="C49" s="28" t="s">
        <v>22</v>
      </c>
      <c r="D49" s="197" t="s">
        <v>250</v>
      </c>
      <c r="E49" s="198">
        <v>1</v>
      </c>
      <c r="F49" s="187">
        <f>НМЦК!P58</f>
        <v>10474755.98</v>
      </c>
      <c r="G49" s="187">
        <f t="shared" si="3"/>
        <v>10474755.98</v>
      </c>
      <c r="H49" s="187"/>
      <c r="I49" s="10"/>
    </row>
    <row r="50" spans="1:9" ht="15.75" x14ac:dyDescent="0.25">
      <c r="A50" s="23" t="s">
        <v>74</v>
      </c>
      <c r="B50" s="194" t="s">
        <v>108</v>
      </c>
      <c r="C50" s="11" t="s">
        <v>154</v>
      </c>
      <c r="D50" s="197" t="s">
        <v>250</v>
      </c>
      <c r="E50" s="198">
        <v>1</v>
      </c>
      <c r="F50" s="187">
        <f>НМЦК!P59</f>
        <v>2767291.56</v>
      </c>
      <c r="G50" s="187">
        <f t="shared" si="3"/>
        <v>2767291.56</v>
      </c>
      <c r="H50" s="187"/>
      <c r="I50" s="10"/>
    </row>
    <row r="51" spans="1:9" ht="62.25" customHeight="1" x14ac:dyDescent="0.25">
      <c r="A51" s="23" t="s">
        <v>75</v>
      </c>
      <c r="B51" s="195" t="s">
        <v>862</v>
      </c>
      <c r="C51" s="11" t="s">
        <v>861</v>
      </c>
      <c r="D51" s="197" t="s">
        <v>250</v>
      </c>
      <c r="E51" s="198">
        <v>1</v>
      </c>
      <c r="F51" s="187">
        <f>НМЦК!P60</f>
        <v>18361745.07</v>
      </c>
      <c r="G51" s="187">
        <f>F51</f>
        <v>18361745.07</v>
      </c>
      <c r="H51" s="187"/>
      <c r="I51" s="10"/>
    </row>
    <row r="52" spans="1:9" ht="69" customHeight="1" x14ac:dyDescent="0.25">
      <c r="A52" s="23" t="s">
        <v>76</v>
      </c>
      <c r="B52" s="190" t="s">
        <v>156</v>
      </c>
      <c r="C52" s="11" t="s">
        <v>157</v>
      </c>
      <c r="D52" s="197" t="s">
        <v>250</v>
      </c>
      <c r="E52" s="198">
        <v>1</v>
      </c>
      <c r="F52" s="187">
        <f>НМЦК!P70</f>
        <v>45308761.780000001</v>
      </c>
      <c r="G52" s="187">
        <f t="shared" si="3"/>
        <v>45308761.780000001</v>
      </c>
      <c r="H52" s="187">
        <f>(H17+H23+H32)*0.03</f>
        <v>20856551.890000001</v>
      </c>
      <c r="I52" s="10"/>
    </row>
    <row r="53" spans="1:9" ht="15.75" x14ac:dyDescent="0.25">
      <c r="A53" s="1"/>
      <c r="B53" s="1"/>
      <c r="C53" s="21" t="s">
        <v>43</v>
      </c>
      <c r="D53" s="78"/>
      <c r="E53" s="78"/>
      <c r="F53" s="78">
        <f>F6+F10+F13</f>
        <v>1577233043.78</v>
      </c>
      <c r="G53" s="78">
        <f>G6+G10+G13</f>
        <v>1577233043.78</v>
      </c>
      <c r="H53" s="78">
        <f>H6+H10+H13</f>
        <v>716074948.38</v>
      </c>
    </row>
    <row r="54" spans="1:9" ht="15.75" x14ac:dyDescent="0.25">
      <c r="A54" s="1"/>
      <c r="B54" s="1"/>
      <c r="C54" s="21" t="s">
        <v>44</v>
      </c>
      <c r="D54" s="78"/>
      <c r="E54" s="78"/>
      <c r="F54" s="78">
        <f>F53*0.2</f>
        <v>315446608.75999999</v>
      </c>
      <c r="G54" s="78">
        <f>G53*0.2</f>
        <v>315446608.75999999</v>
      </c>
      <c r="H54" s="78">
        <f>H53*0.2</f>
        <v>143214989.68000001</v>
      </c>
    </row>
    <row r="55" spans="1:9" ht="15.75" x14ac:dyDescent="0.25">
      <c r="A55" s="1"/>
      <c r="B55" s="1"/>
      <c r="C55" s="21" t="s">
        <v>45</v>
      </c>
      <c r="D55" s="78"/>
      <c r="E55" s="78"/>
      <c r="F55" s="78">
        <f>F53+F54</f>
        <v>1892679652.54</v>
      </c>
      <c r="G55" s="78">
        <f>G53+G54</f>
        <v>1892679652.54</v>
      </c>
      <c r="H55" s="78">
        <f>H53+H54</f>
        <v>859289938.05999994</v>
      </c>
    </row>
    <row r="56" spans="1:9" ht="15.75" x14ac:dyDescent="0.25">
      <c r="A56" s="2"/>
      <c r="B56" s="2"/>
      <c r="C56" s="2"/>
      <c r="D56" s="2"/>
      <c r="E56" s="2"/>
      <c r="F56" s="2"/>
      <c r="G56" s="2"/>
      <c r="H56" s="2"/>
    </row>
  </sheetData>
  <mergeCells count="9">
    <mergeCell ref="A2:H2"/>
    <mergeCell ref="F3:G3"/>
    <mergeCell ref="H3:H4"/>
    <mergeCell ref="A1:H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9"/>
  <sheetViews>
    <sheetView tabSelected="1" workbookViewId="0">
      <selection sqref="A1:BV39"/>
    </sheetView>
  </sheetViews>
  <sheetFormatPr defaultColWidth="8.85546875" defaultRowHeight="15.75" x14ac:dyDescent="0.25"/>
  <cols>
    <col min="1" max="1" width="8.85546875" style="531"/>
    <col min="2" max="2" width="55.28515625" style="2" customWidth="1"/>
    <col min="3" max="74" width="2.28515625" style="2" customWidth="1"/>
    <col min="75" max="16384" width="8.85546875" style="2"/>
  </cols>
  <sheetData>
    <row r="1" spans="1:75" x14ac:dyDescent="0.25">
      <c r="A1"/>
      <c r="B1" s="497" t="s">
        <v>1183</v>
      </c>
      <c r="C1" s="497"/>
      <c r="D1" s="497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669" t="s">
        <v>1184</v>
      </c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496"/>
    </row>
    <row r="2" spans="1:75" x14ac:dyDescent="0.25">
      <c r="A2"/>
      <c r="B2" s="497" t="s">
        <v>1185</v>
      </c>
      <c r="C2" s="497"/>
      <c r="D2" s="497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876" t="s">
        <v>1186</v>
      </c>
      <c r="BL2" s="876"/>
      <c r="BM2" s="876"/>
      <c r="BN2" s="876"/>
      <c r="BO2" s="876"/>
      <c r="BP2" s="876"/>
      <c r="BQ2" s="876"/>
      <c r="BR2" s="876"/>
      <c r="BS2" s="876"/>
      <c r="BT2" s="876"/>
      <c r="BU2" s="876"/>
      <c r="BV2" s="876"/>
      <c r="BW2" s="496"/>
    </row>
    <row r="3" spans="1:75" x14ac:dyDescent="0.25">
      <c r="A3"/>
      <c r="B3" s="497" t="s">
        <v>1185</v>
      </c>
      <c r="C3" s="497"/>
      <c r="D3" s="497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876" t="s">
        <v>1186</v>
      </c>
      <c r="BL3" s="876"/>
      <c r="BM3" s="876"/>
      <c r="BN3" s="876"/>
      <c r="BO3" s="876"/>
      <c r="BP3" s="876"/>
      <c r="BQ3" s="876"/>
      <c r="BR3" s="876"/>
      <c r="BS3" s="876"/>
      <c r="BT3" s="876"/>
      <c r="BU3" s="876"/>
      <c r="BV3" s="876"/>
      <c r="BW3" s="496"/>
    </row>
    <row r="4" spans="1:75" ht="15.75" customHeight="1" x14ac:dyDescent="0.25">
      <c r="A4" s="668" t="s">
        <v>1187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629"/>
    </row>
    <row r="5" spans="1:75" ht="15.75" customHeight="1" x14ac:dyDescent="0.25">
      <c r="A5" s="668" t="s">
        <v>1188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  <c r="BF5" s="668"/>
      <c r="BG5" s="668"/>
      <c r="BH5" s="668"/>
      <c r="BI5" s="668"/>
      <c r="BJ5" s="668"/>
      <c r="BK5" s="668"/>
      <c r="BL5" s="668"/>
      <c r="BM5" s="668"/>
      <c r="BN5" s="668"/>
      <c r="BO5" s="668"/>
      <c r="BP5" s="668"/>
      <c r="BQ5" s="668"/>
      <c r="BR5" s="668"/>
      <c r="BS5" s="668"/>
      <c r="BT5" s="668"/>
      <c r="BU5" s="668"/>
      <c r="BV5" s="668"/>
      <c r="BW5" s="629"/>
    </row>
    <row r="6" spans="1:75" ht="15.75" customHeight="1" x14ac:dyDescent="0.25">
      <c r="A6" s="668" t="s">
        <v>1189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668"/>
      <c r="AY6" s="668"/>
      <c r="AZ6" s="668"/>
      <c r="BA6" s="668"/>
      <c r="BB6" s="668"/>
      <c r="BC6" s="668"/>
      <c r="BD6" s="668"/>
      <c r="BE6" s="668"/>
      <c r="BF6" s="668"/>
      <c r="BG6" s="668"/>
      <c r="BH6" s="668"/>
      <c r="BI6" s="668"/>
      <c r="BJ6" s="668"/>
      <c r="BK6" s="668"/>
      <c r="BL6" s="668"/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29"/>
    </row>
    <row r="7" spans="1:75" ht="16.5" thickBot="1" x14ac:dyDescent="0.3">
      <c r="A7" s="499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</row>
    <row r="8" spans="1:75" s="496" customFormat="1" x14ac:dyDescent="0.25">
      <c r="A8" s="670" t="s">
        <v>0</v>
      </c>
      <c r="B8" s="670" t="s">
        <v>1190</v>
      </c>
      <c r="C8" s="672">
        <v>2023</v>
      </c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4"/>
      <c r="AA8" s="672">
        <v>2024</v>
      </c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3"/>
      <c r="BE8" s="673"/>
      <c r="BF8" s="673"/>
      <c r="BG8" s="673"/>
      <c r="BH8" s="673"/>
      <c r="BI8" s="673"/>
      <c r="BJ8" s="673"/>
      <c r="BK8" s="673"/>
      <c r="BL8" s="673"/>
      <c r="BM8" s="673"/>
      <c r="BN8" s="673"/>
      <c r="BO8" s="673"/>
      <c r="BP8" s="673"/>
      <c r="BQ8" s="673"/>
      <c r="BR8" s="673"/>
      <c r="BS8" s="673"/>
      <c r="BT8" s="673"/>
      <c r="BU8" s="673"/>
      <c r="BV8" s="674"/>
      <c r="BW8" s="2"/>
    </row>
    <row r="9" spans="1:75" s="496" customFormat="1" ht="16.5" thickBot="1" x14ac:dyDescent="0.3">
      <c r="A9" s="671"/>
      <c r="B9" s="671"/>
      <c r="C9" s="675" t="s">
        <v>1191</v>
      </c>
      <c r="D9" s="676"/>
      <c r="E9" s="676"/>
      <c r="F9" s="676"/>
      <c r="G9" s="676" t="s">
        <v>1192</v>
      </c>
      <c r="H9" s="676"/>
      <c r="I9" s="676"/>
      <c r="J9" s="676"/>
      <c r="K9" s="676" t="s">
        <v>1193</v>
      </c>
      <c r="L9" s="676"/>
      <c r="M9" s="676"/>
      <c r="N9" s="676"/>
      <c r="O9" s="676" t="s">
        <v>1194</v>
      </c>
      <c r="P9" s="676"/>
      <c r="Q9" s="676"/>
      <c r="R9" s="676"/>
      <c r="S9" s="676" t="s">
        <v>1195</v>
      </c>
      <c r="T9" s="676"/>
      <c r="U9" s="676"/>
      <c r="V9" s="676"/>
      <c r="W9" s="676" t="s">
        <v>1196</v>
      </c>
      <c r="X9" s="676"/>
      <c r="Y9" s="676"/>
      <c r="Z9" s="677"/>
      <c r="AA9" s="675" t="s">
        <v>1197</v>
      </c>
      <c r="AB9" s="676"/>
      <c r="AC9" s="676"/>
      <c r="AD9" s="676"/>
      <c r="AE9" s="678" t="s">
        <v>1198</v>
      </c>
      <c r="AF9" s="676"/>
      <c r="AG9" s="676"/>
      <c r="AH9" s="676"/>
      <c r="AI9" s="678" t="s">
        <v>1199</v>
      </c>
      <c r="AJ9" s="676"/>
      <c r="AK9" s="676"/>
      <c r="AL9" s="676"/>
      <c r="AM9" s="678" t="s">
        <v>1200</v>
      </c>
      <c r="AN9" s="676"/>
      <c r="AO9" s="676"/>
      <c r="AP9" s="676"/>
      <c r="AQ9" s="678" t="s">
        <v>1201</v>
      </c>
      <c r="AR9" s="676"/>
      <c r="AS9" s="676"/>
      <c r="AT9" s="676"/>
      <c r="AU9" s="678" t="s">
        <v>1202</v>
      </c>
      <c r="AV9" s="676"/>
      <c r="AW9" s="676"/>
      <c r="AX9" s="676"/>
      <c r="AY9" s="678" t="s">
        <v>1191</v>
      </c>
      <c r="AZ9" s="676"/>
      <c r="BA9" s="676"/>
      <c r="BB9" s="676"/>
      <c r="BC9" s="678" t="s">
        <v>1192</v>
      </c>
      <c r="BD9" s="676"/>
      <c r="BE9" s="676"/>
      <c r="BF9" s="676"/>
      <c r="BG9" s="678" t="s">
        <v>1193</v>
      </c>
      <c r="BH9" s="676"/>
      <c r="BI9" s="676"/>
      <c r="BJ9" s="676"/>
      <c r="BK9" s="678" t="s">
        <v>1194</v>
      </c>
      <c r="BL9" s="676"/>
      <c r="BM9" s="676"/>
      <c r="BN9" s="676"/>
      <c r="BO9" s="678" t="s">
        <v>1195</v>
      </c>
      <c r="BP9" s="676"/>
      <c r="BQ9" s="676"/>
      <c r="BR9" s="676"/>
      <c r="BS9" s="678" t="s">
        <v>1196</v>
      </c>
      <c r="BT9" s="676"/>
      <c r="BU9" s="676"/>
      <c r="BV9" s="677"/>
      <c r="BW9" s="2"/>
    </row>
    <row r="10" spans="1:75" x14ac:dyDescent="0.25">
      <c r="A10" s="500">
        <v>1</v>
      </c>
      <c r="B10" s="501" t="s">
        <v>1203</v>
      </c>
      <c r="C10" s="502"/>
      <c r="D10" s="503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5"/>
      <c r="AA10" s="506"/>
      <c r="AB10" s="504"/>
      <c r="AC10" s="504"/>
      <c r="AD10" s="507"/>
      <c r="AE10" s="508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9"/>
    </row>
    <row r="11" spans="1:75" x14ac:dyDescent="0.25">
      <c r="A11" s="500">
        <v>2</v>
      </c>
      <c r="B11" s="510" t="s">
        <v>1204</v>
      </c>
      <c r="C11" s="502"/>
      <c r="D11" s="503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5"/>
      <c r="AA11" s="506"/>
      <c r="AB11" s="504"/>
      <c r="AC11" s="504"/>
      <c r="AD11" s="504"/>
      <c r="AE11" s="508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9"/>
    </row>
    <row r="12" spans="1:75" x14ac:dyDescent="0.25">
      <c r="A12" s="511">
        <v>3</v>
      </c>
      <c r="B12" s="510" t="s">
        <v>1205</v>
      </c>
      <c r="C12" s="512"/>
      <c r="D12" s="28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4"/>
      <c r="AA12" s="515"/>
      <c r="AB12" s="513"/>
      <c r="AC12" s="513"/>
      <c r="AD12" s="513"/>
      <c r="AE12" s="516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3"/>
      <c r="BU12" s="513"/>
      <c r="BV12" s="517"/>
    </row>
    <row r="13" spans="1:75" x14ac:dyDescent="0.25">
      <c r="A13" s="511">
        <v>4</v>
      </c>
      <c r="B13" s="518" t="s">
        <v>1206</v>
      </c>
      <c r="C13" s="512"/>
      <c r="D13" s="28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4"/>
      <c r="AA13" s="515"/>
      <c r="AB13" s="513"/>
      <c r="AC13" s="513"/>
      <c r="AD13" s="513"/>
      <c r="AE13" s="516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3"/>
      <c r="BU13" s="513"/>
      <c r="BV13" s="517"/>
    </row>
    <row r="14" spans="1:75" ht="31.5" x14ac:dyDescent="0.25">
      <c r="A14" s="511" t="s">
        <v>1207</v>
      </c>
      <c r="B14" s="519" t="s">
        <v>2</v>
      </c>
      <c r="C14" s="512"/>
      <c r="D14" s="28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4"/>
      <c r="AA14" s="515"/>
      <c r="AB14" s="513"/>
      <c r="AC14" s="513"/>
      <c r="AD14" s="513"/>
      <c r="AE14" s="516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7"/>
    </row>
    <row r="15" spans="1:75" x14ac:dyDescent="0.25">
      <c r="A15" s="511" t="s">
        <v>1208</v>
      </c>
      <c r="B15" s="519" t="s">
        <v>1209</v>
      </c>
      <c r="C15" s="512"/>
      <c r="D15" s="28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4"/>
      <c r="AA15" s="515"/>
      <c r="AB15" s="513"/>
      <c r="AC15" s="513"/>
      <c r="AD15" s="513"/>
      <c r="AE15" s="516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7"/>
    </row>
    <row r="16" spans="1:75" x14ac:dyDescent="0.25">
      <c r="A16" s="511" t="s">
        <v>1210</v>
      </c>
      <c r="B16" s="519" t="s">
        <v>1211</v>
      </c>
      <c r="C16" s="512"/>
      <c r="D16" s="28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4"/>
      <c r="AA16" s="515"/>
      <c r="AB16" s="513"/>
      <c r="AC16" s="513"/>
      <c r="AD16" s="513"/>
      <c r="AE16" s="516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7"/>
    </row>
    <row r="17" spans="1:74" x14ac:dyDescent="0.25">
      <c r="A17" s="511">
        <v>5</v>
      </c>
      <c r="B17" s="518" t="s">
        <v>1212</v>
      </c>
      <c r="C17" s="520"/>
      <c r="D17" s="521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4"/>
      <c r="AA17" s="515"/>
      <c r="AB17" s="513"/>
      <c r="AC17" s="513"/>
      <c r="AD17" s="513"/>
      <c r="AE17" s="516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513"/>
      <c r="BN17" s="513"/>
      <c r="BO17" s="513"/>
      <c r="BP17" s="513"/>
      <c r="BQ17" s="513"/>
      <c r="BR17" s="513"/>
      <c r="BS17" s="513"/>
      <c r="BT17" s="513"/>
      <c r="BU17" s="513"/>
      <c r="BV17" s="517"/>
    </row>
    <row r="18" spans="1:74" x14ac:dyDescent="0.25">
      <c r="A18" s="511" t="s">
        <v>1213</v>
      </c>
      <c r="B18" s="519" t="s">
        <v>6</v>
      </c>
      <c r="C18" s="512"/>
      <c r="D18" s="28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4"/>
      <c r="AA18" s="515"/>
      <c r="AB18" s="513"/>
      <c r="AC18" s="513"/>
      <c r="AD18" s="513"/>
      <c r="AE18" s="516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7"/>
    </row>
    <row r="19" spans="1:74" x14ac:dyDescent="0.25">
      <c r="A19" s="511" t="s">
        <v>1214</v>
      </c>
      <c r="B19" s="519" t="s">
        <v>8</v>
      </c>
      <c r="C19" s="512"/>
      <c r="D19" s="28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4"/>
      <c r="AA19" s="515"/>
      <c r="AB19" s="513"/>
      <c r="AC19" s="513"/>
      <c r="AD19" s="513"/>
      <c r="AE19" s="516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7"/>
    </row>
    <row r="20" spans="1:74" x14ac:dyDescent="0.25">
      <c r="A20" s="511">
        <v>5</v>
      </c>
      <c r="B20" s="519" t="s">
        <v>9</v>
      </c>
      <c r="C20" s="512"/>
      <c r="D20" s="28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4"/>
      <c r="AA20" s="515"/>
      <c r="AB20" s="513"/>
      <c r="AC20" s="513"/>
      <c r="AD20" s="513"/>
      <c r="AE20" s="516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7"/>
    </row>
    <row r="21" spans="1:74" x14ac:dyDescent="0.25">
      <c r="A21" s="511">
        <v>6</v>
      </c>
      <c r="B21" s="518" t="s">
        <v>1215</v>
      </c>
      <c r="C21" s="520"/>
      <c r="D21" s="521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4"/>
      <c r="AA21" s="515"/>
      <c r="AB21" s="513"/>
      <c r="AC21" s="513"/>
      <c r="AD21" s="513"/>
      <c r="AE21" s="516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513"/>
      <c r="BU21" s="513"/>
      <c r="BV21" s="517"/>
    </row>
    <row r="22" spans="1:74" ht="31.5" x14ac:dyDescent="0.25">
      <c r="A22" s="511" t="s">
        <v>1216</v>
      </c>
      <c r="B22" s="519" t="s">
        <v>11</v>
      </c>
      <c r="C22" s="512"/>
      <c r="D22" s="28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4"/>
      <c r="AA22" s="515"/>
      <c r="AB22" s="513"/>
      <c r="AC22" s="513"/>
      <c r="AD22" s="513"/>
      <c r="AE22" s="516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513"/>
      <c r="BU22" s="513"/>
      <c r="BV22" s="517"/>
    </row>
    <row r="23" spans="1:74" x14ac:dyDescent="0.25">
      <c r="A23" s="511" t="s">
        <v>1217</v>
      </c>
      <c r="B23" s="519" t="s">
        <v>13</v>
      </c>
      <c r="C23" s="512"/>
      <c r="D23" s="28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4"/>
      <c r="AA23" s="515"/>
      <c r="AB23" s="513"/>
      <c r="AC23" s="513"/>
      <c r="AD23" s="513"/>
      <c r="AE23" s="516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7"/>
    </row>
    <row r="24" spans="1:74" x14ac:dyDescent="0.25">
      <c r="A24" s="511" t="s">
        <v>1218</v>
      </c>
      <c r="B24" s="519" t="s">
        <v>14</v>
      </c>
      <c r="C24" s="512"/>
      <c r="D24" s="28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4"/>
      <c r="AA24" s="515"/>
      <c r="AB24" s="513"/>
      <c r="AC24" s="513"/>
      <c r="AD24" s="513"/>
      <c r="AE24" s="516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7"/>
    </row>
    <row r="25" spans="1:74" x14ac:dyDescent="0.25">
      <c r="A25" s="511">
        <v>7</v>
      </c>
      <c r="B25" s="518" t="s">
        <v>1219</v>
      </c>
      <c r="C25" s="520"/>
      <c r="D25" s="521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4"/>
      <c r="AA25" s="515"/>
      <c r="AB25" s="513"/>
      <c r="AC25" s="513"/>
      <c r="AD25" s="513"/>
      <c r="AE25" s="516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7"/>
    </row>
    <row r="26" spans="1:74" x14ac:dyDescent="0.25">
      <c r="A26" s="511" t="s">
        <v>1220</v>
      </c>
      <c r="B26" s="519" t="s">
        <v>15</v>
      </c>
      <c r="C26" s="512"/>
      <c r="D26" s="28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4"/>
      <c r="AA26" s="515"/>
      <c r="AB26" s="513"/>
      <c r="AC26" s="513"/>
      <c r="AD26" s="513"/>
      <c r="AE26" s="516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513"/>
      <c r="BU26" s="513"/>
      <c r="BV26" s="517"/>
    </row>
    <row r="27" spans="1:74" ht="31.5" x14ac:dyDescent="0.25">
      <c r="A27" s="511" t="s">
        <v>1221</v>
      </c>
      <c r="B27" s="519" t="s">
        <v>1222</v>
      </c>
      <c r="C27" s="512"/>
      <c r="D27" s="28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4"/>
      <c r="AA27" s="515"/>
      <c r="AB27" s="513"/>
      <c r="AC27" s="513"/>
      <c r="AD27" s="513"/>
      <c r="AE27" s="516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7"/>
    </row>
    <row r="28" spans="1:74" x14ac:dyDescent="0.25">
      <c r="A28" s="511" t="s">
        <v>1223</v>
      </c>
      <c r="B28" s="519" t="s">
        <v>16</v>
      </c>
      <c r="C28" s="512"/>
      <c r="D28" s="28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4"/>
      <c r="AA28" s="515"/>
      <c r="AB28" s="513"/>
      <c r="AC28" s="513"/>
      <c r="AD28" s="513"/>
      <c r="AE28" s="516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17"/>
    </row>
    <row r="29" spans="1:74" ht="31.5" x14ac:dyDescent="0.25">
      <c r="A29" s="511" t="s">
        <v>1224</v>
      </c>
      <c r="B29" s="519" t="s">
        <v>17</v>
      </c>
      <c r="C29" s="512"/>
      <c r="D29" s="28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4"/>
      <c r="AA29" s="515"/>
      <c r="AB29" s="513"/>
      <c r="AC29" s="513"/>
      <c r="AD29" s="513"/>
      <c r="AE29" s="516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17"/>
    </row>
    <row r="30" spans="1:74" x14ac:dyDescent="0.25">
      <c r="A30" s="511" t="s">
        <v>1225</v>
      </c>
      <c r="B30" s="519" t="s">
        <v>18</v>
      </c>
      <c r="C30" s="512"/>
      <c r="D30" s="28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4"/>
      <c r="AA30" s="515"/>
      <c r="AB30" s="513"/>
      <c r="AC30" s="513"/>
      <c r="AD30" s="513"/>
      <c r="AE30" s="516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17"/>
    </row>
    <row r="31" spans="1:74" ht="31.5" x14ac:dyDescent="0.25">
      <c r="A31" s="511" t="s">
        <v>1226</v>
      </c>
      <c r="B31" s="519" t="s">
        <v>1227</v>
      </c>
      <c r="C31" s="512"/>
      <c r="D31" s="28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4"/>
      <c r="AA31" s="515"/>
      <c r="AB31" s="513"/>
      <c r="AC31" s="513"/>
      <c r="AD31" s="513"/>
      <c r="AE31" s="516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17"/>
    </row>
    <row r="32" spans="1:74" ht="31.5" x14ac:dyDescent="0.25">
      <c r="A32" s="511" t="s">
        <v>1228</v>
      </c>
      <c r="B32" s="519" t="s">
        <v>19</v>
      </c>
      <c r="C32" s="512"/>
      <c r="D32" s="28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4"/>
      <c r="AA32" s="515"/>
      <c r="AB32" s="513"/>
      <c r="AC32" s="513"/>
      <c r="AD32" s="513"/>
      <c r="AE32" s="516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7"/>
    </row>
    <row r="33" spans="1:74" x14ac:dyDescent="0.25">
      <c r="A33" s="511" t="s">
        <v>1229</v>
      </c>
      <c r="B33" s="519" t="s">
        <v>20</v>
      </c>
      <c r="C33" s="512"/>
      <c r="D33" s="28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4"/>
      <c r="AA33" s="515"/>
      <c r="AB33" s="513"/>
      <c r="AC33" s="513"/>
      <c r="AD33" s="513"/>
      <c r="AE33" s="516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3"/>
      <c r="AR33" s="513"/>
      <c r="AS33" s="513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3"/>
      <c r="BM33" s="513"/>
      <c r="BN33" s="513"/>
      <c r="BO33" s="513"/>
      <c r="BP33" s="513"/>
      <c r="BQ33" s="513"/>
      <c r="BR33" s="513"/>
      <c r="BS33" s="513"/>
      <c r="BT33" s="513"/>
      <c r="BU33" s="513"/>
      <c r="BV33" s="517"/>
    </row>
    <row r="34" spans="1:74" x14ac:dyDescent="0.25">
      <c r="A34" s="511" t="s">
        <v>1230</v>
      </c>
      <c r="B34" s="519" t="s">
        <v>21</v>
      </c>
      <c r="C34" s="512"/>
      <c r="D34" s="28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4"/>
      <c r="AA34" s="515"/>
      <c r="AB34" s="513"/>
      <c r="AC34" s="513"/>
      <c r="AD34" s="513"/>
      <c r="AE34" s="516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3"/>
      <c r="BR34" s="513"/>
      <c r="BS34" s="513"/>
      <c r="BT34" s="513"/>
      <c r="BU34" s="513"/>
      <c r="BV34" s="517"/>
    </row>
    <row r="35" spans="1:74" ht="31.5" x14ac:dyDescent="0.25">
      <c r="A35" s="511" t="s">
        <v>1231</v>
      </c>
      <c r="B35" s="519" t="s">
        <v>22</v>
      </c>
      <c r="C35" s="512"/>
      <c r="D35" s="28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4"/>
      <c r="AA35" s="515"/>
      <c r="AB35" s="513"/>
      <c r="AC35" s="513"/>
      <c r="AD35" s="513"/>
      <c r="AE35" s="516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3"/>
      <c r="BT35" s="513"/>
      <c r="BU35" s="513"/>
      <c r="BV35" s="517"/>
    </row>
    <row r="36" spans="1:74" x14ac:dyDescent="0.25">
      <c r="A36" s="511">
        <v>8</v>
      </c>
      <c r="B36" s="518" t="s">
        <v>1232</v>
      </c>
      <c r="C36" s="520"/>
      <c r="D36" s="521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4"/>
      <c r="AA36" s="515"/>
      <c r="AB36" s="513"/>
      <c r="AC36" s="513"/>
      <c r="AD36" s="513"/>
      <c r="AE36" s="516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513"/>
      <c r="BR36" s="513"/>
      <c r="BS36" s="513"/>
      <c r="BT36" s="513"/>
      <c r="BU36" s="513"/>
      <c r="BV36" s="517"/>
    </row>
    <row r="37" spans="1:74" x14ac:dyDescent="0.25">
      <c r="A37" s="511">
        <v>9</v>
      </c>
      <c r="B37" s="518" t="s">
        <v>1233</v>
      </c>
      <c r="C37" s="520"/>
      <c r="D37" s="521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4"/>
      <c r="AA37" s="515"/>
      <c r="AB37" s="513"/>
      <c r="AC37" s="513"/>
      <c r="AD37" s="513"/>
      <c r="AE37" s="516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7"/>
    </row>
    <row r="38" spans="1:74" x14ac:dyDescent="0.25">
      <c r="A38" s="511" t="s">
        <v>1234</v>
      </c>
      <c r="B38" s="519" t="s">
        <v>1235</v>
      </c>
      <c r="C38" s="512"/>
      <c r="D38" s="28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4"/>
      <c r="AA38" s="515"/>
      <c r="AB38" s="513"/>
      <c r="AC38" s="513"/>
      <c r="AD38" s="513"/>
      <c r="AE38" s="516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3"/>
      <c r="AR38" s="513"/>
      <c r="AS38" s="513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/>
      <c r="BN38" s="513"/>
      <c r="BO38" s="513"/>
      <c r="BP38" s="513"/>
      <c r="BQ38" s="513"/>
      <c r="BR38" s="513"/>
      <c r="BS38" s="513"/>
      <c r="BT38" s="513"/>
      <c r="BU38" s="513"/>
      <c r="BV38" s="517"/>
    </row>
    <row r="39" spans="1:74" ht="16.5" thickBot="1" x14ac:dyDescent="0.3">
      <c r="A39" s="522" t="s">
        <v>1236</v>
      </c>
      <c r="B39" s="523" t="s">
        <v>1237</v>
      </c>
      <c r="C39" s="524"/>
      <c r="D39" s="525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7"/>
      <c r="AA39" s="528"/>
      <c r="AB39" s="526"/>
      <c r="AC39" s="526"/>
      <c r="AD39" s="526"/>
      <c r="AE39" s="529"/>
      <c r="AF39" s="526"/>
      <c r="AG39" s="526"/>
      <c r="AH39" s="526"/>
      <c r="AI39" s="526"/>
      <c r="AJ39" s="526"/>
      <c r="AK39" s="526"/>
      <c r="AL39" s="526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30"/>
    </row>
  </sheetData>
  <mergeCells count="28">
    <mergeCell ref="BO9:BR9"/>
    <mergeCell ref="AU9:AX9"/>
    <mergeCell ref="AY9:BB9"/>
    <mergeCell ref="BC9:BF9"/>
    <mergeCell ref="BG9:BJ9"/>
    <mergeCell ref="BK9:BN9"/>
    <mergeCell ref="A8:A9"/>
    <mergeCell ref="B8:B9"/>
    <mergeCell ref="C8:Z8"/>
    <mergeCell ref="AA8:BV8"/>
    <mergeCell ref="C9:F9"/>
    <mergeCell ref="G9:J9"/>
    <mergeCell ref="K9:N9"/>
    <mergeCell ref="O9:R9"/>
    <mergeCell ref="S9:V9"/>
    <mergeCell ref="W9:Z9"/>
    <mergeCell ref="BS9:BV9"/>
    <mergeCell ref="AA9:AD9"/>
    <mergeCell ref="AE9:AH9"/>
    <mergeCell ref="AI9:AL9"/>
    <mergeCell ref="AM9:AP9"/>
    <mergeCell ref="AQ9:AT9"/>
    <mergeCell ref="BK1:BV1"/>
    <mergeCell ref="BK2:BV2"/>
    <mergeCell ref="BK3:BV3"/>
    <mergeCell ref="A4:BV4"/>
    <mergeCell ref="A5:BV5"/>
    <mergeCell ref="A6:BV6"/>
  </mergeCells>
  <printOptions horizontalCentered="1"/>
  <pageMargins left="0" right="0" top="0.74803149606299213" bottom="0.74803149606299213" header="0.31496062992125984" footer="0.31496062992125984"/>
  <pageSetup paperSize="8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workbookViewId="0">
      <pane ySplit="13" topLeftCell="A99" activePane="bottomLeft" state="frozen"/>
      <selection pane="bottomLeft" sqref="A1:P114"/>
    </sheetView>
  </sheetViews>
  <sheetFormatPr defaultRowHeight="15" outlineLevelCol="1" x14ac:dyDescent="0.25"/>
  <cols>
    <col min="2" max="2" width="33.28515625" customWidth="1" outlineLevel="1"/>
    <col min="3" max="3" width="40" customWidth="1"/>
    <col min="4" max="4" width="16.7109375" customWidth="1" outlineLevel="1"/>
    <col min="5" max="5" width="16.140625" customWidth="1" outlineLevel="1"/>
    <col min="6" max="6" width="13.5703125" customWidth="1" outlineLevel="1"/>
    <col min="7" max="7" width="16.85546875" customWidth="1" outlineLevel="1"/>
    <col min="8" max="8" width="16.28515625" customWidth="1" outlineLevel="1"/>
    <col min="9" max="9" width="13.5703125" customWidth="1" outlineLevel="1"/>
    <col min="10" max="10" width="15.140625" customWidth="1" outlineLevel="1"/>
    <col min="11" max="11" width="17.7109375" customWidth="1" outlineLevel="1"/>
    <col min="12" max="12" width="25.140625" customWidth="1"/>
    <col min="13" max="13" width="15.28515625" customWidth="1"/>
    <col min="14" max="14" width="25.85546875" customWidth="1"/>
    <col min="15" max="15" width="15.28515625" customWidth="1"/>
    <col min="16" max="16" width="28.5703125" customWidth="1"/>
    <col min="17" max="17" width="12.140625" customWidth="1"/>
  </cols>
  <sheetData>
    <row r="1" spans="1:17" ht="87" customHeight="1" x14ac:dyDescent="0.25">
      <c r="A1" s="660" t="s">
        <v>48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7" ht="15.75" customHeight="1" x14ac:dyDescent="0.25">
      <c r="A2" s="5" t="s">
        <v>31</v>
      </c>
      <c r="B2" s="697" t="s">
        <v>24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</row>
    <row r="3" spans="1:17" ht="15.75" x14ac:dyDescent="0.25">
      <c r="A3" s="5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</row>
    <row r="4" spans="1:17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.75" x14ac:dyDescent="0.25">
      <c r="A5" s="6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"/>
      <c r="P6" s="2"/>
    </row>
    <row r="7" spans="1:17" ht="15.75" x14ac:dyDescent="0.25">
      <c r="A7" s="6" t="s">
        <v>34</v>
      </c>
      <c r="B7" s="7"/>
      <c r="C7" s="7"/>
      <c r="D7" s="7"/>
      <c r="E7" s="7"/>
      <c r="F7" s="7"/>
      <c r="G7" s="7"/>
      <c r="H7" s="7"/>
      <c r="I7" s="7"/>
      <c r="J7" s="7"/>
      <c r="K7" s="7"/>
      <c r="L7" s="2"/>
      <c r="M7" s="2"/>
      <c r="N7" s="2"/>
      <c r="O7" s="2"/>
      <c r="P7" s="2"/>
    </row>
    <row r="8" spans="1:17" ht="15.75" x14ac:dyDescent="0.25">
      <c r="A8" s="6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"/>
      <c r="P8" s="2"/>
    </row>
    <row r="9" spans="1:17" ht="15.75" x14ac:dyDescent="0.25">
      <c r="A9" s="6" t="s">
        <v>47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/>
      <c r="P9" s="2"/>
    </row>
    <row r="10" spans="1:17" ht="38.25" customHeight="1" x14ac:dyDescent="0.25">
      <c r="A10" s="148" t="s">
        <v>235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49">
        <f>(F85-F84)/30.5</f>
        <v>1</v>
      </c>
      <c r="M10" s="702" t="s">
        <v>36</v>
      </c>
      <c r="N10" s="702"/>
      <c r="O10" s="702"/>
      <c r="P10" s="702"/>
    </row>
    <row r="11" spans="1:17" ht="15.75" x14ac:dyDescent="0.25">
      <c r="A11" s="6" t="s">
        <v>46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1">
        <f>НМЦ!C5</f>
        <v>16.5</v>
      </c>
      <c r="M11" s="703" t="s">
        <v>155</v>
      </c>
      <c r="N11" s="703"/>
      <c r="O11" s="703"/>
      <c r="P11" s="703"/>
    </row>
    <row r="12" spans="1:17" ht="131.25" customHeight="1" x14ac:dyDescent="0.25">
      <c r="A12" s="704" t="s">
        <v>23</v>
      </c>
      <c r="B12" s="704" t="s">
        <v>1</v>
      </c>
      <c r="C12" s="698" t="s">
        <v>37</v>
      </c>
      <c r="D12" s="698" t="s">
        <v>81</v>
      </c>
      <c r="E12" s="700" t="s">
        <v>26</v>
      </c>
      <c r="F12" s="698" t="s">
        <v>82</v>
      </c>
      <c r="G12" s="698" t="s">
        <v>30</v>
      </c>
      <c r="H12" s="700" t="s">
        <v>83</v>
      </c>
      <c r="I12" s="700" t="s">
        <v>84</v>
      </c>
      <c r="J12" s="151" t="s">
        <v>858</v>
      </c>
      <c r="K12" s="698" t="s">
        <v>30</v>
      </c>
      <c r="L12" s="700" t="s">
        <v>1157</v>
      </c>
      <c r="M12" s="700" t="s">
        <v>38</v>
      </c>
      <c r="N12" s="700" t="s">
        <v>39</v>
      </c>
      <c r="O12" s="700" t="s">
        <v>40</v>
      </c>
      <c r="P12" s="700" t="s">
        <v>41</v>
      </c>
    </row>
    <row r="13" spans="1:17" ht="21.75" customHeight="1" x14ac:dyDescent="0.25">
      <c r="A13" s="705"/>
      <c r="B13" s="705"/>
      <c r="C13" s="699"/>
      <c r="D13" s="699"/>
      <c r="E13" s="701"/>
      <c r="F13" s="699"/>
      <c r="G13" s="699"/>
      <c r="H13" s="701"/>
      <c r="I13" s="701"/>
      <c r="J13" s="152"/>
      <c r="K13" s="699"/>
      <c r="L13" s="701"/>
      <c r="M13" s="701"/>
      <c r="N13" s="701"/>
      <c r="O13" s="701"/>
      <c r="P13" s="701"/>
    </row>
    <row r="14" spans="1:17" ht="15.75" x14ac:dyDescent="0.25">
      <c r="A14" s="30">
        <v>1</v>
      </c>
      <c r="B14" s="18"/>
      <c r="C14" s="8">
        <v>2</v>
      </c>
      <c r="D14" s="8"/>
      <c r="E14" s="8"/>
      <c r="F14" s="8"/>
      <c r="G14" s="8"/>
      <c r="H14" s="8"/>
      <c r="I14" s="8"/>
      <c r="J14" s="8"/>
      <c r="K14" s="8"/>
      <c r="L14" s="9">
        <v>3</v>
      </c>
      <c r="M14" s="8">
        <v>4</v>
      </c>
      <c r="N14" s="8">
        <v>5</v>
      </c>
      <c r="O14" s="8">
        <v>6</v>
      </c>
      <c r="P14" s="8">
        <v>7</v>
      </c>
    </row>
    <row r="15" spans="1:17" ht="47.25" x14ac:dyDescent="0.25">
      <c r="A15" s="19">
        <v>1</v>
      </c>
      <c r="B15" s="19"/>
      <c r="C15" s="20" t="s">
        <v>161</v>
      </c>
      <c r="D15" s="71"/>
      <c r="E15" s="71"/>
      <c r="F15" s="71"/>
      <c r="G15" s="71"/>
      <c r="H15" s="71"/>
      <c r="I15" s="71"/>
      <c r="J15" s="71"/>
      <c r="K15" s="71"/>
      <c r="L15" s="71">
        <f>L16+L17+L18</f>
        <v>4901307.2</v>
      </c>
      <c r="M15" s="14"/>
      <c r="N15" s="71">
        <f>N16+N17+N18</f>
        <v>4901307.2</v>
      </c>
      <c r="O15" s="14"/>
      <c r="P15" s="71">
        <f>P16+P17+P18</f>
        <v>4913070.33</v>
      </c>
      <c r="Q15" s="10"/>
    </row>
    <row r="16" spans="1:17" ht="15.75" x14ac:dyDescent="0.25">
      <c r="A16" s="23" t="s">
        <v>52</v>
      </c>
      <c r="B16" s="31" t="s">
        <v>77</v>
      </c>
      <c r="C16" s="341" t="s">
        <v>1130</v>
      </c>
      <c r="D16" s="340"/>
      <c r="E16" s="340"/>
      <c r="F16" s="340"/>
      <c r="G16" s="340"/>
      <c r="H16" s="340"/>
      <c r="I16" s="340"/>
      <c r="J16" s="340"/>
      <c r="K16" s="340"/>
      <c r="L16" s="346">
        <f>'Сводная ПИР'!G13+'Сводная ПИР'!G14+'Сводная ПИР'!G15</f>
        <v>985343.32</v>
      </c>
      <c r="M16" s="116">
        <f>$F$79</f>
        <v>1</v>
      </c>
      <c r="N16" s="346">
        <f>L16*M16</f>
        <v>985343.32</v>
      </c>
      <c r="O16" s="116">
        <f>$F$89</f>
        <v>1.0024</v>
      </c>
      <c r="P16" s="346">
        <f>N16*O16</f>
        <v>987708.14</v>
      </c>
      <c r="Q16" s="10"/>
    </row>
    <row r="17" spans="1:17" ht="110.25" x14ac:dyDescent="0.25">
      <c r="A17" s="23" t="s">
        <v>1129</v>
      </c>
      <c r="B17" s="32" t="s">
        <v>1131</v>
      </c>
      <c r="C17" s="341" t="s">
        <v>1137</v>
      </c>
      <c r="D17" s="340"/>
      <c r="E17" s="340"/>
      <c r="F17" s="340"/>
      <c r="G17" s="340"/>
      <c r="H17" s="340"/>
      <c r="I17" s="340"/>
      <c r="J17" s="340"/>
      <c r="K17" s="340"/>
      <c r="L17" s="346">
        <f>L16*0.1</f>
        <v>98534.33</v>
      </c>
      <c r="M17" s="116">
        <f>$F$79</f>
        <v>1</v>
      </c>
      <c r="N17" s="346">
        <f>L17*M17</f>
        <v>98534.33</v>
      </c>
      <c r="O17" s="116">
        <f>$F$89</f>
        <v>1.0024</v>
      </c>
      <c r="P17" s="346">
        <f>N17*O17</f>
        <v>98770.81</v>
      </c>
      <c r="Q17" s="10"/>
    </row>
    <row r="18" spans="1:17" ht="31.5" x14ac:dyDescent="0.25">
      <c r="A18" s="23" t="s">
        <v>1132</v>
      </c>
      <c r="B18" s="31" t="s">
        <v>77</v>
      </c>
      <c r="C18" s="11" t="s">
        <v>160</v>
      </c>
      <c r="D18" s="73"/>
      <c r="E18" s="73"/>
      <c r="F18" s="73"/>
      <c r="G18" s="73"/>
      <c r="H18" s="73"/>
      <c r="I18" s="73"/>
      <c r="J18" s="73"/>
      <c r="K18" s="73"/>
      <c r="L18" s="3">
        <f>'Сводная ПИР'!G22</f>
        <v>3817429.55</v>
      </c>
      <c r="M18" s="116">
        <f>$F$79</f>
        <v>1</v>
      </c>
      <c r="N18" s="3">
        <f t="shared" ref="N18" si="0">L18*M18</f>
        <v>3817429.55</v>
      </c>
      <c r="O18" s="116">
        <f>$F$89</f>
        <v>1.0024</v>
      </c>
      <c r="P18" s="3">
        <f>N18*O18</f>
        <v>3826591.38</v>
      </c>
    </row>
    <row r="19" spans="1:17" ht="31.5" x14ac:dyDescent="0.25">
      <c r="A19" s="19">
        <v>2</v>
      </c>
      <c r="B19" s="19"/>
      <c r="C19" s="20" t="s">
        <v>50</v>
      </c>
      <c r="D19" s="71">
        <f t="shared" ref="D19:L19" si="1">D20+D21</f>
        <v>0</v>
      </c>
      <c r="E19" s="71">
        <f t="shared" si="1"/>
        <v>0</v>
      </c>
      <c r="F19" s="71">
        <f t="shared" si="1"/>
        <v>0</v>
      </c>
      <c r="G19" s="71">
        <f t="shared" si="1"/>
        <v>0</v>
      </c>
      <c r="H19" s="71">
        <f t="shared" si="1"/>
        <v>0</v>
      </c>
      <c r="I19" s="71">
        <f t="shared" si="1"/>
        <v>0</v>
      </c>
      <c r="J19" s="71"/>
      <c r="K19" s="71">
        <f t="shared" si="1"/>
        <v>0</v>
      </c>
      <c r="L19" s="71">
        <f t="shared" si="1"/>
        <v>16563455.720000001</v>
      </c>
      <c r="M19" s="14"/>
      <c r="N19" s="71">
        <f>N20+N21</f>
        <v>16563455.720000001</v>
      </c>
      <c r="O19" s="14"/>
      <c r="P19" s="71">
        <f>P20+P21</f>
        <v>16719152.199999999</v>
      </c>
      <c r="Q19" s="10"/>
    </row>
    <row r="20" spans="1:17" ht="15.75" x14ac:dyDescent="0.25">
      <c r="A20" s="23" t="s">
        <v>53</v>
      </c>
      <c r="B20" s="31" t="s">
        <v>77</v>
      </c>
      <c r="C20" s="22" t="s">
        <v>51</v>
      </c>
      <c r="D20" s="73"/>
      <c r="E20" s="73"/>
      <c r="F20" s="73"/>
      <c r="G20" s="73"/>
      <c r="H20" s="73"/>
      <c r="I20" s="73"/>
      <c r="J20" s="73"/>
      <c r="K20" s="73"/>
      <c r="L20" s="118">
        <f>РД!E586</f>
        <v>16081024.970000001</v>
      </c>
      <c r="M20" s="116">
        <f>$F$79</f>
        <v>1</v>
      </c>
      <c r="N20" s="3">
        <f t="shared" ref="N20:N21" si="2">L20*M20</f>
        <v>16081024.970000001</v>
      </c>
      <c r="O20" s="117">
        <f>$F$98</f>
        <v>1.0094000000000001</v>
      </c>
      <c r="P20" s="118">
        <f>N20*O20</f>
        <v>16232186.6</v>
      </c>
      <c r="Q20" s="10"/>
    </row>
    <row r="21" spans="1:17" ht="141.75" x14ac:dyDescent="0.25">
      <c r="A21" s="23" t="s">
        <v>54</v>
      </c>
      <c r="B21" s="32" t="s">
        <v>78</v>
      </c>
      <c r="C21" s="11" t="s">
        <v>42</v>
      </c>
      <c r="D21" s="72"/>
      <c r="E21" s="72"/>
      <c r="F21" s="72"/>
      <c r="G21" s="72"/>
      <c r="H21" s="72"/>
      <c r="I21" s="72"/>
      <c r="J21" s="72"/>
      <c r="K21" s="72"/>
      <c r="L21" s="3">
        <f>L20*3%</f>
        <v>482430.75</v>
      </c>
      <c r="M21" s="116">
        <f>$F$79</f>
        <v>1</v>
      </c>
      <c r="N21" s="3">
        <f t="shared" si="2"/>
        <v>482430.75</v>
      </c>
      <c r="O21" s="117">
        <f>$F$98</f>
        <v>1.0094000000000001</v>
      </c>
      <c r="P21" s="118">
        <f>N21*O21</f>
        <v>486965.6</v>
      </c>
      <c r="Q21" s="10"/>
    </row>
    <row r="22" spans="1:17" ht="33" customHeight="1" x14ac:dyDescent="0.25">
      <c r="A22" s="24" t="s">
        <v>3</v>
      </c>
      <c r="B22" s="19"/>
      <c r="C22" s="15" t="s">
        <v>49</v>
      </c>
      <c r="D22" s="14">
        <f t="shared" ref="D22:K22" si="3">D23+D24+D25+D26+D31+D32+D41+D45+D48+D49+D50+D51+D52+D53+D54+D55+D56+D57+D58+D59+D70</f>
        <v>739178497.49000001</v>
      </c>
      <c r="E22" s="14">
        <f t="shared" si="3"/>
        <v>669058220.09000003</v>
      </c>
      <c r="F22" s="14">
        <f t="shared" si="3"/>
        <v>0</v>
      </c>
      <c r="G22" s="14">
        <f t="shared" si="3"/>
        <v>1408236717.5799999</v>
      </c>
      <c r="H22" s="14">
        <f t="shared" si="3"/>
        <v>22914533.41</v>
      </c>
      <c r="I22" s="14">
        <f t="shared" si="3"/>
        <v>3810465.15</v>
      </c>
      <c r="J22" s="14">
        <f t="shared" si="3"/>
        <v>-3437180</v>
      </c>
      <c r="K22" s="14">
        <f t="shared" si="3"/>
        <v>1431524536.1400001</v>
      </c>
      <c r="L22" s="14">
        <f>L23+L24+L25+L26+L31+L32+L41+L45+L48+L49+L50+L51+L52+L53+L54+L55+L56+L57+L58+L59+L60+L70</f>
        <v>1497065557.9100001</v>
      </c>
      <c r="M22" s="14"/>
      <c r="N22" s="14">
        <f>N23+N24+N25+N26+N31+N32+N41+N45+N48+N49+N50+N51+N52+N53+N54+N55+N56+N57+N58+N59+N60+N70</f>
        <v>1497065557.9100001</v>
      </c>
      <c r="O22" s="14"/>
      <c r="P22" s="14">
        <f>P23+P24+P25+P26+P31+P32+P41+P45+P48+P49+P50+P51+P52+P53+P54+P55+P56+P57+P58+P59+P60+P70</f>
        <v>1555600821.25</v>
      </c>
      <c r="Q22" s="10"/>
    </row>
    <row r="23" spans="1:17" ht="31.5" x14ac:dyDescent="0.25">
      <c r="A23" s="23" t="s">
        <v>55</v>
      </c>
      <c r="B23" s="33" t="s">
        <v>872</v>
      </c>
      <c r="C23" s="28" t="s">
        <v>2</v>
      </c>
      <c r="D23" s="184">
        <v>7901222.8700000001</v>
      </c>
      <c r="E23" s="74"/>
      <c r="F23" s="74"/>
      <c r="G23" s="76">
        <f>D23+E23+F23</f>
        <v>7901222.8700000001</v>
      </c>
      <c r="H23" s="76">
        <f>D23*0.031</f>
        <v>244937.91</v>
      </c>
      <c r="I23" s="76">
        <f>(D23+H23)*0.005</f>
        <v>40730.800000000003</v>
      </c>
      <c r="J23" s="76">
        <f>-H23*0.15</f>
        <v>-36740.69</v>
      </c>
      <c r="K23" s="76">
        <f>G23+H23+I23+J23</f>
        <v>8150150.8899999997</v>
      </c>
      <c r="L23" s="25">
        <f>K23</f>
        <v>8150150.8899999997</v>
      </c>
      <c r="M23" s="116">
        <f>$F$79</f>
        <v>1</v>
      </c>
      <c r="N23" s="3">
        <f t="shared" ref="N23:N25" si="4">L23*M23</f>
        <v>8150150.8899999997</v>
      </c>
      <c r="O23" s="116">
        <f>$F$114</f>
        <v>1.0390999999999999</v>
      </c>
      <c r="P23" s="3">
        <f>N23*O23</f>
        <v>8468821.7899999991</v>
      </c>
      <c r="Q23" s="10"/>
    </row>
    <row r="24" spans="1:17" ht="15.75" x14ac:dyDescent="0.25">
      <c r="A24" s="23" t="s">
        <v>56</v>
      </c>
      <c r="B24" s="33" t="s">
        <v>873</v>
      </c>
      <c r="C24" s="28" t="s">
        <v>79</v>
      </c>
      <c r="D24" s="74">
        <v>67589349.480000004</v>
      </c>
      <c r="E24" s="74"/>
      <c r="F24" s="74"/>
      <c r="G24" s="76">
        <f>D24+E24+F24</f>
        <v>67589349.480000004</v>
      </c>
      <c r="H24" s="76">
        <f>D24*0.031</f>
        <v>2095269.83</v>
      </c>
      <c r="I24" s="76">
        <f>(D24+H24)*0.005</f>
        <v>348423.1</v>
      </c>
      <c r="J24" s="76">
        <f>-H24*0.15</f>
        <v>-314290.46999999997</v>
      </c>
      <c r="K24" s="76">
        <f>G24+H24+I24+J24</f>
        <v>69718751.939999998</v>
      </c>
      <c r="L24" s="25">
        <f>K24</f>
        <v>69718751.939999998</v>
      </c>
      <c r="M24" s="116">
        <f>$F$79</f>
        <v>1</v>
      </c>
      <c r="N24" s="3">
        <f t="shared" si="4"/>
        <v>69718751.939999998</v>
      </c>
      <c r="O24" s="116">
        <f>$F$114</f>
        <v>1.0390999999999999</v>
      </c>
      <c r="P24" s="3">
        <f t="shared" ref="P24:P25" si="5">N24*O24</f>
        <v>72444755.140000001</v>
      </c>
      <c r="Q24" s="10"/>
    </row>
    <row r="25" spans="1:17" ht="15.75" x14ac:dyDescent="0.25">
      <c r="A25" s="23" t="s">
        <v>57</v>
      </c>
      <c r="B25" s="33" t="s">
        <v>80</v>
      </c>
      <c r="C25" s="28" t="s">
        <v>4</v>
      </c>
      <c r="D25" s="74"/>
      <c r="E25" s="74"/>
      <c r="F25" s="74"/>
      <c r="G25" s="74"/>
      <c r="H25" s="74"/>
      <c r="I25" s="74"/>
      <c r="J25" s="74"/>
      <c r="K25" s="74"/>
      <c r="L25" s="3">
        <f>ГРО!I80</f>
        <v>1603192.5</v>
      </c>
      <c r="M25" s="116">
        <f>$F$79</f>
        <v>1</v>
      </c>
      <c r="N25" s="3">
        <f t="shared" si="4"/>
        <v>1603192.5</v>
      </c>
      <c r="O25" s="116">
        <f>$F$114</f>
        <v>1.0390999999999999</v>
      </c>
      <c r="P25" s="3">
        <f t="shared" si="5"/>
        <v>1665877.33</v>
      </c>
      <c r="Q25" s="10"/>
    </row>
    <row r="26" spans="1:17" ht="15.75" x14ac:dyDescent="0.25">
      <c r="A26" s="23" t="s">
        <v>58</v>
      </c>
      <c r="B26" s="33" t="s">
        <v>5</v>
      </c>
      <c r="C26" s="28" t="s">
        <v>6</v>
      </c>
      <c r="D26" s="74">
        <f>D27+D28+D29+D30</f>
        <v>227439317.90000001</v>
      </c>
      <c r="E26" s="74">
        <f>E27+E28+E29+E30</f>
        <v>1536767.27</v>
      </c>
      <c r="F26" s="74"/>
      <c r="G26" s="74">
        <f t="shared" ref="G26:L26" si="6">G27+G28+G29+G30</f>
        <v>228976085.16999999</v>
      </c>
      <c r="H26" s="74">
        <f t="shared" si="6"/>
        <v>7050618.8600000003</v>
      </c>
      <c r="I26" s="74">
        <f t="shared" si="6"/>
        <v>1172449.68</v>
      </c>
      <c r="J26" s="74">
        <f t="shared" si="6"/>
        <v>-1057592.83</v>
      </c>
      <c r="K26" s="74">
        <f t="shared" si="6"/>
        <v>236141560.88</v>
      </c>
      <c r="L26" s="185">
        <f t="shared" si="6"/>
        <v>236141560.88</v>
      </c>
      <c r="M26" s="25"/>
      <c r="N26" s="185">
        <f>N27+N28+N29+N30</f>
        <v>236141560.88</v>
      </c>
      <c r="O26" s="3"/>
      <c r="P26" s="185">
        <f>P27+P28+P29+P30</f>
        <v>245374695.91</v>
      </c>
      <c r="Q26" s="10"/>
    </row>
    <row r="27" spans="1:17" ht="15.75" x14ac:dyDescent="0.25">
      <c r="A27" s="26"/>
      <c r="B27" s="203" t="s">
        <v>804</v>
      </c>
      <c r="C27" s="29" t="s">
        <v>6</v>
      </c>
      <c r="D27" s="75">
        <v>186045998.40000001</v>
      </c>
      <c r="E27" s="75"/>
      <c r="F27" s="75"/>
      <c r="G27" s="77">
        <f>D27+E27+F27</f>
        <v>186045998.40000001</v>
      </c>
      <c r="H27" s="77">
        <f>D27*0.031</f>
        <v>5767425.9500000002</v>
      </c>
      <c r="I27" s="77">
        <f>(D27+H27)*0.005</f>
        <v>959067.12</v>
      </c>
      <c r="J27" s="77">
        <f t="shared" ref="J27:J30" si="7">-H27*0.15</f>
        <v>-865113.89</v>
      </c>
      <c r="K27" s="77">
        <f>G27+H27+I27+J27</f>
        <v>191907377.58000001</v>
      </c>
      <c r="L27" s="27">
        <f>K27</f>
        <v>191907377.58000001</v>
      </c>
      <c r="M27" s="186">
        <f>$F$79</f>
        <v>1</v>
      </c>
      <c r="N27" s="27">
        <f t="shared" ref="N27:N31" si="8">L27*M27</f>
        <v>191907377.58000001</v>
      </c>
      <c r="O27" s="186">
        <f>$F$114</f>
        <v>1.0390999999999999</v>
      </c>
      <c r="P27" s="27">
        <f t="shared" ref="P27:P31" si="9">N27*O27</f>
        <v>199410956.03999999</v>
      </c>
      <c r="Q27" s="10"/>
    </row>
    <row r="28" spans="1:17" ht="15.75" x14ac:dyDescent="0.25">
      <c r="A28" s="26"/>
      <c r="B28" s="203" t="s">
        <v>805</v>
      </c>
      <c r="C28" s="29" t="s">
        <v>27</v>
      </c>
      <c r="D28" s="75">
        <v>7331211.3300000001</v>
      </c>
      <c r="E28" s="75"/>
      <c r="F28" s="75"/>
      <c r="G28" s="77">
        <f>D28+E28+F28</f>
        <v>7331211.3300000001</v>
      </c>
      <c r="H28" s="77">
        <f>D28*0.031</f>
        <v>227267.55</v>
      </c>
      <c r="I28" s="77">
        <f>(D28+H28)*0.005</f>
        <v>37792.39</v>
      </c>
      <c r="J28" s="77">
        <f t="shared" si="7"/>
        <v>-34090.129999999997</v>
      </c>
      <c r="K28" s="77">
        <f>G28+H28+I28+J28</f>
        <v>7562181.1399999997</v>
      </c>
      <c r="L28" s="27">
        <f>K28</f>
        <v>7562181.1399999997</v>
      </c>
      <c r="M28" s="186">
        <f>$F$79</f>
        <v>1</v>
      </c>
      <c r="N28" s="27">
        <f t="shared" si="8"/>
        <v>7562181.1399999997</v>
      </c>
      <c r="O28" s="186">
        <f>$F$114</f>
        <v>1.0390999999999999</v>
      </c>
      <c r="P28" s="27">
        <f t="shared" si="9"/>
        <v>7857862.4199999999</v>
      </c>
      <c r="Q28" s="10"/>
    </row>
    <row r="29" spans="1:17" ht="15.75" x14ac:dyDescent="0.25">
      <c r="A29" s="26"/>
      <c r="B29" s="203" t="s">
        <v>806</v>
      </c>
      <c r="C29" s="29" t="s">
        <v>28</v>
      </c>
      <c r="D29" s="75">
        <v>32639642.52</v>
      </c>
      <c r="E29" s="75">
        <v>991741.42</v>
      </c>
      <c r="F29" s="75"/>
      <c r="G29" s="77">
        <f>D29+E29+F29</f>
        <v>33631383.939999998</v>
      </c>
      <c r="H29" s="77">
        <f>D29*0.031</f>
        <v>1011828.92</v>
      </c>
      <c r="I29" s="77">
        <f>(D29+H29)*0.005</f>
        <v>168257.36</v>
      </c>
      <c r="J29" s="77">
        <f t="shared" si="7"/>
        <v>-151774.34</v>
      </c>
      <c r="K29" s="77">
        <f>G29+H29+I29+J29</f>
        <v>34659695.880000003</v>
      </c>
      <c r="L29" s="27">
        <f>K29</f>
        <v>34659695.880000003</v>
      </c>
      <c r="M29" s="186">
        <f>$F$79</f>
        <v>1</v>
      </c>
      <c r="N29" s="27">
        <f t="shared" si="8"/>
        <v>34659695.880000003</v>
      </c>
      <c r="O29" s="186">
        <f>$F$114</f>
        <v>1.0390999999999999</v>
      </c>
      <c r="P29" s="27">
        <f t="shared" si="9"/>
        <v>36014889.990000002</v>
      </c>
      <c r="Q29" s="10"/>
    </row>
    <row r="30" spans="1:17" ht="15.75" x14ac:dyDescent="0.25">
      <c r="A30" s="26"/>
      <c r="B30" s="203" t="s">
        <v>807</v>
      </c>
      <c r="C30" s="29" t="s">
        <v>29</v>
      </c>
      <c r="D30" s="75">
        <v>1422465.65</v>
      </c>
      <c r="E30" s="75">
        <v>545025.85</v>
      </c>
      <c r="F30" s="75"/>
      <c r="G30" s="77">
        <f>D30+E30+F30</f>
        <v>1967491.5</v>
      </c>
      <c r="H30" s="77">
        <f>D30*0.031</f>
        <v>44096.44</v>
      </c>
      <c r="I30" s="77">
        <f>(D30+H30)*0.005</f>
        <v>7332.81</v>
      </c>
      <c r="J30" s="77">
        <f t="shared" si="7"/>
        <v>-6614.47</v>
      </c>
      <c r="K30" s="77">
        <f>G30+H30+I30+J30</f>
        <v>2012306.28</v>
      </c>
      <c r="L30" s="27">
        <f>K30</f>
        <v>2012306.28</v>
      </c>
      <c r="M30" s="186">
        <f>$F$79</f>
        <v>1</v>
      </c>
      <c r="N30" s="27">
        <f t="shared" si="8"/>
        <v>2012306.28</v>
      </c>
      <c r="O30" s="186">
        <f>$F$114</f>
        <v>1.0390999999999999</v>
      </c>
      <c r="P30" s="27">
        <f t="shared" si="9"/>
        <v>2090987.46</v>
      </c>
      <c r="Q30" s="10"/>
    </row>
    <row r="31" spans="1:17" ht="31.5" x14ac:dyDescent="0.25">
      <c r="A31" s="23" t="s">
        <v>59</v>
      </c>
      <c r="B31" s="33" t="s">
        <v>808</v>
      </c>
      <c r="C31" s="28" t="s">
        <v>9</v>
      </c>
      <c r="D31" s="74">
        <v>102746920.36</v>
      </c>
      <c r="E31" s="74"/>
      <c r="F31" s="74"/>
      <c r="G31" s="76">
        <f>D31+E31+F31</f>
        <v>102746920.36</v>
      </c>
      <c r="H31" s="76">
        <f>D31*0.031</f>
        <v>3185154.53</v>
      </c>
      <c r="I31" s="76">
        <f>(D31+H31)*0.005</f>
        <v>529660.37</v>
      </c>
      <c r="J31" s="76">
        <f>-H31*0.15</f>
        <v>-477773.18</v>
      </c>
      <c r="K31" s="76">
        <f>G31+H31+I31+J31</f>
        <v>105983962.08</v>
      </c>
      <c r="L31" s="25">
        <f>K31</f>
        <v>105983962.08</v>
      </c>
      <c r="M31" s="116">
        <f>$F$79</f>
        <v>1</v>
      </c>
      <c r="N31" s="3">
        <f t="shared" si="8"/>
        <v>105983962.08</v>
      </c>
      <c r="O31" s="116">
        <f>$F$114</f>
        <v>1.0390999999999999</v>
      </c>
      <c r="P31" s="3">
        <f t="shared" si="9"/>
        <v>110127935</v>
      </c>
      <c r="Q31" s="10"/>
    </row>
    <row r="32" spans="1:17" ht="31.5" x14ac:dyDescent="0.25">
      <c r="A32" s="23" t="s">
        <v>60</v>
      </c>
      <c r="B32" s="33" t="s">
        <v>7</v>
      </c>
      <c r="C32" s="28" t="s">
        <v>8</v>
      </c>
      <c r="D32" s="74">
        <f>D33+D34+D35+D36+D37+D38+D39+D40</f>
        <v>56734393.659999996</v>
      </c>
      <c r="E32" s="74">
        <f>E33+E34+E35+E36+E37+E38+E39+E40</f>
        <v>266838960.96000001</v>
      </c>
      <c r="F32" s="74"/>
      <c r="G32" s="74">
        <f t="shared" ref="G32:L32" si="10">G33+G34+G35+G36+G37+G38+G39+G40</f>
        <v>323573354.62</v>
      </c>
      <c r="H32" s="74">
        <f t="shared" si="10"/>
        <v>1758766.2</v>
      </c>
      <c r="I32" s="74">
        <f t="shared" si="10"/>
        <v>292465.8</v>
      </c>
      <c r="J32" s="74">
        <f t="shared" si="10"/>
        <v>-263814.94</v>
      </c>
      <c r="K32" s="74">
        <f t="shared" si="10"/>
        <v>325360771.68000001</v>
      </c>
      <c r="L32" s="185">
        <f t="shared" si="10"/>
        <v>325360771.68000001</v>
      </c>
      <c r="M32" s="25"/>
      <c r="N32" s="185">
        <f>N33+N34+N35+N36+N37+N38+N39+N40</f>
        <v>325360771.68000001</v>
      </c>
      <c r="O32" s="3"/>
      <c r="P32" s="185">
        <f>P33+P34+P35+P36+P37+P38+P39+P40</f>
        <v>338082377.85000002</v>
      </c>
      <c r="Q32" s="10"/>
    </row>
    <row r="33" spans="1:17" ht="15.75" x14ac:dyDescent="0.25">
      <c r="A33" s="26"/>
      <c r="B33" s="203" t="s">
        <v>809</v>
      </c>
      <c r="C33" s="29" t="s">
        <v>85</v>
      </c>
      <c r="D33" s="75">
        <f>5215086.59+379826.74</f>
        <v>5594913.3300000001</v>
      </c>
      <c r="E33" s="75">
        <v>266201371.33000001</v>
      </c>
      <c r="F33" s="75"/>
      <c r="G33" s="77">
        <f t="shared" ref="G33:G40" si="11">D33+E33+F33</f>
        <v>271796284.66000003</v>
      </c>
      <c r="H33" s="77">
        <f t="shared" ref="H33:H40" si="12">D33*0.031</f>
        <v>173442.31</v>
      </c>
      <c r="I33" s="77">
        <f t="shared" ref="I33:I40" si="13">(D33+H33)*0.005</f>
        <v>28841.78</v>
      </c>
      <c r="J33" s="77">
        <f t="shared" ref="J33:J40" si="14">-H33*0.15</f>
        <v>-26016.35</v>
      </c>
      <c r="K33" s="77">
        <f t="shared" ref="K33:K40" si="15">G33+H33+I33+J33</f>
        <v>271972552.39999998</v>
      </c>
      <c r="L33" s="27">
        <f t="shared" ref="L33:L40" si="16">K33</f>
        <v>271972552.39999998</v>
      </c>
      <c r="M33" s="186">
        <f t="shared" ref="M33:M40" si="17">$F$79</f>
        <v>1</v>
      </c>
      <c r="N33" s="27">
        <f t="shared" ref="N33:N40" si="18">L33*M33</f>
        <v>271972552.39999998</v>
      </c>
      <c r="O33" s="186">
        <f t="shared" ref="O33:O40" si="19">$F$114</f>
        <v>1.0390999999999999</v>
      </c>
      <c r="P33" s="27">
        <f t="shared" ref="P33:P40" si="20">N33*O33</f>
        <v>282606679.19999999</v>
      </c>
      <c r="Q33" s="10"/>
    </row>
    <row r="34" spans="1:17" ht="31.5" x14ac:dyDescent="0.25">
      <c r="A34" s="26"/>
      <c r="B34" s="203" t="s">
        <v>810</v>
      </c>
      <c r="C34" s="29" t="s">
        <v>91</v>
      </c>
      <c r="D34" s="75">
        <v>1052738</v>
      </c>
      <c r="E34" s="75"/>
      <c r="F34" s="75"/>
      <c r="G34" s="77">
        <f t="shared" si="11"/>
        <v>1052738</v>
      </c>
      <c r="H34" s="77">
        <f t="shared" si="12"/>
        <v>32634.880000000001</v>
      </c>
      <c r="I34" s="77">
        <f t="shared" si="13"/>
        <v>5426.86</v>
      </c>
      <c r="J34" s="77">
        <f t="shared" si="14"/>
        <v>-4895.2299999999996</v>
      </c>
      <c r="K34" s="77">
        <f t="shared" si="15"/>
        <v>1085904.51</v>
      </c>
      <c r="L34" s="27">
        <f t="shared" si="16"/>
        <v>1085904.51</v>
      </c>
      <c r="M34" s="186">
        <f t="shared" si="17"/>
        <v>1</v>
      </c>
      <c r="N34" s="27">
        <f t="shared" si="18"/>
        <v>1085904.51</v>
      </c>
      <c r="O34" s="186">
        <f t="shared" si="19"/>
        <v>1.0390999999999999</v>
      </c>
      <c r="P34" s="27">
        <f t="shared" si="20"/>
        <v>1128363.3799999999</v>
      </c>
      <c r="Q34" s="10"/>
    </row>
    <row r="35" spans="1:17" ht="15.75" x14ac:dyDescent="0.25">
      <c r="A35" s="26"/>
      <c r="B35" s="203" t="s">
        <v>811</v>
      </c>
      <c r="C35" s="29" t="s">
        <v>794</v>
      </c>
      <c r="D35" s="75">
        <v>1529001.93</v>
      </c>
      <c r="E35" s="75">
        <v>14957.86</v>
      </c>
      <c r="F35" s="75"/>
      <c r="G35" s="77">
        <f t="shared" si="11"/>
        <v>1543959.79</v>
      </c>
      <c r="H35" s="77">
        <f t="shared" si="12"/>
        <v>47399.06</v>
      </c>
      <c r="I35" s="77">
        <f t="shared" si="13"/>
        <v>7882</v>
      </c>
      <c r="J35" s="77">
        <f t="shared" si="14"/>
        <v>-7109.86</v>
      </c>
      <c r="K35" s="77">
        <f t="shared" si="15"/>
        <v>1592130.99</v>
      </c>
      <c r="L35" s="27">
        <f t="shared" si="16"/>
        <v>1592130.99</v>
      </c>
      <c r="M35" s="186">
        <f t="shared" si="17"/>
        <v>1</v>
      </c>
      <c r="N35" s="27">
        <f t="shared" si="18"/>
        <v>1592130.99</v>
      </c>
      <c r="O35" s="186">
        <f t="shared" si="19"/>
        <v>1.0390999999999999</v>
      </c>
      <c r="P35" s="27">
        <f t="shared" si="20"/>
        <v>1654383.31</v>
      </c>
      <c r="Q35" s="10"/>
    </row>
    <row r="36" spans="1:17" ht="31.5" x14ac:dyDescent="0.25">
      <c r="A36" s="26"/>
      <c r="B36" s="203" t="s">
        <v>812</v>
      </c>
      <c r="C36" s="29" t="s">
        <v>86</v>
      </c>
      <c r="D36" s="75">
        <v>3144693.66</v>
      </c>
      <c r="E36" s="75"/>
      <c r="F36" s="75"/>
      <c r="G36" s="77">
        <f t="shared" si="11"/>
        <v>3144693.66</v>
      </c>
      <c r="H36" s="77">
        <f t="shared" si="12"/>
        <v>97485.5</v>
      </c>
      <c r="I36" s="77">
        <f t="shared" si="13"/>
        <v>16210.9</v>
      </c>
      <c r="J36" s="77">
        <f t="shared" si="14"/>
        <v>-14622.83</v>
      </c>
      <c r="K36" s="77">
        <f t="shared" si="15"/>
        <v>3243767.23</v>
      </c>
      <c r="L36" s="27">
        <f t="shared" si="16"/>
        <v>3243767.23</v>
      </c>
      <c r="M36" s="186">
        <f t="shared" si="17"/>
        <v>1</v>
      </c>
      <c r="N36" s="27">
        <f t="shared" si="18"/>
        <v>3243767.23</v>
      </c>
      <c r="O36" s="186">
        <f t="shared" si="19"/>
        <v>1.0390999999999999</v>
      </c>
      <c r="P36" s="27">
        <f t="shared" si="20"/>
        <v>3370598.53</v>
      </c>
      <c r="Q36" s="10"/>
    </row>
    <row r="37" spans="1:17" ht="31.5" x14ac:dyDescent="0.25">
      <c r="A37" s="26"/>
      <c r="B37" s="203" t="s">
        <v>813</v>
      </c>
      <c r="C37" s="29" t="s">
        <v>87</v>
      </c>
      <c r="D37" s="75">
        <v>5417877.6600000001</v>
      </c>
      <c r="E37" s="75"/>
      <c r="F37" s="75"/>
      <c r="G37" s="77">
        <f t="shared" si="11"/>
        <v>5417877.6600000001</v>
      </c>
      <c r="H37" s="77">
        <f t="shared" si="12"/>
        <v>167954.21</v>
      </c>
      <c r="I37" s="77">
        <f t="shared" si="13"/>
        <v>27929.16</v>
      </c>
      <c r="J37" s="77">
        <f t="shared" si="14"/>
        <v>-25193.13</v>
      </c>
      <c r="K37" s="77">
        <f t="shared" si="15"/>
        <v>5588567.9000000004</v>
      </c>
      <c r="L37" s="27">
        <f t="shared" si="16"/>
        <v>5588567.9000000004</v>
      </c>
      <c r="M37" s="186">
        <f t="shared" si="17"/>
        <v>1</v>
      </c>
      <c r="N37" s="27">
        <f t="shared" si="18"/>
        <v>5588567.9000000004</v>
      </c>
      <c r="O37" s="186">
        <f t="shared" si="19"/>
        <v>1.0390999999999999</v>
      </c>
      <c r="P37" s="27">
        <f t="shared" si="20"/>
        <v>5807080.9000000004</v>
      </c>
      <c r="Q37" s="10"/>
    </row>
    <row r="38" spans="1:17" ht="15.75" x14ac:dyDescent="0.25">
      <c r="A38" s="26"/>
      <c r="B38" s="203" t="s">
        <v>814</v>
      </c>
      <c r="C38" s="29" t="s">
        <v>88</v>
      </c>
      <c r="D38" s="75">
        <v>32489786.629999999</v>
      </c>
      <c r="E38" s="75"/>
      <c r="F38" s="75"/>
      <c r="G38" s="77">
        <f t="shared" si="11"/>
        <v>32489786.629999999</v>
      </c>
      <c r="H38" s="77">
        <f t="shared" si="12"/>
        <v>1007183.39</v>
      </c>
      <c r="I38" s="77">
        <f t="shared" si="13"/>
        <v>167484.85</v>
      </c>
      <c r="J38" s="77">
        <f t="shared" si="14"/>
        <v>-151077.51</v>
      </c>
      <c r="K38" s="77">
        <f t="shared" si="15"/>
        <v>33513377.359999999</v>
      </c>
      <c r="L38" s="27">
        <f t="shared" si="16"/>
        <v>33513377.359999999</v>
      </c>
      <c r="M38" s="186">
        <f t="shared" si="17"/>
        <v>1</v>
      </c>
      <c r="N38" s="27">
        <f t="shared" si="18"/>
        <v>33513377.359999999</v>
      </c>
      <c r="O38" s="186">
        <f t="shared" si="19"/>
        <v>1.0390999999999999</v>
      </c>
      <c r="P38" s="27">
        <f t="shared" si="20"/>
        <v>34823750.409999996</v>
      </c>
      <c r="Q38" s="10"/>
    </row>
    <row r="39" spans="1:17" ht="15.75" x14ac:dyDescent="0.25">
      <c r="A39" s="26"/>
      <c r="B39" s="203" t="s">
        <v>815</v>
      </c>
      <c r="C39" s="29" t="s">
        <v>89</v>
      </c>
      <c r="D39" s="75">
        <v>7397590.7199999997</v>
      </c>
      <c r="E39" s="75"/>
      <c r="F39" s="75"/>
      <c r="G39" s="77">
        <f t="shared" si="11"/>
        <v>7397590.7199999997</v>
      </c>
      <c r="H39" s="77">
        <f t="shared" si="12"/>
        <v>229325.31</v>
      </c>
      <c r="I39" s="77">
        <f t="shared" si="13"/>
        <v>38134.58</v>
      </c>
      <c r="J39" s="77">
        <f t="shared" si="14"/>
        <v>-34398.800000000003</v>
      </c>
      <c r="K39" s="77">
        <f t="shared" si="15"/>
        <v>7630651.8099999996</v>
      </c>
      <c r="L39" s="27">
        <f t="shared" si="16"/>
        <v>7630651.8099999996</v>
      </c>
      <c r="M39" s="186">
        <f t="shared" si="17"/>
        <v>1</v>
      </c>
      <c r="N39" s="27">
        <f t="shared" si="18"/>
        <v>7630651.8099999996</v>
      </c>
      <c r="O39" s="186">
        <f t="shared" si="19"/>
        <v>1.0390999999999999</v>
      </c>
      <c r="P39" s="27">
        <f t="shared" si="20"/>
        <v>7929010.2999999998</v>
      </c>
      <c r="Q39" s="10"/>
    </row>
    <row r="40" spans="1:17" ht="15.75" x14ac:dyDescent="0.25">
      <c r="A40" s="26"/>
      <c r="B40" s="203" t="s">
        <v>816</v>
      </c>
      <c r="C40" s="29" t="s">
        <v>90</v>
      </c>
      <c r="D40" s="75">
        <f>519.3+107272.43</f>
        <v>107791.73</v>
      </c>
      <c r="E40" s="75">
        <v>622631.77</v>
      </c>
      <c r="F40" s="75"/>
      <c r="G40" s="77">
        <f t="shared" si="11"/>
        <v>730423.5</v>
      </c>
      <c r="H40" s="77">
        <f t="shared" si="12"/>
        <v>3341.54</v>
      </c>
      <c r="I40" s="77">
        <f t="shared" si="13"/>
        <v>555.66999999999996</v>
      </c>
      <c r="J40" s="77">
        <f t="shared" si="14"/>
        <v>-501.23</v>
      </c>
      <c r="K40" s="77">
        <f t="shared" si="15"/>
        <v>733819.48</v>
      </c>
      <c r="L40" s="27">
        <f t="shared" si="16"/>
        <v>733819.48</v>
      </c>
      <c r="M40" s="186">
        <f t="shared" si="17"/>
        <v>1</v>
      </c>
      <c r="N40" s="27">
        <f t="shared" si="18"/>
        <v>733819.48</v>
      </c>
      <c r="O40" s="186">
        <f t="shared" si="19"/>
        <v>1.0390999999999999</v>
      </c>
      <c r="P40" s="27">
        <f t="shared" si="20"/>
        <v>762511.82</v>
      </c>
      <c r="Q40" s="10"/>
    </row>
    <row r="41" spans="1:17" ht="47.25" x14ac:dyDescent="0.25">
      <c r="A41" s="23" t="s">
        <v>61</v>
      </c>
      <c r="B41" s="33" t="s">
        <v>10</v>
      </c>
      <c r="C41" s="28" t="s">
        <v>11</v>
      </c>
      <c r="D41" s="76">
        <f>D42+D43+D44</f>
        <v>4244659.9000000004</v>
      </c>
      <c r="E41" s="76">
        <f>E42+E43+E44</f>
        <v>400682491.86000001</v>
      </c>
      <c r="F41" s="76"/>
      <c r="G41" s="76">
        <f t="shared" ref="G41:L41" si="21">G42+G43+G44</f>
        <v>404927151.75999999</v>
      </c>
      <c r="H41" s="76">
        <f t="shared" si="21"/>
        <v>131584.45000000001</v>
      </c>
      <c r="I41" s="76">
        <f t="shared" si="21"/>
        <v>21881.23</v>
      </c>
      <c r="J41" s="76">
        <f t="shared" si="21"/>
        <v>-19737.669999999998</v>
      </c>
      <c r="K41" s="76">
        <f t="shared" si="21"/>
        <v>405060879.76999998</v>
      </c>
      <c r="L41" s="187">
        <f t="shared" si="21"/>
        <v>405060879.76999998</v>
      </c>
      <c r="M41" s="25"/>
      <c r="N41" s="187">
        <f>N42+N43+N44</f>
        <v>405060879.76999998</v>
      </c>
      <c r="O41" s="3"/>
      <c r="P41" s="187">
        <f>P42+P43+P44</f>
        <v>420898760.17000002</v>
      </c>
      <c r="Q41" s="10"/>
    </row>
    <row r="42" spans="1:17" ht="31.5" x14ac:dyDescent="0.25">
      <c r="A42" s="26"/>
      <c r="B42" s="203" t="s">
        <v>817</v>
      </c>
      <c r="C42" s="29" t="s">
        <v>92</v>
      </c>
      <c r="D42" s="77">
        <v>3023603.66</v>
      </c>
      <c r="E42" s="77"/>
      <c r="F42" s="77"/>
      <c r="G42" s="77">
        <f>D42+E42+F42</f>
        <v>3023603.66</v>
      </c>
      <c r="H42" s="77">
        <f>D42*0.031</f>
        <v>93731.71</v>
      </c>
      <c r="I42" s="77">
        <f>(D42+H42)*0.005</f>
        <v>15586.68</v>
      </c>
      <c r="J42" s="77">
        <f t="shared" ref="J42:J44" si="22">-H42*0.15</f>
        <v>-14059.76</v>
      </c>
      <c r="K42" s="77">
        <f t="shared" ref="K42:K44" si="23">G42+H42+I42+J42</f>
        <v>3118862.29</v>
      </c>
      <c r="L42" s="27">
        <f>K42</f>
        <v>3118862.29</v>
      </c>
      <c r="M42" s="186">
        <f>$F$79</f>
        <v>1</v>
      </c>
      <c r="N42" s="27">
        <f t="shared" ref="N42:N44" si="24">L42*M42</f>
        <v>3118862.29</v>
      </c>
      <c r="O42" s="186">
        <f>$F$114</f>
        <v>1.0390999999999999</v>
      </c>
      <c r="P42" s="27">
        <f t="shared" ref="P42:P44" si="25">N42*O42</f>
        <v>3240809.81</v>
      </c>
      <c r="Q42" s="10"/>
    </row>
    <row r="43" spans="1:17" ht="47.25" x14ac:dyDescent="0.25">
      <c r="A43" s="26"/>
      <c r="B43" s="203" t="s">
        <v>818</v>
      </c>
      <c r="C43" s="29" t="s">
        <v>93</v>
      </c>
      <c r="D43" s="77">
        <v>266866.28999999998</v>
      </c>
      <c r="E43" s="77">
        <v>400682491.86000001</v>
      </c>
      <c r="F43" s="77"/>
      <c r="G43" s="77">
        <f>D43+E43+F43</f>
        <v>400949358.14999998</v>
      </c>
      <c r="H43" s="77">
        <f>D43*0.031</f>
        <v>8272.85</v>
      </c>
      <c r="I43" s="77">
        <f>(D43+H43)*0.005</f>
        <v>1375.7</v>
      </c>
      <c r="J43" s="77">
        <f t="shared" si="22"/>
        <v>-1240.93</v>
      </c>
      <c r="K43" s="77">
        <f t="shared" si="23"/>
        <v>400957765.76999998</v>
      </c>
      <c r="L43" s="27">
        <f>K43</f>
        <v>400957765.76999998</v>
      </c>
      <c r="M43" s="186">
        <f>$F$79</f>
        <v>1</v>
      </c>
      <c r="N43" s="27">
        <f t="shared" si="24"/>
        <v>400957765.76999998</v>
      </c>
      <c r="O43" s="186">
        <f>$F$114</f>
        <v>1.0390999999999999</v>
      </c>
      <c r="P43" s="27">
        <f t="shared" si="25"/>
        <v>416635214.41000003</v>
      </c>
      <c r="Q43" s="10"/>
    </row>
    <row r="44" spans="1:17" ht="15.75" x14ac:dyDescent="0.25">
      <c r="A44" s="26"/>
      <c r="B44" s="203" t="s">
        <v>819</v>
      </c>
      <c r="C44" s="29" t="s">
        <v>94</v>
      </c>
      <c r="D44" s="77">
        <v>954189.95</v>
      </c>
      <c r="E44" s="77"/>
      <c r="F44" s="77"/>
      <c r="G44" s="77">
        <f>D44+E44+F44</f>
        <v>954189.95</v>
      </c>
      <c r="H44" s="77">
        <f>D44*0.031</f>
        <v>29579.89</v>
      </c>
      <c r="I44" s="77">
        <f>(D44+H44)*0.005</f>
        <v>4918.8500000000004</v>
      </c>
      <c r="J44" s="77">
        <f t="shared" si="22"/>
        <v>-4436.9799999999996</v>
      </c>
      <c r="K44" s="77">
        <f t="shared" si="23"/>
        <v>984251.71</v>
      </c>
      <c r="L44" s="27">
        <f>K44</f>
        <v>984251.71</v>
      </c>
      <c r="M44" s="186">
        <f>$F$79</f>
        <v>1</v>
      </c>
      <c r="N44" s="27">
        <f t="shared" si="24"/>
        <v>984251.71</v>
      </c>
      <c r="O44" s="186">
        <f>$F$114</f>
        <v>1.0390999999999999</v>
      </c>
      <c r="P44" s="27">
        <f t="shared" si="25"/>
        <v>1022735.95</v>
      </c>
      <c r="Q44" s="10"/>
    </row>
    <row r="45" spans="1:17" ht="15.75" x14ac:dyDescent="0.25">
      <c r="A45" s="23" t="s">
        <v>62</v>
      </c>
      <c r="B45" s="33" t="s">
        <v>12</v>
      </c>
      <c r="C45" s="28" t="s">
        <v>13</v>
      </c>
      <c r="D45" s="76">
        <f>D46+D47</f>
        <v>241308354.37</v>
      </c>
      <c r="E45" s="76"/>
      <c r="F45" s="76"/>
      <c r="G45" s="76">
        <f t="shared" ref="G45:L45" si="26">G46+G47</f>
        <v>241308354.37</v>
      </c>
      <c r="H45" s="76">
        <f t="shared" si="26"/>
        <v>7480558.9900000002</v>
      </c>
      <c r="I45" s="76">
        <f t="shared" si="26"/>
        <v>1243944.56</v>
      </c>
      <c r="J45" s="76">
        <f t="shared" si="26"/>
        <v>-1122083.8500000001</v>
      </c>
      <c r="K45" s="76">
        <f t="shared" si="26"/>
        <v>248910774.06999999</v>
      </c>
      <c r="L45" s="187">
        <f t="shared" si="26"/>
        <v>248910774.06999999</v>
      </c>
      <c r="M45" s="25"/>
      <c r="N45" s="187">
        <f>N46+N47</f>
        <v>248910774.06999999</v>
      </c>
      <c r="O45" s="3"/>
      <c r="P45" s="187">
        <f>P46+P47</f>
        <v>258643185.34</v>
      </c>
      <c r="Q45" s="10"/>
    </row>
    <row r="46" spans="1:17" ht="31.5" x14ac:dyDescent="0.25">
      <c r="A46" s="26"/>
      <c r="B46" s="203" t="s">
        <v>820</v>
      </c>
      <c r="C46" s="29" t="s">
        <v>95</v>
      </c>
      <c r="D46" s="77">
        <v>3700171.27</v>
      </c>
      <c r="E46" s="77"/>
      <c r="F46" s="77"/>
      <c r="G46" s="77">
        <f t="shared" ref="G46:G58" si="27">D46+E46+F46</f>
        <v>3700171.27</v>
      </c>
      <c r="H46" s="77">
        <f t="shared" ref="H46:H58" si="28">D46*0.031</f>
        <v>114705.31</v>
      </c>
      <c r="I46" s="77">
        <f t="shared" ref="I46:I58" si="29">(D46+H46)*0.005</f>
        <v>19074.38</v>
      </c>
      <c r="J46" s="77">
        <f t="shared" ref="J46:J58" si="30">-H46*0.15</f>
        <v>-17205.8</v>
      </c>
      <c r="K46" s="77">
        <f t="shared" ref="K46:K58" si="31">G46+H46+I46+J46</f>
        <v>3816745.16</v>
      </c>
      <c r="L46" s="27">
        <f t="shared" ref="L46:L58" si="32">K46</f>
        <v>3816745.16</v>
      </c>
      <c r="M46" s="186">
        <f t="shared" ref="M46:M59" si="33">$F$79</f>
        <v>1</v>
      </c>
      <c r="N46" s="27">
        <f t="shared" ref="N46:N70" si="34">L46*M46</f>
        <v>3816745.16</v>
      </c>
      <c r="O46" s="186">
        <f t="shared" ref="O46:O59" si="35">$F$114</f>
        <v>1.0390999999999999</v>
      </c>
      <c r="P46" s="27">
        <f t="shared" ref="P46:P59" si="36">N46*O46</f>
        <v>3965979.9</v>
      </c>
      <c r="Q46" s="10"/>
    </row>
    <row r="47" spans="1:17" ht="31.5" x14ac:dyDescent="0.25">
      <c r="A47" s="26"/>
      <c r="B47" s="203" t="s">
        <v>821</v>
      </c>
      <c r="C47" s="29" t="s">
        <v>96</v>
      </c>
      <c r="D47" s="77">
        <v>237608183.09999999</v>
      </c>
      <c r="E47" s="77"/>
      <c r="F47" s="77"/>
      <c r="G47" s="77">
        <f t="shared" si="27"/>
        <v>237608183.09999999</v>
      </c>
      <c r="H47" s="77">
        <f t="shared" si="28"/>
        <v>7365853.6799999997</v>
      </c>
      <c r="I47" s="77">
        <f t="shared" si="29"/>
        <v>1224870.18</v>
      </c>
      <c r="J47" s="77">
        <f t="shared" si="30"/>
        <v>-1104878.05</v>
      </c>
      <c r="K47" s="77">
        <f t="shared" si="31"/>
        <v>245094028.91</v>
      </c>
      <c r="L47" s="27">
        <f t="shared" si="32"/>
        <v>245094028.91</v>
      </c>
      <c r="M47" s="186">
        <f t="shared" si="33"/>
        <v>1</v>
      </c>
      <c r="N47" s="27">
        <f t="shared" si="34"/>
        <v>245094028.91</v>
      </c>
      <c r="O47" s="186">
        <f t="shared" si="35"/>
        <v>1.0390999999999999</v>
      </c>
      <c r="P47" s="27">
        <f t="shared" si="36"/>
        <v>254677205.44</v>
      </c>
      <c r="Q47" s="10"/>
    </row>
    <row r="48" spans="1:17" ht="31.5" x14ac:dyDescent="0.25">
      <c r="A48" s="23" t="s">
        <v>63</v>
      </c>
      <c r="B48" s="33" t="s">
        <v>97</v>
      </c>
      <c r="C48" s="28" t="s">
        <v>14</v>
      </c>
      <c r="D48" s="76">
        <v>2021742.62</v>
      </c>
      <c r="E48" s="76"/>
      <c r="F48" s="76"/>
      <c r="G48" s="76">
        <f t="shared" si="27"/>
        <v>2021742.62</v>
      </c>
      <c r="H48" s="76">
        <f t="shared" si="28"/>
        <v>62674.02</v>
      </c>
      <c r="I48" s="76">
        <f t="shared" si="29"/>
        <v>10422.08</v>
      </c>
      <c r="J48" s="76">
        <f t="shared" si="30"/>
        <v>-9401.1</v>
      </c>
      <c r="K48" s="76">
        <f t="shared" si="31"/>
        <v>2085437.62</v>
      </c>
      <c r="L48" s="25">
        <f t="shared" si="32"/>
        <v>2085437.62</v>
      </c>
      <c r="M48" s="116">
        <f t="shared" si="33"/>
        <v>1</v>
      </c>
      <c r="N48" s="3">
        <f t="shared" si="34"/>
        <v>2085437.62</v>
      </c>
      <c r="O48" s="116">
        <f t="shared" si="35"/>
        <v>1.0390999999999999</v>
      </c>
      <c r="P48" s="3">
        <f t="shared" si="36"/>
        <v>2166978.23</v>
      </c>
      <c r="Q48" s="10"/>
    </row>
    <row r="49" spans="1:17" ht="15.75" x14ac:dyDescent="0.25">
      <c r="A49" s="23" t="s">
        <v>64</v>
      </c>
      <c r="B49" s="33" t="s">
        <v>98</v>
      </c>
      <c r="C49" s="28" t="s">
        <v>15</v>
      </c>
      <c r="D49" s="76">
        <v>2086197.1</v>
      </c>
      <c r="E49" s="76"/>
      <c r="F49" s="76"/>
      <c r="G49" s="76">
        <f t="shared" si="27"/>
        <v>2086197.1</v>
      </c>
      <c r="H49" s="76">
        <f t="shared" si="28"/>
        <v>64672.11</v>
      </c>
      <c r="I49" s="76">
        <f t="shared" si="29"/>
        <v>10754.35</v>
      </c>
      <c r="J49" s="76">
        <f t="shared" si="30"/>
        <v>-9700.82</v>
      </c>
      <c r="K49" s="76">
        <f t="shared" si="31"/>
        <v>2151922.7400000002</v>
      </c>
      <c r="L49" s="25">
        <f t="shared" si="32"/>
        <v>2151922.7400000002</v>
      </c>
      <c r="M49" s="116">
        <f t="shared" si="33"/>
        <v>1</v>
      </c>
      <c r="N49" s="3">
        <f t="shared" si="34"/>
        <v>2151922.7400000002</v>
      </c>
      <c r="O49" s="116">
        <f t="shared" si="35"/>
        <v>1.0390999999999999</v>
      </c>
      <c r="P49" s="3">
        <f t="shared" si="36"/>
        <v>2236062.92</v>
      </c>
      <c r="Q49" s="10"/>
    </row>
    <row r="50" spans="1:17" ht="47.25" x14ac:dyDescent="0.25">
      <c r="A50" s="23" t="s">
        <v>65</v>
      </c>
      <c r="B50" s="33" t="s">
        <v>99</v>
      </c>
      <c r="C50" s="28" t="s">
        <v>158</v>
      </c>
      <c r="D50" s="76">
        <v>3082529.8</v>
      </c>
      <c r="E50" s="76"/>
      <c r="F50" s="76"/>
      <c r="G50" s="76">
        <f t="shared" si="27"/>
        <v>3082529.8</v>
      </c>
      <c r="H50" s="76">
        <f t="shared" si="28"/>
        <v>95558.42</v>
      </c>
      <c r="I50" s="76">
        <f t="shared" si="29"/>
        <v>15890.44</v>
      </c>
      <c r="J50" s="76">
        <f t="shared" si="30"/>
        <v>-14333.76</v>
      </c>
      <c r="K50" s="76">
        <f t="shared" si="31"/>
        <v>3179644.9</v>
      </c>
      <c r="L50" s="25">
        <f t="shared" si="32"/>
        <v>3179644.9</v>
      </c>
      <c r="M50" s="116">
        <f t="shared" si="33"/>
        <v>1</v>
      </c>
      <c r="N50" s="3">
        <f t="shared" si="34"/>
        <v>3179644.9</v>
      </c>
      <c r="O50" s="116">
        <f t="shared" si="35"/>
        <v>1.0390999999999999</v>
      </c>
      <c r="P50" s="3">
        <f t="shared" si="36"/>
        <v>3303969.02</v>
      </c>
      <c r="Q50" s="10"/>
    </row>
    <row r="51" spans="1:17" ht="15.75" x14ac:dyDescent="0.25">
      <c r="A51" s="23" t="s">
        <v>66</v>
      </c>
      <c r="B51" s="33" t="s">
        <v>100</v>
      </c>
      <c r="C51" s="28" t="s">
        <v>16</v>
      </c>
      <c r="D51" s="76">
        <v>55983.49</v>
      </c>
      <c r="E51" s="76"/>
      <c r="F51" s="76"/>
      <c r="G51" s="76">
        <f t="shared" si="27"/>
        <v>55983.49</v>
      </c>
      <c r="H51" s="76">
        <f t="shared" si="28"/>
        <v>1735.49</v>
      </c>
      <c r="I51" s="76">
        <f t="shared" si="29"/>
        <v>288.58999999999997</v>
      </c>
      <c r="J51" s="76">
        <f t="shared" si="30"/>
        <v>-260.32</v>
      </c>
      <c r="K51" s="76">
        <f t="shared" si="31"/>
        <v>57747.25</v>
      </c>
      <c r="L51" s="25">
        <f t="shared" si="32"/>
        <v>57747.25</v>
      </c>
      <c r="M51" s="116">
        <f t="shared" si="33"/>
        <v>1</v>
      </c>
      <c r="N51" s="3">
        <f t="shared" si="34"/>
        <v>57747.25</v>
      </c>
      <c r="O51" s="116">
        <f t="shared" si="35"/>
        <v>1.0390999999999999</v>
      </c>
      <c r="P51" s="3">
        <f t="shared" si="36"/>
        <v>60005.17</v>
      </c>
      <c r="Q51" s="10"/>
    </row>
    <row r="52" spans="1:17" ht="31.5" x14ac:dyDescent="0.25">
      <c r="A52" s="23" t="s">
        <v>67</v>
      </c>
      <c r="B52" s="33" t="s">
        <v>101</v>
      </c>
      <c r="C52" s="28" t="s">
        <v>17</v>
      </c>
      <c r="D52" s="76">
        <v>223931.83</v>
      </c>
      <c r="E52" s="76"/>
      <c r="F52" s="76"/>
      <c r="G52" s="76">
        <f t="shared" si="27"/>
        <v>223931.83</v>
      </c>
      <c r="H52" s="76">
        <f t="shared" si="28"/>
        <v>6941.89</v>
      </c>
      <c r="I52" s="76">
        <f t="shared" si="29"/>
        <v>1154.3699999999999</v>
      </c>
      <c r="J52" s="76">
        <f t="shared" si="30"/>
        <v>-1041.28</v>
      </c>
      <c r="K52" s="76">
        <f t="shared" si="31"/>
        <v>230986.81</v>
      </c>
      <c r="L52" s="25">
        <f t="shared" si="32"/>
        <v>230986.81</v>
      </c>
      <c r="M52" s="116">
        <f t="shared" si="33"/>
        <v>1</v>
      </c>
      <c r="N52" s="3">
        <f t="shared" si="34"/>
        <v>230986.81</v>
      </c>
      <c r="O52" s="116">
        <f t="shared" si="35"/>
        <v>1.0390999999999999</v>
      </c>
      <c r="P52" s="3">
        <f t="shared" si="36"/>
        <v>240018.39</v>
      </c>
      <c r="Q52" s="10"/>
    </row>
    <row r="53" spans="1:17" ht="15.75" x14ac:dyDescent="0.25">
      <c r="A53" s="23" t="s">
        <v>68</v>
      </c>
      <c r="B53" s="33" t="s">
        <v>102</v>
      </c>
      <c r="C53" s="28" t="s">
        <v>18</v>
      </c>
      <c r="D53" s="76">
        <v>1222398.83</v>
      </c>
      <c r="E53" s="76"/>
      <c r="F53" s="76"/>
      <c r="G53" s="76">
        <f t="shared" si="27"/>
        <v>1222398.83</v>
      </c>
      <c r="H53" s="76">
        <f t="shared" si="28"/>
        <v>37894.36</v>
      </c>
      <c r="I53" s="76">
        <f t="shared" si="29"/>
        <v>6301.47</v>
      </c>
      <c r="J53" s="76">
        <f t="shared" si="30"/>
        <v>-5684.15</v>
      </c>
      <c r="K53" s="76">
        <f t="shared" si="31"/>
        <v>1260910.51</v>
      </c>
      <c r="L53" s="3">
        <f t="shared" si="32"/>
        <v>1260910.51</v>
      </c>
      <c r="M53" s="116">
        <f t="shared" si="33"/>
        <v>1</v>
      </c>
      <c r="N53" s="3">
        <f t="shared" si="34"/>
        <v>1260910.51</v>
      </c>
      <c r="O53" s="116">
        <f t="shared" si="35"/>
        <v>1.0390999999999999</v>
      </c>
      <c r="P53" s="3">
        <f t="shared" si="36"/>
        <v>1310212.1100000001</v>
      </c>
      <c r="Q53" s="10"/>
    </row>
    <row r="54" spans="1:17" ht="31.5" x14ac:dyDescent="0.25">
      <c r="A54" s="23" t="s">
        <v>69</v>
      </c>
      <c r="B54" s="33" t="s">
        <v>103</v>
      </c>
      <c r="C54" s="28" t="s">
        <v>159</v>
      </c>
      <c r="D54" s="76">
        <v>1222398.83</v>
      </c>
      <c r="E54" s="76"/>
      <c r="F54" s="76"/>
      <c r="G54" s="76">
        <f t="shared" si="27"/>
        <v>1222398.83</v>
      </c>
      <c r="H54" s="76">
        <f t="shared" si="28"/>
        <v>37894.36</v>
      </c>
      <c r="I54" s="76">
        <f t="shared" si="29"/>
        <v>6301.47</v>
      </c>
      <c r="J54" s="76">
        <f t="shared" si="30"/>
        <v>-5684.15</v>
      </c>
      <c r="K54" s="76">
        <f t="shared" si="31"/>
        <v>1260910.51</v>
      </c>
      <c r="L54" s="3">
        <f t="shared" si="32"/>
        <v>1260910.51</v>
      </c>
      <c r="M54" s="116">
        <f t="shared" si="33"/>
        <v>1</v>
      </c>
      <c r="N54" s="3">
        <f t="shared" si="34"/>
        <v>1260910.51</v>
      </c>
      <c r="O54" s="116">
        <f t="shared" si="35"/>
        <v>1.0390999999999999</v>
      </c>
      <c r="P54" s="3">
        <f t="shared" si="36"/>
        <v>1310212.1100000001</v>
      </c>
      <c r="Q54" s="10"/>
    </row>
    <row r="55" spans="1:17" ht="31.5" x14ac:dyDescent="0.25">
      <c r="A55" s="23" t="s">
        <v>70</v>
      </c>
      <c r="B55" s="33" t="s">
        <v>104</v>
      </c>
      <c r="C55" s="28" t="s">
        <v>19</v>
      </c>
      <c r="D55" s="76">
        <v>1381187.93</v>
      </c>
      <c r="E55" s="76"/>
      <c r="F55" s="76"/>
      <c r="G55" s="76">
        <f t="shared" si="27"/>
        <v>1381187.93</v>
      </c>
      <c r="H55" s="76">
        <f t="shared" si="28"/>
        <v>42816.83</v>
      </c>
      <c r="I55" s="76">
        <f t="shared" si="29"/>
        <v>7120.02</v>
      </c>
      <c r="J55" s="76">
        <f t="shared" si="30"/>
        <v>-6422.52</v>
      </c>
      <c r="K55" s="76">
        <f t="shared" si="31"/>
        <v>1424702.26</v>
      </c>
      <c r="L55" s="3">
        <f t="shared" si="32"/>
        <v>1424702.26</v>
      </c>
      <c r="M55" s="116">
        <f t="shared" si="33"/>
        <v>1</v>
      </c>
      <c r="N55" s="3">
        <f t="shared" si="34"/>
        <v>1424702.26</v>
      </c>
      <c r="O55" s="116">
        <f t="shared" si="35"/>
        <v>1.0390999999999999</v>
      </c>
      <c r="P55" s="3">
        <f t="shared" si="36"/>
        <v>1480408.12</v>
      </c>
      <c r="Q55" s="10"/>
    </row>
    <row r="56" spans="1:17" ht="15.75" x14ac:dyDescent="0.25">
      <c r="A56" s="23" t="s">
        <v>71</v>
      </c>
      <c r="B56" s="33" t="s">
        <v>105</v>
      </c>
      <c r="C56" s="28" t="s">
        <v>20</v>
      </c>
      <c r="D56" s="76">
        <v>1734065.93</v>
      </c>
      <c r="E56" s="76"/>
      <c r="F56" s="76"/>
      <c r="G56" s="76">
        <f t="shared" si="27"/>
        <v>1734065.93</v>
      </c>
      <c r="H56" s="76">
        <f t="shared" si="28"/>
        <v>53756.04</v>
      </c>
      <c r="I56" s="76">
        <f t="shared" si="29"/>
        <v>8939.11</v>
      </c>
      <c r="J56" s="76">
        <f t="shared" si="30"/>
        <v>-8063.41</v>
      </c>
      <c r="K56" s="76">
        <f t="shared" si="31"/>
        <v>1788697.67</v>
      </c>
      <c r="L56" s="3">
        <f t="shared" si="32"/>
        <v>1788697.67</v>
      </c>
      <c r="M56" s="116">
        <f t="shared" si="33"/>
        <v>1</v>
      </c>
      <c r="N56" s="3">
        <f t="shared" si="34"/>
        <v>1788697.67</v>
      </c>
      <c r="O56" s="116">
        <f t="shared" si="35"/>
        <v>1.0390999999999999</v>
      </c>
      <c r="P56" s="3">
        <f t="shared" si="36"/>
        <v>1858635.75</v>
      </c>
      <c r="Q56" s="10"/>
    </row>
    <row r="57" spans="1:17" ht="15.75" x14ac:dyDescent="0.25">
      <c r="A57" s="23" t="s">
        <v>72</v>
      </c>
      <c r="B57" s="33" t="s">
        <v>106</v>
      </c>
      <c r="C57" s="28" t="s">
        <v>21</v>
      </c>
      <c r="D57" s="76">
        <v>8411127.6300000008</v>
      </c>
      <c r="E57" s="76"/>
      <c r="F57" s="76"/>
      <c r="G57" s="76">
        <f t="shared" si="27"/>
        <v>8411127.6300000008</v>
      </c>
      <c r="H57" s="76">
        <f t="shared" si="28"/>
        <v>260744.95999999999</v>
      </c>
      <c r="I57" s="76">
        <f t="shared" si="29"/>
        <v>43359.360000000001</v>
      </c>
      <c r="J57" s="76">
        <f t="shared" si="30"/>
        <v>-39111.74</v>
      </c>
      <c r="K57" s="76">
        <f t="shared" si="31"/>
        <v>8676120.2100000009</v>
      </c>
      <c r="L57" s="3">
        <f t="shared" si="32"/>
        <v>8676120.2100000009</v>
      </c>
      <c r="M57" s="116">
        <f t="shared" si="33"/>
        <v>1</v>
      </c>
      <c r="N57" s="3">
        <f t="shared" si="34"/>
        <v>8676120.2100000009</v>
      </c>
      <c r="O57" s="116">
        <f t="shared" si="35"/>
        <v>1.0390999999999999</v>
      </c>
      <c r="P57" s="3">
        <f t="shared" si="36"/>
        <v>9015356.5099999998</v>
      </c>
      <c r="Q57" s="10"/>
    </row>
    <row r="58" spans="1:17" ht="31.5" x14ac:dyDescent="0.25">
      <c r="A58" s="23" t="s">
        <v>73</v>
      </c>
      <c r="B58" s="33" t="s">
        <v>107</v>
      </c>
      <c r="C58" s="28" t="s">
        <v>22</v>
      </c>
      <c r="D58" s="76">
        <v>9772714.9600000009</v>
      </c>
      <c r="E58" s="76"/>
      <c r="F58" s="76"/>
      <c r="G58" s="76">
        <f t="shared" si="27"/>
        <v>9772714.9600000009</v>
      </c>
      <c r="H58" s="76">
        <f t="shared" si="28"/>
        <v>302954.15999999997</v>
      </c>
      <c r="I58" s="76">
        <f t="shared" si="29"/>
        <v>50378.35</v>
      </c>
      <c r="J58" s="76">
        <f t="shared" si="30"/>
        <v>-45443.12</v>
      </c>
      <c r="K58" s="76">
        <f t="shared" si="31"/>
        <v>10080604.35</v>
      </c>
      <c r="L58" s="3">
        <f t="shared" si="32"/>
        <v>10080604.35</v>
      </c>
      <c r="M58" s="116">
        <f t="shared" si="33"/>
        <v>1</v>
      </c>
      <c r="N58" s="3">
        <f t="shared" si="34"/>
        <v>10080604.35</v>
      </c>
      <c r="O58" s="116">
        <f t="shared" si="35"/>
        <v>1.0390999999999999</v>
      </c>
      <c r="P58" s="3">
        <f t="shared" si="36"/>
        <v>10474755.98</v>
      </c>
      <c r="Q58" s="10"/>
    </row>
    <row r="59" spans="1:17" ht="15.75" x14ac:dyDescent="0.25">
      <c r="A59" s="23" t="s">
        <v>74</v>
      </c>
      <c r="B59" s="34" t="s">
        <v>108</v>
      </c>
      <c r="C59" s="11" t="s">
        <v>154</v>
      </c>
      <c r="D59" s="76"/>
      <c r="E59" s="76"/>
      <c r="F59" s="76"/>
      <c r="G59" s="76"/>
      <c r="H59" s="76"/>
      <c r="I59" s="76"/>
      <c r="J59" s="76"/>
      <c r="K59" s="76"/>
      <c r="L59" s="3">
        <f>'СР-1'!D33</f>
        <v>2663161.9300000002</v>
      </c>
      <c r="M59" s="116">
        <f t="shared" si="33"/>
        <v>1</v>
      </c>
      <c r="N59" s="3">
        <f t="shared" si="34"/>
        <v>2663161.9300000002</v>
      </c>
      <c r="O59" s="116">
        <f t="shared" si="35"/>
        <v>1.0390999999999999</v>
      </c>
      <c r="P59" s="3">
        <f t="shared" si="36"/>
        <v>2767291.56</v>
      </c>
      <c r="Q59" s="10"/>
    </row>
    <row r="60" spans="1:17" ht="15.75" x14ac:dyDescent="0.25">
      <c r="A60" s="23" t="s">
        <v>75</v>
      </c>
      <c r="B60" s="70" t="s">
        <v>862</v>
      </c>
      <c r="C60" s="11" t="s">
        <v>861</v>
      </c>
      <c r="D60" s="76"/>
      <c r="E60" s="76"/>
      <c r="F60" s="76"/>
      <c r="G60" s="76"/>
      <c r="H60" s="76"/>
      <c r="I60" s="76"/>
      <c r="J60" s="76"/>
      <c r="K60" s="76"/>
      <c r="L60" s="25">
        <f>L61+L62+L63+L64+L65+L66+L67+L68+L69</f>
        <v>17670816.140000001</v>
      </c>
      <c r="M60" s="116"/>
      <c r="N60" s="25">
        <f>N61+N62+N63+N64+N65+N66+N67+N68+N69</f>
        <v>17670816.140000001</v>
      </c>
      <c r="O60" s="116"/>
      <c r="P60" s="25">
        <f>P61+P62+P63+P64+P65+P66+P67+P68+P69</f>
        <v>18361745.07</v>
      </c>
      <c r="Q60" s="10"/>
    </row>
    <row r="61" spans="1:17" ht="15.75" x14ac:dyDescent="0.25">
      <c r="A61" s="26"/>
      <c r="B61" s="219" t="s">
        <v>862</v>
      </c>
      <c r="C61" s="220" t="s">
        <v>863</v>
      </c>
      <c r="D61" s="77"/>
      <c r="E61" s="77"/>
      <c r="F61" s="77"/>
      <c r="G61" s="77"/>
      <c r="H61" s="77"/>
      <c r="I61" s="77"/>
      <c r="J61" s="77"/>
      <c r="K61" s="77"/>
      <c r="L61" s="27">
        <v>2043264.38</v>
      </c>
      <c r="M61" s="186">
        <f t="shared" ref="M61:M70" si="37">$F$79</f>
        <v>1</v>
      </c>
      <c r="N61" s="27">
        <f t="shared" ref="N61:N69" si="38">L61*M61</f>
        <v>2043264.38</v>
      </c>
      <c r="O61" s="186">
        <f t="shared" ref="O61:O70" si="39">$F$114</f>
        <v>1.0390999999999999</v>
      </c>
      <c r="P61" s="27">
        <f t="shared" ref="P61:P69" si="40">N61*O61</f>
        <v>2123156.02</v>
      </c>
      <c r="Q61" s="10"/>
    </row>
    <row r="62" spans="1:17" ht="15.75" x14ac:dyDescent="0.25">
      <c r="A62" s="26"/>
      <c r="B62" s="219" t="s">
        <v>862</v>
      </c>
      <c r="C62" s="220" t="s">
        <v>864</v>
      </c>
      <c r="D62" s="77"/>
      <c r="E62" s="77"/>
      <c r="F62" s="77"/>
      <c r="G62" s="77"/>
      <c r="H62" s="77"/>
      <c r="I62" s="77"/>
      <c r="J62" s="77"/>
      <c r="K62" s="77"/>
      <c r="L62" s="27">
        <v>2038389.44</v>
      </c>
      <c r="M62" s="186">
        <f t="shared" si="37"/>
        <v>1</v>
      </c>
      <c r="N62" s="27">
        <f t="shared" si="38"/>
        <v>2038389.44</v>
      </c>
      <c r="O62" s="186">
        <f t="shared" si="39"/>
        <v>1.0390999999999999</v>
      </c>
      <c r="P62" s="27">
        <f t="shared" si="40"/>
        <v>2118090.4700000002</v>
      </c>
      <c r="Q62" s="10"/>
    </row>
    <row r="63" spans="1:17" ht="15.75" x14ac:dyDescent="0.25">
      <c r="A63" s="26"/>
      <c r="B63" s="219" t="s">
        <v>862</v>
      </c>
      <c r="C63" s="220" t="s">
        <v>865</v>
      </c>
      <c r="D63" s="77"/>
      <c r="E63" s="77"/>
      <c r="F63" s="77"/>
      <c r="G63" s="77"/>
      <c r="H63" s="77"/>
      <c r="I63" s="77"/>
      <c r="J63" s="77"/>
      <c r="K63" s="77"/>
      <c r="L63" s="27">
        <v>1937775.35</v>
      </c>
      <c r="M63" s="186">
        <f t="shared" si="37"/>
        <v>1</v>
      </c>
      <c r="N63" s="27">
        <f t="shared" si="38"/>
        <v>1937775.35</v>
      </c>
      <c r="O63" s="186">
        <f t="shared" si="39"/>
        <v>1.0390999999999999</v>
      </c>
      <c r="P63" s="27">
        <f t="shared" si="40"/>
        <v>2013542.37</v>
      </c>
      <c r="Q63" s="10"/>
    </row>
    <row r="64" spans="1:17" ht="15.75" x14ac:dyDescent="0.25">
      <c r="A64" s="26"/>
      <c r="B64" s="219" t="s">
        <v>862</v>
      </c>
      <c r="C64" s="220" t="s">
        <v>866</v>
      </c>
      <c r="D64" s="77"/>
      <c r="E64" s="77"/>
      <c r="F64" s="77"/>
      <c r="G64" s="77"/>
      <c r="H64" s="77"/>
      <c r="I64" s="77"/>
      <c r="J64" s="77"/>
      <c r="K64" s="77"/>
      <c r="L64" s="27">
        <v>1953979.22</v>
      </c>
      <c r="M64" s="186">
        <f t="shared" si="37"/>
        <v>1</v>
      </c>
      <c r="N64" s="27">
        <f t="shared" si="38"/>
        <v>1953979.22</v>
      </c>
      <c r="O64" s="186">
        <f t="shared" si="39"/>
        <v>1.0390999999999999</v>
      </c>
      <c r="P64" s="27">
        <f t="shared" si="40"/>
        <v>2030379.81</v>
      </c>
      <c r="Q64" s="10"/>
    </row>
    <row r="65" spans="1:17" ht="15.75" x14ac:dyDescent="0.25">
      <c r="A65" s="26"/>
      <c r="B65" s="219" t="s">
        <v>862</v>
      </c>
      <c r="C65" s="220" t="s">
        <v>867</v>
      </c>
      <c r="D65" s="77"/>
      <c r="E65" s="77"/>
      <c r="F65" s="77"/>
      <c r="G65" s="77"/>
      <c r="H65" s="77"/>
      <c r="I65" s="77"/>
      <c r="J65" s="77"/>
      <c r="K65" s="77"/>
      <c r="L65" s="27">
        <v>1940212.8</v>
      </c>
      <c r="M65" s="186">
        <f t="shared" si="37"/>
        <v>1</v>
      </c>
      <c r="N65" s="27">
        <f t="shared" si="38"/>
        <v>1940212.8</v>
      </c>
      <c r="O65" s="186">
        <f t="shared" si="39"/>
        <v>1.0390999999999999</v>
      </c>
      <c r="P65" s="27">
        <f t="shared" si="40"/>
        <v>2016075.12</v>
      </c>
      <c r="Q65" s="10"/>
    </row>
    <row r="66" spans="1:17" ht="15.75" x14ac:dyDescent="0.25">
      <c r="A66" s="26"/>
      <c r="B66" s="219" t="s">
        <v>862</v>
      </c>
      <c r="C66" s="220" t="s">
        <v>868</v>
      </c>
      <c r="D66" s="77"/>
      <c r="E66" s="77"/>
      <c r="F66" s="77"/>
      <c r="G66" s="77"/>
      <c r="H66" s="77"/>
      <c r="I66" s="77"/>
      <c r="J66" s="77"/>
      <c r="K66" s="77"/>
      <c r="L66" s="27">
        <v>1945697.1</v>
      </c>
      <c r="M66" s="186">
        <f t="shared" si="37"/>
        <v>1</v>
      </c>
      <c r="N66" s="27">
        <f t="shared" si="38"/>
        <v>1945697.1</v>
      </c>
      <c r="O66" s="186">
        <f t="shared" si="39"/>
        <v>1.0390999999999999</v>
      </c>
      <c r="P66" s="27">
        <f t="shared" si="40"/>
        <v>2021773.86</v>
      </c>
      <c r="Q66" s="10"/>
    </row>
    <row r="67" spans="1:17" ht="15.75" x14ac:dyDescent="0.25">
      <c r="A67" s="26"/>
      <c r="B67" s="219" t="s">
        <v>862</v>
      </c>
      <c r="C67" s="220" t="s">
        <v>869</v>
      </c>
      <c r="D67" s="77"/>
      <c r="E67" s="77"/>
      <c r="F67" s="77"/>
      <c r="G67" s="77"/>
      <c r="H67" s="77"/>
      <c r="I67" s="77"/>
      <c r="J67" s="77"/>
      <c r="K67" s="77"/>
      <c r="L67" s="27">
        <v>1937165.95</v>
      </c>
      <c r="M67" s="186">
        <f t="shared" si="37"/>
        <v>1</v>
      </c>
      <c r="N67" s="27">
        <f t="shared" si="38"/>
        <v>1937165.95</v>
      </c>
      <c r="O67" s="186">
        <f t="shared" si="39"/>
        <v>1.0390999999999999</v>
      </c>
      <c r="P67" s="27">
        <f t="shared" si="40"/>
        <v>2012909.14</v>
      </c>
      <c r="Q67" s="10"/>
    </row>
    <row r="68" spans="1:17" ht="15.75" x14ac:dyDescent="0.25">
      <c r="A68" s="26"/>
      <c r="B68" s="219" t="s">
        <v>862</v>
      </c>
      <c r="C68" s="220" t="s">
        <v>870</v>
      </c>
      <c r="D68" s="77"/>
      <c r="E68" s="77"/>
      <c r="F68" s="77"/>
      <c r="G68" s="77"/>
      <c r="H68" s="77"/>
      <c r="I68" s="77"/>
      <c r="J68" s="77"/>
      <c r="K68" s="77"/>
      <c r="L68" s="27">
        <v>1937165.95</v>
      </c>
      <c r="M68" s="186">
        <f t="shared" si="37"/>
        <v>1</v>
      </c>
      <c r="N68" s="27">
        <f t="shared" si="38"/>
        <v>1937165.95</v>
      </c>
      <c r="O68" s="186">
        <f t="shared" si="39"/>
        <v>1.0390999999999999</v>
      </c>
      <c r="P68" s="27">
        <f t="shared" si="40"/>
        <v>2012909.14</v>
      </c>
      <c r="Q68" s="10"/>
    </row>
    <row r="69" spans="1:17" ht="15.75" x14ac:dyDescent="0.25">
      <c r="A69" s="26"/>
      <c r="B69" s="219" t="s">
        <v>862</v>
      </c>
      <c r="C69" s="220" t="s">
        <v>871</v>
      </c>
      <c r="D69" s="77"/>
      <c r="E69" s="77"/>
      <c r="F69" s="77"/>
      <c r="G69" s="77"/>
      <c r="H69" s="77"/>
      <c r="I69" s="77"/>
      <c r="J69" s="77"/>
      <c r="K69" s="77"/>
      <c r="L69" s="27">
        <v>1937165.95</v>
      </c>
      <c r="M69" s="186">
        <f t="shared" si="37"/>
        <v>1</v>
      </c>
      <c r="N69" s="27">
        <f t="shared" si="38"/>
        <v>1937165.95</v>
      </c>
      <c r="O69" s="186">
        <f t="shared" si="39"/>
        <v>1.0390999999999999</v>
      </c>
      <c r="P69" s="27">
        <f t="shared" si="40"/>
        <v>2012909.14</v>
      </c>
      <c r="Q69" s="10"/>
    </row>
    <row r="70" spans="1:17" ht="63" x14ac:dyDescent="0.25">
      <c r="A70" s="23" t="s">
        <v>76</v>
      </c>
      <c r="B70" s="32" t="s">
        <v>156</v>
      </c>
      <c r="C70" s="11" t="s">
        <v>157</v>
      </c>
      <c r="D70" s="76"/>
      <c r="E70" s="76"/>
      <c r="F70" s="76"/>
      <c r="G70" s="76"/>
      <c r="H70" s="76"/>
      <c r="I70" s="76"/>
      <c r="J70" s="76"/>
      <c r="K70" s="76"/>
      <c r="L70" s="3">
        <f>(L23+L24+L25+L26+L31+L32+L41+L45+L48+L49+L50+L51+L52+L53+L54+L55+L56+L57+L58+L59+L60)*0.03</f>
        <v>43603851.200000003</v>
      </c>
      <c r="M70" s="116">
        <f t="shared" si="37"/>
        <v>1</v>
      </c>
      <c r="N70" s="3">
        <f t="shared" si="34"/>
        <v>43603851.200000003</v>
      </c>
      <c r="O70" s="116">
        <f t="shared" si="39"/>
        <v>1.0390999999999999</v>
      </c>
      <c r="P70" s="3">
        <f>N70*O70</f>
        <v>45308761.780000001</v>
      </c>
      <c r="Q70" s="10"/>
    </row>
    <row r="71" spans="1:17" ht="15.75" x14ac:dyDescent="0.25">
      <c r="A71" s="1"/>
      <c r="B71" s="1"/>
      <c r="C71" s="21" t="s">
        <v>43</v>
      </c>
      <c r="D71" s="78"/>
      <c r="E71" s="78"/>
      <c r="F71" s="78"/>
      <c r="G71" s="78"/>
      <c r="H71" s="78"/>
      <c r="I71" s="78"/>
      <c r="J71" s="78"/>
      <c r="K71" s="78"/>
      <c r="L71" s="4">
        <f>L15+L19+L22</f>
        <v>1518530320.8299999</v>
      </c>
      <c r="M71" s="4"/>
      <c r="N71" s="4">
        <f>N15+N19+N22</f>
        <v>1518530320.8299999</v>
      </c>
      <c r="O71" s="4"/>
      <c r="P71" s="4">
        <f>P15+P19+P22</f>
        <v>1577233043.78</v>
      </c>
    </row>
    <row r="72" spans="1:17" ht="15.75" x14ac:dyDescent="0.25">
      <c r="A72" s="1"/>
      <c r="B72" s="1"/>
      <c r="C72" s="21" t="s">
        <v>44</v>
      </c>
      <c r="D72" s="78"/>
      <c r="E72" s="78"/>
      <c r="F72" s="78"/>
      <c r="G72" s="78"/>
      <c r="H72" s="78"/>
      <c r="I72" s="78"/>
      <c r="J72" s="78"/>
      <c r="K72" s="78"/>
      <c r="L72" s="4">
        <f>L71*0.2</f>
        <v>303706064.17000002</v>
      </c>
      <c r="M72" s="4"/>
      <c r="N72" s="4">
        <f>N71*0.2</f>
        <v>303706064.17000002</v>
      </c>
      <c r="O72" s="4"/>
      <c r="P72" s="4">
        <f>P71*0.2</f>
        <v>315446608.75999999</v>
      </c>
    </row>
    <row r="73" spans="1:17" ht="15.75" x14ac:dyDescent="0.25">
      <c r="A73" s="1"/>
      <c r="B73" s="1"/>
      <c r="C73" s="21" t="s">
        <v>45</v>
      </c>
      <c r="D73" s="78"/>
      <c r="E73" s="78"/>
      <c r="F73" s="78"/>
      <c r="G73" s="78"/>
      <c r="H73" s="78"/>
      <c r="I73" s="78"/>
      <c r="J73" s="78"/>
      <c r="K73" s="78"/>
      <c r="L73" s="4">
        <f>L71+L72</f>
        <v>1822236385</v>
      </c>
      <c r="M73" s="4"/>
      <c r="N73" s="4">
        <f>N71+N72</f>
        <v>1822236385</v>
      </c>
      <c r="O73" s="4"/>
      <c r="P73" s="4">
        <f>P71+P72</f>
        <v>1892679652.54</v>
      </c>
    </row>
    <row r="74" spans="1:17" ht="15.75" x14ac:dyDescent="0.25">
      <c r="A74" s="2"/>
      <c r="B74" s="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</row>
    <row r="75" spans="1:17" ht="15.75" x14ac:dyDescent="0.25">
      <c r="A75" s="694" t="s">
        <v>211</v>
      </c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</row>
    <row r="76" spans="1:17" ht="15.75" x14ac:dyDescent="0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7" ht="15.75" x14ac:dyDescent="0.25">
      <c r="A77" s="709" t="s">
        <v>1179</v>
      </c>
      <c r="B77" s="709"/>
      <c r="C77" s="709"/>
      <c r="D77" s="709"/>
      <c r="E77" s="709"/>
      <c r="F77" s="115"/>
      <c r="G77" s="6"/>
      <c r="H77" s="6"/>
      <c r="I77" s="6"/>
      <c r="J77" s="6"/>
      <c r="K77" s="6"/>
      <c r="L77" s="6"/>
      <c r="M77" s="6"/>
      <c r="N77" s="6"/>
    </row>
    <row r="78" spans="1:17" ht="15.75" x14ac:dyDescent="0.25">
      <c r="A78" s="693" t="s">
        <v>191</v>
      </c>
      <c r="B78" s="693"/>
      <c r="C78" s="693"/>
      <c r="D78" s="693"/>
      <c r="E78" s="693"/>
      <c r="F78" s="424">
        <v>45108</v>
      </c>
      <c r="G78" s="532" t="s">
        <v>1238</v>
      </c>
      <c r="H78" s="533"/>
      <c r="I78" s="533"/>
      <c r="J78" s="112"/>
      <c r="K78" s="6"/>
      <c r="L78" s="6"/>
      <c r="M78" s="6"/>
      <c r="N78" s="6"/>
    </row>
    <row r="79" spans="1:17" ht="15.75" x14ac:dyDescent="0.25">
      <c r="A79" s="706" t="s">
        <v>210</v>
      </c>
      <c r="B79" s="706"/>
      <c r="C79" s="706"/>
      <c r="D79" s="706"/>
      <c r="E79" s="706"/>
      <c r="F79" s="707">
        <v>1</v>
      </c>
      <c r="G79" s="113"/>
      <c r="H79" s="113"/>
      <c r="K79" s="6"/>
      <c r="L79" s="6"/>
      <c r="M79" s="6"/>
      <c r="N79" s="6"/>
    </row>
    <row r="80" spans="1:17" x14ac:dyDescent="0.25">
      <c r="A80" s="708"/>
      <c r="B80" s="708"/>
      <c r="C80" s="708"/>
      <c r="D80" s="708"/>
      <c r="E80" s="708"/>
      <c r="F80" s="707"/>
      <c r="G80" s="113"/>
      <c r="H80" s="114"/>
    </row>
    <row r="81" spans="1:16" ht="25.5" customHeight="1" x14ac:dyDescent="0.25">
      <c r="A81" s="692" t="s">
        <v>212</v>
      </c>
      <c r="B81" s="692"/>
      <c r="C81" s="692"/>
      <c r="D81" s="692"/>
      <c r="E81" s="692"/>
      <c r="F81" s="692"/>
      <c r="G81" s="692"/>
      <c r="H81" s="692"/>
      <c r="I81" s="692"/>
      <c r="J81" s="150"/>
    </row>
    <row r="82" spans="1:16" ht="18" customHeight="1" x14ac:dyDescent="0.25">
      <c r="A82" s="92"/>
      <c r="B82" s="93"/>
      <c r="C82" s="93"/>
      <c r="D82" s="93"/>
      <c r="E82" s="93"/>
      <c r="F82" s="94"/>
      <c r="G82" s="95"/>
      <c r="H82" s="95"/>
      <c r="I82" s="94"/>
      <c r="J82" s="94"/>
    </row>
    <row r="83" spans="1:16" ht="25.5" customHeight="1" x14ac:dyDescent="0.25">
      <c r="A83" s="693" t="s">
        <v>191</v>
      </c>
      <c r="B83" s="693"/>
      <c r="C83" s="693"/>
      <c r="D83" s="693"/>
      <c r="E83" s="693"/>
      <c r="F83" s="423">
        <f>F78</f>
        <v>45108</v>
      </c>
      <c r="G83" s="532" t="s">
        <v>1238</v>
      </c>
      <c r="H83" s="2"/>
      <c r="I83" s="2"/>
      <c r="J83" s="2"/>
    </row>
    <row r="84" spans="1:16" ht="25.5" customHeight="1" x14ac:dyDescent="0.25">
      <c r="A84" s="679" t="s">
        <v>192</v>
      </c>
      <c r="B84" s="680"/>
      <c r="C84" s="680"/>
      <c r="D84" s="680"/>
      <c r="E84" s="681"/>
      <c r="F84" s="423">
        <v>45108</v>
      </c>
      <c r="G84" s="97"/>
      <c r="H84" s="2"/>
      <c r="I84" s="2"/>
      <c r="J84" s="2"/>
    </row>
    <row r="85" spans="1:16" ht="25.5" customHeight="1" x14ac:dyDescent="0.25">
      <c r="A85" s="679" t="s">
        <v>193</v>
      </c>
      <c r="B85" s="680"/>
      <c r="C85" s="680"/>
      <c r="D85" s="680"/>
      <c r="E85" s="681"/>
      <c r="F85" s="423">
        <v>45138</v>
      </c>
      <c r="G85" s="98"/>
      <c r="H85" s="2"/>
      <c r="I85" s="2"/>
      <c r="J85" s="2"/>
    </row>
    <row r="86" spans="1:16" ht="18.75" customHeight="1" x14ac:dyDescent="0.25">
      <c r="A86" s="679" t="s">
        <v>194</v>
      </c>
      <c r="B86" s="680"/>
      <c r="C86" s="680"/>
      <c r="D86" s="680"/>
      <c r="E86" s="681"/>
      <c r="F86" s="99">
        <f>ROUNDUP((F85-F83)/30.5,1)</f>
        <v>1</v>
      </c>
      <c r="G86" s="2"/>
      <c r="H86" s="2"/>
      <c r="I86" s="2"/>
      <c r="J86" s="2"/>
    </row>
    <row r="87" spans="1:16" ht="46.5" customHeight="1" x14ac:dyDescent="0.25">
      <c r="A87" s="682" t="s">
        <v>195</v>
      </c>
      <c r="B87" s="682"/>
      <c r="C87" s="682"/>
      <c r="D87" s="682"/>
      <c r="E87" s="682"/>
      <c r="F87" s="100">
        <v>1.0589999999999999</v>
      </c>
      <c r="G87" s="2"/>
      <c r="H87" s="2"/>
      <c r="I87" s="98"/>
      <c r="J87" s="98"/>
    </row>
    <row r="88" spans="1:16" ht="19.5" customHeight="1" x14ac:dyDescent="0.25">
      <c r="A88" s="683" t="s">
        <v>196</v>
      </c>
      <c r="B88" s="683"/>
      <c r="C88" s="683"/>
      <c r="D88" s="89">
        <f>F87</f>
        <v>1.0589999999999999</v>
      </c>
      <c r="E88" s="90" t="s">
        <v>197</v>
      </c>
      <c r="F88" s="101">
        <f>F87^(1/12)</f>
        <v>1.0047885000000001</v>
      </c>
      <c r="G88" s="2"/>
      <c r="H88" s="2"/>
      <c r="I88" s="2"/>
      <c r="J88" s="2"/>
    </row>
    <row r="89" spans="1:16" ht="15.75" x14ac:dyDescent="0.25">
      <c r="A89" s="684" t="s">
        <v>198</v>
      </c>
      <c r="B89" s="685"/>
      <c r="C89" s="689" t="str">
        <f>CONCATENATE(F88,"^",ROUNDUP(((F84-F83)/30.5),1),"*((",F88,"^",ROUNDUP((F85-F84)/30.5,1),"-1)/2+1)")</f>
        <v>1,0047885^0*((1,0047885^1-1)/2+1)</v>
      </c>
      <c r="D89" s="690"/>
      <c r="E89" s="691"/>
      <c r="F89" s="102">
        <f>F88^ROUNDUP(((F84-F83)/30.5),1)*(ROUND(((F88^ROUNDUP((F85-F84)/30.5,1)-1)/2)+1,4))</f>
        <v>1.0024</v>
      </c>
      <c r="G89" s="2"/>
      <c r="H89" s="103"/>
      <c r="I89" s="2"/>
      <c r="J89" s="2"/>
      <c r="K89" s="12"/>
      <c r="L89" s="13"/>
      <c r="M89" s="13"/>
      <c r="N89" s="13"/>
      <c r="O89" s="13"/>
      <c r="P89" s="13"/>
    </row>
    <row r="90" spans="1:16" ht="30.75" customHeight="1" x14ac:dyDescent="0.25">
      <c r="A90" s="692" t="s">
        <v>190</v>
      </c>
      <c r="B90" s="692"/>
      <c r="C90" s="692"/>
      <c r="D90" s="692"/>
      <c r="E90" s="692"/>
      <c r="F90" s="692"/>
      <c r="G90" s="692"/>
      <c r="H90" s="692"/>
      <c r="I90" s="692"/>
      <c r="J90" s="150"/>
      <c r="K90" s="2"/>
      <c r="L90" s="2"/>
      <c r="M90" s="2"/>
      <c r="N90" s="2"/>
      <c r="O90" s="2"/>
      <c r="P90" s="2"/>
    </row>
    <row r="91" spans="1:16" ht="15.75" x14ac:dyDescent="0.25">
      <c r="A91" s="92"/>
      <c r="B91" s="93"/>
      <c r="C91" s="93"/>
      <c r="D91" s="93"/>
      <c r="E91" s="93"/>
      <c r="F91" s="94"/>
      <c r="G91" s="95"/>
      <c r="H91" s="95"/>
      <c r="I91" s="94"/>
      <c r="J91" s="94"/>
      <c r="K91" s="2"/>
      <c r="L91" s="2"/>
      <c r="M91" s="2"/>
      <c r="N91" s="2"/>
      <c r="O91" s="2"/>
      <c r="P91" s="2"/>
    </row>
    <row r="92" spans="1:16" ht="15.75" x14ac:dyDescent="0.25">
      <c r="A92" s="693" t="s">
        <v>191</v>
      </c>
      <c r="B92" s="693"/>
      <c r="C92" s="693"/>
      <c r="D92" s="693"/>
      <c r="E92" s="693"/>
      <c r="F92" s="423">
        <f>F83</f>
        <v>45108</v>
      </c>
      <c r="G92" s="532" t="s">
        <v>1238</v>
      </c>
      <c r="H92" s="2"/>
      <c r="I92" s="2"/>
      <c r="J92" s="2"/>
      <c r="K92" s="2"/>
      <c r="L92" s="2"/>
      <c r="M92" s="2"/>
      <c r="N92" s="2"/>
      <c r="O92" s="2"/>
      <c r="P92" s="2"/>
    </row>
    <row r="93" spans="1:16" ht="15.75" x14ac:dyDescent="0.25">
      <c r="A93" s="679" t="s">
        <v>192</v>
      </c>
      <c r="B93" s="680"/>
      <c r="C93" s="680"/>
      <c r="D93" s="680"/>
      <c r="E93" s="681"/>
      <c r="F93" s="423">
        <v>45131</v>
      </c>
      <c r="G93" s="97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x14ac:dyDescent="0.25">
      <c r="A94" s="679" t="s">
        <v>193</v>
      </c>
      <c r="B94" s="680"/>
      <c r="C94" s="680"/>
      <c r="D94" s="680"/>
      <c r="E94" s="681"/>
      <c r="F94" s="423">
        <v>45199</v>
      </c>
      <c r="G94" s="98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679" t="s">
        <v>194</v>
      </c>
      <c r="B95" s="680"/>
      <c r="C95" s="680"/>
      <c r="D95" s="680"/>
      <c r="E95" s="681"/>
      <c r="F95" s="99">
        <f>ROUNDUP((F94-F92)/30.5,1)</f>
        <v>3</v>
      </c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41.25" customHeight="1" x14ac:dyDescent="0.25">
      <c r="A96" s="682" t="s">
        <v>195</v>
      </c>
      <c r="B96" s="682"/>
      <c r="C96" s="682"/>
      <c r="D96" s="682"/>
      <c r="E96" s="682"/>
      <c r="F96" s="100">
        <v>1.0589999999999999</v>
      </c>
      <c r="G96" s="2"/>
      <c r="H96" s="2"/>
      <c r="I96" s="98"/>
      <c r="J96" s="98"/>
      <c r="K96" s="2"/>
      <c r="L96" s="2"/>
      <c r="M96" s="2"/>
      <c r="N96" s="2"/>
      <c r="O96" s="2"/>
      <c r="P96" s="2"/>
    </row>
    <row r="97" spans="1:16" ht="15.75" x14ac:dyDescent="0.25">
      <c r="A97" s="683" t="s">
        <v>196</v>
      </c>
      <c r="B97" s="683"/>
      <c r="C97" s="683"/>
      <c r="D97" s="89">
        <f>F96</f>
        <v>1.0589999999999999</v>
      </c>
      <c r="E97" s="90" t="s">
        <v>197</v>
      </c>
      <c r="F97" s="101">
        <f>F96^(1/12)</f>
        <v>1.0047885000000001</v>
      </c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684" t="s">
        <v>198</v>
      </c>
      <c r="B98" s="685"/>
      <c r="C98" s="689" t="str">
        <f>CONCATENATE(F97,"^",ROUNDUP(((F93-F92)/30.5),1),"*((",F97,"^",ROUNDUP((F94-F93)/30.5,1),"-1)/2+1)")</f>
        <v>1,0047885^0,8*((1,0047885^2,3-1)/2+1)</v>
      </c>
      <c r="D98" s="690"/>
      <c r="E98" s="691"/>
      <c r="F98" s="102">
        <f>F97^ROUNDUP(((F93-F92)/30.5),1)*(ROUND(((F97^ROUNDUP((F94-F93)/30.5,1)-1)/2)+1,4))</f>
        <v>1.0094000000000001</v>
      </c>
      <c r="G98" s="2"/>
      <c r="H98" s="103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92"/>
      <c r="B99" s="93"/>
      <c r="C99" s="93"/>
      <c r="D99" s="93"/>
      <c r="E99" s="93"/>
      <c r="F99" s="2"/>
      <c r="G99" s="2"/>
      <c r="H99" s="2"/>
      <c r="I99" s="104"/>
      <c r="J99" s="104"/>
      <c r="K99" s="2"/>
      <c r="L99" s="2"/>
      <c r="M99" s="2"/>
      <c r="N99" s="2"/>
      <c r="O99" s="2"/>
      <c r="P99" s="2"/>
    </row>
    <row r="100" spans="1:16" ht="15.75" x14ac:dyDescent="0.25">
      <c r="A100" s="692" t="s">
        <v>199</v>
      </c>
      <c r="B100" s="692"/>
      <c r="C100" s="692"/>
      <c r="D100" s="692"/>
      <c r="E100" s="692"/>
      <c r="F100" s="692"/>
      <c r="G100" s="692"/>
      <c r="H100" s="692"/>
      <c r="I100" s="692"/>
      <c r="J100" s="150"/>
      <c r="K100" s="2"/>
      <c r="L100" s="2"/>
      <c r="M100" s="2"/>
      <c r="N100" s="2"/>
      <c r="O100" s="2"/>
      <c r="P100" s="2"/>
    </row>
    <row r="101" spans="1:16" ht="15.75" x14ac:dyDescent="0.25">
      <c r="A101" s="92"/>
      <c r="B101" s="93"/>
      <c r="C101" s="93"/>
      <c r="D101" s="93"/>
      <c r="E101" s="93"/>
      <c r="F101" s="94"/>
      <c r="G101" s="2"/>
      <c r="H101" s="2"/>
      <c r="I101" s="105"/>
      <c r="J101" s="105"/>
      <c r="K101" s="2"/>
      <c r="L101" s="2"/>
      <c r="M101" s="2"/>
      <c r="N101" s="2"/>
      <c r="O101" s="2"/>
      <c r="P101" s="2"/>
    </row>
    <row r="102" spans="1:16" ht="15.75" x14ac:dyDescent="0.25">
      <c r="A102" s="693" t="s">
        <v>191</v>
      </c>
      <c r="B102" s="693"/>
      <c r="C102" s="693"/>
      <c r="D102" s="693"/>
      <c r="E102" s="693"/>
      <c r="F102" s="423">
        <f>F78</f>
        <v>45108</v>
      </c>
      <c r="G102" s="532" t="s">
        <v>1238</v>
      </c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679" t="s">
        <v>192</v>
      </c>
      <c r="B103" s="680"/>
      <c r="C103" s="680"/>
      <c r="D103" s="680"/>
      <c r="E103" s="681"/>
      <c r="F103" s="423">
        <v>45108</v>
      </c>
      <c r="G103" s="96">
        <v>45291</v>
      </c>
      <c r="H103" s="2" t="s">
        <v>200</v>
      </c>
      <c r="I103" s="2"/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679" t="s">
        <v>193</v>
      </c>
      <c r="B104" s="680"/>
      <c r="C104" s="680"/>
      <c r="D104" s="680"/>
      <c r="E104" s="681"/>
      <c r="F104" s="423">
        <v>45611</v>
      </c>
      <c r="G104" s="96">
        <v>45292</v>
      </c>
      <c r="H104" s="2" t="s">
        <v>201</v>
      </c>
      <c r="I104" s="2"/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679" t="s">
        <v>202</v>
      </c>
      <c r="B105" s="680"/>
      <c r="C105" s="680"/>
      <c r="D105" s="680"/>
      <c r="E105" s="681"/>
      <c r="F105" s="99">
        <f>(F104-F103)/30.5</f>
        <v>16.5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695" t="s">
        <v>203</v>
      </c>
      <c r="B106" s="695"/>
      <c r="C106" s="695"/>
      <c r="D106" s="695"/>
      <c r="E106" s="695"/>
      <c r="F106" s="106">
        <f>(G103-F103)/30.5/F105</f>
        <v>0.36</v>
      </c>
      <c r="G106" s="2"/>
      <c r="H106" s="2"/>
      <c r="I106" s="2"/>
      <c r="J106" s="2"/>
    </row>
    <row r="107" spans="1:16" ht="15.75" x14ac:dyDescent="0.25">
      <c r="A107" s="696" t="s">
        <v>204</v>
      </c>
      <c r="B107" s="696"/>
      <c r="C107" s="696"/>
      <c r="D107" s="696"/>
      <c r="E107" s="696"/>
      <c r="F107" s="106">
        <f>1-F106</f>
        <v>0.64</v>
      </c>
      <c r="G107" s="2"/>
      <c r="H107" s="2"/>
      <c r="I107" s="2"/>
      <c r="J107" s="2"/>
    </row>
    <row r="108" spans="1:16" ht="15.75" x14ac:dyDescent="0.25">
      <c r="A108" s="682" t="s">
        <v>195</v>
      </c>
      <c r="B108" s="682"/>
      <c r="C108" s="682"/>
      <c r="D108" s="682"/>
      <c r="E108" s="682"/>
      <c r="F108" s="107">
        <v>1.0589999999999999</v>
      </c>
      <c r="G108" s="2"/>
      <c r="H108" s="2"/>
      <c r="I108" s="2"/>
      <c r="J108" s="2"/>
    </row>
    <row r="109" spans="1:16" ht="15.75" x14ac:dyDescent="0.25">
      <c r="A109" s="683" t="s">
        <v>196</v>
      </c>
      <c r="B109" s="683"/>
      <c r="C109" s="683"/>
      <c r="D109" s="89">
        <f>F108</f>
        <v>1.0589999999999999</v>
      </c>
      <c r="E109" s="90" t="s">
        <v>197</v>
      </c>
      <c r="F109" s="101">
        <f>F108^(1/12)</f>
        <v>1.0047885000000001</v>
      </c>
      <c r="G109" s="2"/>
      <c r="H109" s="2"/>
      <c r="I109" s="2"/>
      <c r="J109" s="2"/>
    </row>
    <row r="110" spans="1:16" ht="15.75" x14ac:dyDescent="0.25">
      <c r="A110" s="682" t="s">
        <v>205</v>
      </c>
      <c r="B110" s="682"/>
      <c r="C110" s="682"/>
      <c r="D110" s="682"/>
      <c r="E110" s="682"/>
      <c r="F110" s="100">
        <v>1.0529999999999999</v>
      </c>
      <c r="G110" s="2"/>
      <c r="H110" s="2"/>
      <c r="I110" s="2"/>
      <c r="J110" s="2"/>
    </row>
    <row r="111" spans="1:16" ht="15.75" x14ac:dyDescent="0.25">
      <c r="A111" s="683" t="s">
        <v>206</v>
      </c>
      <c r="B111" s="683"/>
      <c r="C111" s="683"/>
      <c r="D111" s="89">
        <f>F110</f>
        <v>1.0529999999999999</v>
      </c>
      <c r="E111" s="90" t="s">
        <v>197</v>
      </c>
      <c r="F111" s="101">
        <f>F110^(1/12)</f>
        <v>1.0043129</v>
      </c>
      <c r="G111" s="2"/>
      <c r="H111" s="2"/>
      <c r="I111" s="2"/>
      <c r="J111" s="2"/>
    </row>
    <row r="112" spans="1:16" ht="15.75" x14ac:dyDescent="0.25">
      <c r="A112" s="91" t="s">
        <v>207</v>
      </c>
      <c r="B112" s="91"/>
      <c r="C112" s="686" t="str">
        <f>CONCATENATE("(",F109,"^",ROUNDUP((G103-F102)/30.5,1),"-1)/2+1")</f>
        <v>(1,0047885^6-1)/2+1</v>
      </c>
      <c r="D112" s="687"/>
      <c r="E112" s="688"/>
      <c r="F112" s="108">
        <f>(F109^ROUNDUP((G103-F102)/30.5,1)-1)/2+1</f>
        <v>1.0145386000000001</v>
      </c>
      <c r="G112" s="2"/>
      <c r="H112" s="109"/>
      <c r="I112" s="2"/>
      <c r="J112" s="2"/>
    </row>
    <row r="113" spans="1:10" ht="15.75" x14ac:dyDescent="0.25">
      <c r="A113" s="91" t="s">
        <v>208</v>
      </c>
      <c r="B113" s="91"/>
      <c r="C113" s="686" t="str">
        <f>CONCATENATE(F109,"^",ROUNDUP((G103-F102)/30.5,1),"*((",F111,"^",ROUNDUP((F104-G104)/30.5,1),"-1)/2+1)")</f>
        <v>1,0047885^6*((1,0043129^10,5-1)/2+1)</v>
      </c>
      <c r="D113" s="687"/>
      <c r="E113" s="688"/>
      <c r="F113" s="108">
        <f>F109^ROUNDUP((G103-F102)/30.5,1)*((F111^ROUNDUP((F104-G104)/30.5,1)-1)/2+1)</f>
        <v>1.0528614999999999</v>
      </c>
      <c r="G113" s="2"/>
      <c r="H113" s="109"/>
      <c r="I113" s="2"/>
      <c r="J113" s="2"/>
    </row>
    <row r="114" spans="1:10" ht="15.75" x14ac:dyDescent="0.25">
      <c r="A114" s="684" t="s">
        <v>198</v>
      </c>
      <c r="B114" s="685"/>
      <c r="C114" s="686" t="str">
        <f>CONCATENATE(F106,"*",F112,"+",F107,"*",F113)</f>
        <v>0,36*1,0145386+0,64*1,0528615</v>
      </c>
      <c r="D114" s="687"/>
      <c r="E114" s="688"/>
      <c r="F114" s="102">
        <f>F106*F112+F107*F113</f>
        <v>1.0390999999999999</v>
      </c>
      <c r="G114" s="2"/>
      <c r="H114" s="103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mergeCells count="58">
    <mergeCell ref="M11:P11"/>
    <mergeCell ref="B12:B13"/>
    <mergeCell ref="A12:A13"/>
    <mergeCell ref="A79:E79"/>
    <mergeCell ref="F79:F80"/>
    <mergeCell ref="A80:E80"/>
    <mergeCell ref="A77:E77"/>
    <mergeCell ref="A1:P1"/>
    <mergeCell ref="B2:P2"/>
    <mergeCell ref="D12:D13"/>
    <mergeCell ref="E12:E13"/>
    <mergeCell ref="F12:F13"/>
    <mergeCell ref="G12:G13"/>
    <mergeCell ref="P12:P13"/>
    <mergeCell ref="M10:P10"/>
    <mergeCell ref="C12:C13"/>
    <mergeCell ref="L12:L13"/>
    <mergeCell ref="M12:M13"/>
    <mergeCell ref="N12:N13"/>
    <mergeCell ref="K12:K13"/>
    <mergeCell ref="H12:H13"/>
    <mergeCell ref="I12:I13"/>
    <mergeCell ref="O12:O13"/>
    <mergeCell ref="A104:E104"/>
    <mergeCell ref="A105:E105"/>
    <mergeCell ref="A106:E106"/>
    <mergeCell ref="A107:E107"/>
    <mergeCell ref="A108:E108"/>
    <mergeCell ref="A93:E93"/>
    <mergeCell ref="A75:N75"/>
    <mergeCell ref="A78:E78"/>
    <mergeCell ref="A88:C88"/>
    <mergeCell ref="A89:B89"/>
    <mergeCell ref="C89:E89"/>
    <mergeCell ref="A90:I90"/>
    <mergeCell ref="A92:E92"/>
    <mergeCell ref="A81:I81"/>
    <mergeCell ref="A83:E83"/>
    <mergeCell ref="A84:E84"/>
    <mergeCell ref="A85:E85"/>
    <mergeCell ref="A86:E86"/>
    <mergeCell ref="A87:E87"/>
    <mergeCell ref="A94:E94"/>
    <mergeCell ref="A95:E95"/>
    <mergeCell ref="A96:E96"/>
    <mergeCell ref="A97:C97"/>
    <mergeCell ref="A114:B114"/>
    <mergeCell ref="C114:E114"/>
    <mergeCell ref="A110:E110"/>
    <mergeCell ref="A111:C111"/>
    <mergeCell ref="C112:E112"/>
    <mergeCell ref="C113:E113"/>
    <mergeCell ref="A98:B98"/>
    <mergeCell ref="C98:E98"/>
    <mergeCell ref="A100:I100"/>
    <mergeCell ref="A102:E102"/>
    <mergeCell ref="A103:E103"/>
    <mergeCell ref="A109:C109"/>
  </mergeCells>
  <pageMargins left="0.7" right="0.7" top="0.75" bottom="0.75" header="0.3" footer="0.3"/>
  <pageSetup paperSize="9" scale="41" fitToHeight="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9" workbookViewId="0">
      <selection activeCell="B33" sqref="B33"/>
    </sheetView>
  </sheetViews>
  <sheetFormatPr defaultRowHeight="15" x14ac:dyDescent="0.25"/>
  <cols>
    <col min="1" max="1" width="9.140625" style="35"/>
    <col min="2" max="2" width="51.28515625" style="35" customWidth="1"/>
    <col min="3" max="3" width="17.42578125" style="35" customWidth="1"/>
    <col min="4" max="4" width="26" style="35" customWidth="1"/>
    <col min="5" max="5" width="47.42578125" style="35" customWidth="1"/>
    <col min="6" max="16384" width="9.140625" style="35"/>
  </cols>
  <sheetData>
    <row r="1" spans="1:7" ht="15.75" x14ac:dyDescent="0.25">
      <c r="A1" s="710" t="s">
        <v>145</v>
      </c>
      <c r="B1" s="710"/>
      <c r="C1" s="710"/>
      <c r="D1" s="710"/>
      <c r="E1" s="710"/>
    </row>
    <row r="2" spans="1:7" ht="15.75" x14ac:dyDescent="0.25">
      <c r="A2" s="711" t="s">
        <v>146</v>
      </c>
      <c r="B2" s="711"/>
      <c r="C2" s="711"/>
      <c r="D2" s="711"/>
      <c r="E2" s="711"/>
    </row>
    <row r="3" spans="1:7" ht="39" customHeight="1" x14ac:dyDescent="0.25">
      <c r="A3" s="712" t="s">
        <v>24</v>
      </c>
      <c r="B3" s="713"/>
      <c r="C3" s="713"/>
      <c r="D3" s="713"/>
      <c r="E3" s="713"/>
    </row>
    <row r="4" spans="1:7" ht="40.5" customHeight="1" x14ac:dyDescent="0.25">
      <c r="A4" s="714" t="s">
        <v>109</v>
      </c>
      <c r="B4" s="714"/>
      <c r="C4" s="714"/>
      <c r="D4" s="714"/>
      <c r="E4" s="714"/>
    </row>
    <row r="5" spans="1:7" ht="38.25" customHeight="1" x14ac:dyDescent="0.25">
      <c r="A5" s="715" t="s">
        <v>110</v>
      </c>
      <c r="B5" s="715"/>
      <c r="C5" s="715"/>
      <c r="D5" s="715"/>
      <c r="E5" s="715"/>
    </row>
    <row r="6" spans="1:7" ht="37.5" customHeight="1" x14ac:dyDescent="0.25">
      <c r="A6" s="44" t="s">
        <v>0</v>
      </c>
      <c r="B6" s="720"/>
      <c r="C6" s="720"/>
      <c r="D6" s="720"/>
      <c r="E6" s="45" t="s">
        <v>110</v>
      </c>
    </row>
    <row r="7" spans="1:7" ht="15.75" x14ac:dyDescent="0.25">
      <c r="A7" s="45">
        <v>1</v>
      </c>
      <c r="B7" s="721" t="s">
        <v>111</v>
      </c>
      <c r="C7" s="721"/>
      <c r="D7" s="721"/>
      <c r="E7" s="57">
        <v>13</v>
      </c>
    </row>
    <row r="8" spans="1:7" ht="15.75" x14ac:dyDescent="0.25">
      <c r="A8" s="45">
        <v>2</v>
      </c>
      <c r="B8" s="716" t="s">
        <v>112</v>
      </c>
      <c r="C8" s="716"/>
      <c r="D8" s="716"/>
      <c r="E8" s="46" t="s">
        <v>113</v>
      </c>
    </row>
    <row r="9" spans="1:7" ht="15.75" x14ac:dyDescent="0.25">
      <c r="A9" s="720">
        <v>5</v>
      </c>
      <c r="B9" s="47" t="s">
        <v>114</v>
      </c>
      <c r="C9" s="47"/>
      <c r="D9" s="47"/>
      <c r="E9" s="48"/>
    </row>
    <row r="10" spans="1:7" ht="63" x14ac:dyDescent="0.25">
      <c r="A10" s="720"/>
      <c r="B10" s="722" t="s">
        <v>115</v>
      </c>
      <c r="C10" s="722"/>
      <c r="D10" s="722"/>
      <c r="E10" s="49" t="s">
        <v>116</v>
      </c>
    </row>
    <row r="11" spans="1:7" ht="15.75" x14ac:dyDescent="0.25">
      <c r="A11" s="720"/>
      <c r="B11" s="50" t="s">
        <v>117</v>
      </c>
      <c r="C11" s="50"/>
      <c r="D11" s="47"/>
      <c r="E11" s="51" t="s">
        <v>118</v>
      </c>
    </row>
    <row r="12" spans="1:7" ht="35.25" customHeight="1" x14ac:dyDescent="0.25">
      <c r="A12" s="720"/>
      <c r="B12" s="722" t="s">
        <v>119</v>
      </c>
      <c r="C12" s="722"/>
      <c r="D12" s="722"/>
      <c r="E12" s="68" t="s">
        <v>121</v>
      </c>
    </row>
    <row r="13" spans="1:7" ht="15.75" x14ac:dyDescent="0.25">
      <c r="A13" s="720"/>
      <c r="B13" s="716" t="s">
        <v>120</v>
      </c>
      <c r="C13" s="716"/>
      <c r="D13" s="716"/>
      <c r="E13" s="46" t="s">
        <v>121</v>
      </c>
    </row>
    <row r="14" spans="1:7" ht="16.5" x14ac:dyDescent="0.25">
      <c r="A14" s="718" t="s">
        <v>122</v>
      </c>
      <c r="B14" s="719"/>
      <c r="C14" s="719"/>
      <c r="D14" s="719"/>
      <c r="E14" s="719"/>
      <c r="F14" s="717"/>
      <c r="G14" s="717"/>
    </row>
    <row r="15" spans="1:7" ht="63" x14ac:dyDescent="0.25">
      <c r="A15" s="52">
        <v>1</v>
      </c>
      <c r="B15" s="53" t="s">
        <v>123</v>
      </c>
      <c r="C15" s="52" t="s">
        <v>124</v>
      </c>
      <c r="D15" s="54" t="s">
        <v>25</v>
      </c>
      <c r="E15" s="53" t="s">
        <v>125</v>
      </c>
      <c r="F15" s="36"/>
      <c r="G15" s="36"/>
    </row>
    <row r="16" spans="1:7" ht="15.75" x14ac:dyDescent="0.25">
      <c r="A16" s="45"/>
      <c r="B16" s="55" t="s">
        <v>126</v>
      </c>
      <c r="C16" s="45" t="s">
        <v>127</v>
      </c>
      <c r="D16" s="66">
        <v>149</v>
      </c>
      <c r="E16" s="44"/>
    </row>
    <row r="17" spans="1:7" ht="16.5" x14ac:dyDescent="0.25">
      <c r="A17" s="57"/>
      <c r="B17" s="55" t="s">
        <v>128</v>
      </c>
      <c r="C17" s="45"/>
      <c r="D17" s="58"/>
      <c r="E17" s="44"/>
      <c r="F17" s="37"/>
      <c r="G17" s="37"/>
    </row>
    <row r="18" spans="1:7" ht="16.5" x14ac:dyDescent="0.25">
      <c r="A18" s="45"/>
      <c r="B18" s="55" t="s">
        <v>129</v>
      </c>
      <c r="C18" s="45" t="s">
        <v>130</v>
      </c>
      <c r="D18" s="58">
        <v>2</v>
      </c>
      <c r="E18" s="59"/>
      <c r="F18" s="38"/>
      <c r="G18" s="38"/>
    </row>
    <row r="19" spans="1:7" ht="16.5" x14ac:dyDescent="0.25">
      <c r="A19" s="45"/>
      <c r="B19" s="55" t="s">
        <v>131</v>
      </c>
      <c r="C19" s="45"/>
      <c r="D19" s="60"/>
      <c r="E19" s="59"/>
      <c r="F19" s="37"/>
      <c r="G19" s="37"/>
    </row>
    <row r="20" spans="1:7" ht="16.5" x14ac:dyDescent="0.25">
      <c r="A20" s="52"/>
      <c r="B20" s="55" t="s">
        <v>129</v>
      </c>
      <c r="C20" s="45" t="s">
        <v>127</v>
      </c>
      <c r="D20" s="56">
        <v>35</v>
      </c>
      <c r="E20" s="52"/>
      <c r="F20" s="37"/>
      <c r="G20" s="37"/>
    </row>
    <row r="21" spans="1:7" ht="16.5" x14ac:dyDescent="0.25">
      <c r="A21" s="45"/>
      <c r="B21" s="55" t="s">
        <v>132</v>
      </c>
      <c r="C21" s="45"/>
      <c r="D21" s="58">
        <v>35</v>
      </c>
      <c r="E21" s="44"/>
      <c r="F21" s="37"/>
      <c r="G21" s="37"/>
    </row>
    <row r="22" spans="1:7" ht="31.5" x14ac:dyDescent="0.25">
      <c r="A22" s="57"/>
      <c r="B22" s="55" t="s">
        <v>133</v>
      </c>
      <c r="C22" s="45"/>
      <c r="D22" s="58">
        <f>D16/D21</f>
        <v>4</v>
      </c>
      <c r="E22" s="44"/>
      <c r="F22" s="37"/>
      <c r="G22" s="37"/>
    </row>
    <row r="23" spans="1:7" ht="16.5" x14ac:dyDescent="0.25">
      <c r="A23" s="45"/>
      <c r="B23" s="55" t="s">
        <v>134</v>
      </c>
      <c r="C23" s="45"/>
      <c r="D23" s="60">
        <v>22</v>
      </c>
      <c r="E23" s="59"/>
      <c r="F23" s="37"/>
      <c r="G23" s="37"/>
    </row>
    <row r="24" spans="1:7" ht="31.5" x14ac:dyDescent="0.25">
      <c r="A24" s="45"/>
      <c r="B24" s="55" t="s">
        <v>135</v>
      </c>
      <c r="C24" s="45" t="s">
        <v>136</v>
      </c>
      <c r="D24" s="56">
        <v>51</v>
      </c>
      <c r="E24" s="59"/>
      <c r="F24" s="38"/>
      <c r="G24" s="38"/>
    </row>
    <row r="25" spans="1:7" ht="16.5" x14ac:dyDescent="0.25">
      <c r="A25" s="52"/>
      <c r="B25" s="55" t="s">
        <v>137</v>
      </c>
      <c r="C25" s="45" t="s">
        <v>138</v>
      </c>
      <c r="D25" s="66">
        <v>110</v>
      </c>
      <c r="E25" s="52"/>
      <c r="F25" s="38"/>
      <c r="G25" s="38"/>
    </row>
    <row r="26" spans="1:7" ht="31.5" x14ac:dyDescent="0.25">
      <c r="A26" s="45"/>
      <c r="B26" s="55" t="s">
        <v>147</v>
      </c>
      <c r="C26" s="45"/>
      <c r="D26" s="58">
        <v>2</v>
      </c>
      <c r="E26" s="44"/>
      <c r="F26" s="37"/>
      <c r="G26" s="37"/>
    </row>
    <row r="27" spans="1:7" ht="63" x14ac:dyDescent="0.25">
      <c r="A27" s="45"/>
      <c r="B27" s="55" t="s">
        <v>139</v>
      </c>
      <c r="C27" s="45" t="s">
        <v>140</v>
      </c>
      <c r="D27" s="61">
        <v>56.81</v>
      </c>
      <c r="E27" s="59" t="s">
        <v>141</v>
      </c>
      <c r="F27" s="37"/>
      <c r="G27" s="37"/>
    </row>
    <row r="28" spans="1:7" ht="94.5" x14ac:dyDescent="0.25">
      <c r="A28" s="45"/>
      <c r="B28" s="55" t="s">
        <v>148</v>
      </c>
      <c r="C28" s="45"/>
      <c r="D28" s="67">
        <v>1.0349999999999999</v>
      </c>
      <c r="E28" s="59"/>
      <c r="F28" s="37"/>
      <c r="G28" s="37"/>
    </row>
    <row r="29" spans="1:7" ht="15.75" x14ac:dyDescent="0.25">
      <c r="A29" s="45"/>
      <c r="B29" s="62" t="s">
        <v>142</v>
      </c>
      <c r="C29" s="45" t="s">
        <v>143</v>
      </c>
      <c r="D29" s="58">
        <f>E7</f>
        <v>13</v>
      </c>
      <c r="E29" s="59"/>
    </row>
    <row r="30" spans="1:7" ht="31.5" x14ac:dyDescent="0.25">
      <c r="A30" s="57"/>
      <c r="B30" s="55" t="s">
        <v>153</v>
      </c>
      <c r="C30" s="52" t="s">
        <v>144</v>
      </c>
      <c r="D30" s="69">
        <f>(D25*D26/D24)*D28*D27/D20</f>
        <v>7.25</v>
      </c>
      <c r="E30" s="63" t="s">
        <v>150</v>
      </c>
    </row>
    <row r="31" spans="1:7" ht="31.5" x14ac:dyDescent="0.25">
      <c r="A31" s="57"/>
      <c r="B31" s="55" t="s">
        <v>152</v>
      </c>
      <c r="C31" s="52" t="s">
        <v>144</v>
      </c>
      <c r="D31" s="69">
        <f>D30*D23</f>
        <v>159.5</v>
      </c>
      <c r="E31" s="63" t="s">
        <v>149</v>
      </c>
    </row>
    <row r="32" spans="1:7" ht="31.5" x14ac:dyDescent="0.25">
      <c r="A32" s="57"/>
      <c r="B32" s="55" t="s">
        <v>151</v>
      </c>
      <c r="C32" s="52" t="s">
        <v>144</v>
      </c>
      <c r="D32" s="69">
        <f>D31*E7*D16</f>
        <v>308951.5</v>
      </c>
      <c r="E32" s="64"/>
    </row>
    <row r="33" spans="1:5" ht="94.5" x14ac:dyDescent="0.25">
      <c r="A33" s="57"/>
      <c r="B33" s="65" t="s">
        <v>1158</v>
      </c>
      <c r="C33" s="52" t="s">
        <v>144</v>
      </c>
      <c r="D33" s="69">
        <f>D32*8.62</f>
        <v>2663161.9300000002</v>
      </c>
      <c r="E33" s="64"/>
    </row>
    <row r="34" spans="1:5" ht="16.5" hidden="1" x14ac:dyDescent="0.25">
      <c r="A34" s="39"/>
      <c r="B34" s="40"/>
      <c r="C34" s="39"/>
      <c r="D34" s="41"/>
      <c r="E34" s="42"/>
    </row>
    <row r="35" spans="1:5" ht="16.5" hidden="1" x14ac:dyDescent="0.25">
      <c r="B35" s="43"/>
      <c r="C35" s="43"/>
      <c r="D35" s="43"/>
      <c r="E35" s="43"/>
    </row>
    <row r="36" spans="1:5" ht="16.5" x14ac:dyDescent="0.25">
      <c r="B36" s="43"/>
      <c r="C36" s="43"/>
      <c r="D36" s="43"/>
      <c r="E36" s="43"/>
    </row>
    <row r="37" spans="1:5" ht="16.5" x14ac:dyDescent="0.25">
      <c r="B37" s="43"/>
      <c r="C37" s="43"/>
      <c r="D37" s="43"/>
      <c r="E37" s="43"/>
    </row>
    <row r="38" spans="1:5" ht="16.5" x14ac:dyDescent="0.25">
      <c r="B38" s="43"/>
      <c r="C38" s="43"/>
      <c r="D38" s="43"/>
      <c r="E38" s="43"/>
    </row>
    <row r="39" spans="1:5" ht="16.5" x14ac:dyDescent="0.25">
      <c r="B39" s="43"/>
      <c r="C39" s="43"/>
      <c r="D39" s="43"/>
      <c r="E39" s="43"/>
    </row>
    <row r="40" spans="1:5" ht="16.5" x14ac:dyDescent="0.25">
      <c r="B40" s="43"/>
      <c r="C40" s="43"/>
      <c r="D40" s="43"/>
      <c r="E40" s="43"/>
    </row>
    <row r="41" spans="1:5" ht="16.5" x14ac:dyDescent="0.25">
      <c r="B41" s="43"/>
      <c r="C41" s="43"/>
      <c r="D41" s="43"/>
      <c r="E41" s="43"/>
    </row>
    <row r="42" spans="1:5" ht="16.5" x14ac:dyDescent="0.25">
      <c r="B42" s="43"/>
      <c r="C42" s="43"/>
      <c r="D42" s="43"/>
      <c r="E42" s="43"/>
    </row>
    <row r="43" spans="1:5" ht="16.5" x14ac:dyDescent="0.25">
      <c r="B43" s="43"/>
      <c r="C43" s="43"/>
      <c r="D43" s="43"/>
      <c r="E43" s="43"/>
    </row>
    <row r="44" spans="1:5" ht="16.5" x14ac:dyDescent="0.25">
      <c r="B44" s="43"/>
      <c r="C44" s="43"/>
      <c r="D44" s="43"/>
      <c r="E44" s="43"/>
    </row>
    <row r="45" spans="1:5" ht="16.5" x14ac:dyDescent="0.25">
      <c r="B45" s="43"/>
      <c r="C45" s="43"/>
      <c r="D45" s="43"/>
      <c r="E45" s="43"/>
    </row>
  </sheetData>
  <mergeCells count="14">
    <mergeCell ref="B13:D13"/>
    <mergeCell ref="F14:G14"/>
    <mergeCell ref="A14:E14"/>
    <mergeCell ref="B6:D6"/>
    <mergeCell ref="B7:D7"/>
    <mergeCell ref="B8:D8"/>
    <mergeCell ref="A9:A13"/>
    <mergeCell ref="B10:D10"/>
    <mergeCell ref="B12:D12"/>
    <mergeCell ref="A1:E1"/>
    <mergeCell ref="A2:E2"/>
    <mergeCell ref="A3:E3"/>
    <mergeCell ref="A4:E4"/>
    <mergeCell ref="A5:E5"/>
  </mergeCells>
  <hyperlinks>
    <hyperlink ref="A1:E1" location="'ССРСС  3 ЭТАП 4 кв 2020г'!Заголовки_для_печати" display="Расчет № 09-06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577" workbookViewId="0">
      <selection activeCell="E586" sqref="E586"/>
    </sheetView>
  </sheetViews>
  <sheetFormatPr defaultRowHeight="15" x14ac:dyDescent="0.25"/>
  <cols>
    <col min="2" max="2" width="46.42578125" customWidth="1"/>
    <col min="3" max="3" width="56.5703125" customWidth="1"/>
    <col min="4" max="4" width="26.5703125" customWidth="1"/>
    <col min="5" max="5" width="15.140625" customWidth="1"/>
  </cols>
  <sheetData>
    <row r="1" spans="1:5" x14ac:dyDescent="0.25">
      <c r="A1" s="366"/>
      <c r="B1" s="366"/>
      <c r="C1" s="366"/>
      <c r="D1" s="361" t="s">
        <v>266</v>
      </c>
      <c r="E1" s="352"/>
    </row>
    <row r="2" spans="1:5" ht="15" customHeight="1" x14ac:dyDescent="0.25">
      <c r="A2" s="723" t="s">
        <v>267</v>
      </c>
      <c r="B2" s="723"/>
      <c r="C2" s="362"/>
      <c r="D2" s="362"/>
      <c r="E2" s="368"/>
    </row>
    <row r="3" spans="1:5" x14ac:dyDescent="0.25">
      <c r="A3" s="359"/>
      <c r="B3" s="359"/>
      <c r="C3" s="724" t="s">
        <v>268</v>
      </c>
      <c r="D3" s="724"/>
      <c r="E3" s="724"/>
    </row>
    <row r="4" spans="1:5" x14ac:dyDescent="0.25">
      <c r="A4" s="729" t="s">
        <v>1156</v>
      </c>
      <c r="B4" s="729"/>
      <c r="C4" s="729"/>
      <c r="D4" s="729"/>
      <c r="E4" s="729"/>
    </row>
    <row r="5" spans="1:5" x14ac:dyDescent="0.25">
      <c r="A5" s="725" t="s">
        <v>270</v>
      </c>
      <c r="B5" s="725"/>
      <c r="C5" s="725"/>
      <c r="D5" s="725"/>
      <c r="E5" s="364"/>
    </row>
    <row r="6" spans="1:5" x14ac:dyDescent="0.25">
      <c r="A6" s="354"/>
      <c r="B6" s="354"/>
      <c r="C6" s="354"/>
      <c r="D6" s="354"/>
      <c r="E6" s="354"/>
    </row>
    <row r="7" spans="1:5" ht="15" customHeight="1" x14ac:dyDescent="0.25">
      <c r="A7" s="730" t="s">
        <v>625</v>
      </c>
      <c r="B7" s="730"/>
      <c r="C7" s="730"/>
      <c r="D7" s="730"/>
      <c r="E7" s="730"/>
    </row>
    <row r="8" spans="1:5" x14ac:dyDescent="0.25">
      <c r="A8" s="727" t="s">
        <v>272</v>
      </c>
      <c r="B8" s="727"/>
      <c r="C8" s="727"/>
      <c r="D8" s="727"/>
      <c r="E8" s="367"/>
    </row>
    <row r="9" spans="1:5" x14ac:dyDescent="0.25">
      <c r="A9" s="354"/>
      <c r="B9" s="354"/>
      <c r="C9" s="354"/>
      <c r="D9" s="354"/>
      <c r="E9" s="354"/>
    </row>
    <row r="10" spans="1:5" x14ac:dyDescent="0.25">
      <c r="A10" s="355" t="s">
        <v>273</v>
      </c>
      <c r="B10" s="354"/>
      <c r="C10" s="353"/>
      <c r="D10" s="353"/>
      <c r="E10" s="353"/>
    </row>
    <row r="11" spans="1:5" x14ac:dyDescent="0.25">
      <c r="A11" s="363"/>
      <c r="B11" s="728"/>
      <c r="C11" s="728"/>
      <c r="D11" s="728"/>
      <c r="E11" s="728"/>
    </row>
    <row r="12" spans="1:5" x14ac:dyDescent="0.25">
      <c r="A12" s="364" t="s">
        <v>274</v>
      </c>
      <c r="B12" s="354"/>
      <c r="C12" s="356"/>
      <c r="D12" s="356"/>
      <c r="E12" s="356"/>
    </row>
    <row r="13" spans="1:5" x14ac:dyDescent="0.25">
      <c r="A13" s="352"/>
      <c r="B13" s="726" t="s">
        <v>241</v>
      </c>
      <c r="C13" s="726"/>
      <c r="D13" s="726"/>
      <c r="E13" s="726"/>
    </row>
    <row r="14" spans="1:5" x14ac:dyDescent="0.25">
      <c r="A14" s="352"/>
      <c r="B14" s="359"/>
      <c r="C14" s="359"/>
      <c r="D14" s="359"/>
      <c r="E14" s="359"/>
    </row>
    <row r="15" spans="1:5" x14ac:dyDescent="0.25">
      <c r="A15" s="369" t="s">
        <v>1152</v>
      </c>
      <c r="B15" s="359"/>
      <c r="C15" s="359"/>
      <c r="D15" s="359"/>
      <c r="E15" s="359"/>
    </row>
    <row r="16" spans="1:5" x14ac:dyDescent="0.25">
      <c r="A16" s="354"/>
      <c r="B16" s="354"/>
      <c r="C16" s="357"/>
      <c r="D16" s="357"/>
      <c r="E16" s="358"/>
    </row>
    <row r="17" spans="1:5" ht="48" x14ac:dyDescent="0.25">
      <c r="A17" s="360" t="s">
        <v>275</v>
      </c>
      <c r="B17" s="365" t="s">
        <v>276</v>
      </c>
      <c r="C17" s="365" t="s">
        <v>277</v>
      </c>
      <c r="D17" s="370" t="s">
        <v>475</v>
      </c>
      <c r="E17" s="370" t="s">
        <v>476</v>
      </c>
    </row>
    <row r="18" spans="1:5" x14ac:dyDescent="0.25">
      <c r="A18" s="371">
        <v>1</v>
      </c>
      <c r="B18" s="372">
        <v>2</v>
      </c>
      <c r="C18" s="372">
        <v>3</v>
      </c>
      <c r="D18" s="371">
        <v>4</v>
      </c>
      <c r="E18" s="371">
        <v>5</v>
      </c>
    </row>
    <row r="19" spans="1:5" ht="15" customHeight="1" x14ac:dyDescent="0.25">
      <c r="A19" s="740" t="s">
        <v>278</v>
      </c>
      <c r="B19" s="741"/>
      <c r="C19" s="741"/>
      <c r="D19" s="741"/>
      <c r="E19" s="742"/>
    </row>
    <row r="20" spans="1:5" ht="65.25" customHeight="1" x14ac:dyDescent="0.25">
      <c r="A20" s="743">
        <v>1</v>
      </c>
      <c r="B20" s="374" t="s">
        <v>279</v>
      </c>
      <c r="C20" s="375" t="s">
        <v>280</v>
      </c>
      <c r="D20" s="376" t="s">
        <v>626</v>
      </c>
      <c r="E20" s="377" t="s">
        <v>627</v>
      </c>
    </row>
    <row r="21" spans="1:5" ht="65.25" customHeight="1" x14ac:dyDescent="0.25">
      <c r="A21" s="744"/>
      <c r="B21" s="378"/>
      <c r="C21" s="379" t="s">
        <v>628</v>
      </c>
      <c r="D21" s="380" t="s">
        <v>629</v>
      </c>
      <c r="E21" s="381" t="s">
        <v>263</v>
      </c>
    </row>
    <row r="22" spans="1:5" ht="65.25" customHeight="1" x14ac:dyDescent="0.25">
      <c r="A22" s="744"/>
      <c r="B22" s="378"/>
      <c r="C22" s="379" t="s">
        <v>283</v>
      </c>
      <c r="D22" s="380" t="s">
        <v>630</v>
      </c>
      <c r="E22" s="381" t="s">
        <v>263</v>
      </c>
    </row>
    <row r="23" spans="1:5" ht="65.25" customHeight="1" x14ac:dyDescent="0.25">
      <c r="A23" s="744"/>
      <c r="B23" s="378"/>
      <c r="C23" s="379" t="s">
        <v>288</v>
      </c>
      <c r="D23" s="380" t="s">
        <v>333</v>
      </c>
      <c r="E23" s="381" t="s">
        <v>631</v>
      </c>
    </row>
    <row r="24" spans="1:5" ht="65.25" customHeight="1" x14ac:dyDescent="0.25">
      <c r="A24" s="744"/>
      <c r="B24" s="378"/>
      <c r="C24" s="379" t="s">
        <v>295</v>
      </c>
      <c r="D24" s="380" t="s">
        <v>298</v>
      </c>
      <c r="E24" s="381" t="s">
        <v>632</v>
      </c>
    </row>
    <row r="25" spans="1:5" ht="65.25" customHeight="1" x14ac:dyDescent="0.25">
      <c r="A25" s="744"/>
      <c r="B25" s="378"/>
      <c r="C25" s="379" t="s">
        <v>297</v>
      </c>
      <c r="D25" s="380" t="s">
        <v>308</v>
      </c>
      <c r="E25" s="381" t="s">
        <v>633</v>
      </c>
    </row>
    <row r="26" spans="1:5" ht="65.25" customHeight="1" x14ac:dyDescent="0.25">
      <c r="A26" s="744"/>
      <c r="B26" s="378"/>
      <c r="C26" s="379" t="s">
        <v>299</v>
      </c>
      <c r="D26" s="380" t="s">
        <v>300</v>
      </c>
      <c r="E26" s="381" t="s">
        <v>634</v>
      </c>
    </row>
    <row r="27" spans="1:5" ht="65.25" customHeight="1" x14ac:dyDescent="0.25">
      <c r="A27" s="744"/>
      <c r="B27" s="378"/>
      <c r="C27" s="379" t="s">
        <v>301</v>
      </c>
      <c r="D27" s="380" t="s">
        <v>635</v>
      </c>
      <c r="E27" s="381" t="s">
        <v>636</v>
      </c>
    </row>
    <row r="28" spans="1:5" ht="65.25" customHeight="1" x14ac:dyDescent="0.25">
      <c r="A28" s="744"/>
      <c r="B28" s="378"/>
      <c r="C28" s="379" t="s">
        <v>303</v>
      </c>
      <c r="D28" s="380" t="s">
        <v>304</v>
      </c>
      <c r="E28" s="381" t="s">
        <v>637</v>
      </c>
    </row>
    <row r="29" spans="1:5" ht="65.25" customHeight="1" x14ac:dyDescent="0.25">
      <c r="A29" s="744"/>
      <c r="B29" s="378"/>
      <c r="C29" s="379" t="s">
        <v>305</v>
      </c>
      <c r="D29" s="380" t="s">
        <v>306</v>
      </c>
      <c r="E29" s="381" t="s">
        <v>638</v>
      </c>
    </row>
    <row r="30" spans="1:5" ht="65.25" customHeight="1" x14ac:dyDescent="0.25">
      <c r="A30" s="744"/>
      <c r="B30" s="378"/>
      <c r="C30" s="379" t="s">
        <v>307</v>
      </c>
      <c r="D30" s="380" t="s">
        <v>639</v>
      </c>
      <c r="E30" s="381" t="s">
        <v>640</v>
      </c>
    </row>
    <row r="31" spans="1:5" ht="65.25" customHeight="1" x14ac:dyDescent="0.25">
      <c r="A31" s="744"/>
      <c r="B31" s="378"/>
      <c r="C31" s="379" t="s">
        <v>309</v>
      </c>
      <c r="D31" s="380" t="s">
        <v>641</v>
      </c>
      <c r="E31" s="381" t="s">
        <v>642</v>
      </c>
    </row>
    <row r="32" spans="1:5" ht="65.25" customHeight="1" x14ac:dyDescent="0.25">
      <c r="A32" s="744"/>
      <c r="B32" s="378"/>
      <c r="C32" s="379" t="s">
        <v>310</v>
      </c>
      <c r="D32" s="380" t="s">
        <v>306</v>
      </c>
      <c r="E32" s="381" t="s">
        <v>638</v>
      </c>
    </row>
    <row r="33" spans="1:5" ht="65.25" customHeight="1" x14ac:dyDescent="0.25">
      <c r="A33" s="745"/>
      <c r="B33" s="378"/>
      <c r="C33" s="379" t="s">
        <v>311</v>
      </c>
      <c r="D33" s="380" t="s">
        <v>312</v>
      </c>
      <c r="E33" s="381"/>
    </row>
    <row r="34" spans="1:5" ht="65.25" customHeight="1" x14ac:dyDescent="0.25">
      <c r="A34" s="743">
        <v>2</v>
      </c>
      <c r="B34" s="374" t="s">
        <v>313</v>
      </c>
      <c r="C34" s="375" t="s">
        <v>314</v>
      </c>
      <c r="D34" s="376" t="s">
        <v>643</v>
      </c>
      <c r="E34" s="377" t="s">
        <v>644</v>
      </c>
    </row>
    <row r="35" spans="1:5" ht="65.25" customHeight="1" x14ac:dyDescent="0.25">
      <c r="A35" s="744"/>
      <c r="B35" s="378"/>
      <c r="C35" s="379" t="s">
        <v>283</v>
      </c>
      <c r="D35" s="380" t="s">
        <v>315</v>
      </c>
      <c r="E35" s="381" t="s">
        <v>263</v>
      </c>
    </row>
    <row r="36" spans="1:5" ht="65.25" customHeight="1" x14ac:dyDescent="0.25">
      <c r="A36" s="744"/>
      <c r="B36" s="378"/>
      <c r="C36" s="379" t="s">
        <v>645</v>
      </c>
      <c r="D36" s="380" t="s">
        <v>646</v>
      </c>
      <c r="E36" s="381" t="s">
        <v>263</v>
      </c>
    </row>
    <row r="37" spans="1:5" ht="65.25" customHeight="1" x14ac:dyDescent="0.25">
      <c r="A37" s="744"/>
      <c r="B37" s="378"/>
      <c r="C37" s="379" t="s">
        <v>318</v>
      </c>
      <c r="D37" s="380" t="s">
        <v>319</v>
      </c>
      <c r="E37" s="381" t="s">
        <v>263</v>
      </c>
    </row>
    <row r="38" spans="1:5" ht="65.25" customHeight="1" x14ac:dyDescent="0.25">
      <c r="A38" s="744"/>
      <c r="B38" s="378"/>
      <c r="C38" s="379" t="s">
        <v>320</v>
      </c>
      <c r="D38" s="380" t="s">
        <v>286</v>
      </c>
      <c r="E38" s="381" t="s">
        <v>647</v>
      </c>
    </row>
    <row r="39" spans="1:5" ht="65.25" customHeight="1" x14ac:dyDescent="0.25">
      <c r="A39" s="744"/>
      <c r="B39" s="378"/>
      <c r="C39" s="379" t="s">
        <v>321</v>
      </c>
      <c r="D39" s="380" t="s">
        <v>289</v>
      </c>
      <c r="E39" s="381" t="s">
        <v>648</v>
      </c>
    </row>
    <row r="40" spans="1:5" ht="65.25" customHeight="1" x14ac:dyDescent="0.25">
      <c r="A40" s="744"/>
      <c r="B40" s="378"/>
      <c r="C40" s="379" t="s">
        <v>322</v>
      </c>
      <c r="D40" s="380" t="s">
        <v>443</v>
      </c>
      <c r="E40" s="381" t="s">
        <v>649</v>
      </c>
    </row>
    <row r="41" spans="1:5" ht="65.25" customHeight="1" x14ac:dyDescent="0.25">
      <c r="A41" s="744"/>
      <c r="B41" s="378"/>
      <c r="C41" s="379" t="s">
        <v>324</v>
      </c>
      <c r="D41" s="380" t="s">
        <v>294</v>
      </c>
      <c r="E41" s="381" t="s">
        <v>650</v>
      </c>
    </row>
    <row r="42" spans="1:5" ht="65.25" customHeight="1" x14ac:dyDescent="0.25">
      <c r="A42" s="744"/>
      <c r="B42" s="378"/>
      <c r="C42" s="379" t="s">
        <v>326</v>
      </c>
      <c r="D42" s="380" t="s">
        <v>296</v>
      </c>
      <c r="E42" s="381" t="s">
        <v>651</v>
      </c>
    </row>
    <row r="43" spans="1:5" ht="65.25" customHeight="1" x14ac:dyDescent="0.25">
      <c r="A43" s="744"/>
      <c r="B43" s="378"/>
      <c r="C43" s="379" t="s">
        <v>327</v>
      </c>
      <c r="D43" s="380" t="s">
        <v>296</v>
      </c>
      <c r="E43" s="381" t="s">
        <v>651</v>
      </c>
    </row>
    <row r="44" spans="1:5" ht="65.25" customHeight="1" x14ac:dyDescent="0.25">
      <c r="A44" s="744"/>
      <c r="B44" s="378"/>
      <c r="C44" s="379" t="s">
        <v>328</v>
      </c>
      <c r="D44" s="380" t="s">
        <v>325</v>
      </c>
      <c r="E44" s="381" t="s">
        <v>652</v>
      </c>
    </row>
    <row r="45" spans="1:5" ht="65.25" customHeight="1" x14ac:dyDescent="0.25">
      <c r="A45" s="744"/>
      <c r="B45" s="378"/>
      <c r="C45" s="379" t="s">
        <v>329</v>
      </c>
      <c r="D45" s="380" t="s">
        <v>286</v>
      </c>
      <c r="E45" s="381" t="s">
        <v>647</v>
      </c>
    </row>
    <row r="46" spans="1:5" ht="65.25" customHeight="1" x14ac:dyDescent="0.25">
      <c r="A46" s="744"/>
      <c r="B46" s="378"/>
      <c r="C46" s="379" t="s">
        <v>330</v>
      </c>
      <c r="D46" s="380" t="s">
        <v>292</v>
      </c>
      <c r="E46" s="381" t="s">
        <v>653</v>
      </c>
    </row>
    <row r="47" spans="1:5" ht="65.25" customHeight="1" x14ac:dyDescent="0.25">
      <c r="A47" s="744"/>
      <c r="B47" s="378"/>
      <c r="C47" s="379" t="s">
        <v>331</v>
      </c>
      <c r="D47" s="380" t="s">
        <v>332</v>
      </c>
      <c r="E47" s="381" t="s">
        <v>654</v>
      </c>
    </row>
    <row r="48" spans="1:5" ht="65.25" customHeight="1" x14ac:dyDescent="0.25">
      <c r="A48" s="744"/>
      <c r="B48" s="378"/>
      <c r="C48" s="379" t="s">
        <v>295</v>
      </c>
      <c r="D48" s="380" t="s">
        <v>294</v>
      </c>
      <c r="E48" s="381" t="s">
        <v>650</v>
      </c>
    </row>
    <row r="49" spans="1:5" ht="65.25" customHeight="1" x14ac:dyDescent="0.25">
      <c r="A49" s="744"/>
      <c r="B49" s="378"/>
      <c r="C49" s="379" t="s">
        <v>334</v>
      </c>
      <c r="D49" s="380" t="s">
        <v>292</v>
      </c>
      <c r="E49" s="381" t="s">
        <v>653</v>
      </c>
    </row>
    <row r="50" spans="1:5" ht="65.25" customHeight="1" x14ac:dyDescent="0.25">
      <c r="A50" s="744"/>
      <c r="B50" s="378"/>
      <c r="C50" s="379" t="s">
        <v>335</v>
      </c>
      <c r="D50" s="380" t="s">
        <v>298</v>
      </c>
      <c r="E50" s="381" t="s">
        <v>655</v>
      </c>
    </row>
    <row r="51" spans="1:5" ht="65.25" customHeight="1" x14ac:dyDescent="0.25">
      <c r="A51" s="744"/>
      <c r="B51" s="378"/>
      <c r="C51" s="379" t="s">
        <v>297</v>
      </c>
      <c r="D51" s="380" t="s">
        <v>325</v>
      </c>
      <c r="E51" s="381" t="s">
        <v>652</v>
      </c>
    </row>
    <row r="52" spans="1:5" ht="65.25" customHeight="1" x14ac:dyDescent="0.25">
      <c r="A52" s="745"/>
      <c r="B52" s="378"/>
      <c r="C52" s="379" t="s">
        <v>311</v>
      </c>
      <c r="D52" s="380" t="s">
        <v>312</v>
      </c>
      <c r="E52" s="381"/>
    </row>
    <row r="53" spans="1:5" ht="65.25" customHeight="1" x14ac:dyDescent="0.25">
      <c r="A53" s="743">
        <v>3</v>
      </c>
      <c r="B53" s="374" t="s">
        <v>336</v>
      </c>
      <c r="C53" s="375" t="s">
        <v>314</v>
      </c>
      <c r="D53" s="376" t="s">
        <v>656</v>
      </c>
      <c r="E53" s="377" t="s">
        <v>644</v>
      </c>
    </row>
    <row r="54" spans="1:5" ht="65.25" customHeight="1" x14ac:dyDescent="0.25">
      <c r="A54" s="744"/>
      <c r="B54" s="378"/>
      <c r="C54" s="379" t="s">
        <v>283</v>
      </c>
      <c r="D54" s="380" t="s">
        <v>315</v>
      </c>
      <c r="E54" s="381" t="s">
        <v>263</v>
      </c>
    </row>
    <row r="55" spans="1:5" ht="65.25" customHeight="1" x14ac:dyDescent="0.25">
      <c r="A55" s="744"/>
      <c r="B55" s="378"/>
      <c r="C55" s="379" t="s">
        <v>318</v>
      </c>
      <c r="D55" s="380" t="s">
        <v>319</v>
      </c>
      <c r="E55" s="381" t="s">
        <v>263</v>
      </c>
    </row>
    <row r="56" spans="1:5" ht="65.25" customHeight="1" x14ac:dyDescent="0.25">
      <c r="A56" s="744"/>
      <c r="B56" s="378"/>
      <c r="C56" s="379" t="s">
        <v>645</v>
      </c>
      <c r="D56" s="380" t="s">
        <v>646</v>
      </c>
      <c r="E56" s="381" t="s">
        <v>263</v>
      </c>
    </row>
    <row r="57" spans="1:5" ht="65.25" customHeight="1" x14ac:dyDescent="0.25">
      <c r="A57" s="744"/>
      <c r="B57" s="378"/>
      <c r="C57" s="379" t="s">
        <v>320</v>
      </c>
      <c r="D57" s="380" t="s">
        <v>286</v>
      </c>
      <c r="E57" s="381" t="s">
        <v>647</v>
      </c>
    </row>
    <row r="58" spans="1:5" ht="65.25" customHeight="1" x14ac:dyDescent="0.25">
      <c r="A58" s="744"/>
      <c r="B58" s="378"/>
      <c r="C58" s="379" t="s">
        <v>321</v>
      </c>
      <c r="D58" s="380" t="s">
        <v>289</v>
      </c>
      <c r="E58" s="381" t="s">
        <v>648</v>
      </c>
    </row>
    <row r="59" spans="1:5" ht="65.25" customHeight="1" x14ac:dyDescent="0.25">
      <c r="A59" s="744"/>
      <c r="B59" s="378"/>
      <c r="C59" s="379" t="s">
        <v>322</v>
      </c>
      <c r="D59" s="380" t="s">
        <v>443</v>
      </c>
      <c r="E59" s="381" t="s">
        <v>649</v>
      </c>
    </row>
    <row r="60" spans="1:5" ht="65.25" customHeight="1" x14ac:dyDescent="0.25">
      <c r="A60" s="744"/>
      <c r="B60" s="378"/>
      <c r="C60" s="379" t="s">
        <v>324</v>
      </c>
      <c r="D60" s="380" t="s">
        <v>294</v>
      </c>
      <c r="E60" s="381" t="s">
        <v>650</v>
      </c>
    </row>
    <row r="61" spans="1:5" ht="65.25" customHeight="1" x14ac:dyDescent="0.25">
      <c r="A61" s="744"/>
      <c r="B61" s="378"/>
      <c r="C61" s="379" t="s">
        <v>326</v>
      </c>
      <c r="D61" s="380" t="s">
        <v>296</v>
      </c>
      <c r="E61" s="381" t="s">
        <v>651</v>
      </c>
    </row>
    <row r="62" spans="1:5" ht="65.25" customHeight="1" x14ac:dyDescent="0.25">
      <c r="A62" s="744"/>
      <c r="B62" s="378"/>
      <c r="C62" s="379" t="s">
        <v>327</v>
      </c>
      <c r="D62" s="380" t="s">
        <v>296</v>
      </c>
      <c r="E62" s="381" t="s">
        <v>651</v>
      </c>
    </row>
    <row r="63" spans="1:5" ht="65.25" customHeight="1" x14ac:dyDescent="0.25">
      <c r="A63" s="744"/>
      <c r="B63" s="378"/>
      <c r="C63" s="379" t="s">
        <v>328</v>
      </c>
      <c r="D63" s="380" t="s">
        <v>325</v>
      </c>
      <c r="E63" s="381" t="s">
        <v>652</v>
      </c>
    </row>
    <row r="64" spans="1:5" ht="65.25" customHeight="1" x14ac:dyDescent="0.25">
      <c r="A64" s="744"/>
      <c r="B64" s="378"/>
      <c r="C64" s="379" t="s">
        <v>329</v>
      </c>
      <c r="D64" s="380" t="s">
        <v>286</v>
      </c>
      <c r="E64" s="381" t="s">
        <v>647</v>
      </c>
    </row>
    <row r="65" spans="1:5" ht="65.25" customHeight="1" x14ac:dyDescent="0.25">
      <c r="A65" s="744"/>
      <c r="B65" s="378"/>
      <c r="C65" s="379" t="s">
        <v>330</v>
      </c>
      <c r="D65" s="380" t="s">
        <v>292</v>
      </c>
      <c r="E65" s="381" t="s">
        <v>653</v>
      </c>
    </row>
    <row r="66" spans="1:5" ht="65.25" customHeight="1" x14ac:dyDescent="0.25">
      <c r="A66" s="744"/>
      <c r="B66" s="378"/>
      <c r="C66" s="379" t="s">
        <v>331</v>
      </c>
      <c r="D66" s="380" t="s">
        <v>332</v>
      </c>
      <c r="E66" s="381" t="s">
        <v>654</v>
      </c>
    </row>
    <row r="67" spans="1:5" ht="65.25" customHeight="1" x14ac:dyDescent="0.25">
      <c r="A67" s="744"/>
      <c r="B67" s="378"/>
      <c r="C67" s="379" t="s">
        <v>295</v>
      </c>
      <c r="D67" s="380" t="s">
        <v>294</v>
      </c>
      <c r="E67" s="381" t="s">
        <v>650</v>
      </c>
    </row>
    <row r="68" spans="1:5" ht="65.25" customHeight="1" x14ac:dyDescent="0.25">
      <c r="A68" s="744"/>
      <c r="B68" s="378"/>
      <c r="C68" s="379" t="s">
        <v>334</v>
      </c>
      <c r="D68" s="380" t="s">
        <v>292</v>
      </c>
      <c r="E68" s="381" t="s">
        <v>653</v>
      </c>
    </row>
    <row r="69" spans="1:5" ht="65.25" customHeight="1" x14ac:dyDescent="0.25">
      <c r="A69" s="744"/>
      <c r="B69" s="378"/>
      <c r="C69" s="379" t="s">
        <v>335</v>
      </c>
      <c r="D69" s="380" t="s">
        <v>298</v>
      </c>
      <c r="E69" s="381" t="s">
        <v>655</v>
      </c>
    </row>
    <row r="70" spans="1:5" ht="65.25" customHeight="1" x14ac:dyDescent="0.25">
      <c r="A70" s="744"/>
      <c r="B70" s="378"/>
      <c r="C70" s="379" t="s">
        <v>297</v>
      </c>
      <c r="D70" s="380" t="s">
        <v>325</v>
      </c>
      <c r="E70" s="381" t="s">
        <v>652</v>
      </c>
    </row>
    <row r="71" spans="1:5" ht="65.25" customHeight="1" x14ac:dyDescent="0.25">
      <c r="A71" s="745"/>
      <c r="B71" s="378"/>
      <c r="C71" s="379" t="s">
        <v>311</v>
      </c>
      <c r="D71" s="380" t="s">
        <v>312</v>
      </c>
      <c r="E71" s="381"/>
    </row>
    <row r="72" spans="1:5" ht="65.25" customHeight="1" x14ac:dyDescent="0.25">
      <c r="A72" s="743">
        <v>4</v>
      </c>
      <c r="B72" s="374" t="s">
        <v>337</v>
      </c>
      <c r="C72" s="375" t="s">
        <v>338</v>
      </c>
      <c r="D72" s="376" t="s">
        <v>657</v>
      </c>
      <c r="E72" s="377" t="s">
        <v>658</v>
      </c>
    </row>
    <row r="73" spans="1:5" ht="65.25" customHeight="1" x14ac:dyDescent="0.25">
      <c r="A73" s="744"/>
      <c r="B73" s="378"/>
      <c r="C73" s="379" t="s">
        <v>283</v>
      </c>
      <c r="D73" s="380" t="s">
        <v>315</v>
      </c>
      <c r="E73" s="381" t="s">
        <v>263</v>
      </c>
    </row>
    <row r="74" spans="1:5" ht="65.25" customHeight="1" x14ac:dyDescent="0.25">
      <c r="A74" s="744"/>
      <c r="B74" s="378"/>
      <c r="C74" s="379" t="s">
        <v>645</v>
      </c>
      <c r="D74" s="380" t="s">
        <v>646</v>
      </c>
      <c r="E74" s="381" t="s">
        <v>263</v>
      </c>
    </row>
    <row r="75" spans="1:5" ht="65.25" customHeight="1" x14ac:dyDescent="0.25">
      <c r="A75" s="744"/>
      <c r="B75" s="378"/>
      <c r="C75" s="379" t="s">
        <v>320</v>
      </c>
      <c r="D75" s="380" t="s">
        <v>286</v>
      </c>
      <c r="E75" s="381">
        <v>264.16000000000003</v>
      </c>
    </row>
    <row r="76" spans="1:5" ht="65.25" customHeight="1" x14ac:dyDescent="0.25">
      <c r="A76" s="744"/>
      <c r="B76" s="378"/>
      <c r="C76" s="379" t="s">
        <v>321</v>
      </c>
      <c r="D76" s="380" t="s">
        <v>289</v>
      </c>
      <c r="E76" s="381">
        <v>792.48</v>
      </c>
    </row>
    <row r="77" spans="1:5" ht="65.25" customHeight="1" x14ac:dyDescent="0.25">
      <c r="A77" s="744"/>
      <c r="B77" s="378"/>
      <c r="C77" s="379" t="s">
        <v>322</v>
      </c>
      <c r="D77" s="380" t="s">
        <v>443</v>
      </c>
      <c r="E77" s="381" t="s">
        <v>659</v>
      </c>
    </row>
    <row r="78" spans="1:5" ht="65.25" customHeight="1" x14ac:dyDescent="0.25">
      <c r="A78" s="744"/>
      <c r="B78" s="378"/>
      <c r="C78" s="379" t="s">
        <v>324</v>
      </c>
      <c r="D78" s="380" t="s">
        <v>294</v>
      </c>
      <c r="E78" s="381" t="s">
        <v>660</v>
      </c>
    </row>
    <row r="79" spans="1:5" ht="65.25" customHeight="1" x14ac:dyDescent="0.25">
      <c r="A79" s="744"/>
      <c r="B79" s="378"/>
      <c r="C79" s="379" t="s">
        <v>326</v>
      </c>
      <c r="D79" s="380" t="s">
        <v>296</v>
      </c>
      <c r="E79" s="381">
        <v>396.24</v>
      </c>
    </row>
    <row r="80" spans="1:5" ht="65.25" customHeight="1" x14ac:dyDescent="0.25">
      <c r="A80" s="744"/>
      <c r="B80" s="378"/>
      <c r="C80" s="379" t="s">
        <v>327</v>
      </c>
      <c r="D80" s="380" t="s">
        <v>296</v>
      </c>
      <c r="E80" s="381">
        <v>396.24</v>
      </c>
    </row>
    <row r="81" spans="1:5" ht="65.25" customHeight="1" x14ac:dyDescent="0.25">
      <c r="A81" s="744"/>
      <c r="B81" s="378"/>
      <c r="C81" s="379" t="s">
        <v>328</v>
      </c>
      <c r="D81" s="380" t="s">
        <v>325</v>
      </c>
      <c r="E81" s="381">
        <v>924.56</v>
      </c>
    </row>
    <row r="82" spans="1:5" ht="65.25" customHeight="1" x14ac:dyDescent="0.25">
      <c r="A82" s="744"/>
      <c r="B82" s="378"/>
      <c r="C82" s="379" t="s">
        <v>329</v>
      </c>
      <c r="D82" s="380" t="s">
        <v>286</v>
      </c>
      <c r="E82" s="381">
        <v>264.16000000000003</v>
      </c>
    </row>
    <row r="83" spans="1:5" ht="65.25" customHeight="1" x14ac:dyDescent="0.25">
      <c r="A83" s="744"/>
      <c r="B83" s="378"/>
      <c r="C83" s="379" t="s">
        <v>330</v>
      </c>
      <c r="D83" s="380" t="s">
        <v>292</v>
      </c>
      <c r="E83" s="381">
        <v>132.08000000000001</v>
      </c>
    </row>
    <row r="84" spans="1:5" ht="65.25" customHeight="1" x14ac:dyDescent="0.25">
      <c r="A84" s="744"/>
      <c r="B84" s="378"/>
      <c r="C84" s="379" t="s">
        <v>331</v>
      </c>
      <c r="D84" s="380" t="s">
        <v>332</v>
      </c>
      <c r="E84" s="381" t="s">
        <v>661</v>
      </c>
    </row>
    <row r="85" spans="1:5" ht="65.25" customHeight="1" x14ac:dyDescent="0.25">
      <c r="A85" s="744"/>
      <c r="B85" s="378"/>
      <c r="C85" s="379" t="s">
        <v>295</v>
      </c>
      <c r="D85" s="380" t="s">
        <v>294</v>
      </c>
      <c r="E85" s="381" t="s">
        <v>660</v>
      </c>
    </row>
    <row r="86" spans="1:5" ht="65.25" customHeight="1" x14ac:dyDescent="0.25">
      <c r="A86" s="744"/>
      <c r="B86" s="378"/>
      <c r="C86" s="379" t="s">
        <v>334</v>
      </c>
      <c r="D86" s="380" t="s">
        <v>292</v>
      </c>
      <c r="E86" s="381">
        <v>132.08000000000001</v>
      </c>
    </row>
    <row r="87" spans="1:5" ht="65.25" customHeight="1" x14ac:dyDescent="0.25">
      <c r="A87" s="744"/>
      <c r="B87" s="378"/>
      <c r="C87" s="379" t="s">
        <v>335</v>
      </c>
      <c r="D87" s="380" t="s">
        <v>298</v>
      </c>
      <c r="E87" s="381">
        <v>660.4</v>
      </c>
    </row>
    <row r="88" spans="1:5" ht="65.25" customHeight="1" x14ac:dyDescent="0.25">
      <c r="A88" s="744"/>
      <c r="B88" s="378"/>
      <c r="C88" s="379" t="s">
        <v>297</v>
      </c>
      <c r="D88" s="380" t="s">
        <v>325</v>
      </c>
      <c r="E88" s="381">
        <v>924.56</v>
      </c>
    </row>
    <row r="89" spans="1:5" ht="65.25" customHeight="1" x14ac:dyDescent="0.25">
      <c r="A89" s="745"/>
      <c r="B89" s="378"/>
      <c r="C89" s="379" t="s">
        <v>311</v>
      </c>
      <c r="D89" s="380" t="s">
        <v>312</v>
      </c>
      <c r="E89" s="381"/>
    </row>
    <row r="90" spans="1:5" ht="65.25" customHeight="1" x14ac:dyDescent="0.25">
      <c r="A90" s="743">
        <v>5</v>
      </c>
      <c r="B90" s="374" t="s">
        <v>339</v>
      </c>
      <c r="C90" s="375" t="s">
        <v>338</v>
      </c>
      <c r="D90" s="376" t="s">
        <v>662</v>
      </c>
      <c r="E90" s="377" t="s">
        <v>663</v>
      </c>
    </row>
    <row r="91" spans="1:5" ht="65.25" customHeight="1" x14ac:dyDescent="0.25">
      <c r="A91" s="744"/>
      <c r="B91" s="378"/>
      <c r="C91" s="379" t="s">
        <v>283</v>
      </c>
      <c r="D91" s="380" t="s">
        <v>315</v>
      </c>
      <c r="E91" s="381" t="s">
        <v>263</v>
      </c>
    </row>
    <row r="92" spans="1:5" ht="65.25" customHeight="1" x14ac:dyDescent="0.25">
      <c r="A92" s="744"/>
      <c r="B92" s="378"/>
      <c r="C92" s="379" t="s">
        <v>318</v>
      </c>
      <c r="D92" s="380" t="s">
        <v>319</v>
      </c>
      <c r="E92" s="381" t="s">
        <v>263</v>
      </c>
    </row>
    <row r="93" spans="1:5" ht="65.25" customHeight="1" x14ac:dyDescent="0.25">
      <c r="A93" s="744"/>
      <c r="B93" s="378"/>
      <c r="C93" s="379" t="s">
        <v>645</v>
      </c>
      <c r="D93" s="380" t="s">
        <v>646</v>
      </c>
      <c r="E93" s="381" t="s">
        <v>263</v>
      </c>
    </row>
    <row r="94" spans="1:5" ht="65.25" customHeight="1" x14ac:dyDescent="0.25">
      <c r="A94" s="744"/>
      <c r="B94" s="378"/>
      <c r="C94" s="379" t="s">
        <v>320</v>
      </c>
      <c r="D94" s="380" t="s">
        <v>286</v>
      </c>
      <c r="E94" s="381">
        <v>290.58</v>
      </c>
    </row>
    <row r="95" spans="1:5" ht="65.25" customHeight="1" x14ac:dyDescent="0.25">
      <c r="A95" s="744"/>
      <c r="B95" s="378"/>
      <c r="C95" s="379" t="s">
        <v>321</v>
      </c>
      <c r="D95" s="380" t="s">
        <v>289</v>
      </c>
      <c r="E95" s="381">
        <v>871.73</v>
      </c>
    </row>
    <row r="96" spans="1:5" ht="65.25" customHeight="1" x14ac:dyDescent="0.25">
      <c r="A96" s="744"/>
      <c r="B96" s="378"/>
      <c r="C96" s="379" t="s">
        <v>322</v>
      </c>
      <c r="D96" s="380" t="s">
        <v>443</v>
      </c>
      <c r="E96" s="381" t="s">
        <v>664</v>
      </c>
    </row>
    <row r="97" spans="1:5" ht="65.25" customHeight="1" x14ac:dyDescent="0.25">
      <c r="A97" s="744"/>
      <c r="B97" s="378"/>
      <c r="C97" s="379" t="s">
        <v>324</v>
      </c>
      <c r="D97" s="380" t="s">
        <v>294</v>
      </c>
      <c r="E97" s="381" t="s">
        <v>665</v>
      </c>
    </row>
    <row r="98" spans="1:5" ht="65.25" customHeight="1" x14ac:dyDescent="0.25">
      <c r="A98" s="744"/>
      <c r="B98" s="378"/>
      <c r="C98" s="379" t="s">
        <v>326</v>
      </c>
      <c r="D98" s="380" t="s">
        <v>296</v>
      </c>
      <c r="E98" s="381">
        <v>435.86</v>
      </c>
    </row>
    <row r="99" spans="1:5" ht="65.25" customHeight="1" x14ac:dyDescent="0.25">
      <c r="A99" s="744"/>
      <c r="B99" s="378"/>
      <c r="C99" s="379" t="s">
        <v>327</v>
      </c>
      <c r="D99" s="380" t="s">
        <v>296</v>
      </c>
      <c r="E99" s="381">
        <v>435.86</v>
      </c>
    </row>
    <row r="100" spans="1:5" ht="65.25" customHeight="1" x14ac:dyDescent="0.25">
      <c r="A100" s="744"/>
      <c r="B100" s="378"/>
      <c r="C100" s="379" t="s">
        <v>328</v>
      </c>
      <c r="D100" s="380" t="s">
        <v>325</v>
      </c>
      <c r="E100" s="381" t="s">
        <v>666</v>
      </c>
    </row>
    <row r="101" spans="1:5" ht="65.25" customHeight="1" x14ac:dyDescent="0.25">
      <c r="A101" s="744"/>
      <c r="B101" s="378"/>
      <c r="C101" s="379" t="s">
        <v>329</v>
      </c>
      <c r="D101" s="380" t="s">
        <v>286</v>
      </c>
      <c r="E101" s="381">
        <v>290.58</v>
      </c>
    </row>
    <row r="102" spans="1:5" ht="65.25" customHeight="1" x14ac:dyDescent="0.25">
      <c r="A102" s="744"/>
      <c r="B102" s="378"/>
      <c r="C102" s="379" t="s">
        <v>330</v>
      </c>
      <c r="D102" s="380" t="s">
        <v>292</v>
      </c>
      <c r="E102" s="381">
        <v>145.29</v>
      </c>
    </row>
    <row r="103" spans="1:5" ht="65.25" customHeight="1" x14ac:dyDescent="0.25">
      <c r="A103" s="744"/>
      <c r="B103" s="378"/>
      <c r="C103" s="379" t="s">
        <v>331</v>
      </c>
      <c r="D103" s="380" t="s">
        <v>332</v>
      </c>
      <c r="E103" s="381" t="s">
        <v>667</v>
      </c>
    </row>
    <row r="104" spans="1:5" ht="25.5" customHeight="1" x14ac:dyDescent="0.25">
      <c r="A104" s="744"/>
      <c r="B104" s="378"/>
      <c r="C104" s="379" t="s">
        <v>295</v>
      </c>
      <c r="D104" s="380" t="s">
        <v>294</v>
      </c>
      <c r="E104" s="381" t="s">
        <v>665</v>
      </c>
    </row>
    <row r="105" spans="1:5" ht="27.75" customHeight="1" x14ac:dyDescent="0.25">
      <c r="A105" s="744"/>
      <c r="B105" s="378"/>
      <c r="C105" s="379" t="s">
        <v>334</v>
      </c>
      <c r="D105" s="380" t="s">
        <v>292</v>
      </c>
      <c r="E105" s="381">
        <v>145.29</v>
      </c>
    </row>
    <row r="106" spans="1:5" ht="65.25" customHeight="1" x14ac:dyDescent="0.25">
      <c r="A106" s="744"/>
      <c r="B106" s="378"/>
      <c r="C106" s="379" t="s">
        <v>335</v>
      </c>
      <c r="D106" s="380" t="s">
        <v>298</v>
      </c>
      <c r="E106" s="381">
        <v>726.44</v>
      </c>
    </row>
    <row r="107" spans="1:5" ht="22.5" customHeight="1" x14ac:dyDescent="0.25">
      <c r="A107" s="744"/>
      <c r="B107" s="378"/>
      <c r="C107" s="379" t="s">
        <v>297</v>
      </c>
      <c r="D107" s="380" t="s">
        <v>325</v>
      </c>
      <c r="E107" s="381" t="s">
        <v>666</v>
      </c>
    </row>
    <row r="108" spans="1:5" ht="27" customHeight="1" x14ac:dyDescent="0.25">
      <c r="A108" s="745"/>
      <c r="B108" s="378"/>
      <c r="C108" s="379" t="s">
        <v>311</v>
      </c>
      <c r="D108" s="380" t="s">
        <v>312</v>
      </c>
      <c r="E108" s="381"/>
    </row>
    <row r="109" spans="1:5" ht="65.25" customHeight="1" x14ac:dyDescent="0.25">
      <c r="A109" s="743">
        <v>6</v>
      </c>
      <c r="B109" s="374" t="s">
        <v>340</v>
      </c>
      <c r="C109" s="375" t="s">
        <v>338</v>
      </c>
      <c r="D109" s="376" t="s">
        <v>657</v>
      </c>
      <c r="E109" s="377" t="s">
        <v>658</v>
      </c>
    </row>
    <row r="110" spans="1:5" ht="24" customHeight="1" x14ac:dyDescent="0.25">
      <c r="A110" s="744"/>
      <c r="B110" s="378"/>
      <c r="C110" s="379" t="s">
        <v>283</v>
      </c>
      <c r="D110" s="380" t="s">
        <v>315</v>
      </c>
      <c r="E110" s="381" t="s">
        <v>263</v>
      </c>
    </row>
    <row r="111" spans="1:5" ht="65.25" customHeight="1" x14ac:dyDescent="0.25">
      <c r="A111" s="744"/>
      <c r="B111" s="378"/>
      <c r="C111" s="379" t="s">
        <v>645</v>
      </c>
      <c r="D111" s="380" t="s">
        <v>646</v>
      </c>
      <c r="E111" s="381" t="s">
        <v>263</v>
      </c>
    </row>
    <row r="112" spans="1:5" ht="65.25" customHeight="1" x14ac:dyDescent="0.25">
      <c r="A112" s="744"/>
      <c r="B112" s="378"/>
      <c r="C112" s="379" t="s">
        <v>320</v>
      </c>
      <c r="D112" s="380" t="s">
        <v>286</v>
      </c>
      <c r="E112" s="381">
        <v>264.16000000000003</v>
      </c>
    </row>
    <row r="113" spans="1:5" ht="65.25" customHeight="1" x14ac:dyDescent="0.25">
      <c r="A113" s="744"/>
      <c r="B113" s="378"/>
      <c r="C113" s="379" t="s">
        <v>321</v>
      </c>
      <c r="D113" s="380" t="s">
        <v>289</v>
      </c>
      <c r="E113" s="381">
        <v>792.48</v>
      </c>
    </row>
    <row r="114" spans="1:5" ht="65.25" customHeight="1" x14ac:dyDescent="0.25">
      <c r="A114" s="744"/>
      <c r="B114" s="378"/>
      <c r="C114" s="379" t="s">
        <v>322</v>
      </c>
      <c r="D114" s="380" t="s">
        <v>443</v>
      </c>
      <c r="E114" s="381" t="s">
        <v>659</v>
      </c>
    </row>
    <row r="115" spans="1:5" ht="65.25" customHeight="1" x14ac:dyDescent="0.25">
      <c r="A115" s="744"/>
      <c r="B115" s="378"/>
      <c r="C115" s="379" t="s">
        <v>324</v>
      </c>
      <c r="D115" s="380" t="s">
        <v>294</v>
      </c>
      <c r="E115" s="381" t="s">
        <v>660</v>
      </c>
    </row>
    <row r="116" spans="1:5" ht="65.25" customHeight="1" x14ac:dyDescent="0.25">
      <c r="A116" s="744"/>
      <c r="B116" s="378"/>
      <c r="C116" s="379" t="s">
        <v>326</v>
      </c>
      <c r="D116" s="380" t="s">
        <v>296</v>
      </c>
      <c r="E116" s="381">
        <v>396.24</v>
      </c>
    </row>
    <row r="117" spans="1:5" ht="65.25" customHeight="1" x14ac:dyDescent="0.25">
      <c r="A117" s="744"/>
      <c r="B117" s="378"/>
      <c r="C117" s="379" t="s">
        <v>327</v>
      </c>
      <c r="D117" s="380" t="s">
        <v>296</v>
      </c>
      <c r="E117" s="381">
        <v>396.24</v>
      </c>
    </row>
    <row r="118" spans="1:5" ht="65.25" customHeight="1" x14ac:dyDescent="0.25">
      <c r="A118" s="744"/>
      <c r="B118" s="378"/>
      <c r="C118" s="379" t="s">
        <v>328</v>
      </c>
      <c r="D118" s="380" t="s">
        <v>325</v>
      </c>
      <c r="E118" s="381">
        <v>924.56</v>
      </c>
    </row>
    <row r="119" spans="1:5" ht="65.25" customHeight="1" x14ac:dyDescent="0.25">
      <c r="A119" s="744"/>
      <c r="B119" s="378"/>
      <c r="C119" s="379" t="s">
        <v>329</v>
      </c>
      <c r="D119" s="380" t="s">
        <v>286</v>
      </c>
      <c r="E119" s="381">
        <v>264.16000000000003</v>
      </c>
    </row>
    <row r="120" spans="1:5" ht="65.25" customHeight="1" x14ac:dyDescent="0.25">
      <c r="A120" s="744"/>
      <c r="B120" s="378"/>
      <c r="C120" s="379" t="s">
        <v>330</v>
      </c>
      <c r="D120" s="380" t="s">
        <v>292</v>
      </c>
      <c r="E120" s="381">
        <v>132.08000000000001</v>
      </c>
    </row>
    <row r="121" spans="1:5" ht="65.25" customHeight="1" x14ac:dyDescent="0.25">
      <c r="A121" s="744"/>
      <c r="B121" s="378"/>
      <c r="C121" s="379" t="s">
        <v>331</v>
      </c>
      <c r="D121" s="380" t="s">
        <v>332</v>
      </c>
      <c r="E121" s="381" t="s">
        <v>661</v>
      </c>
    </row>
    <row r="122" spans="1:5" ht="65.25" customHeight="1" x14ac:dyDescent="0.25">
      <c r="A122" s="744"/>
      <c r="B122" s="378"/>
      <c r="C122" s="379" t="s">
        <v>295</v>
      </c>
      <c r="D122" s="380" t="s">
        <v>294</v>
      </c>
      <c r="E122" s="381" t="s">
        <v>660</v>
      </c>
    </row>
    <row r="123" spans="1:5" ht="65.25" customHeight="1" x14ac:dyDescent="0.25">
      <c r="A123" s="744"/>
      <c r="B123" s="378"/>
      <c r="C123" s="379" t="s">
        <v>334</v>
      </c>
      <c r="D123" s="380" t="s">
        <v>292</v>
      </c>
      <c r="E123" s="381">
        <v>132.08000000000001</v>
      </c>
    </row>
    <row r="124" spans="1:5" ht="65.25" customHeight="1" x14ac:dyDescent="0.25">
      <c r="A124" s="744"/>
      <c r="B124" s="378"/>
      <c r="C124" s="379" t="s">
        <v>335</v>
      </c>
      <c r="D124" s="380" t="s">
        <v>298</v>
      </c>
      <c r="E124" s="381">
        <v>660.4</v>
      </c>
    </row>
    <row r="125" spans="1:5" ht="65.25" customHeight="1" x14ac:dyDescent="0.25">
      <c r="A125" s="744"/>
      <c r="B125" s="378"/>
      <c r="C125" s="379" t="s">
        <v>297</v>
      </c>
      <c r="D125" s="380" t="s">
        <v>325</v>
      </c>
      <c r="E125" s="381">
        <v>924.56</v>
      </c>
    </row>
    <row r="126" spans="1:5" ht="65.25" customHeight="1" x14ac:dyDescent="0.25">
      <c r="A126" s="745"/>
      <c r="B126" s="378"/>
      <c r="C126" s="379" t="s">
        <v>311</v>
      </c>
      <c r="D126" s="380" t="s">
        <v>312</v>
      </c>
      <c r="E126" s="381"/>
    </row>
    <row r="127" spans="1:5" ht="65.25" customHeight="1" x14ac:dyDescent="0.25">
      <c r="A127" s="743">
        <v>7</v>
      </c>
      <c r="B127" s="374" t="s">
        <v>341</v>
      </c>
      <c r="C127" s="375" t="s">
        <v>338</v>
      </c>
      <c r="D127" s="376" t="s">
        <v>662</v>
      </c>
      <c r="E127" s="377" t="s">
        <v>663</v>
      </c>
    </row>
    <row r="128" spans="1:5" ht="65.25" customHeight="1" x14ac:dyDescent="0.25">
      <c r="A128" s="744"/>
      <c r="B128" s="378"/>
      <c r="C128" s="379" t="s">
        <v>283</v>
      </c>
      <c r="D128" s="380" t="s">
        <v>315</v>
      </c>
      <c r="E128" s="381" t="s">
        <v>263</v>
      </c>
    </row>
    <row r="129" spans="1:5" ht="65.25" customHeight="1" x14ac:dyDescent="0.25">
      <c r="A129" s="744"/>
      <c r="B129" s="378"/>
      <c r="C129" s="379" t="s">
        <v>318</v>
      </c>
      <c r="D129" s="380" t="s">
        <v>319</v>
      </c>
      <c r="E129" s="381" t="s">
        <v>263</v>
      </c>
    </row>
    <row r="130" spans="1:5" ht="65.25" customHeight="1" x14ac:dyDescent="0.25">
      <c r="A130" s="744"/>
      <c r="B130" s="378"/>
      <c r="C130" s="379" t="s">
        <v>645</v>
      </c>
      <c r="D130" s="380" t="s">
        <v>646</v>
      </c>
      <c r="E130" s="381" t="s">
        <v>263</v>
      </c>
    </row>
    <row r="131" spans="1:5" ht="65.25" customHeight="1" x14ac:dyDescent="0.25">
      <c r="A131" s="744"/>
      <c r="B131" s="378"/>
      <c r="C131" s="379" t="s">
        <v>320</v>
      </c>
      <c r="D131" s="380" t="s">
        <v>286</v>
      </c>
      <c r="E131" s="381">
        <v>290.58</v>
      </c>
    </row>
    <row r="132" spans="1:5" ht="65.25" customHeight="1" x14ac:dyDescent="0.25">
      <c r="A132" s="744"/>
      <c r="B132" s="378"/>
      <c r="C132" s="379" t="s">
        <v>321</v>
      </c>
      <c r="D132" s="380" t="s">
        <v>289</v>
      </c>
      <c r="E132" s="381">
        <v>871.73</v>
      </c>
    </row>
    <row r="133" spans="1:5" ht="65.25" customHeight="1" x14ac:dyDescent="0.25">
      <c r="A133" s="744"/>
      <c r="B133" s="378"/>
      <c r="C133" s="379" t="s">
        <v>322</v>
      </c>
      <c r="D133" s="380" t="s">
        <v>443</v>
      </c>
      <c r="E133" s="381" t="s">
        <v>664</v>
      </c>
    </row>
    <row r="134" spans="1:5" ht="65.25" customHeight="1" x14ac:dyDescent="0.25">
      <c r="A134" s="744"/>
      <c r="B134" s="378"/>
      <c r="C134" s="379" t="s">
        <v>324</v>
      </c>
      <c r="D134" s="380" t="s">
        <v>294</v>
      </c>
      <c r="E134" s="381" t="s">
        <v>665</v>
      </c>
    </row>
    <row r="135" spans="1:5" ht="65.25" customHeight="1" x14ac:dyDescent="0.25">
      <c r="A135" s="744"/>
      <c r="B135" s="378"/>
      <c r="C135" s="379" t="s">
        <v>326</v>
      </c>
      <c r="D135" s="380" t="s">
        <v>296</v>
      </c>
      <c r="E135" s="381">
        <v>435.86</v>
      </c>
    </row>
    <row r="136" spans="1:5" ht="65.25" customHeight="1" x14ac:dyDescent="0.25">
      <c r="A136" s="744"/>
      <c r="B136" s="378"/>
      <c r="C136" s="379" t="s">
        <v>327</v>
      </c>
      <c r="D136" s="380" t="s">
        <v>296</v>
      </c>
      <c r="E136" s="381">
        <v>435.86</v>
      </c>
    </row>
    <row r="137" spans="1:5" ht="65.25" customHeight="1" x14ac:dyDescent="0.25">
      <c r="A137" s="744"/>
      <c r="B137" s="378"/>
      <c r="C137" s="379" t="s">
        <v>328</v>
      </c>
      <c r="D137" s="380" t="s">
        <v>325</v>
      </c>
      <c r="E137" s="381" t="s">
        <v>666</v>
      </c>
    </row>
    <row r="138" spans="1:5" ht="65.25" customHeight="1" x14ac:dyDescent="0.25">
      <c r="A138" s="744"/>
      <c r="B138" s="378"/>
      <c r="C138" s="379" t="s">
        <v>329</v>
      </c>
      <c r="D138" s="380" t="s">
        <v>286</v>
      </c>
      <c r="E138" s="381">
        <v>290.58</v>
      </c>
    </row>
    <row r="139" spans="1:5" ht="65.25" customHeight="1" x14ac:dyDescent="0.25">
      <c r="A139" s="744"/>
      <c r="B139" s="378"/>
      <c r="C139" s="379" t="s">
        <v>330</v>
      </c>
      <c r="D139" s="380" t="s">
        <v>292</v>
      </c>
      <c r="E139" s="381">
        <v>145.29</v>
      </c>
    </row>
    <row r="140" spans="1:5" ht="65.25" customHeight="1" x14ac:dyDescent="0.25">
      <c r="A140" s="744"/>
      <c r="B140" s="378"/>
      <c r="C140" s="379" t="s">
        <v>331</v>
      </c>
      <c r="D140" s="380" t="s">
        <v>332</v>
      </c>
      <c r="E140" s="381" t="s">
        <v>667</v>
      </c>
    </row>
    <row r="141" spans="1:5" ht="65.25" customHeight="1" x14ac:dyDescent="0.25">
      <c r="A141" s="744"/>
      <c r="B141" s="378"/>
      <c r="C141" s="379" t="s">
        <v>295</v>
      </c>
      <c r="D141" s="380" t="s">
        <v>294</v>
      </c>
      <c r="E141" s="381" t="s">
        <v>665</v>
      </c>
    </row>
    <row r="142" spans="1:5" ht="65.25" customHeight="1" x14ac:dyDescent="0.25">
      <c r="A142" s="744"/>
      <c r="B142" s="378"/>
      <c r="C142" s="379" t="s">
        <v>334</v>
      </c>
      <c r="D142" s="380" t="s">
        <v>292</v>
      </c>
      <c r="E142" s="381">
        <v>145.29</v>
      </c>
    </row>
    <row r="143" spans="1:5" ht="65.25" customHeight="1" x14ac:dyDescent="0.25">
      <c r="A143" s="744"/>
      <c r="B143" s="378"/>
      <c r="C143" s="379" t="s">
        <v>335</v>
      </c>
      <c r="D143" s="380" t="s">
        <v>298</v>
      </c>
      <c r="E143" s="381">
        <v>726.44</v>
      </c>
    </row>
    <row r="144" spans="1:5" ht="65.25" customHeight="1" x14ac:dyDescent="0.25">
      <c r="A144" s="744"/>
      <c r="B144" s="378"/>
      <c r="C144" s="379" t="s">
        <v>297</v>
      </c>
      <c r="D144" s="380" t="s">
        <v>325</v>
      </c>
      <c r="E144" s="381" t="s">
        <v>666</v>
      </c>
    </row>
    <row r="145" spans="1:5" ht="65.25" customHeight="1" x14ac:dyDescent="0.25">
      <c r="A145" s="745"/>
      <c r="B145" s="378"/>
      <c r="C145" s="379" t="s">
        <v>311</v>
      </c>
      <c r="D145" s="380" t="s">
        <v>312</v>
      </c>
      <c r="E145" s="381"/>
    </row>
    <row r="146" spans="1:5" ht="65.25" customHeight="1" x14ac:dyDescent="0.25">
      <c r="A146" s="743">
        <v>8</v>
      </c>
      <c r="B146" s="374" t="s">
        <v>342</v>
      </c>
      <c r="C146" s="375" t="s">
        <v>338</v>
      </c>
      <c r="D146" s="376" t="s">
        <v>662</v>
      </c>
      <c r="E146" s="377" t="s">
        <v>663</v>
      </c>
    </row>
    <row r="147" spans="1:5" ht="65.25" customHeight="1" x14ac:dyDescent="0.25">
      <c r="A147" s="744"/>
      <c r="B147" s="378"/>
      <c r="C147" s="379" t="s">
        <v>283</v>
      </c>
      <c r="D147" s="380" t="s">
        <v>315</v>
      </c>
      <c r="E147" s="381" t="s">
        <v>263</v>
      </c>
    </row>
    <row r="148" spans="1:5" ht="65.25" customHeight="1" x14ac:dyDescent="0.25">
      <c r="A148" s="744"/>
      <c r="B148" s="378"/>
      <c r="C148" s="379" t="s">
        <v>318</v>
      </c>
      <c r="D148" s="380" t="s">
        <v>319</v>
      </c>
      <c r="E148" s="381" t="s">
        <v>263</v>
      </c>
    </row>
    <row r="149" spans="1:5" ht="65.25" customHeight="1" x14ac:dyDescent="0.25">
      <c r="A149" s="744"/>
      <c r="B149" s="378"/>
      <c r="C149" s="379" t="s">
        <v>645</v>
      </c>
      <c r="D149" s="380" t="s">
        <v>646</v>
      </c>
      <c r="E149" s="381" t="s">
        <v>263</v>
      </c>
    </row>
    <row r="150" spans="1:5" ht="65.25" customHeight="1" x14ac:dyDescent="0.25">
      <c r="A150" s="744"/>
      <c r="B150" s="378"/>
      <c r="C150" s="379" t="s">
        <v>320</v>
      </c>
      <c r="D150" s="380" t="s">
        <v>286</v>
      </c>
      <c r="E150" s="381">
        <v>290.58</v>
      </c>
    </row>
    <row r="151" spans="1:5" ht="65.25" customHeight="1" x14ac:dyDescent="0.25">
      <c r="A151" s="744"/>
      <c r="B151" s="378"/>
      <c r="C151" s="379" t="s">
        <v>321</v>
      </c>
      <c r="D151" s="380" t="s">
        <v>289</v>
      </c>
      <c r="E151" s="381">
        <v>871.73</v>
      </c>
    </row>
    <row r="152" spans="1:5" ht="65.25" customHeight="1" x14ac:dyDescent="0.25">
      <c r="A152" s="744"/>
      <c r="B152" s="378"/>
      <c r="C152" s="379" t="s">
        <v>322</v>
      </c>
      <c r="D152" s="380" t="s">
        <v>443</v>
      </c>
      <c r="E152" s="381" t="s">
        <v>664</v>
      </c>
    </row>
    <row r="153" spans="1:5" ht="65.25" customHeight="1" x14ac:dyDescent="0.25">
      <c r="A153" s="744"/>
      <c r="B153" s="378"/>
      <c r="C153" s="379" t="s">
        <v>324</v>
      </c>
      <c r="D153" s="380" t="s">
        <v>294</v>
      </c>
      <c r="E153" s="381" t="s">
        <v>665</v>
      </c>
    </row>
    <row r="154" spans="1:5" ht="65.25" customHeight="1" x14ac:dyDescent="0.25">
      <c r="A154" s="744"/>
      <c r="B154" s="378"/>
      <c r="C154" s="379" t="s">
        <v>326</v>
      </c>
      <c r="D154" s="380" t="s">
        <v>296</v>
      </c>
      <c r="E154" s="381">
        <v>435.86</v>
      </c>
    </row>
    <row r="155" spans="1:5" ht="65.25" customHeight="1" x14ac:dyDescent="0.25">
      <c r="A155" s="744"/>
      <c r="B155" s="378"/>
      <c r="C155" s="379" t="s">
        <v>327</v>
      </c>
      <c r="D155" s="380" t="s">
        <v>296</v>
      </c>
      <c r="E155" s="381">
        <v>435.86</v>
      </c>
    </row>
    <row r="156" spans="1:5" ht="65.25" customHeight="1" x14ac:dyDescent="0.25">
      <c r="A156" s="744"/>
      <c r="B156" s="378"/>
      <c r="C156" s="379" t="s">
        <v>328</v>
      </c>
      <c r="D156" s="380" t="s">
        <v>325</v>
      </c>
      <c r="E156" s="381" t="s">
        <v>666</v>
      </c>
    </row>
    <row r="157" spans="1:5" ht="65.25" customHeight="1" x14ac:dyDescent="0.25">
      <c r="A157" s="744"/>
      <c r="B157" s="378"/>
      <c r="C157" s="379" t="s">
        <v>329</v>
      </c>
      <c r="D157" s="380" t="s">
        <v>286</v>
      </c>
      <c r="E157" s="381">
        <v>290.58</v>
      </c>
    </row>
    <row r="158" spans="1:5" ht="65.25" customHeight="1" x14ac:dyDescent="0.25">
      <c r="A158" s="744"/>
      <c r="B158" s="378"/>
      <c r="C158" s="379" t="s">
        <v>330</v>
      </c>
      <c r="D158" s="380" t="s">
        <v>292</v>
      </c>
      <c r="E158" s="381">
        <v>145.29</v>
      </c>
    </row>
    <row r="159" spans="1:5" ht="65.25" customHeight="1" x14ac:dyDescent="0.25">
      <c r="A159" s="744"/>
      <c r="B159" s="378"/>
      <c r="C159" s="379" t="s">
        <v>331</v>
      </c>
      <c r="D159" s="380" t="s">
        <v>332</v>
      </c>
      <c r="E159" s="381" t="s">
        <v>667</v>
      </c>
    </row>
    <row r="160" spans="1:5" ht="65.25" customHeight="1" x14ac:dyDescent="0.25">
      <c r="A160" s="744"/>
      <c r="B160" s="378"/>
      <c r="C160" s="379" t="s">
        <v>295</v>
      </c>
      <c r="D160" s="380" t="s">
        <v>294</v>
      </c>
      <c r="E160" s="381" t="s">
        <v>665</v>
      </c>
    </row>
    <row r="161" spans="1:5" ht="65.25" customHeight="1" x14ac:dyDescent="0.25">
      <c r="A161" s="744"/>
      <c r="B161" s="378"/>
      <c r="C161" s="379" t="s">
        <v>334</v>
      </c>
      <c r="D161" s="380" t="s">
        <v>292</v>
      </c>
      <c r="E161" s="381">
        <v>145.29</v>
      </c>
    </row>
    <row r="162" spans="1:5" ht="65.25" customHeight="1" x14ac:dyDescent="0.25">
      <c r="A162" s="744"/>
      <c r="B162" s="378"/>
      <c r="C162" s="379" t="s">
        <v>335</v>
      </c>
      <c r="D162" s="380" t="s">
        <v>298</v>
      </c>
      <c r="E162" s="381">
        <v>726.44</v>
      </c>
    </row>
    <row r="163" spans="1:5" ht="30" customHeight="1" x14ac:dyDescent="0.25">
      <c r="A163" s="744"/>
      <c r="B163" s="378"/>
      <c r="C163" s="379" t="s">
        <v>297</v>
      </c>
      <c r="D163" s="380" t="s">
        <v>325</v>
      </c>
      <c r="E163" s="381" t="s">
        <v>666</v>
      </c>
    </row>
    <row r="164" spans="1:5" ht="24.75" customHeight="1" x14ac:dyDescent="0.25">
      <c r="A164" s="745"/>
      <c r="B164" s="378"/>
      <c r="C164" s="379" t="s">
        <v>311</v>
      </c>
      <c r="D164" s="380" t="s">
        <v>312</v>
      </c>
      <c r="E164" s="381"/>
    </row>
    <row r="165" spans="1:5" ht="65.25" customHeight="1" x14ac:dyDescent="0.25">
      <c r="A165" s="743">
        <v>9</v>
      </c>
      <c r="B165" s="374" t="s">
        <v>343</v>
      </c>
      <c r="C165" s="375" t="s">
        <v>338</v>
      </c>
      <c r="D165" s="376" t="s">
        <v>662</v>
      </c>
      <c r="E165" s="377" t="s">
        <v>663</v>
      </c>
    </row>
    <row r="166" spans="1:5" ht="31.5" customHeight="1" x14ac:dyDescent="0.25">
      <c r="A166" s="744"/>
      <c r="B166" s="378"/>
      <c r="C166" s="379" t="s">
        <v>283</v>
      </c>
      <c r="D166" s="380" t="s">
        <v>315</v>
      </c>
      <c r="E166" s="381" t="s">
        <v>263</v>
      </c>
    </row>
    <row r="167" spans="1:5" ht="40.5" customHeight="1" x14ac:dyDescent="0.25">
      <c r="A167" s="744"/>
      <c r="B167" s="378"/>
      <c r="C167" s="379" t="s">
        <v>318</v>
      </c>
      <c r="D167" s="380" t="s">
        <v>319</v>
      </c>
      <c r="E167" s="381" t="s">
        <v>263</v>
      </c>
    </row>
    <row r="168" spans="1:5" ht="65.25" customHeight="1" x14ac:dyDescent="0.25">
      <c r="A168" s="744"/>
      <c r="B168" s="378"/>
      <c r="C168" s="379" t="s">
        <v>645</v>
      </c>
      <c r="D168" s="380" t="s">
        <v>646</v>
      </c>
      <c r="E168" s="381" t="s">
        <v>263</v>
      </c>
    </row>
    <row r="169" spans="1:5" ht="65.25" customHeight="1" x14ac:dyDescent="0.25">
      <c r="A169" s="744"/>
      <c r="B169" s="378"/>
      <c r="C169" s="379" t="s">
        <v>320</v>
      </c>
      <c r="D169" s="380" t="s">
        <v>286</v>
      </c>
      <c r="E169" s="381">
        <v>290.58</v>
      </c>
    </row>
    <row r="170" spans="1:5" ht="32.25" customHeight="1" x14ac:dyDescent="0.25">
      <c r="A170" s="744"/>
      <c r="B170" s="378"/>
      <c r="C170" s="379" t="s">
        <v>321</v>
      </c>
      <c r="D170" s="380" t="s">
        <v>289</v>
      </c>
      <c r="E170" s="381">
        <v>871.73</v>
      </c>
    </row>
    <row r="171" spans="1:5" ht="25.5" customHeight="1" x14ac:dyDescent="0.25">
      <c r="A171" s="744"/>
      <c r="B171" s="378"/>
      <c r="C171" s="379" t="s">
        <v>322</v>
      </c>
      <c r="D171" s="380" t="s">
        <v>443</v>
      </c>
      <c r="E171" s="381" t="s">
        <v>664</v>
      </c>
    </row>
    <row r="172" spans="1:5" ht="65.25" customHeight="1" x14ac:dyDescent="0.25">
      <c r="A172" s="744"/>
      <c r="B172" s="378"/>
      <c r="C172" s="379" t="s">
        <v>324</v>
      </c>
      <c r="D172" s="380" t="s">
        <v>294</v>
      </c>
      <c r="E172" s="381" t="s">
        <v>665</v>
      </c>
    </row>
    <row r="173" spans="1:5" ht="65.25" customHeight="1" x14ac:dyDescent="0.25">
      <c r="A173" s="744"/>
      <c r="B173" s="378"/>
      <c r="C173" s="379" t="s">
        <v>326</v>
      </c>
      <c r="D173" s="380" t="s">
        <v>296</v>
      </c>
      <c r="E173" s="381">
        <v>435.86</v>
      </c>
    </row>
    <row r="174" spans="1:5" ht="65.25" customHeight="1" x14ac:dyDescent="0.25">
      <c r="A174" s="744"/>
      <c r="B174" s="378"/>
      <c r="C174" s="379" t="s">
        <v>327</v>
      </c>
      <c r="D174" s="380" t="s">
        <v>296</v>
      </c>
      <c r="E174" s="381">
        <v>435.86</v>
      </c>
    </row>
    <row r="175" spans="1:5" ht="65.25" customHeight="1" x14ac:dyDescent="0.25">
      <c r="A175" s="744"/>
      <c r="B175" s="378"/>
      <c r="C175" s="379" t="s">
        <v>328</v>
      </c>
      <c r="D175" s="380" t="s">
        <v>325</v>
      </c>
      <c r="E175" s="381" t="s">
        <v>666</v>
      </c>
    </row>
    <row r="176" spans="1:5" ht="65.25" customHeight="1" x14ac:dyDescent="0.25">
      <c r="A176" s="744"/>
      <c r="B176" s="378"/>
      <c r="C176" s="379" t="s">
        <v>329</v>
      </c>
      <c r="D176" s="380" t="s">
        <v>286</v>
      </c>
      <c r="E176" s="381">
        <v>290.58</v>
      </c>
    </row>
    <row r="177" spans="1:5" ht="65.25" customHeight="1" x14ac:dyDescent="0.25">
      <c r="A177" s="744"/>
      <c r="B177" s="378"/>
      <c r="C177" s="379" t="s">
        <v>330</v>
      </c>
      <c r="D177" s="380" t="s">
        <v>292</v>
      </c>
      <c r="E177" s="381">
        <v>145.29</v>
      </c>
    </row>
    <row r="178" spans="1:5" ht="65.25" customHeight="1" x14ac:dyDescent="0.25">
      <c r="A178" s="744"/>
      <c r="B178" s="378"/>
      <c r="C178" s="379" t="s">
        <v>331</v>
      </c>
      <c r="D178" s="380" t="s">
        <v>332</v>
      </c>
      <c r="E178" s="381" t="s">
        <v>667</v>
      </c>
    </row>
    <row r="179" spans="1:5" ht="20.25" customHeight="1" x14ac:dyDescent="0.25">
      <c r="A179" s="744"/>
      <c r="B179" s="378"/>
      <c r="C179" s="379" t="s">
        <v>295</v>
      </c>
      <c r="D179" s="380" t="s">
        <v>294</v>
      </c>
      <c r="E179" s="381" t="s">
        <v>665</v>
      </c>
    </row>
    <row r="180" spans="1:5" ht="21.75" customHeight="1" x14ac:dyDescent="0.25">
      <c r="A180" s="744"/>
      <c r="B180" s="378"/>
      <c r="C180" s="379" t="s">
        <v>334</v>
      </c>
      <c r="D180" s="380" t="s">
        <v>292</v>
      </c>
      <c r="E180" s="381">
        <v>145.29</v>
      </c>
    </row>
    <row r="181" spans="1:5" ht="65.25" customHeight="1" x14ac:dyDescent="0.25">
      <c r="A181" s="744"/>
      <c r="B181" s="378"/>
      <c r="C181" s="379" t="s">
        <v>335</v>
      </c>
      <c r="D181" s="380" t="s">
        <v>298</v>
      </c>
      <c r="E181" s="381">
        <v>726.44</v>
      </c>
    </row>
    <row r="182" spans="1:5" ht="21" customHeight="1" x14ac:dyDescent="0.25">
      <c r="A182" s="744"/>
      <c r="B182" s="378"/>
      <c r="C182" s="379" t="s">
        <v>297</v>
      </c>
      <c r="D182" s="380" t="s">
        <v>325</v>
      </c>
      <c r="E182" s="381" t="s">
        <v>666</v>
      </c>
    </row>
    <row r="183" spans="1:5" ht="24.75" customHeight="1" x14ac:dyDescent="0.25">
      <c r="A183" s="745"/>
      <c r="B183" s="378"/>
      <c r="C183" s="379" t="s">
        <v>311</v>
      </c>
      <c r="D183" s="380" t="s">
        <v>312</v>
      </c>
      <c r="E183" s="381"/>
    </row>
    <row r="184" spans="1:5" ht="65.25" customHeight="1" x14ac:dyDescent="0.25">
      <c r="A184" s="743">
        <v>10</v>
      </c>
      <c r="B184" s="374" t="s">
        <v>344</v>
      </c>
      <c r="C184" s="375" t="s">
        <v>338</v>
      </c>
      <c r="D184" s="376" t="s">
        <v>662</v>
      </c>
      <c r="E184" s="377" t="s">
        <v>663</v>
      </c>
    </row>
    <row r="185" spans="1:5" ht="65.25" customHeight="1" x14ac:dyDescent="0.25">
      <c r="A185" s="744"/>
      <c r="B185" s="378"/>
      <c r="C185" s="379" t="s">
        <v>283</v>
      </c>
      <c r="D185" s="380" t="s">
        <v>315</v>
      </c>
      <c r="E185" s="381" t="s">
        <v>263</v>
      </c>
    </row>
    <row r="186" spans="1:5" ht="65.25" customHeight="1" x14ac:dyDescent="0.25">
      <c r="A186" s="744"/>
      <c r="B186" s="378"/>
      <c r="C186" s="379" t="s">
        <v>318</v>
      </c>
      <c r="D186" s="380" t="s">
        <v>319</v>
      </c>
      <c r="E186" s="381" t="s">
        <v>263</v>
      </c>
    </row>
    <row r="187" spans="1:5" ht="65.25" customHeight="1" x14ac:dyDescent="0.25">
      <c r="A187" s="744"/>
      <c r="B187" s="378"/>
      <c r="C187" s="379" t="s">
        <v>645</v>
      </c>
      <c r="D187" s="380" t="s">
        <v>646</v>
      </c>
      <c r="E187" s="381" t="s">
        <v>263</v>
      </c>
    </row>
    <row r="188" spans="1:5" ht="65.25" customHeight="1" x14ac:dyDescent="0.25">
      <c r="A188" s="744"/>
      <c r="B188" s="378"/>
      <c r="C188" s="379" t="s">
        <v>320</v>
      </c>
      <c r="D188" s="380" t="s">
        <v>286</v>
      </c>
      <c r="E188" s="381">
        <v>290.58</v>
      </c>
    </row>
    <row r="189" spans="1:5" ht="65.25" customHeight="1" x14ac:dyDescent="0.25">
      <c r="A189" s="744"/>
      <c r="B189" s="378"/>
      <c r="C189" s="379" t="s">
        <v>321</v>
      </c>
      <c r="D189" s="380" t="s">
        <v>289</v>
      </c>
      <c r="E189" s="381">
        <v>871.73</v>
      </c>
    </row>
    <row r="190" spans="1:5" ht="65.25" customHeight="1" x14ac:dyDescent="0.25">
      <c r="A190" s="744"/>
      <c r="B190" s="378"/>
      <c r="C190" s="379" t="s">
        <v>322</v>
      </c>
      <c r="D190" s="380" t="s">
        <v>443</v>
      </c>
      <c r="E190" s="381" t="s">
        <v>664</v>
      </c>
    </row>
    <row r="191" spans="1:5" ht="65.25" customHeight="1" x14ac:dyDescent="0.25">
      <c r="A191" s="744"/>
      <c r="B191" s="378"/>
      <c r="C191" s="379" t="s">
        <v>324</v>
      </c>
      <c r="D191" s="380" t="s">
        <v>294</v>
      </c>
      <c r="E191" s="381" t="s">
        <v>665</v>
      </c>
    </row>
    <row r="192" spans="1:5" ht="65.25" customHeight="1" x14ac:dyDescent="0.25">
      <c r="A192" s="744"/>
      <c r="B192" s="378"/>
      <c r="C192" s="379" t="s">
        <v>326</v>
      </c>
      <c r="D192" s="380" t="s">
        <v>296</v>
      </c>
      <c r="E192" s="381">
        <v>435.86</v>
      </c>
    </row>
    <row r="193" spans="1:5" ht="65.25" customHeight="1" x14ac:dyDescent="0.25">
      <c r="A193" s="744"/>
      <c r="B193" s="378"/>
      <c r="C193" s="379" t="s">
        <v>327</v>
      </c>
      <c r="D193" s="380" t="s">
        <v>296</v>
      </c>
      <c r="E193" s="381">
        <v>435.86</v>
      </c>
    </row>
    <row r="194" spans="1:5" ht="65.25" customHeight="1" x14ac:dyDescent="0.25">
      <c r="A194" s="744"/>
      <c r="B194" s="378"/>
      <c r="C194" s="379" t="s">
        <v>328</v>
      </c>
      <c r="D194" s="380" t="s">
        <v>325</v>
      </c>
      <c r="E194" s="381" t="s">
        <v>666</v>
      </c>
    </row>
    <row r="195" spans="1:5" ht="65.25" customHeight="1" x14ac:dyDescent="0.25">
      <c r="A195" s="744"/>
      <c r="B195" s="378"/>
      <c r="C195" s="379" t="s">
        <v>329</v>
      </c>
      <c r="D195" s="380" t="s">
        <v>286</v>
      </c>
      <c r="E195" s="381">
        <v>290.58</v>
      </c>
    </row>
    <row r="196" spans="1:5" ht="65.25" customHeight="1" x14ac:dyDescent="0.25">
      <c r="A196" s="744"/>
      <c r="B196" s="378"/>
      <c r="C196" s="379" t="s">
        <v>330</v>
      </c>
      <c r="D196" s="380" t="s">
        <v>292</v>
      </c>
      <c r="E196" s="381">
        <v>145.29</v>
      </c>
    </row>
    <row r="197" spans="1:5" ht="65.25" customHeight="1" x14ac:dyDescent="0.25">
      <c r="A197" s="744"/>
      <c r="B197" s="378"/>
      <c r="C197" s="379" t="s">
        <v>331</v>
      </c>
      <c r="D197" s="380" t="s">
        <v>332</v>
      </c>
      <c r="E197" s="381" t="s">
        <v>667</v>
      </c>
    </row>
    <row r="198" spans="1:5" ht="24" customHeight="1" x14ac:dyDescent="0.25">
      <c r="A198" s="744"/>
      <c r="B198" s="378"/>
      <c r="C198" s="379" t="s">
        <v>295</v>
      </c>
      <c r="D198" s="380" t="s">
        <v>294</v>
      </c>
      <c r="E198" s="381" t="s">
        <v>665</v>
      </c>
    </row>
    <row r="199" spans="1:5" ht="30.75" customHeight="1" x14ac:dyDescent="0.25">
      <c r="A199" s="744"/>
      <c r="B199" s="378"/>
      <c r="C199" s="379" t="s">
        <v>334</v>
      </c>
      <c r="D199" s="380" t="s">
        <v>292</v>
      </c>
      <c r="E199" s="381">
        <v>145.29</v>
      </c>
    </row>
    <row r="200" spans="1:5" ht="65.25" customHeight="1" x14ac:dyDescent="0.25">
      <c r="A200" s="744"/>
      <c r="B200" s="378"/>
      <c r="C200" s="379" t="s">
        <v>335</v>
      </c>
      <c r="D200" s="380" t="s">
        <v>298</v>
      </c>
      <c r="E200" s="381">
        <v>726.44</v>
      </c>
    </row>
    <row r="201" spans="1:5" ht="26.25" customHeight="1" x14ac:dyDescent="0.25">
      <c r="A201" s="744"/>
      <c r="B201" s="378"/>
      <c r="C201" s="379" t="s">
        <v>297</v>
      </c>
      <c r="D201" s="380" t="s">
        <v>325</v>
      </c>
      <c r="E201" s="381" t="s">
        <v>666</v>
      </c>
    </row>
    <row r="202" spans="1:5" ht="33" customHeight="1" x14ac:dyDescent="0.25">
      <c r="A202" s="745"/>
      <c r="B202" s="378"/>
      <c r="C202" s="379" t="s">
        <v>311</v>
      </c>
      <c r="D202" s="380" t="s">
        <v>312</v>
      </c>
      <c r="E202" s="381"/>
    </row>
    <row r="203" spans="1:5" ht="65.25" customHeight="1" x14ac:dyDescent="0.25">
      <c r="A203" s="743">
        <v>11</v>
      </c>
      <c r="B203" s="374" t="s">
        <v>345</v>
      </c>
      <c r="C203" s="375" t="s">
        <v>346</v>
      </c>
      <c r="D203" s="376" t="s">
        <v>668</v>
      </c>
      <c r="E203" s="377" t="s">
        <v>669</v>
      </c>
    </row>
    <row r="204" spans="1:5" ht="65.25" customHeight="1" x14ac:dyDescent="0.25">
      <c r="A204" s="744"/>
      <c r="B204" s="378"/>
      <c r="C204" s="379" t="s">
        <v>628</v>
      </c>
      <c r="D204" s="380" t="s">
        <v>629</v>
      </c>
      <c r="E204" s="381" t="s">
        <v>263</v>
      </c>
    </row>
    <row r="205" spans="1:5" ht="65.25" customHeight="1" x14ac:dyDescent="0.25">
      <c r="A205" s="744"/>
      <c r="B205" s="378"/>
      <c r="C205" s="379" t="s">
        <v>283</v>
      </c>
      <c r="D205" s="380" t="s">
        <v>630</v>
      </c>
      <c r="E205" s="381" t="s">
        <v>263</v>
      </c>
    </row>
    <row r="206" spans="1:5" ht="65.25" customHeight="1" x14ac:dyDescent="0.25">
      <c r="A206" s="744"/>
      <c r="B206" s="378"/>
      <c r="C206" s="379" t="s">
        <v>288</v>
      </c>
      <c r="D206" s="380" t="s">
        <v>333</v>
      </c>
      <c r="E206" s="381" t="s">
        <v>670</v>
      </c>
    </row>
    <row r="207" spans="1:5" ht="65.25" customHeight="1" x14ac:dyDescent="0.25">
      <c r="A207" s="744"/>
      <c r="B207" s="378"/>
      <c r="C207" s="379" t="s">
        <v>295</v>
      </c>
      <c r="D207" s="380" t="s">
        <v>298</v>
      </c>
      <c r="E207" s="381">
        <v>673.39</v>
      </c>
    </row>
    <row r="208" spans="1:5" ht="65.25" customHeight="1" x14ac:dyDescent="0.25">
      <c r="A208" s="744"/>
      <c r="B208" s="378"/>
      <c r="C208" s="379" t="s">
        <v>297</v>
      </c>
      <c r="D208" s="380" t="s">
        <v>308</v>
      </c>
      <c r="E208" s="381" t="s">
        <v>671</v>
      </c>
    </row>
    <row r="209" spans="1:5" ht="65.25" customHeight="1" x14ac:dyDescent="0.25">
      <c r="A209" s="744"/>
      <c r="B209" s="378"/>
      <c r="C209" s="379" t="s">
        <v>299</v>
      </c>
      <c r="D209" s="380" t="s">
        <v>300</v>
      </c>
      <c r="E209" s="381" t="s">
        <v>672</v>
      </c>
    </row>
    <row r="210" spans="1:5" ht="65.25" customHeight="1" x14ac:dyDescent="0.25">
      <c r="A210" s="744"/>
      <c r="B210" s="378"/>
      <c r="C210" s="379" t="s">
        <v>301</v>
      </c>
      <c r="D210" s="380" t="s">
        <v>635</v>
      </c>
      <c r="E210" s="381" t="s">
        <v>673</v>
      </c>
    </row>
    <row r="211" spans="1:5" ht="65.25" customHeight="1" x14ac:dyDescent="0.25">
      <c r="A211" s="744"/>
      <c r="B211" s="378"/>
      <c r="C211" s="379" t="s">
        <v>303</v>
      </c>
      <c r="D211" s="380" t="s">
        <v>304</v>
      </c>
      <c r="E211" s="381">
        <v>202.02</v>
      </c>
    </row>
    <row r="212" spans="1:5" ht="65.25" customHeight="1" x14ac:dyDescent="0.25">
      <c r="A212" s="744"/>
      <c r="B212" s="378"/>
      <c r="C212" s="379" t="s">
        <v>305</v>
      </c>
      <c r="D212" s="380" t="s">
        <v>306</v>
      </c>
      <c r="E212" s="381">
        <v>336.7</v>
      </c>
    </row>
    <row r="213" spans="1:5" ht="65.25" customHeight="1" x14ac:dyDescent="0.25">
      <c r="A213" s="744"/>
      <c r="B213" s="378"/>
      <c r="C213" s="379" t="s">
        <v>307</v>
      </c>
      <c r="D213" s="380" t="s">
        <v>639</v>
      </c>
      <c r="E213" s="381" t="s">
        <v>674</v>
      </c>
    </row>
    <row r="214" spans="1:5" ht="65.25" customHeight="1" x14ac:dyDescent="0.25">
      <c r="A214" s="744"/>
      <c r="B214" s="378"/>
      <c r="C214" s="379" t="s">
        <v>309</v>
      </c>
      <c r="D214" s="380" t="s">
        <v>641</v>
      </c>
      <c r="E214" s="381">
        <v>740.73</v>
      </c>
    </row>
    <row r="215" spans="1:5" ht="65.25" customHeight="1" x14ac:dyDescent="0.25">
      <c r="A215" s="744"/>
      <c r="B215" s="378"/>
      <c r="C215" s="379" t="s">
        <v>310</v>
      </c>
      <c r="D215" s="380" t="s">
        <v>306</v>
      </c>
      <c r="E215" s="381">
        <v>336.7</v>
      </c>
    </row>
    <row r="216" spans="1:5" ht="65.25" customHeight="1" x14ac:dyDescent="0.25">
      <c r="A216" s="745"/>
      <c r="B216" s="378"/>
      <c r="C216" s="379" t="s">
        <v>311</v>
      </c>
      <c r="D216" s="380" t="s">
        <v>312</v>
      </c>
      <c r="E216" s="381"/>
    </row>
    <row r="217" spans="1:5" ht="65.25" customHeight="1" x14ac:dyDescent="0.25">
      <c r="A217" s="743">
        <v>12</v>
      </c>
      <c r="B217" s="374" t="s">
        <v>347</v>
      </c>
      <c r="C217" s="375" t="s">
        <v>348</v>
      </c>
      <c r="D217" s="376" t="s">
        <v>675</v>
      </c>
      <c r="E217" s="377" t="s">
        <v>676</v>
      </c>
    </row>
    <row r="218" spans="1:5" ht="65.25" customHeight="1" x14ac:dyDescent="0.25">
      <c r="A218" s="744"/>
      <c r="B218" s="378"/>
      <c r="C218" s="379" t="s">
        <v>677</v>
      </c>
      <c r="D218" s="380" t="s">
        <v>678</v>
      </c>
      <c r="E218" s="381" t="s">
        <v>263</v>
      </c>
    </row>
    <row r="219" spans="1:5" ht="25.5" customHeight="1" x14ac:dyDescent="0.25">
      <c r="A219" s="744"/>
      <c r="B219" s="378"/>
      <c r="C219" s="379" t="s">
        <v>283</v>
      </c>
      <c r="D219" s="380" t="s">
        <v>679</v>
      </c>
      <c r="E219" s="381" t="s">
        <v>263</v>
      </c>
    </row>
    <row r="220" spans="1:5" ht="23.25" customHeight="1" x14ac:dyDescent="0.25">
      <c r="A220" s="744"/>
      <c r="B220" s="378"/>
      <c r="C220" s="379" t="s">
        <v>352</v>
      </c>
      <c r="D220" s="380" t="s">
        <v>680</v>
      </c>
      <c r="E220" s="381" t="s">
        <v>681</v>
      </c>
    </row>
    <row r="221" spans="1:5" ht="25.5" customHeight="1" x14ac:dyDescent="0.25">
      <c r="A221" s="744"/>
      <c r="B221" s="378"/>
      <c r="C221" s="379" t="s">
        <v>354</v>
      </c>
      <c r="D221" s="380" t="s">
        <v>682</v>
      </c>
      <c r="E221" s="381" t="s">
        <v>683</v>
      </c>
    </row>
    <row r="222" spans="1:5" ht="30" customHeight="1" x14ac:dyDescent="0.25">
      <c r="A222" s="744"/>
      <c r="B222" s="378"/>
      <c r="C222" s="379" t="s">
        <v>356</v>
      </c>
      <c r="D222" s="380" t="s">
        <v>680</v>
      </c>
      <c r="E222" s="381" t="s">
        <v>681</v>
      </c>
    </row>
    <row r="223" spans="1:5" ht="65.25" customHeight="1" x14ac:dyDescent="0.25">
      <c r="A223" s="744"/>
      <c r="B223" s="378"/>
      <c r="C223" s="379" t="s">
        <v>297</v>
      </c>
      <c r="D223" s="380" t="s">
        <v>289</v>
      </c>
      <c r="E223" s="381" t="s">
        <v>684</v>
      </c>
    </row>
    <row r="224" spans="1:5" ht="65.25" customHeight="1" x14ac:dyDescent="0.25">
      <c r="A224" s="744"/>
      <c r="B224" s="378"/>
      <c r="C224" s="379" t="s">
        <v>358</v>
      </c>
      <c r="D224" s="380" t="s">
        <v>392</v>
      </c>
      <c r="E224" s="381" t="s">
        <v>685</v>
      </c>
    </row>
    <row r="225" spans="1:5" ht="65.25" customHeight="1" x14ac:dyDescent="0.25">
      <c r="A225" s="745"/>
      <c r="B225" s="378"/>
      <c r="C225" s="379" t="s">
        <v>311</v>
      </c>
      <c r="D225" s="380" t="s">
        <v>312</v>
      </c>
      <c r="E225" s="381"/>
    </row>
    <row r="226" spans="1:5" ht="65.25" customHeight="1" x14ac:dyDescent="0.25">
      <c r="A226" s="740" t="s">
        <v>359</v>
      </c>
      <c r="B226" s="741"/>
      <c r="C226" s="741"/>
      <c r="D226" s="741"/>
      <c r="E226" s="742"/>
    </row>
    <row r="227" spans="1:5" ht="65.25" customHeight="1" x14ac:dyDescent="0.25">
      <c r="A227" s="743">
        <v>13</v>
      </c>
      <c r="B227" s="374" t="s">
        <v>360</v>
      </c>
      <c r="C227" s="375" t="s">
        <v>361</v>
      </c>
      <c r="D227" s="376" t="s">
        <v>523</v>
      </c>
      <c r="E227" s="377" t="s">
        <v>524</v>
      </c>
    </row>
    <row r="228" spans="1:5" ht="65.25" customHeight="1" x14ac:dyDescent="0.25">
      <c r="A228" s="744"/>
      <c r="B228" s="378"/>
      <c r="C228" s="379" t="s">
        <v>283</v>
      </c>
      <c r="D228" s="380" t="s">
        <v>362</v>
      </c>
      <c r="E228" s="381" t="s">
        <v>263</v>
      </c>
    </row>
    <row r="229" spans="1:5" ht="65.25" customHeight="1" x14ac:dyDescent="0.25">
      <c r="A229" s="744"/>
      <c r="B229" s="378"/>
      <c r="C229" s="379" t="s">
        <v>363</v>
      </c>
      <c r="D229" s="380" t="s">
        <v>364</v>
      </c>
      <c r="E229" s="381" t="s">
        <v>263</v>
      </c>
    </row>
    <row r="230" spans="1:5" ht="65.25" customHeight="1" x14ac:dyDescent="0.25">
      <c r="A230" s="744"/>
      <c r="B230" s="378"/>
      <c r="C230" s="379" t="s">
        <v>686</v>
      </c>
      <c r="D230" s="380" t="s">
        <v>366</v>
      </c>
      <c r="E230" s="381" t="s">
        <v>263</v>
      </c>
    </row>
    <row r="231" spans="1:5" ht="65.25" customHeight="1" x14ac:dyDescent="0.25">
      <c r="A231" s="744"/>
      <c r="B231" s="378"/>
      <c r="C231" s="379" t="s">
        <v>288</v>
      </c>
      <c r="D231" s="380" t="s">
        <v>333</v>
      </c>
      <c r="E231" s="381" t="s">
        <v>687</v>
      </c>
    </row>
    <row r="232" spans="1:5" ht="65.25" customHeight="1" x14ac:dyDescent="0.25">
      <c r="A232" s="744"/>
      <c r="B232" s="378"/>
      <c r="C232" s="379" t="s">
        <v>295</v>
      </c>
      <c r="D232" s="380" t="s">
        <v>298</v>
      </c>
      <c r="E232" s="381" t="s">
        <v>530</v>
      </c>
    </row>
    <row r="233" spans="1:5" ht="65.25" customHeight="1" x14ac:dyDescent="0.25">
      <c r="A233" s="744"/>
      <c r="B233" s="378"/>
      <c r="C233" s="379" t="s">
        <v>297</v>
      </c>
      <c r="D233" s="380" t="s">
        <v>308</v>
      </c>
      <c r="E233" s="381" t="s">
        <v>535</v>
      </c>
    </row>
    <row r="234" spans="1:5" ht="65.25" customHeight="1" x14ac:dyDescent="0.25">
      <c r="A234" s="744"/>
      <c r="B234" s="378"/>
      <c r="C234" s="379" t="s">
        <v>299</v>
      </c>
      <c r="D234" s="380" t="s">
        <v>300</v>
      </c>
      <c r="E234" s="381" t="s">
        <v>531</v>
      </c>
    </row>
    <row r="235" spans="1:5" ht="65.25" customHeight="1" x14ac:dyDescent="0.25">
      <c r="A235" s="744"/>
      <c r="B235" s="378"/>
      <c r="C235" s="379" t="s">
        <v>301</v>
      </c>
      <c r="D235" s="380" t="s">
        <v>635</v>
      </c>
      <c r="E235" s="381" t="s">
        <v>688</v>
      </c>
    </row>
    <row r="236" spans="1:5" ht="65.25" customHeight="1" x14ac:dyDescent="0.25">
      <c r="A236" s="744"/>
      <c r="B236" s="378"/>
      <c r="C236" s="379" t="s">
        <v>303</v>
      </c>
      <c r="D236" s="380" t="s">
        <v>304</v>
      </c>
      <c r="E236" s="381" t="s">
        <v>533</v>
      </c>
    </row>
    <row r="237" spans="1:5" ht="65.25" customHeight="1" x14ac:dyDescent="0.25">
      <c r="A237" s="744"/>
      <c r="B237" s="378"/>
      <c r="C237" s="379" t="s">
        <v>305</v>
      </c>
      <c r="D237" s="380" t="s">
        <v>306</v>
      </c>
      <c r="E237" s="381" t="s">
        <v>534</v>
      </c>
    </row>
    <row r="238" spans="1:5" ht="65.25" customHeight="1" x14ac:dyDescent="0.25">
      <c r="A238" s="744"/>
      <c r="B238" s="378"/>
      <c r="C238" s="379" t="s">
        <v>307</v>
      </c>
      <c r="D238" s="380" t="s">
        <v>639</v>
      </c>
      <c r="E238" s="381" t="s">
        <v>689</v>
      </c>
    </row>
    <row r="239" spans="1:5" ht="65.25" customHeight="1" x14ac:dyDescent="0.25">
      <c r="A239" s="744"/>
      <c r="B239" s="378"/>
      <c r="C239" s="379" t="s">
        <v>309</v>
      </c>
      <c r="D239" s="380" t="s">
        <v>641</v>
      </c>
      <c r="E239" s="381" t="s">
        <v>690</v>
      </c>
    </row>
    <row r="240" spans="1:5" ht="65.25" customHeight="1" x14ac:dyDescent="0.25">
      <c r="A240" s="744"/>
      <c r="B240" s="378"/>
      <c r="C240" s="379" t="s">
        <v>310</v>
      </c>
      <c r="D240" s="380" t="s">
        <v>306</v>
      </c>
      <c r="E240" s="381" t="s">
        <v>534</v>
      </c>
    </row>
    <row r="241" spans="1:5" ht="65.25" customHeight="1" x14ac:dyDescent="0.25">
      <c r="A241" s="745"/>
      <c r="B241" s="378"/>
      <c r="C241" s="379" t="s">
        <v>311</v>
      </c>
      <c r="D241" s="380" t="s">
        <v>312</v>
      </c>
      <c r="E241" s="381"/>
    </row>
    <row r="242" spans="1:5" ht="65.25" customHeight="1" x14ac:dyDescent="0.25">
      <c r="A242" s="743">
        <v>14</v>
      </c>
      <c r="B242" s="374" t="s">
        <v>367</v>
      </c>
      <c r="C242" s="375" t="s">
        <v>368</v>
      </c>
      <c r="D242" s="376" t="s">
        <v>691</v>
      </c>
      <c r="E242" s="377" t="s">
        <v>537</v>
      </c>
    </row>
    <row r="243" spans="1:5" ht="65.25" customHeight="1" x14ac:dyDescent="0.25">
      <c r="A243" s="744"/>
      <c r="B243" s="378"/>
      <c r="C243" s="379" t="s">
        <v>283</v>
      </c>
      <c r="D243" s="380" t="s">
        <v>362</v>
      </c>
      <c r="E243" s="381" t="s">
        <v>263</v>
      </c>
    </row>
    <row r="244" spans="1:5" ht="65.25" customHeight="1" x14ac:dyDescent="0.25">
      <c r="A244" s="744"/>
      <c r="B244" s="378"/>
      <c r="C244" s="379" t="s">
        <v>363</v>
      </c>
      <c r="D244" s="380" t="s">
        <v>364</v>
      </c>
      <c r="E244" s="381" t="s">
        <v>263</v>
      </c>
    </row>
    <row r="245" spans="1:5" ht="65.25" customHeight="1" x14ac:dyDescent="0.25">
      <c r="A245" s="744"/>
      <c r="B245" s="378"/>
      <c r="C245" s="379" t="s">
        <v>686</v>
      </c>
      <c r="D245" s="380" t="s">
        <v>692</v>
      </c>
      <c r="E245" s="381" t="s">
        <v>263</v>
      </c>
    </row>
    <row r="246" spans="1:5" ht="65.25" customHeight="1" x14ac:dyDescent="0.25">
      <c r="A246" s="744"/>
      <c r="B246" s="378"/>
      <c r="C246" s="379" t="s">
        <v>288</v>
      </c>
      <c r="D246" s="380" t="s">
        <v>333</v>
      </c>
      <c r="E246" s="381" t="s">
        <v>693</v>
      </c>
    </row>
    <row r="247" spans="1:5" ht="65.25" customHeight="1" x14ac:dyDescent="0.25">
      <c r="A247" s="744"/>
      <c r="B247" s="378"/>
      <c r="C247" s="379" t="s">
        <v>295</v>
      </c>
      <c r="D247" s="380" t="s">
        <v>298</v>
      </c>
      <c r="E247" s="381" t="s">
        <v>543</v>
      </c>
    </row>
    <row r="248" spans="1:5" ht="65.25" customHeight="1" x14ac:dyDescent="0.25">
      <c r="A248" s="744"/>
      <c r="B248" s="378"/>
      <c r="C248" s="379" t="s">
        <v>297</v>
      </c>
      <c r="D248" s="380" t="s">
        <v>308</v>
      </c>
      <c r="E248" s="381" t="s">
        <v>548</v>
      </c>
    </row>
    <row r="249" spans="1:5" ht="65.25" customHeight="1" x14ac:dyDescent="0.25">
      <c r="A249" s="744"/>
      <c r="B249" s="378"/>
      <c r="C249" s="379" t="s">
        <v>299</v>
      </c>
      <c r="D249" s="380" t="s">
        <v>300</v>
      </c>
      <c r="E249" s="381" t="s">
        <v>544</v>
      </c>
    </row>
    <row r="250" spans="1:5" ht="65.25" customHeight="1" x14ac:dyDescent="0.25">
      <c r="A250" s="744"/>
      <c r="B250" s="378"/>
      <c r="C250" s="379" t="s">
        <v>301</v>
      </c>
      <c r="D250" s="380" t="s">
        <v>635</v>
      </c>
      <c r="E250" s="381" t="s">
        <v>694</v>
      </c>
    </row>
    <row r="251" spans="1:5" ht="65.25" customHeight="1" x14ac:dyDescent="0.25">
      <c r="A251" s="744"/>
      <c r="B251" s="378"/>
      <c r="C251" s="379" t="s">
        <v>303</v>
      </c>
      <c r="D251" s="380" t="s">
        <v>304</v>
      </c>
      <c r="E251" s="381" t="s">
        <v>546</v>
      </c>
    </row>
    <row r="252" spans="1:5" ht="65.25" customHeight="1" x14ac:dyDescent="0.25">
      <c r="A252" s="744"/>
      <c r="B252" s="378"/>
      <c r="C252" s="379" t="s">
        <v>305</v>
      </c>
      <c r="D252" s="380" t="s">
        <v>306</v>
      </c>
      <c r="E252" s="381" t="s">
        <v>547</v>
      </c>
    </row>
    <row r="253" spans="1:5" ht="65.25" customHeight="1" x14ac:dyDescent="0.25">
      <c r="A253" s="744"/>
      <c r="B253" s="378"/>
      <c r="C253" s="379" t="s">
        <v>307</v>
      </c>
      <c r="D253" s="380" t="s">
        <v>639</v>
      </c>
      <c r="E253" s="381" t="s">
        <v>695</v>
      </c>
    </row>
    <row r="254" spans="1:5" ht="65.25" customHeight="1" x14ac:dyDescent="0.25">
      <c r="A254" s="744"/>
      <c r="B254" s="378"/>
      <c r="C254" s="379" t="s">
        <v>309</v>
      </c>
      <c r="D254" s="380" t="s">
        <v>641</v>
      </c>
      <c r="E254" s="381" t="s">
        <v>696</v>
      </c>
    </row>
    <row r="255" spans="1:5" ht="65.25" customHeight="1" x14ac:dyDescent="0.25">
      <c r="A255" s="744"/>
      <c r="B255" s="378"/>
      <c r="C255" s="379" t="s">
        <v>310</v>
      </c>
      <c r="D255" s="380" t="s">
        <v>306</v>
      </c>
      <c r="E255" s="381" t="s">
        <v>547</v>
      </c>
    </row>
    <row r="256" spans="1:5" ht="65.25" customHeight="1" x14ac:dyDescent="0.25">
      <c r="A256" s="745"/>
      <c r="B256" s="378"/>
      <c r="C256" s="379" t="s">
        <v>311</v>
      </c>
      <c r="D256" s="380" t="s">
        <v>312</v>
      </c>
      <c r="E256" s="381"/>
    </row>
    <row r="257" spans="1:5" ht="65.25" customHeight="1" x14ac:dyDescent="0.25">
      <c r="A257" s="743">
        <v>15</v>
      </c>
      <c r="B257" s="374" t="s">
        <v>369</v>
      </c>
      <c r="C257" s="375" t="s">
        <v>370</v>
      </c>
      <c r="D257" s="376" t="s">
        <v>697</v>
      </c>
      <c r="E257" s="377" t="s">
        <v>550</v>
      </c>
    </row>
    <row r="258" spans="1:5" ht="65.25" customHeight="1" x14ac:dyDescent="0.25">
      <c r="A258" s="744"/>
      <c r="B258" s="378"/>
      <c r="C258" s="379" t="s">
        <v>283</v>
      </c>
      <c r="D258" s="380" t="s">
        <v>362</v>
      </c>
      <c r="E258" s="381" t="s">
        <v>263</v>
      </c>
    </row>
    <row r="259" spans="1:5" ht="65.25" customHeight="1" x14ac:dyDescent="0.25">
      <c r="A259" s="744"/>
      <c r="B259" s="378"/>
      <c r="C259" s="379" t="s">
        <v>363</v>
      </c>
      <c r="D259" s="380" t="s">
        <v>364</v>
      </c>
      <c r="E259" s="381" t="s">
        <v>263</v>
      </c>
    </row>
    <row r="260" spans="1:5" ht="65.25" customHeight="1" x14ac:dyDescent="0.25">
      <c r="A260" s="744"/>
      <c r="B260" s="378"/>
      <c r="C260" s="379" t="s">
        <v>686</v>
      </c>
      <c r="D260" s="380" t="s">
        <v>692</v>
      </c>
      <c r="E260" s="381" t="s">
        <v>263</v>
      </c>
    </row>
    <row r="261" spans="1:5" ht="37.5" customHeight="1" x14ac:dyDescent="0.25">
      <c r="A261" s="744"/>
      <c r="B261" s="378"/>
      <c r="C261" s="379" t="s">
        <v>288</v>
      </c>
      <c r="D261" s="380" t="s">
        <v>333</v>
      </c>
      <c r="E261" s="381" t="s">
        <v>698</v>
      </c>
    </row>
    <row r="262" spans="1:5" ht="31.5" customHeight="1" x14ac:dyDescent="0.25">
      <c r="A262" s="744"/>
      <c r="B262" s="378"/>
      <c r="C262" s="379" t="s">
        <v>295</v>
      </c>
      <c r="D262" s="380" t="s">
        <v>298</v>
      </c>
      <c r="E262" s="381" t="s">
        <v>554</v>
      </c>
    </row>
    <row r="263" spans="1:5" ht="31.5" customHeight="1" x14ac:dyDescent="0.25">
      <c r="A263" s="744"/>
      <c r="B263" s="378"/>
      <c r="C263" s="379" t="s">
        <v>297</v>
      </c>
      <c r="D263" s="380" t="s">
        <v>308</v>
      </c>
      <c r="E263" s="381" t="s">
        <v>557</v>
      </c>
    </row>
    <row r="264" spans="1:5" ht="65.25" customHeight="1" x14ac:dyDescent="0.25">
      <c r="A264" s="744"/>
      <c r="B264" s="378"/>
      <c r="C264" s="379" t="s">
        <v>299</v>
      </c>
      <c r="D264" s="380" t="s">
        <v>300</v>
      </c>
      <c r="E264" s="381" t="s">
        <v>555</v>
      </c>
    </row>
    <row r="265" spans="1:5" ht="65.25" customHeight="1" x14ac:dyDescent="0.25">
      <c r="A265" s="744"/>
      <c r="B265" s="378"/>
      <c r="C265" s="379" t="s">
        <v>301</v>
      </c>
      <c r="D265" s="380" t="s">
        <v>635</v>
      </c>
      <c r="E265" s="381" t="s">
        <v>699</v>
      </c>
    </row>
    <row r="266" spans="1:5" ht="65.25" customHeight="1" x14ac:dyDescent="0.25">
      <c r="A266" s="744"/>
      <c r="B266" s="378"/>
      <c r="C266" s="379" t="s">
        <v>303</v>
      </c>
      <c r="D266" s="380" t="s">
        <v>304</v>
      </c>
      <c r="E266" s="381">
        <v>584.12</v>
      </c>
    </row>
    <row r="267" spans="1:5" ht="65.25" customHeight="1" x14ac:dyDescent="0.25">
      <c r="A267" s="744"/>
      <c r="B267" s="378"/>
      <c r="C267" s="379" t="s">
        <v>305</v>
      </c>
      <c r="D267" s="380" t="s">
        <v>306</v>
      </c>
      <c r="E267" s="381">
        <v>973.54</v>
      </c>
    </row>
    <row r="268" spans="1:5" ht="65.25" customHeight="1" x14ac:dyDescent="0.25">
      <c r="A268" s="744"/>
      <c r="B268" s="378"/>
      <c r="C268" s="379" t="s">
        <v>307</v>
      </c>
      <c r="D268" s="380" t="s">
        <v>639</v>
      </c>
      <c r="E268" s="381" t="s">
        <v>700</v>
      </c>
    </row>
    <row r="269" spans="1:5" ht="65.25" customHeight="1" x14ac:dyDescent="0.25">
      <c r="A269" s="744"/>
      <c r="B269" s="378"/>
      <c r="C269" s="379" t="s">
        <v>309</v>
      </c>
      <c r="D269" s="380" t="s">
        <v>641</v>
      </c>
      <c r="E269" s="381" t="s">
        <v>701</v>
      </c>
    </row>
    <row r="270" spans="1:5" ht="65.25" customHeight="1" x14ac:dyDescent="0.25">
      <c r="A270" s="744"/>
      <c r="B270" s="378"/>
      <c r="C270" s="379" t="s">
        <v>310</v>
      </c>
      <c r="D270" s="380" t="s">
        <v>306</v>
      </c>
      <c r="E270" s="381">
        <v>973.54</v>
      </c>
    </row>
    <row r="271" spans="1:5" ht="65.25" customHeight="1" x14ac:dyDescent="0.25">
      <c r="A271" s="745"/>
      <c r="B271" s="378"/>
      <c r="C271" s="379" t="s">
        <v>311</v>
      </c>
      <c r="D271" s="380" t="s">
        <v>312</v>
      </c>
      <c r="E271" s="381"/>
    </row>
    <row r="272" spans="1:5" ht="65.25" customHeight="1" x14ac:dyDescent="0.25">
      <c r="A272" s="743">
        <v>16</v>
      </c>
      <c r="B272" s="374" t="s">
        <v>371</v>
      </c>
      <c r="C272" s="375" t="s">
        <v>372</v>
      </c>
      <c r="D272" s="376" t="s">
        <v>702</v>
      </c>
      <c r="E272" s="377" t="s">
        <v>703</v>
      </c>
    </row>
    <row r="273" spans="1:5" ht="65.25" customHeight="1" x14ac:dyDescent="0.25">
      <c r="A273" s="744"/>
      <c r="B273" s="378"/>
      <c r="C273" s="379" t="s">
        <v>283</v>
      </c>
      <c r="D273" s="380" t="s">
        <v>373</v>
      </c>
      <c r="E273" s="381" t="s">
        <v>263</v>
      </c>
    </row>
    <row r="274" spans="1:5" ht="65.25" customHeight="1" x14ac:dyDescent="0.25">
      <c r="A274" s="744"/>
      <c r="B274" s="378"/>
      <c r="C274" s="379" t="s">
        <v>704</v>
      </c>
      <c r="D274" s="380" t="s">
        <v>705</v>
      </c>
      <c r="E274" s="381" t="s">
        <v>263</v>
      </c>
    </row>
    <row r="275" spans="1:5" ht="65.25" customHeight="1" x14ac:dyDescent="0.25">
      <c r="A275" s="744"/>
      <c r="B275" s="378"/>
      <c r="C275" s="379" t="s">
        <v>320</v>
      </c>
      <c r="D275" s="380" t="s">
        <v>286</v>
      </c>
      <c r="E275" s="381">
        <v>372</v>
      </c>
    </row>
    <row r="276" spans="1:5" ht="65.25" customHeight="1" x14ac:dyDescent="0.25">
      <c r="A276" s="744"/>
      <c r="B276" s="378"/>
      <c r="C276" s="379" t="s">
        <v>321</v>
      </c>
      <c r="D276" s="380" t="s">
        <v>289</v>
      </c>
      <c r="E276" s="381" t="s">
        <v>706</v>
      </c>
    </row>
    <row r="277" spans="1:5" ht="65.25" customHeight="1" x14ac:dyDescent="0.25">
      <c r="A277" s="744"/>
      <c r="B277" s="378"/>
      <c r="C277" s="379" t="s">
        <v>322</v>
      </c>
      <c r="D277" s="380" t="s">
        <v>443</v>
      </c>
      <c r="E277" s="381" t="s">
        <v>707</v>
      </c>
    </row>
    <row r="278" spans="1:5" ht="65.25" customHeight="1" x14ac:dyDescent="0.25">
      <c r="A278" s="744"/>
      <c r="B278" s="378"/>
      <c r="C278" s="379" t="s">
        <v>324</v>
      </c>
      <c r="D278" s="380" t="s">
        <v>294</v>
      </c>
      <c r="E278" s="381" t="s">
        <v>708</v>
      </c>
    </row>
    <row r="279" spans="1:5" ht="65.25" customHeight="1" x14ac:dyDescent="0.25">
      <c r="A279" s="744"/>
      <c r="B279" s="378"/>
      <c r="C279" s="379" t="s">
        <v>375</v>
      </c>
      <c r="D279" s="380" t="s">
        <v>296</v>
      </c>
      <c r="E279" s="381">
        <v>558</v>
      </c>
    </row>
    <row r="280" spans="1:5" ht="65.25" customHeight="1" x14ac:dyDescent="0.25">
      <c r="A280" s="744"/>
      <c r="B280" s="378"/>
      <c r="C280" s="379" t="s">
        <v>376</v>
      </c>
      <c r="D280" s="380" t="s">
        <v>296</v>
      </c>
      <c r="E280" s="381">
        <v>558</v>
      </c>
    </row>
    <row r="281" spans="1:5" ht="65.25" customHeight="1" x14ac:dyDescent="0.25">
      <c r="A281" s="744"/>
      <c r="B281" s="378"/>
      <c r="C281" s="379" t="s">
        <v>328</v>
      </c>
      <c r="D281" s="380" t="s">
        <v>325</v>
      </c>
      <c r="E281" s="381" t="s">
        <v>709</v>
      </c>
    </row>
    <row r="282" spans="1:5" ht="65.25" customHeight="1" x14ac:dyDescent="0.25">
      <c r="A282" s="744"/>
      <c r="B282" s="378"/>
      <c r="C282" s="379" t="s">
        <v>329</v>
      </c>
      <c r="D282" s="380" t="s">
        <v>286</v>
      </c>
      <c r="E282" s="381">
        <v>372</v>
      </c>
    </row>
    <row r="283" spans="1:5" ht="65.25" customHeight="1" x14ac:dyDescent="0.25">
      <c r="A283" s="744"/>
      <c r="B283" s="378"/>
      <c r="C283" s="379" t="s">
        <v>330</v>
      </c>
      <c r="D283" s="380" t="s">
        <v>292</v>
      </c>
      <c r="E283" s="381">
        <v>186</v>
      </c>
    </row>
    <row r="284" spans="1:5" ht="65.25" customHeight="1" x14ac:dyDescent="0.25">
      <c r="A284" s="744"/>
      <c r="B284" s="378"/>
      <c r="C284" s="379" t="s">
        <v>331</v>
      </c>
      <c r="D284" s="380" t="s">
        <v>332</v>
      </c>
      <c r="E284" s="381" t="s">
        <v>710</v>
      </c>
    </row>
    <row r="285" spans="1:5" ht="27" customHeight="1" x14ac:dyDescent="0.25">
      <c r="A285" s="744"/>
      <c r="B285" s="378"/>
      <c r="C285" s="379" t="s">
        <v>295</v>
      </c>
      <c r="D285" s="380" t="s">
        <v>294</v>
      </c>
      <c r="E285" s="381" t="s">
        <v>708</v>
      </c>
    </row>
    <row r="286" spans="1:5" ht="24.75" customHeight="1" x14ac:dyDescent="0.25">
      <c r="A286" s="744"/>
      <c r="B286" s="378"/>
      <c r="C286" s="379" t="s">
        <v>334</v>
      </c>
      <c r="D286" s="380" t="s">
        <v>292</v>
      </c>
      <c r="E286" s="381">
        <v>186</v>
      </c>
    </row>
    <row r="287" spans="1:5" ht="65.25" customHeight="1" x14ac:dyDescent="0.25">
      <c r="A287" s="744"/>
      <c r="B287" s="378"/>
      <c r="C287" s="379" t="s">
        <v>335</v>
      </c>
      <c r="D287" s="380" t="s">
        <v>298</v>
      </c>
      <c r="E287" s="381">
        <v>930</v>
      </c>
    </row>
    <row r="288" spans="1:5" ht="25.5" customHeight="1" x14ac:dyDescent="0.25">
      <c r="A288" s="744"/>
      <c r="B288" s="378"/>
      <c r="C288" s="379" t="s">
        <v>297</v>
      </c>
      <c r="D288" s="380" t="s">
        <v>325</v>
      </c>
      <c r="E288" s="381" t="s">
        <v>709</v>
      </c>
    </row>
    <row r="289" spans="1:5" ht="21" customHeight="1" x14ac:dyDescent="0.25">
      <c r="A289" s="745"/>
      <c r="B289" s="378"/>
      <c r="C289" s="379" t="s">
        <v>311</v>
      </c>
      <c r="D289" s="380" t="s">
        <v>312</v>
      </c>
      <c r="E289" s="381"/>
    </row>
    <row r="290" spans="1:5" ht="65.25" customHeight="1" x14ac:dyDescent="0.25">
      <c r="A290" s="743">
        <v>17</v>
      </c>
      <c r="B290" s="374" t="s">
        <v>377</v>
      </c>
      <c r="C290" s="375" t="s">
        <v>372</v>
      </c>
      <c r="D290" s="376" t="s">
        <v>711</v>
      </c>
      <c r="E290" s="377" t="s">
        <v>703</v>
      </c>
    </row>
    <row r="291" spans="1:5" ht="65.25" customHeight="1" x14ac:dyDescent="0.25">
      <c r="A291" s="744"/>
      <c r="B291" s="378"/>
      <c r="C291" s="379" t="s">
        <v>283</v>
      </c>
      <c r="D291" s="380" t="s">
        <v>373</v>
      </c>
      <c r="E291" s="381" t="s">
        <v>263</v>
      </c>
    </row>
    <row r="292" spans="1:5" ht="65.25" customHeight="1" x14ac:dyDescent="0.25">
      <c r="A292" s="744"/>
      <c r="B292" s="378"/>
      <c r="C292" s="379" t="s">
        <v>378</v>
      </c>
      <c r="D292" s="380" t="s">
        <v>379</v>
      </c>
      <c r="E292" s="381" t="s">
        <v>263</v>
      </c>
    </row>
    <row r="293" spans="1:5" ht="65.25" customHeight="1" x14ac:dyDescent="0.25">
      <c r="A293" s="744"/>
      <c r="B293" s="378"/>
      <c r="C293" s="379" t="s">
        <v>704</v>
      </c>
      <c r="D293" s="380" t="s">
        <v>705</v>
      </c>
      <c r="E293" s="381" t="s">
        <v>263</v>
      </c>
    </row>
    <row r="294" spans="1:5" ht="65.25" customHeight="1" x14ac:dyDescent="0.25">
      <c r="A294" s="744"/>
      <c r="B294" s="378"/>
      <c r="C294" s="379" t="s">
        <v>320</v>
      </c>
      <c r="D294" s="380" t="s">
        <v>286</v>
      </c>
      <c r="E294" s="381">
        <v>372</v>
      </c>
    </row>
    <row r="295" spans="1:5" ht="65.25" customHeight="1" x14ac:dyDescent="0.25">
      <c r="A295" s="744"/>
      <c r="B295" s="378"/>
      <c r="C295" s="379" t="s">
        <v>321</v>
      </c>
      <c r="D295" s="380" t="s">
        <v>289</v>
      </c>
      <c r="E295" s="381" t="s">
        <v>706</v>
      </c>
    </row>
    <row r="296" spans="1:5" ht="65.25" customHeight="1" x14ac:dyDescent="0.25">
      <c r="A296" s="744"/>
      <c r="B296" s="378"/>
      <c r="C296" s="379" t="s">
        <v>322</v>
      </c>
      <c r="D296" s="380" t="s">
        <v>443</v>
      </c>
      <c r="E296" s="381" t="s">
        <v>707</v>
      </c>
    </row>
    <row r="297" spans="1:5" ht="65.25" customHeight="1" x14ac:dyDescent="0.25">
      <c r="A297" s="744"/>
      <c r="B297" s="378"/>
      <c r="C297" s="379" t="s">
        <v>324</v>
      </c>
      <c r="D297" s="380" t="s">
        <v>294</v>
      </c>
      <c r="E297" s="381" t="s">
        <v>708</v>
      </c>
    </row>
    <row r="298" spans="1:5" ht="65.25" customHeight="1" x14ac:dyDescent="0.25">
      <c r="A298" s="744"/>
      <c r="B298" s="378"/>
      <c r="C298" s="379" t="s">
        <v>375</v>
      </c>
      <c r="D298" s="380" t="s">
        <v>296</v>
      </c>
      <c r="E298" s="381">
        <v>558</v>
      </c>
    </row>
    <row r="299" spans="1:5" ht="65.25" customHeight="1" x14ac:dyDescent="0.25">
      <c r="A299" s="744"/>
      <c r="B299" s="378"/>
      <c r="C299" s="379" t="s">
        <v>376</v>
      </c>
      <c r="D299" s="380" t="s">
        <v>296</v>
      </c>
      <c r="E299" s="381">
        <v>558</v>
      </c>
    </row>
    <row r="300" spans="1:5" ht="65.25" customHeight="1" x14ac:dyDescent="0.25">
      <c r="A300" s="744"/>
      <c r="B300" s="378"/>
      <c r="C300" s="379" t="s">
        <v>328</v>
      </c>
      <c r="D300" s="380" t="s">
        <v>325</v>
      </c>
      <c r="E300" s="381" t="s">
        <v>709</v>
      </c>
    </row>
    <row r="301" spans="1:5" ht="65.25" customHeight="1" x14ac:dyDescent="0.25">
      <c r="A301" s="744"/>
      <c r="B301" s="378"/>
      <c r="C301" s="379" t="s">
        <v>329</v>
      </c>
      <c r="D301" s="380" t="s">
        <v>286</v>
      </c>
      <c r="E301" s="381">
        <v>372</v>
      </c>
    </row>
    <row r="302" spans="1:5" ht="65.25" customHeight="1" x14ac:dyDescent="0.25">
      <c r="A302" s="744"/>
      <c r="B302" s="378"/>
      <c r="C302" s="379" t="s">
        <v>330</v>
      </c>
      <c r="D302" s="380" t="s">
        <v>292</v>
      </c>
      <c r="E302" s="381">
        <v>186</v>
      </c>
    </row>
    <row r="303" spans="1:5" ht="65.25" customHeight="1" x14ac:dyDescent="0.25">
      <c r="A303" s="744"/>
      <c r="B303" s="378"/>
      <c r="C303" s="379" t="s">
        <v>331</v>
      </c>
      <c r="D303" s="380" t="s">
        <v>332</v>
      </c>
      <c r="E303" s="381" t="s">
        <v>710</v>
      </c>
    </row>
    <row r="304" spans="1:5" ht="26.25" customHeight="1" x14ac:dyDescent="0.25">
      <c r="A304" s="744"/>
      <c r="B304" s="378"/>
      <c r="C304" s="379" t="s">
        <v>295</v>
      </c>
      <c r="D304" s="380" t="s">
        <v>294</v>
      </c>
      <c r="E304" s="381" t="s">
        <v>708</v>
      </c>
    </row>
    <row r="305" spans="1:5" ht="27" customHeight="1" x14ac:dyDescent="0.25">
      <c r="A305" s="744"/>
      <c r="B305" s="378"/>
      <c r="C305" s="379" t="s">
        <v>334</v>
      </c>
      <c r="D305" s="380" t="s">
        <v>292</v>
      </c>
      <c r="E305" s="381">
        <v>186</v>
      </c>
    </row>
    <row r="306" spans="1:5" ht="65.25" customHeight="1" x14ac:dyDescent="0.25">
      <c r="A306" s="744"/>
      <c r="B306" s="378"/>
      <c r="C306" s="379" t="s">
        <v>335</v>
      </c>
      <c r="D306" s="380" t="s">
        <v>298</v>
      </c>
      <c r="E306" s="381">
        <v>930</v>
      </c>
    </row>
    <row r="307" spans="1:5" ht="30" customHeight="1" x14ac:dyDescent="0.25">
      <c r="A307" s="744"/>
      <c r="B307" s="378"/>
      <c r="C307" s="379" t="s">
        <v>297</v>
      </c>
      <c r="D307" s="380" t="s">
        <v>325</v>
      </c>
      <c r="E307" s="381" t="s">
        <v>709</v>
      </c>
    </row>
    <row r="308" spans="1:5" ht="36.75" customHeight="1" x14ac:dyDescent="0.25">
      <c r="A308" s="745"/>
      <c r="B308" s="378"/>
      <c r="C308" s="379" t="s">
        <v>311</v>
      </c>
      <c r="D308" s="380" t="s">
        <v>312</v>
      </c>
      <c r="E308" s="381"/>
    </row>
    <row r="309" spans="1:5" ht="65.25" customHeight="1" x14ac:dyDescent="0.25">
      <c r="A309" s="743">
        <v>18</v>
      </c>
      <c r="B309" s="374" t="s">
        <v>381</v>
      </c>
      <c r="C309" s="375" t="s">
        <v>372</v>
      </c>
      <c r="D309" s="376" t="s">
        <v>702</v>
      </c>
      <c r="E309" s="377" t="s">
        <v>703</v>
      </c>
    </row>
    <row r="310" spans="1:5" ht="65.25" customHeight="1" x14ac:dyDescent="0.25">
      <c r="A310" s="744"/>
      <c r="B310" s="378"/>
      <c r="C310" s="379" t="s">
        <v>283</v>
      </c>
      <c r="D310" s="380" t="s">
        <v>373</v>
      </c>
      <c r="E310" s="381" t="s">
        <v>263</v>
      </c>
    </row>
    <row r="311" spans="1:5" ht="65.25" customHeight="1" x14ac:dyDescent="0.25">
      <c r="A311" s="744"/>
      <c r="B311" s="378"/>
      <c r="C311" s="379" t="s">
        <v>704</v>
      </c>
      <c r="D311" s="380" t="s">
        <v>705</v>
      </c>
      <c r="E311" s="381" t="s">
        <v>263</v>
      </c>
    </row>
    <row r="312" spans="1:5" ht="65.25" customHeight="1" x14ac:dyDescent="0.25">
      <c r="A312" s="744"/>
      <c r="B312" s="378"/>
      <c r="C312" s="379" t="s">
        <v>320</v>
      </c>
      <c r="D312" s="380" t="s">
        <v>286</v>
      </c>
      <c r="E312" s="381">
        <v>372</v>
      </c>
    </row>
    <row r="313" spans="1:5" ht="65.25" customHeight="1" x14ac:dyDescent="0.25">
      <c r="A313" s="744"/>
      <c r="B313" s="378"/>
      <c r="C313" s="379" t="s">
        <v>321</v>
      </c>
      <c r="D313" s="380" t="s">
        <v>289</v>
      </c>
      <c r="E313" s="381" t="s">
        <v>706</v>
      </c>
    </row>
    <row r="314" spans="1:5" ht="65.25" customHeight="1" x14ac:dyDescent="0.25">
      <c r="A314" s="744"/>
      <c r="B314" s="378"/>
      <c r="C314" s="379" t="s">
        <v>322</v>
      </c>
      <c r="D314" s="380" t="s">
        <v>443</v>
      </c>
      <c r="E314" s="381" t="s">
        <v>707</v>
      </c>
    </row>
    <row r="315" spans="1:5" ht="65.25" customHeight="1" x14ac:dyDescent="0.25">
      <c r="A315" s="744"/>
      <c r="B315" s="378"/>
      <c r="C315" s="379" t="s">
        <v>324</v>
      </c>
      <c r="D315" s="380" t="s">
        <v>294</v>
      </c>
      <c r="E315" s="381" t="s">
        <v>708</v>
      </c>
    </row>
    <row r="316" spans="1:5" ht="65.25" customHeight="1" x14ac:dyDescent="0.25">
      <c r="A316" s="744"/>
      <c r="B316" s="378"/>
      <c r="C316" s="379" t="s">
        <v>375</v>
      </c>
      <c r="D316" s="380" t="s">
        <v>296</v>
      </c>
      <c r="E316" s="381">
        <v>558</v>
      </c>
    </row>
    <row r="317" spans="1:5" ht="65.25" customHeight="1" x14ac:dyDescent="0.25">
      <c r="A317" s="744"/>
      <c r="B317" s="378"/>
      <c r="C317" s="379" t="s">
        <v>376</v>
      </c>
      <c r="D317" s="380" t="s">
        <v>296</v>
      </c>
      <c r="E317" s="381">
        <v>558</v>
      </c>
    </row>
    <row r="318" spans="1:5" ht="65.25" customHeight="1" x14ac:dyDescent="0.25">
      <c r="A318" s="744"/>
      <c r="B318" s="378"/>
      <c r="C318" s="379" t="s">
        <v>328</v>
      </c>
      <c r="D318" s="380" t="s">
        <v>325</v>
      </c>
      <c r="E318" s="381" t="s">
        <v>709</v>
      </c>
    </row>
    <row r="319" spans="1:5" ht="65.25" customHeight="1" x14ac:dyDescent="0.25">
      <c r="A319" s="744"/>
      <c r="B319" s="378"/>
      <c r="C319" s="379" t="s">
        <v>329</v>
      </c>
      <c r="D319" s="380" t="s">
        <v>286</v>
      </c>
      <c r="E319" s="381">
        <v>372</v>
      </c>
    </row>
    <row r="320" spans="1:5" ht="65.25" customHeight="1" x14ac:dyDescent="0.25">
      <c r="A320" s="744"/>
      <c r="B320" s="378"/>
      <c r="C320" s="379" t="s">
        <v>330</v>
      </c>
      <c r="D320" s="380" t="s">
        <v>292</v>
      </c>
      <c r="E320" s="381">
        <v>186</v>
      </c>
    </row>
    <row r="321" spans="1:5" ht="65.25" customHeight="1" x14ac:dyDescent="0.25">
      <c r="A321" s="744"/>
      <c r="B321" s="378"/>
      <c r="C321" s="379" t="s">
        <v>331</v>
      </c>
      <c r="D321" s="380" t="s">
        <v>332</v>
      </c>
      <c r="E321" s="381" t="s">
        <v>710</v>
      </c>
    </row>
    <row r="322" spans="1:5" ht="65.25" customHeight="1" x14ac:dyDescent="0.25">
      <c r="A322" s="744"/>
      <c r="B322" s="378"/>
      <c r="C322" s="379" t="s">
        <v>295</v>
      </c>
      <c r="D322" s="380" t="s">
        <v>294</v>
      </c>
      <c r="E322" s="381" t="s">
        <v>708</v>
      </c>
    </row>
    <row r="323" spans="1:5" ht="65.25" customHeight="1" x14ac:dyDescent="0.25">
      <c r="A323" s="744"/>
      <c r="B323" s="378"/>
      <c r="C323" s="379" t="s">
        <v>334</v>
      </c>
      <c r="D323" s="380" t="s">
        <v>292</v>
      </c>
      <c r="E323" s="381">
        <v>186</v>
      </c>
    </row>
    <row r="324" spans="1:5" ht="65.25" customHeight="1" x14ac:dyDescent="0.25">
      <c r="A324" s="744"/>
      <c r="B324" s="378"/>
      <c r="C324" s="379" t="s">
        <v>335</v>
      </c>
      <c r="D324" s="380" t="s">
        <v>298</v>
      </c>
      <c r="E324" s="381">
        <v>930</v>
      </c>
    </row>
    <row r="325" spans="1:5" ht="29.25" customHeight="1" x14ac:dyDescent="0.25">
      <c r="A325" s="744"/>
      <c r="B325" s="378"/>
      <c r="C325" s="379" t="s">
        <v>297</v>
      </c>
      <c r="D325" s="380" t="s">
        <v>325</v>
      </c>
      <c r="E325" s="381" t="s">
        <v>709</v>
      </c>
    </row>
    <row r="326" spans="1:5" ht="32.25" customHeight="1" x14ac:dyDescent="0.25">
      <c r="A326" s="745"/>
      <c r="B326" s="378"/>
      <c r="C326" s="379" t="s">
        <v>311</v>
      </c>
      <c r="D326" s="380" t="s">
        <v>312</v>
      </c>
      <c r="E326" s="381"/>
    </row>
    <row r="327" spans="1:5" ht="65.25" customHeight="1" x14ac:dyDescent="0.25">
      <c r="A327" s="743">
        <v>19</v>
      </c>
      <c r="B327" s="374" t="s">
        <v>382</v>
      </c>
      <c r="C327" s="375" t="s">
        <v>372</v>
      </c>
      <c r="D327" s="376" t="s">
        <v>702</v>
      </c>
      <c r="E327" s="377" t="s">
        <v>703</v>
      </c>
    </row>
    <row r="328" spans="1:5" ht="65.25" customHeight="1" x14ac:dyDescent="0.25">
      <c r="A328" s="744"/>
      <c r="B328" s="378"/>
      <c r="C328" s="379" t="s">
        <v>283</v>
      </c>
      <c r="D328" s="380" t="s">
        <v>373</v>
      </c>
      <c r="E328" s="381" t="s">
        <v>263</v>
      </c>
    </row>
    <row r="329" spans="1:5" ht="65.25" customHeight="1" x14ac:dyDescent="0.25">
      <c r="A329" s="744"/>
      <c r="B329" s="378"/>
      <c r="C329" s="379" t="s">
        <v>704</v>
      </c>
      <c r="D329" s="380" t="s">
        <v>705</v>
      </c>
      <c r="E329" s="381" t="s">
        <v>263</v>
      </c>
    </row>
    <row r="330" spans="1:5" ht="65.25" customHeight="1" x14ac:dyDescent="0.25">
      <c r="A330" s="744"/>
      <c r="B330" s="378"/>
      <c r="C330" s="379" t="s">
        <v>320</v>
      </c>
      <c r="D330" s="380" t="s">
        <v>286</v>
      </c>
      <c r="E330" s="381">
        <v>372</v>
      </c>
    </row>
    <row r="331" spans="1:5" ht="65.25" customHeight="1" x14ac:dyDescent="0.25">
      <c r="A331" s="744"/>
      <c r="B331" s="378"/>
      <c r="C331" s="379" t="s">
        <v>321</v>
      </c>
      <c r="D331" s="380" t="s">
        <v>289</v>
      </c>
      <c r="E331" s="381" t="s">
        <v>706</v>
      </c>
    </row>
    <row r="332" spans="1:5" ht="65.25" customHeight="1" x14ac:dyDescent="0.25">
      <c r="A332" s="744"/>
      <c r="B332" s="378"/>
      <c r="C332" s="379" t="s">
        <v>322</v>
      </c>
      <c r="D332" s="380" t="s">
        <v>443</v>
      </c>
      <c r="E332" s="381" t="s">
        <v>707</v>
      </c>
    </row>
    <row r="333" spans="1:5" ht="65.25" customHeight="1" x14ac:dyDescent="0.25">
      <c r="A333" s="744"/>
      <c r="B333" s="378"/>
      <c r="C333" s="379" t="s">
        <v>324</v>
      </c>
      <c r="D333" s="380" t="s">
        <v>294</v>
      </c>
      <c r="E333" s="381" t="s">
        <v>708</v>
      </c>
    </row>
    <row r="334" spans="1:5" ht="65.25" customHeight="1" x14ac:dyDescent="0.25">
      <c r="A334" s="744"/>
      <c r="B334" s="378"/>
      <c r="C334" s="379" t="s">
        <v>375</v>
      </c>
      <c r="D334" s="380" t="s">
        <v>296</v>
      </c>
      <c r="E334" s="381">
        <v>558</v>
      </c>
    </row>
    <row r="335" spans="1:5" ht="65.25" customHeight="1" x14ac:dyDescent="0.25">
      <c r="A335" s="744"/>
      <c r="B335" s="378"/>
      <c r="C335" s="379" t="s">
        <v>376</v>
      </c>
      <c r="D335" s="380" t="s">
        <v>296</v>
      </c>
      <c r="E335" s="381">
        <v>558</v>
      </c>
    </row>
    <row r="336" spans="1:5" ht="47.25" customHeight="1" x14ac:dyDescent="0.25">
      <c r="A336" s="744"/>
      <c r="B336" s="378"/>
      <c r="C336" s="379" t="s">
        <v>328</v>
      </c>
      <c r="D336" s="380" t="s">
        <v>325</v>
      </c>
      <c r="E336" s="381" t="s">
        <v>709</v>
      </c>
    </row>
    <row r="337" spans="1:5" ht="44.25" customHeight="1" x14ac:dyDescent="0.25">
      <c r="A337" s="744"/>
      <c r="B337" s="378"/>
      <c r="C337" s="379" t="s">
        <v>329</v>
      </c>
      <c r="D337" s="380" t="s">
        <v>286</v>
      </c>
      <c r="E337" s="381">
        <v>372</v>
      </c>
    </row>
    <row r="338" spans="1:5" ht="40.5" customHeight="1" x14ac:dyDescent="0.25">
      <c r="A338" s="744"/>
      <c r="B338" s="378"/>
      <c r="C338" s="379" t="s">
        <v>330</v>
      </c>
      <c r="D338" s="380" t="s">
        <v>292</v>
      </c>
      <c r="E338" s="381">
        <v>186</v>
      </c>
    </row>
    <row r="339" spans="1:5" ht="46.5" customHeight="1" x14ac:dyDescent="0.25">
      <c r="A339" s="744"/>
      <c r="B339" s="378"/>
      <c r="C339" s="379" t="s">
        <v>331</v>
      </c>
      <c r="D339" s="380" t="s">
        <v>332</v>
      </c>
      <c r="E339" s="381" t="s">
        <v>710</v>
      </c>
    </row>
    <row r="340" spans="1:5" ht="19.5" customHeight="1" x14ac:dyDescent="0.25">
      <c r="A340" s="744"/>
      <c r="B340" s="378"/>
      <c r="C340" s="379" t="s">
        <v>295</v>
      </c>
      <c r="D340" s="380" t="s">
        <v>294</v>
      </c>
      <c r="E340" s="381" t="s">
        <v>708</v>
      </c>
    </row>
    <row r="341" spans="1:5" ht="20.25" customHeight="1" x14ac:dyDescent="0.25">
      <c r="A341" s="744"/>
      <c r="B341" s="378"/>
      <c r="C341" s="379" t="s">
        <v>334</v>
      </c>
      <c r="D341" s="380" t="s">
        <v>292</v>
      </c>
      <c r="E341" s="381">
        <v>186</v>
      </c>
    </row>
    <row r="342" spans="1:5" ht="65.25" customHeight="1" x14ac:dyDescent="0.25">
      <c r="A342" s="744"/>
      <c r="B342" s="378"/>
      <c r="C342" s="379" t="s">
        <v>335</v>
      </c>
      <c r="D342" s="380" t="s">
        <v>298</v>
      </c>
      <c r="E342" s="381">
        <v>930</v>
      </c>
    </row>
    <row r="343" spans="1:5" ht="25.5" customHeight="1" x14ac:dyDescent="0.25">
      <c r="A343" s="744"/>
      <c r="B343" s="378"/>
      <c r="C343" s="379" t="s">
        <v>297</v>
      </c>
      <c r="D343" s="380" t="s">
        <v>325</v>
      </c>
      <c r="E343" s="381" t="s">
        <v>709</v>
      </c>
    </row>
    <row r="344" spans="1:5" ht="65.25" customHeight="1" x14ac:dyDescent="0.25">
      <c r="A344" s="745"/>
      <c r="B344" s="378"/>
      <c r="C344" s="379" t="s">
        <v>311</v>
      </c>
      <c r="D344" s="380" t="s">
        <v>312</v>
      </c>
      <c r="E344" s="381"/>
    </row>
    <row r="345" spans="1:5" ht="65.25" customHeight="1" x14ac:dyDescent="0.25">
      <c r="A345" s="743">
        <v>20</v>
      </c>
      <c r="B345" s="374" t="s">
        <v>383</v>
      </c>
      <c r="C345" s="375" t="s">
        <v>372</v>
      </c>
      <c r="D345" s="376" t="s">
        <v>712</v>
      </c>
      <c r="E345" s="377" t="s">
        <v>713</v>
      </c>
    </row>
    <row r="346" spans="1:5" ht="30" customHeight="1" x14ac:dyDescent="0.25">
      <c r="A346" s="744"/>
      <c r="B346" s="378"/>
      <c r="C346" s="379" t="s">
        <v>283</v>
      </c>
      <c r="D346" s="380" t="s">
        <v>373</v>
      </c>
      <c r="E346" s="381" t="s">
        <v>263</v>
      </c>
    </row>
    <row r="347" spans="1:5" ht="46.5" customHeight="1" x14ac:dyDescent="0.25">
      <c r="A347" s="744"/>
      <c r="B347" s="378"/>
      <c r="C347" s="379" t="s">
        <v>378</v>
      </c>
      <c r="D347" s="380" t="s">
        <v>379</v>
      </c>
      <c r="E347" s="381" t="s">
        <v>263</v>
      </c>
    </row>
    <row r="348" spans="1:5" ht="60" customHeight="1" x14ac:dyDescent="0.25">
      <c r="A348" s="744"/>
      <c r="B348" s="378"/>
      <c r="C348" s="379" t="s">
        <v>704</v>
      </c>
      <c r="D348" s="380" t="s">
        <v>705</v>
      </c>
      <c r="E348" s="381" t="s">
        <v>263</v>
      </c>
    </row>
    <row r="349" spans="1:5" ht="32.25" customHeight="1" x14ac:dyDescent="0.25">
      <c r="A349" s="744"/>
      <c r="B349" s="378"/>
      <c r="C349" s="379" t="s">
        <v>320</v>
      </c>
      <c r="D349" s="380" t="s">
        <v>286</v>
      </c>
      <c r="E349" s="381">
        <v>74.400000000000006</v>
      </c>
    </row>
    <row r="350" spans="1:5" ht="25.5" customHeight="1" x14ac:dyDescent="0.25">
      <c r="A350" s="744"/>
      <c r="B350" s="378"/>
      <c r="C350" s="379" t="s">
        <v>321</v>
      </c>
      <c r="D350" s="380" t="s">
        <v>289</v>
      </c>
      <c r="E350" s="381">
        <v>223.2</v>
      </c>
    </row>
    <row r="351" spans="1:5" ht="25.5" customHeight="1" x14ac:dyDescent="0.25">
      <c r="A351" s="744"/>
      <c r="B351" s="378"/>
      <c r="C351" s="379" t="s">
        <v>322</v>
      </c>
      <c r="D351" s="380" t="s">
        <v>443</v>
      </c>
      <c r="E351" s="381">
        <v>558</v>
      </c>
    </row>
    <row r="352" spans="1:5" ht="40.5" customHeight="1" x14ac:dyDescent="0.25">
      <c r="A352" s="744"/>
      <c r="B352" s="378"/>
      <c r="C352" s="379" t="s">
        <v>324</v>
      </c>
      <c r="D352" s="380" t="s">
        <v>294</v>
      </c>
      <c r="E352" s="381">
        <v>334.8</v>
      </c>
    </row>
    <row r="353" spans="1:5" ht="44.25" customHeight="1" x14ac:dyDescent="0.25">
      <c r="A353" s="744"/>
      <c r="B353" s="378"/>
      <c r="C353" s="379" t="s">
        <v>375</v>
      </c>
      <c r="D353" s="380" t="s">
        <v>296</v>
      </c>
      <c r="E353" s="381">
        <v>111.6</v>
      </c>
    </row>
    <row r="354" spans="1:5" ht="42" customHeight="1" x14ac:dyDescent="0.25">
      <c r="A354" s="744"/>
      <c r="B354" s="378"/>
      <c r="C354" s="379" t="s">
        <v>376</v>
      </c>
      <c r="D354" s="380" t="s">
        <v>296</v>
      </c>
      <c r="E354" s="381">
        <v>111.6</v>
      </c>
    </row>
    <row r="355" spans="1:5" ht="48" customHeight="1" x14ac:dyDescent="0.25">
      <c r="A355" s="744"/>
      <c r="B355" s="378"/>
      <c r="C355" s="379" t="s">
        <v>328</v>
      </c>
      <c r="D355" s="380" t="s">
        <v>325</v>
      </c>
      <c r="E355" s="381">
        <v>260.39999999999998</v>
      </c>
    </row>
    <row r="356" spans="1:5" ht="46.5" customHeight="1" x14ac:dyDescent="0.25">
      <c r="A356" s="744"/>
      <c r="B356" s="378"/>
      <c r="C356" s="379" t="s">
        <v>329</v>
      </c>
      <c r="D356" s="380" t="s">
        <v>286</v>
      </c>
      <c r="E356" s="381">
        <v>74.400000000000006</v>
      </c>
    </row>
    <row r="357" spans="1:5" ht="45" customHeight="1" x14ac:dyDescent="0.25">
      <c r="A357" s="744"/>
      <c r="B357" s="378"/>
      <c r="C357" s="379" t="s">
        <v>330</v>
      </c>
      <c r="D357" s="380" t="s">
        <v>292</v>
      </c>
      <c r="E357" s="381">
        <v>37.200000000000003</v>
      </c>
    </row>
    <row r="358" spans="1:5" ht="42.75" customHeight="1" x14ac:dyDescent="0.25">
      <c r="A358" s="744"/>
      <c r="B358" s="378"/>
      <c r="C358" s="379" t="s">
        <v>331</v>
      </c>
      <c r="D358" s="380" t="s">
        <v>332</v>
      </c>
      <c r="E358" s="381" t="s">
        <v>706</v>
      </c>
    </row>
    <row r="359" spans="1:5" ht="24.75" customHeight="1" x14ac:dyDescent="0.25">
      <c r="A359" s="744"/>
      <c r="B359" s="378"/>
      <c r="C359" s="379" t="s">
        <v>295</v>
      </c>
      <c r="D359" s="380" t="s">
        <v>294</v>
      </c>
      <c r="E359" s="381">
        <v>334.8</v>
      </c>
    </row>
    <row r="360" spans="1:5" ht="33.75" customHeight="1" x14ac:dyDescent="0.25">
      <c r="A360" s="744"/>
      <c r="B360" s="378"/>
      <c r="C360" s="379" t="s">
        <v>334</v>
      </c>
      <c r="D360" s="380" t="s">
        <v>292</v>
      </c>
      <c r="E360" s="381">
        <v>37.200000000000003</v>
      </c>
    </row>
    <row r="361" spans="1:5" ht="65.25" customHeight="1" x14ac:dyDescent="0.25">
      <c r="A361" s="744"/>
      <c r="B361" s="378"/>
      <c r="C361" s="379" t="s">
        <v>335</v>
      </c>
      <c r="D361" s="380" t="s">
        <v>298</v>
      </c>
      <c r="E361" s="381">
        <v>186</v>
      </c>
    </row>
    <row r="362" spans="1:5" ht="21.75" customHeight="1" x14ac:dyDescent="0.25">
      <c r="A362" s="744"/>
      <c r="B362" s="378"/>
      <c r="C362" s="379" t="s">
        <v>297</v>
      </c>
      <c r="D362" s="380" t="s">
        <v>325</v>
      </c>
      <c r="E362" s="381">
        <v>260.39999999999998</v>
      </c>
    </row>
    <row r="363" spans="1:5" ht="24.75" customHeight="1" x14ac:dyDescent="0.25">
      <c r="A363" s="745"/>
      <c r="B363" s="378"/>
      <c r="C363" s="379" t="s">
        <v>311</v>
      </c>
      <c r="D363" s="380" t="s">
        <v>312</v>
      </c>
      <c r="E363" s="381"/>
    </row>
    <row r="364" spans="1:5" ht="65.25" customHeight="1" x14ac:dyDescent="0.25">
      <c r="A364" s="743">
        <v>21</v>
      </c>
      <c r="B364" s="374" t="s">
        <v>384</v>
      </c>
      <c r="C364" s="375" t="s">
        <v>372</v>
      </c>
      <c r="D364" s="376" t="s">
        <v>702</v>
      </c>
      <c r="E364" s="377" t="s">
        <v>703</v>
      </c>
    </row>
    <row r="365" spans="1:5" ht="65.25" customHeight="1" x14ac:dyDescent="0.25">
      <c r="A365" s="744"/>
      <c r="B365" s="378"/>
      <c r="C365" s="379" t="s">
        <v>283</v>
      </c>
      <c r="D365" s="380" t="s">
        <v>373</v>
      </c>
      <c r="E365" s="381" t="s">
        <v>263</v>
      </c>
    </row>
    <row r="366" spans="1:5" ht="65.25" customHeight="1" x14ac:dyDescent="0.25">
      <c r="A366" s="744"/>
      <c r="B366" s="378"/>
      <c r="C366" s="379" t="s">
        <v>704</v>
      </c>
      <c r="D366" s="380" t="s">
        <v>705</v>
      </c>
      <c r="E366" s="381" t="s">
        <v>263</v>
      </c>
    </row>
    <row r="367" spans="1:5" ht="65.25" customHeight="1" x14ac:dyDescent="0.25">
      <c r="A367" s="744"/>
      <c r="B367" s="378"/>
      <c r="C367" s="379" t="s">
        <v>320</v>
      </c>
      <c r="D367" s="380" t="s">
        <v>286</v>
      </c>
      <c r="E367" s="381">
        <v>372</v>
      </c>
    </row>
    <row r="368" spans="1:5" ht="65.25" customHeight="1" x14ac:dyDescent="0.25">
      <c r="A368" s="744"/>
      <c r="B368" s="378"/>
      <c r="C368" s="379" t="s">
        <v>321</v>
      </c>
      <c r="D368" s="380" t="s">
        <v>289</v>
      </c>
      <c r="E368" s="381" t="s">
        <v>706</v>
      </c>
    </row>
    <row r="369" spans="1:5" ht="65.25" customHeight="1" x14ac:dyDescent="0.25">
      <c r="A369" s="744"/>
      <c r="B369" s="378"/>
      <c r="C369" s="379" t="s">
        <v>322</v>
      </c>
      <c r="D369" s="380" t="s">
        <v>443</v>
      </c>
      <c r="E369" s="381" t="s">
        <v>707</v>
      </c>
    </row>
    <row r="370" spans="1:5" ht="65.25" customHeight="1" x14ac:dyDescent="0.25">
      <c r="A370" s="744"/>
      <c r="B370" s="378"/>
      <c r="C370" s="379" t="s">
        <v>324</v>
      </c>
      <c r="D370" s="380" t="s">
        <v>294</v>
      </c>
      <c r="E370" s="381" t="s">
        <v>708</v>
      </c>
    </row>
    <row r="371" spans="1:5" ht="65.25" customHeight="1" x14ac:dyDescent="0.25">
      <c r="A371" s="744"/>
      <c r="B371" s="378"/>
      <c r="C371" s="379" t="s">
        <v>375</v>
      </c>
      <c r="D371" s="380" t="s">
        <v>296</v>
      </c>
      <c r="E371" s="381">
        <v>558</v>
      </c>
    </row>
    <row r="372" spans="1:5" ht="65.25" customHeight="1" x14ac:dyDescent="0.25">
      <c r="A372" s="744"/>
      <c r="B372" s="378"/>
      <c r="C372" s="379" t="s">
        <v>376</v>
      </c>
      <c r="D372" s="380" t="s">
        <v>296</v>
      </c>
      <c r="E372" s="381">
        <v>558</v>
      </c>
    </row>
    <row r="373" spans="1:5" ht="65.25" customHeight="1" x14ac:dyDescent="0.25">
      <c r="A373" s="744"/>
      <c r="B373" s="378"/>
      <c r="C373" s="379" t="s">
        <v>328</v>
      </c>
      <c r="D373" s="380" t="s">
        <v>325</v>
      </c>
      <c r="E373" s="381" t="s">
        <v>709</v>
      </c>
    </row>
    <row r="374" spans="1:5" ht="65.25" customHeight="1" x14ac:dyDescent="0.25">
      <c r="A374" s="744"/>
      <c r="B374" s="378"/>
      <c r="C374" s="379" t="s">
        <v>329</v>
      </c>
      <c r="D374" s="380" t="s">
        <v>286</v>
      </c>
      <c r="E374" s="381">
        <v>372</v>
      </c>
    </row>
    <row r="375" spans="1:5" ht="65.25" customHeight="1" x14ac:dyDescent="0.25">
      <c r="A375" s="744"/>
      <c r="B375" s="378"/>
      <c r="C375" s="379" t="s">
        <v>330</v>
      </c>
      <c r="D375" s="380" t="s">
        <v>292</v>
      </c>
      <c r="E375" s="381">
        <v>186</v>
      </c>
    </row>
    <row r="376" spans="1:5" ht="65.25" customHeight="1" x14ac:dyDescent="0.25">
      <c r="A376" s="744"/>
      <c r="B376" s="378"/>
      <c r="C376" s="379" t="s">
        <v>331</v>
      </c>
      <c r="D376" s="380" t="s">
        <v>332</v>
      </c>
      <c r="E376" s="381" t="s">
        <v>710</v>
      </c>
    </row>
    <row r="377" spans="1:5" ht="21.75" customHeight="1" x14ac:dyDescent="0.25">
      <c r="A377" s="744"/>
      <c r="B377" s="378"/>
      <c r="C377" s="379" t="s">
        <v>295</v>
      </c>
      <c r="D377" s="380" t="s">
        <v>294</v>
      </c>
      <c r="E377" s="381" t="s">
        <v>708</v>
      </c>
    </row>
    <row r="378" spans="1:5" ht="22.5" customHeight="1" x14ac:dyDescent="0.25">
      <c r="A378" s="744"/>
      <c r="B378" s="378"/>
      <c r="C378" s="379" t="s">
        <v>334</v>
      </c>
      <c r="D378" s="380" t="s">
        <v>292</v>
      </c>
      <c r="E378" s="381">
        <v>186</v>
      </c>
    </row>
    <row r="379" spans="1:5" ht="65.25" customHeight="1" x14ac:dyDescent="0.25">
      <c r="A379" s="744"/>
      <c r="B379" s="378"/>
      <c r="C379" s="379" t="s">
        <v>335</v>
      </c>
      <c r="D379" s="380" t="s">
        <v>298</v>
      </c>
      <c r="E379" s="381">
        <v>930</v>
      </c>
    </row>
    <row r="380" spans="1:5" ht="26.25" customHeight="1" x14ac:dyDescent="0.25">
      <c r="A380" s="744"/>
      <c r="B380" s="378"/>
      <c r="C380" s="379" t="s">
        <v>297</v>
      </c>
      <c r="D380" s="380" t="s">
        <v>325</v>
      </c>
      <c r="E380" s="381" t="s">
        <v>709</v>
      </c>
    </row>
    <row r="381" spans="1:5" ht="29.25" customHeight="1" x14ac:dyDescent="0.25">
      <c r="A381" s="745"/>
      <c r="B381" s="378"/>
      <c r="C381" s="379" t="s">
        <v>311</v>
      </c>
      <c r="D381" s="380" t="s">
        <v>312</v>
      </c>
      <c r="E381" s="381"/>
    </row>
    <row r="382" spans="1:5" ht="65.25" customHeight="1" x14ac:dyDescent="0.25">
      <c r="A382" s="743">
        <v>22</v>
      </c>
      <c r="B382" s="374" t="s">
        <v>385</v>
      </c>
      <c r="C382" s="375" t="s">
        <v>372</v>
      </c>
      <c r="D382" s="376" t="s">
        <v>714</v>
      </c>
      <c r="E382" s="377" t="s">
        <v>715</v>
      </c>
    </row>
    <row r="383" spans="1:5" ht="65.25" customHeight="1" x14ac:dyDescent="0.25">
      <c r="A383" s="744"/>
      <c r="B383" s="378"/>
      <c r="C383" s="379" t="s">
        <v>283</v>
      </c>
      <c r="D383" s="380" t="s">
        <v>373</v>
      </c>
      <c r="E383" s="381" t="s">
        <v>263</v>
      </c>
    </row>
    <row r="384" spans="1:5" ht="65.25" customHeight="1" x14ac:dyDescent="0.25">
      <c r="A384" s="744"/>
      <c r="B384" s="378"/>
      <c r="C384" s="379" t="s">
        <v>378</v>
      </c>
      <c r="D384" s="380" t="s">
        <v>379</v>
      </c>
      <c r="E384" s="381" t="s">
        <v>263</v>
      </c>
    </row>
    <row r="385" spans="1:5" ht="65.25" customHeight="1" x14ac:dyDescent="0.25">
      <c r="A385" s="744"/>
      <c r="B385" s="378"/>
      <c r="C385" s="379" t="s">
        <v>704</v>
      </c>
      <c r="D385" s="380" t="s">
        <v>705</v>
      </c>
      <c r="E385" s="381" t="s">
        <v>263</v>
      </c>
    </row>
    <row r="386" spans="1:5" ht="65.25" customHeight="1" x14ac:dyDescent="0.25">
      <c r="A386" s="744"/>
      <c r="B386" s="378"/>
      <c r="C386" s="379" t="s">
        <v>320</v>
      </c>
      <c r="D386" s="380" t="s">
        <v>286</v>
      </c>
      <c r="E386" s="381">
        <v>223.2</v>
      </c>
    </row>
    <row r="387" spans="1:5" ht="65.25" customHeight="1" x14ac:dyDescent="0.25">
      <c r="A387" s="744"/>
      <c r="B387" s="378"/>
      <c r="C387" s="379" t="s">
        <v>321</v>
      </c>
      <c r="D387" s="380" t="s">
        <v>289</v>
      </c>
      <c r="E387" s="381">
        <v>669.6</v>
      </c>
    </row>
    <row r="388" spans="1:5" ht="65.25" customHeight="1" x14ac:dyDescent="0.25">
      <c r="A388" s="744"/>
      <c r="B388" s="378"/>
      <c r="C388" s="379" t="s">
        <v>322</v>
      </c>
      <c r="D388" s="380" t="s">
        <v>443</v>
      </c>
      <c r="E388" s="381" t="s">
        <v>708</v>
      </c>
    </row>
    <row r="389" spans="1:5" ht="65.25" customHeight="1" x14ac:dyDescent="0.25">
      <c r="A389" s="744"/>
      <c r="B389" s="378"/>
      <c r="C389" s="379" t="s">
        <v>324</v>
      </c>
      <c r="D389" s="380" t="s">
        <v>294</v>
      </c>
      <c r="E389" s="381" t="s">
        <v>716</v>
      </c>
    </row>
    <row r="390" spans="1:5" ht="65.25" customHeight="1" x14ac:dyDescent="0.25">
      <c r="A390" s="744"/>
      <c r="B390" s="378"/>
      <c r="C390" s="379" t="s">
        <v>375</v>
      </c>
      <c r="D390" s="380" t="s">
        <v>296</v>
      </c>
      <c r="E390" s="381">
        <v>334.8</v>
      </c>
    </row>
    <row r="391" spans="1:5" ht="65.25" customHeight="1" x14ac:dyDescent="0.25">
      <c r="A391" s="744"/>
      <c r="B391" s="378"/>
      <c r="C391" s="379" t="s">
        <v>376</v>
      </c>
      <c r="D391" s="380" t="s">
        <v>296</v>
      </c>
      <c r="E391" s="381">
        <v>334.8</v>
      </c>
    </row>
    <row r="392" spans="1:5" ht="65.25" customHeight="1" x14ac:dyDescent="0.25">
      <c r="A392" s="744"/>
      <c r="B392" s="378"/>
      <c r="C392" s="379" t="s">
        <v>328</v>
      </c>
      <c r="D392" s="380" t="s">
        <v>325</v>
      </c>
      <c r="E392" s="381">
        <v>781.2</v>
      </c>
    </row>
    <row r="393" spans="1:5" ht="65.25" customHeight="1" x14ac:dyDescent="0.25">
      <c r="A393" s="744"/>
      <c r="B393" s="378"/>
      <c r="C393" s="379" t="s">
        <v>329</v>
      </c>
      <c r="D393" s="380" t="s">
        <v>286</v>
      </c>
      <c r="E393" s="381">
        <v>223.2</v>
      </c>
    </row>
    <row r="394" spans="1:5" ht="65.25" customHeight="1" x14ac:dyDescent="0.25">
      <c r="A394" s="744"/>
      <c r="B394" s="378"/>
      <c r="C394" s="379" t="s">
        <v>330</v>
      </c>
      <c r="D394" s="380" t="s">
        <v>292</v>
      </c>
      <c r="E394" s="381">
        <v>111.6</v>
      </c>
    </row>
    <row r="395" spans="1:5" ht="65.25" customHeight="1" x14ac:dyDescent="0.25">
      <c r="A395" s="744"/>
      <c r="B395" s="378"/>
      <c r="C395" s="379" t="s">
        <v>331</v>
      </c>
      <c r="D395" s="380" t="s">
        <v>332</v>
      </c>
      <c r="E395" s="381" t="s">
        <v>717</v>
      </c>
    </row>
    <row r="396" spans="1:5" ht="65.25" customHeight="1" x14ac:dyDescent="0.25">
      <c r="A396" s="744"/>
      <c r="B396" s="378"/>
      <c r="C396" s="379" t="s">
        <v>295</v>
      </c>
      <c r="D396" s="380" t="s">
        <v>294</v>
      </c>
      <c r="E396" s="381" t="s">
        <v>716</v>
      </c>
    </row>
    <row r="397" spans="1:5" ht="65.25" customHeight="1" x14ac:dyDescent="0.25">
      <c r="A397" s="744"/>
      <c r="B397" s="378"/>
      <c r="C397" s="379" t="s">
        <v>334</v>
      </c>
      <c r="D397" s="380" t="s">
        <v>292</v>
      </c>
      <c r="E397" s="381">
        <v>111.6</v>
      </c>
    </row>
    <row r="398" spans="1:5" ht="65.25" customHeight="1" x14ac:dyDescent="0.25">
      <c r="A398" s="744"/>
      <c r="B398" s="378"/>
      <c r="C398" s="379" t="s">
        <v>335</v>
      </c>
      <c r="D398" s="380" t="s">
        <v>298</v>
      </c>
      <c r="E398" s="381">
        <v>558</v>
      </c>
    </row>
    <row r="399" spans="1:5" ht="65.25" customHeight="1" x14ac:dyDescent="0.25">
      <c r="A399" s="744"/>
      <c r="B399" s="378"/>
      <c r="C399" s="379" t="s">
        <v>297</v>
      </c>
      <c r="D399" s="380" t="s">
        <v>325</v>
      </c>
      <c r="E399" s="381">
        <v>781.2</v>
      </c>
    </row>
    <row r="400" spans="1:5" ht="65.25" customHeight="1" x14ac:dyDescent="0.25">
      <c r="A400" s="745"/>
      <c r="B400" s="378"/>
      <c r="C400" s="379" t="s">
        <v>311</v>
      </c>
      <c r="D400" s="380" t="s">
        <v>312</v>
      </c>
      <c r="E400" s="381"/>
    </row>
    <row r="401" spans="1:5" ht="65.25" customHeight="1" x14ac:dyDescent="0.25">
      <c r="A401" s="743">
        <v>23</v>
      </c>
      <c r="B401" s="374" t="s">
        <v>386</v>
      </c>
      <c r="C401" s="375" t="s">
        <v>372</v>
      </c>
      <c r="D401" s="376" t="s">
        <v>702</v>
      </c>
      <c r="E401" s="377" t="s">
        <v>703</v>
      </c>
    </row>
    <row r="402" spans="1:5" ht="21.75" customHeight="1" x14ac:dyDescent="0.25">
      <c r="A402" s="744"/>
      <c r="B402" s="378"/>
      <c r="C402" s="379" t="s">
        <v>283</v>
      </c>
      <c r="D402" s="380" t="s">
        <v>373</v>
      </c>
      <c r="E402" s="381" t="s">
        <v>263</v>
      </c>
    </row>
    <row r="403" spans="1:5" ht="57" customHeight="1" x14ac:dyDescent="0.25">
      <c r="A403" s="744"/>
      <c r="B403" s="378"/>
      <c r="C403" s="379" t="s">
        <v>704</v>
      </c>
      <c r="D403" s="380" t="s">
        <v>705</v>
      </c>
      <c r="E403" s="381" t="s">
        <v>263</v>
      </c>
    </row>
    <row r="404" spans="1:5" ht="27" customHeight="1" x14ac:dyDescent="0.25">
      <c r="A404" s="744"/>
      <c r="B404" s="378"/>
      <c r="C404" s="379" t="s">
        <v>320</v>
      </c>
      <c r="D404" s="380" t="s">
        <v>286</v>
      </c>
      <c r="E404" s="381">
        <v>372</v>
      </c>
    </row>
    <row r="405" spans="1:5" ht="27" customHeight="1" x14ac:dyDescent="0.25">
      <c r="A405" s="744"/>
      <c r="B405" s="378"/>
      <c r="C405" s="379" t="s">
        <v>321</v>
      </c>
      <c r="D405" s="380" t="s">
        <v>289</v>
      </c>
      <c r="E405" s="381" t="s">
        <v>706</v>
      </c>
    </row>
    <row r="406" spans="1:5" ht="30.75" customHeight="1" x14ac:dyDescent="0.25">
      <c r="A406" s="744"/>
      <c r="B406" s="378"/>
      <c r="C406" s="379" t="s">
        <v>322</v>
      </c>
      <c r="D406" s="380" t="s">
        <v>443</v>
      </c>
      <c r="E406" s="381" t="s">
        <v>707</v>
      </c>
    </row>
    <row r="407" spans="1:5" ht="65.25" customHeight="1" x14ac:dyDescent="0.25">
      <c r="A407" s="744"/>
      <c r="B407" s="378"/>
      <c r="C407" s="379" t="s">
        <v>324</v>
      </c>
      <c r="D407" s="380" t="s">
        <v>294</v>
      </c>
      <c r="E407" s="381" t="s">
        <v>708</v>
      </c>
    </row>
    <row r="408" spans="1:5" ht="65.25" customHeight="1" x14ac:dyDescent="0.25">
      <c r="A408" s="744"/>
      <c r="B408" s="378"/>
      <c r="C408" s="379" t="s">
        <v>375</v>
      </c>
      <c r="D408" s="380" t="s">
        <v>296</v>
      </c>
      <c r="E408" s="381">
        <v>558</v>
      </c>
    </row>
    <row r="409" spans="1:5" ht="65.25" customHeight="1" x14ac:dyDescent="0.25">
      <c r="A409" s="744"/>
      <c r="B409" s="378"/>
      <c r="C409" s="379" t="s">
        <v>376</v>
      </c>
      <c r="D409" s="380" t="s">
        <v>296</v>
      </c>
      <c r="E409" s="381">
        <v>558</v>
      </c>
    </row>
    <row r="410" spans="1:5" ht="65.25" customHeight="1" x14ac:dyDescent="0.25">
      <c r="A410" s="744"/>
      <c r="B410" s="378"/>
      <c r="C410" s="379" t="s">
        <v>328</v>
      </c>
      <c r="D410" s="380" t="s">
        <v>325</v>
      </c>
      <c r="E410" s="381" t="s">
        <v>709</v>
      </c>
    </row>
    <row r="411" spans="1:5" ht="65.25" customHeight="1" x14ac:dyDescent="0.25">
      <c r="A411" s="744"/>
      <c r="B411" s="378"/>
      <c r="C411" s="379" t="s">
        <v>329</v>
      </c>
      <c r="D411" s="380" t="s">
        <v>286</v>
      </c>
      <c r="E411" s="381">
        <v>372</v>
      </c>
    </row>
    <row r="412" spans="1:5" ht="65.25" customHeight="1" x14ac:dyDescent="0.25">
      <c r="A412" s="744"/>
      <c r="B412" s="378"/>
      <c r="C412" s="379" t="s">
        <v>330</v>
      </c>
      <c r="D412" s="380" t="s">
        <v>292</v>
      </c>
      <c r="E412" s="381">
        <v>186</v>
      </c>
    </row>
    <row r="413" spans="1:5" ht="65.25" customHeight="1" x14ac:dyDescent="0.25">
      <c r="A413" s="744"/>
      <c r="B413" s="378"/>
      <c r="C413" s="379" t="s">
        <v>331</v>
      </c>
      <c r="D413" s="380" t="s">
        <v>332</v>
      </c>
      <c r="E413" s="381" t="s">
        <v>710</v>
      </c>
    </row>
    <row r="414" spans="1:5" ht="25.5" customHeight="1" x14ac:dyDescent="0.25">
      <c r="A414" s="744"/>
      <c r="B414" s="378"/>
      <c r="C414" s="379" t="s">
        <v>295</v>
      </c>
      <c r="D414" s="380" t="s">
        <v>294</v>
      </c>
      <c r="E414" s="381" t="s">
        <v>708</v>
      </c>
    </row>
    <row r="415" spans="1:5" ht="26.25" customHeight="1" x14ac:dyDescent="0.25">
      <c r="A415" s="744"/>
      <c r="B415" s="378"/>
      <c r="C415" s="379" t="s">
        <v>334</v>
      </c>
      <c r="D415" s="380" t="s">
        <v>292</v>
      </c>
      <c r="E415" s="381">
        <v>186</v>
      </c>
    </row>
    <row r="416" spans="1:5" ht="65.25" customHeight="1" x14ac:dyDescent="0.25">
      <c r="A416" s="744"/>
      <c r="B416" s="378"/>
      <c r="C416" s="379" t="s">
        <v>335</v>
      </c>
      <c r="D416" s="380" t="s">
        <v>298</v>
      </c>
      <c r="E416" s="381">
        <v>930</v>
      </c>
    </row>
    <row r="417" spans="1:5" ht="27" customHeight="1" x14ac:dyDescent="0.25">
      <c r="A417" s="744"/>
      <c r="B417" s="378"/>
      <c r="C417" s="379" t="s">
        <v>297</v>
      </c>
      <c r="D417" s="380" t="s">
        <v>325</v>
      </c>
      <c r="E417" s="381" t="s">
        <v>709</v>
      </c>
    </row>
    <row r="418" spans="1:5" ht="27" customHeight="1" x14ac:dyDescent="0.25">
      <c r="A418" s="745"/>
      <c r="B418" s="378"/>
      <c r="C418" s="379" t="s">
        <v>311</v>
      </c>
      <c r="D418" s="380" t="s">
        <v>312</v>
      </c>
      <c r="E418" s="381"/>
    </row>
    <row r="419" spans="1:5" ht="65.25" customHeight="1" x14ac:dyDescent="0.25">
      <c r="A419" s="743">
        <v>24</v>
      </c>
      <c r="B419" s="374" t="s">
        <v>386</v>
      </c>
      <c r="C419" s="375" t="s">
        <v>372</v>
      </c>
      <c r="D419" s="376" t="s">
        <v>712</v>
      </c>
      <c r="E419" s="377" t="s">
        <v>713</v>
      </c>
    </row>
    <row r="420" spans="1:5" ht="27" customHeight="1" x14ac:dyDescent="0.25">
      <c r="A420" s="744"/>
      <c r="B420" s="378"/>
      <c r="C420" s="379" t="s">
        <v>283</v>
      </c>
      <c r="D420" s="380" t="s">
        <v>373</v>
      </c>
      <c r="E420" s="381" t="s">
        <v>263</v>
      </c>
    </row>
    <row r="421" spans="1:5" ht="47.25" customHeight="1" x14ac:dyDescent="0.25">
      <c r="A421" s="744"/>
      <c r="B421" s="378"/>
      <c r="C421" s="379" t="s">
        <v>378</v>
      </c>
      <c r="D421" s="380" t="s">
        <v>379</v>
      </c>
      <c r="E421" s="381" t="s">
        <v>263</v>
      </c>
    </row>
    <row r="422" spans="1:5" ht="57" customHeight="1" x14ac:dyDescent="0.25">
      <c r="A422" s="744"/>
      <c r="B422" s="378"/>
      <c r="C422" s="379" t="s">
        <v>704</v>
      </c>
      <c r="D422" s="380" t="s">
        <v>705</v>
      </c>
      <c r="E422" s="381" t="s">
        <v>263</v>
      </c>
    </row>
    <row r="423" spans="1:5" ht="24.75" customHeight="1" x14ac:dyDescent="0.25">
      <c r="A423" s="744"/>
      <c r="B423" s="378"/>
      <c r="C423" s="379" t="s">
        <v>320</v>
      </c>
      <c r="D423" s="380" t="s">
        <v>286</v>
      </c>
      <c r="E423" s="381">
        <v>74.400000000000006</v>
      </c>
    </row>
    <row r="424" spans="1:5" ht="24.75" customHeight="1" x14ac:dyDescent="0.25">
      <c r="A424" s="744"/>
      <c r="B424" s="378"/>
      <c r="C424" s="379" t="s">
        <v>321</v>
      </c>
      <c r="D424" s="380" t="s">
        <v>289</v>
      </c>
      <c r="E424" s="381">
        <v>223.2</v>
      </c>
    </row>
    <row r="425" spans="1:5" ht="29.25" customHeight="1" x14ac:dyDescent="0.25">
      <c r="A425" s="744"/>
      <c r="B425" s="378"/>
      <c r="C425" s="379" t="s">
        <v>322</v>
      </c>
      <c r="D425" s="380" t="s">
        <v>443</v>
      </c>
      <c r="E425" s="381">
        <v>558</v>
      </c>
    </row>
    <row r="426" spans="1:5" ht="65.25" customHeight="1" x14ac:dyDescent="0.25">
      <c r="A426" s="744"/>
      <c r="B426" s="378"/>
      <c r="C426" s="379" t="s">
        <v>324</v>
      </c>
      <c r="D426" s="380" t="s">
        <v>294</v>
      </c>
      <c r="E426" s="381">
        <v>334.8</v>
      </c>
    </row>
    <row r="427" spans="1:5" ht="65.25" customHeight="1" x14ac:dyDescent="0.25">
      <c r="A427" s="744"/>
      <c r="B427" s="378"/>
      <c r="C427" s="379" t="s">
        <v>375</v>
      </c>
      <c r="D427" s="380" t="s">
        <v>296</v>
      </c>
      <c r="E427" s="381">
        <v>111.6</v>
      </c>
    </row>
    <row r="428" spans="1:5" ht="65.25" customHeight="1" x14ac:dyDescent="0.25">
      <c r="A428" s="744"/>
      <c r="B428" s="378"/>
      <c r="C428" s="379" t="s">
        <v>376</v>
      </c>
      <c r="D428" s="380" t="s">
        <v>296</v>
      </c>
      <c r="E428" s="381">
        <v>111.6</v>
      </c>
    </row>
    <row r="429" spans="1:5" ht="65.25" customHeight="1" x14ac:dyDescent="0.25">
      <c r="A429" s="744"/>
      <c r="B429" s="378"/>
      <c r="C429" s="379" t="s">
        <v>328</v>
      </c>
      <c r="D429" s="380" t="s">
        <v>325</v>
      </c>
      <c r="E429" s="381">
        <v>260.39999999999998</v>
      </c>
    </row>
    <row r="430" spans="1:5" ht="44.25" customHeight="1" x14ac:dyDescent="0.25">
      <c r="A430" s="744"/>
      <c r="B430" s="378"/>
      <c r="C430" s="379" t="s">
        <v>329</v>
      </c>
      <c r="D430" s="380" t="s">
        <v>286</v>
      </c>
      <c r="E430" s="381">
        <v>74.400000000000006</v>
      </c>
    </row>
    <row r="431" spans="1:5" ht="45.75" customHeight="1" x14ac:dyDescent="0.25">
      <c r="A431" s="744"/>
      <c r="B431" s="378"/>
      <c r="C431" s="379" t="s">
        <v>330</v>
      </c>
      <c r="D431" s="380" t="s">
        <v>292</v>
      </c>
      <c r="E431" s="381">
        <v>37.200000000000003</v>
      </c>
    </row>
    <row r="432" spans="1:5" ht="44.25" customHeight="1" x14ac:dyDescent="0.25">
      <c r="A432" s="744"/>
      <c r="B432" s="378"/>
      <c r="C432" s="379" t="s">
        <v>331</v>
      </c>
      <c r="D432" s="380" t="s">
        <v>332</v>
      </c>
      <c r="E432" s="381" t="s">
        <v>706</v>
      </c>
    </row>
    <row r="433" spans="1:5" ht="22.5" customHeight="1" x14ac:dyDescent="0.25">
      <c r="A433" s="744"/>
      <c r="B433" s="378"/>
      <c r="C433" s="379" t="s">
        <v>295</v>
      </c>
      <c r="D433" s="380" t="s">
        <v>294</v>
      </c>
      <c r="E433" s="381">
        <v>334.8</v>
      </c>
    </row>
    <row r="434" spans="1:5" ht="25.5" customHeight="1" x14ac:dyDescent="0.25">
      <c r="A434" s="744"/>
      <c r="B434" s="378"/>
      <c r="C434" s="379" t="s">
        <v>334</v>
      </c>
      <c r="D434" s="380" t="s">
        <v>292</v>
      </c>
      <c r="E434" s="381">
        <v>37.200000000000003</v>
      </c>
    </row>
    <row r="435" spans="1:5" ht="65.25" customHeight="1" x14ac:dyDescent="0.25">
      <c r="A435" s="744"/>
      <c r="B435" s="378"/>
      <c r="C435" s="379" t="s">
        <v>335</v>
      </c>
      <c r="D435" s="380" t="s">
        <v>298</v>
      </c>
      <c r="E435" s="381">
        <v>186</v>
      </c>
    </row>
    <row r="436" spans="1:5" ht="27.75" customHeight="1" x14ac:dyDescent="0.25">
      <c r="A436" s="744"/>
      <c r="B436" s="378"/>
      <c r="C436" s="379" t="s">
        <v>297</v>
      </c>
      <c r="D436" s="380" t="s">
        <v>325</v>
      </c>
      <c r="E436" s="381">
        <v>260.39999999999998</v>
      </c>
    </row>
    <row r="437" spans="1:5" ht="26.25" customHeight="1" x14ac:dyDescent="0.25">
      <c r="A437" s="745"/>
      <c r="B437" s="378"/>
      <c r="C437" s="379" t="s">
        <v>311</v>
      </c>
      <c r="D437" s="380" t="s">
        <v>312</v>
      </c>
      <c r="E437" s="381"/>
    </row>
    <row r="438" spans="1:5" ht="65.25" customHeight="1" x14ac:dyDescent="0.25">
      <c r="A438" s="743">
        <v>25</v>
      </c>
      <c r="B438" s="374" t="s">
        <v>387</v>
      </c>
      <c r="C438" s="375" t="s">
        <v>388</v>
      </c>
      <c r="D438" s="376" t="s">
        <v>718</v>
      </c>
      <c r="E438" s="377" t="s">
        <v>719</v>
      </c>
    </row>
    <row r="439" spans="1:5" ht="65.25" customHeight="1" x14ac:dyDescent="0.25">
      <c r="A439" s="744"/>
      <c r="B439" s="378"/>
      <c r="C439" s="379" t="s">
        <v>283</v>
      </c>
      <c r="D439" s="380" t="s">
        <v>720</v>
      </c>
      <c r="E439" s="381" t="s">
        <v>263</v>
      </c>
    </row>
    <row r="440" spans="1:5" ht="65.25" customHeight="1" x14ac:dyDescent="0.25">
      <c r="A440" s="744"/>
      <c r="B440" s="378"/>
      <c r="C440" s="379" t="s">
        <v>721</v>
      </c>
      <c r="D440" s="380" t="s">
        <v>722</v>
      </c>
      <c r="E440" s="381" t="s">
        <v>263</v>
      </c>
    </row>
    <row r="441" spans="1:5" ht="65.25" customHeight="1" x14ac:dyDescent="0.25">
      <c r="A441" s="744"/>
      <c r="B441" s="378"/>
      <c r="C441" s="379" t="s">
        <v>393</v>
      </c>
      <c r="D441" s="380" t="s">
        <v>723</v>
      </c>
      <c r="E441" s="381" t="s">
        <v>724</v>
      </c>
    </row>
    <row r="442" spans="1:5" ht="65.25" customHeight="1" x14ac:dyDescent="0.25">
      <c r="A442" s="744"/>
      <c r="B442" s="378"/>
      <c r="C442" s="379" t="s">
        <v>395</v>
      </c>
      <c r="D442" s="380" t="s">
        <v>725</v>
      </c>
      <c r="E442" s="381" t="s">
        <v>726</v>
      </c>
    </row>
    <row r="443" spans="1:5" ht="65.25" customHeight="1" x14ac:dyDescent="0.25">
      <c r="A443" s="744"/>
      <c r="B443" s="378"/>
      <c r="C443" s="379" t="s">
        <v>297</v>
      </c>
      <c r="D443" s="380" t="s">
        <v>308</v>
      </c>
      <c r="E443" s="381" t="s">
        <v>727</v>
      </c>
    </row>
    <row r="444" spans="1:5" ht="65.25" customHeight="1" x14ac:dyDescent="0.25">
      <c r="A444" s="745"/>
      <c r="B444" s="378"/>
      <c r="C444" s="379" t="s">
        <v>311</v>
      </c>
      <c r="D444" s="380" t="s">
        <v>312</v>
      </c>
      <c r="E444" s="381"/>
    </row>
    <row r="445" spans="1:5" ht="65.25" customHeight="1" x14ac:dyDescent="0.25">
      <c r="A445" s="740" t="s">
        <v>397</v>
      </c>
      <c r="B445" s="741"/>
      <c r="C445" s="741"/>
      <c r="D445" s="741"/>
      <c r="E445" s="742"/>
    </row>
    <row r="446" spans="1:5" ht="65.25" customHeight="1" x14ac:dyDescent="0.25">
      <c r="A446" s="743">
        <v>26</v>
      </c>
      <c r="B446" s="374" t="s">
        <v>398</v>
      </c>
      <c r="C446" s="375" t="s">
        <v>399</v>
      </c>
      <c r="D446" s="376" t="s">
        <v>728</v>
      </c>
      <c r="E446" s="377" t="s">
        <v>583</v>
      </c>
    </row>
    <row r="447" spans="1:5" ht="65.25" customHeight="1" x14ac:dyDescent="0.25">
      <c r="A447" s="744"/>
      <c r="B447" s="378"/>
      <c r="C447" s="379" t="s">
        <v>283</v>
      </c>
      <c r="D447" s="380" t="s">
        <v>402</v>
      </c>
      <c r="E447" s="381" t="s">
        <v>263</v>
      </c>
    </row>
    <row r="448" spans="1:5" ht="65.25" customHeight="1" x14ac:dyDescent="0.25">
      <c r="A448" s="744"/>
      <c r="B448" s="378"/>
      <c r="C448" s="379" t="s">
        <v>403</v>
      </c>
      <c r="D448" s="380" t="s">
        <v>404</v>
      </c>
      <c r="E448" s="381" t="s">
        <v>263</v>
      </c>
    </row>
    <row r="449" spans="1:5" ht="65.25" customHeight="1" x14ac:dyDescent="0.25">
      <c r="A449" s="744"/>
      <c r="B449" s="378"/>
      <c r="C449" s="379" t="s">
        <v>729</v>
      </c>
      <c r="D449" s="380" t="s">
        <v>692</v>
      </c>
      <c r="E449" s="381" t="s">
        <v>263</v>
      </c>
    </row>
    <row r="450" spans="1:5" ht="65.25" customHeight="1" x14ac:dyDescent="0.25">
      <c r="A450" s="744"/>
      <c r="B450" s="378"/>
      <c r="C450" s="379" t="s">
        <v>288</v>
      </c>
      <c r="D450" s="380" t="s">
        <v>333</v>
      </c>
      <c r="E450" s="381" t="s">
        <v>730</v>
      </c>
    </row>
    <row r="451" spans="1:5" ht="65.25" customHeight="1" x14ac:dyDescent="0.25">
      <c r="A451" s="744"/>
      <c r="B451" s="378"/>
      <c r="C451" s="379" t="s">
        <v>295</v>
      </c>
      <c r="D451" s="380" t="s">
        <v>298</v>
      </c>
      <c r="E451" s="381" t="s">
        <v>587</v>
      </c>
    </row>
    <row r="452" spans="1:5" ht="65.25" customHeight="1" x14ac:dyDescent="0.25">
      <c r="A452" s="744"/>
      <c r="B452" s="378"/>
      <c r="C452" s="379" t="s">
        <v>297</v>
      </c>
      <c r="D452" s="380" t="s">
        <v>308</v>
      </c>
      <c r="E452" s="381" t="s">
        <v>591</v>
      </c>
    </row>
    <row r="453" spans="1:5" ht="65.25" customHeight="1" x14ac:dyDescent="0.25">
      <c r="A453" s="744"/>
      <c r="B453" s="378"/>
      <c r="C453" s="379" t="s">
        <v>299</v>
      </c>
      <c r="D453" s="380" t="s">
        <v>300</v>
      </c>
      <c r="E453" s="381" t="s">
        <v>588</v>
      </c>
    </row>
    <row r="454" spans="1:5" ht="65.25" customHeight="1" x14ac:dyDescent="0.25">
      <c r="A454" s="744"/>
      <c r="B454" s="378"/>
      <c r="C454" s="379" t="s">
        <v>301</v>
      </c>
      <c r="D454" s="380" t="s">
        <v>635</v>
      </c>
      <c r="E454" s="381" t="s">
        <v>731</v>
      </c>
    </row>
    <row r="455" spans="1:5" ht="65.25" customHeight="1" x14ac:dyDescent="0.25">
      <c r="A455" s="744"/>
      <c r="B455" s="378"/>
      <c r="C455" s="379" t="s">
        <v>303</v>
      </c>
      <c r="D455" s="380" t="s">
        <v>304</v>
      </c>
      <c r="E455" s="381">
        <v>612.75</v>
      </c>
    </row>
    <row r="456" spans="1:5" ht="65.25" customHeight="1" x14ac:dyDescent="0.25">
      <c r="A456" s="744"/>
      <c r="B456" s="378"/>
      <c r="C456" s="379" t="s">
        <v>305</v>
      </c>
      <c r="D456" s="380" t="s">
        <v>306</v>
      </c>
      <c r="E456" s="381" t="s">
        <v>590</v>
      </c>
    </row>
    <row r="457" spans="1:5" ht="65.25" customHeight="1" x14ac:dyDescent="0.25">
      <c r="A457" s="744"/>
      <c r="B457" s="378"/>
      <c r="C457" s="379" t="s">
        <v>307</v>
      </c>
      <c r="D457" s="380" t="s">
        <v>639</v>
      </c>
      <c r="E457" s="381" t="s">
        <v>732</v>
      </c>
    </row>
    <row r="458" spans="1:5" ht="65.25" customHeight="1" x14ac:dyDescent="0.25">
      <c r="A458" s="744"/>
      <c r="B458" s="378"/>
      <c r="C458" s="379" t="s">
        <v>309</v>
      </c>
      <c r="D458" s="380" t="s">
        <v>641</v>
      </c>
      <c r="E458" s="381" t="s">
        <v>733</v>
      </c>
    </row>
    <row r="459" spans="1:5" ht="65.25" customHeight="1" x14ac:dyDescent="0.25">
      <c r="A459" s="744"/>
      <c r="B459" s="378"/>
      <c r="C459" s="379" t="s">
        <v>310</v>
      </c>
      <c r="D459" s="380" t="s">
        <v>306</v>
      </c>
      <c r="E459" s="381" t="s">
        <v>590</v>
      </c>
    </row>
    <row r="460" spans="1:5" ht="65.25" customHeight="1" x14ac:dyDescent="0.25">
      <c r="A460" s="745"/>
      <c r="B460" s="378"/>
      <c r="C460" s="379" t="s">
        <v>311</v>
      </c>
      <c r="D460" s="380" t="s">
        <v>312</v>
      </c>
      <c r="E460" s="381"/>
    </row>
    <row r="461" spans="1:5" ht="65.25" customHeight="1" x14ac:dyDescent="0.25">
      <c r="A461" s="743">
        <v>27</v>
      </c>
      <c r="B461" s="374" t="s">
        <v>405</v>
      </c>
      <c r="C461" s="375" t="s">
        <v>406</v>
      </c>
      <c r="D461" s="376" t="s">
        <v>734</v>
      </c>
      <c r="E461" s="377" t="s">
        <v>593</v>
      </c>
    </row>
    <row r="462" spans="1:5" ht="65.25" customHeight="1" x14ac:dyDescent="0.25">
      <c r="A462" s="744"/>
      <c r="B462" s="378"/>
      <c r="C462" s="379" t="s">
        <v>283</v>
      </c>
      <c r="D462" s="380" t="s">
        <v>402</v>
      </c>
      <c r="E462" s="381" t="s">
        <v>263</v>
      </c>
    </row>
    <row r="463" spans="1:5" ht="65.25" customHeight="1" x14ac:dyDescent="0.25">
      <c r="A463" s="744"/>
      <c r="B463" s="378"/>
      <c r="C463" s="379" t="s">
        <v>403</v>
      </c>
      <c r="D463" s="380" t="s">
        <v>404</v>
      </c>
      <c r="E463" s="381" t="s">
        <v>263</v>
      </c>
    </row>
    <row r="464" spans="1:5" ht="65.25" customHeight="1" x14ac:dyDescent="0.25">
      <c r="A464" s="744"/>
      <c r="B464" s="378"/>
      <c r="C464" s="379" t="s">
        <v>729</v>
      </c>
      <c r="D464" s="380" t="s">
        <v>692</v>
      </c>
      <c r="E464" s="381" t="s">
        <v>263</v>
      </c>
    </row>
    <row r="465" spans="1:5" ht="65.25" customHeight="1" x14ac:dyDescent="0.25">
      <c r="A465" s="744"/>
      <c r="B465" s="378"/>
      <c r="C465" s="379" t="s">
        <v>288</v>
      </c>
      <c r="D465" s="380" t="s">
        <v>333</v>
      </c>
      <c r="E465" s="381" t="s">
        <v>735</v>
      </c>
    </row>
    <row r="466" spans="1:5" ht="65.25" customHeight="1" x14ac:dyDescent="0.25">
      <c r="A466" s="744"/>
      <c r="B466" s="378"/>
      <c r="C466" s="379" t="s">
        <v>290</v>
      </c>
      <c r="D466" s="380" t="s">
        <v>263</v>
      </c>
      <c r="E466" s="381" t="s">
        <v>263</v>
      </c>
    </row>
    <row r="467" spans="1:5" ht="65.25" customHeight="1" x14ac:dyDescent="0.25">
      <c r="A467" s="744"/>
      <c r="B467" s="378"/>
      <c r="C467" s="379" t="s">
        <v>291</v>
      </c>
      <c r="D467" s="380" t="s">
        <v>263</v>
      </c>
      <c r="E467" s="381" t="s">
        <v>263</v>
      </c>
    </row>
    <row r="468" spans="1:5" ht="65.25" customHeight="1" x14ac:dyDescent="0.25">
      <c r="A468" s="744"/>
      <c r="B468" s="378"/>
      <c r="C468" s="379" t="s">
        <v>293</v>
      </c>
      <c r="D468" s="380" t="s">
        <v>263</v>
      </c>
      <c r="E468" s="381" t="s">
        <v>263</v>
      </c>
    </row>
    <row r="469" spans="1:5" ht="65.25" customHeight="1" x14ac:dyDescent="0.25">
      <c r="A469" s="744"/>
      <c r="B469" s="378"/>
      <c r="C469" s="379" t="s">
        <v>295</v>
      </c>
      <c r="D469" s="380" t="s">
        <v>298</v>
      </c>
      <c r="E469" s="381" t="s">
        <v>599</v>
      </c>
    </row>
    <row r="470" spans="1:5" ht="65.25" customHeight="1" x14ac:dyDescent="0.25">
      <c r="A470" s="744"/>
      <c r="B470" s="378"/>
      <c r="C470" s="379" t="s">
        <v>297</v>
      </c>
      <c r="D470" s="380" t="s">
        <v>308</v>
      </c>
      <c r="E470" s="381" t="s">
        <v>604</v>
      </c>
    </row>
    <row r="471" spans="1:5" ht="65.25" customHeight="1" x14ac:dyDescent="0.25">
      <c r="A471" s="744"/>
      <c r="B471" s="378"/>
      <c r="C471" s="379" t="s">
        <v>299</v>
      </c>
      <c r="D471" s="380" t="s">
        <v>300</v>
      </c>
      <c r="E471" s="381" t="s">
        <v>600</v>
      </c>
    </row>
    <row r="472" spans="1:5" ht="65.25" customHeight="1" x14ac:dyDescent="0.25">
      <c r="A472" s="744"/>
      <c r="B472" s="378"/>
      <c r="C472" s="379" t="s">
        <v>301</v>
      </c>
      <c r="D472" s="380" t="s">
        <v>635</v>
      </c>
      <c r="E472" s="381" t="s">
        <v>736</v>
      </c>
    </row>
    <row r="473" spans="1:5" ht="65.25" customHeight="1" x14ac:dyDescent="0.25">
      <c r="A473" s="744"/>
      <c r="B473" s="378"/>
      <c r="C473" s="379" t="s">
        <v>303</v>
      </c>
      <c r="D473" s="380" t="s">
        <v>304</v>
      </c>
      <c r="E473" s="381" t="s">
        <v>602</v>
      </c>
    </row>
    <row r="474" spans="1:5" ht="65.25" customHeight="1" x14ac:dyDescent="0.25">
      <c r="A474" s="744"/>
      <c r="B474" s="378"/>
      <c r="C474" s="379" t="s">
        <v>305</v>
      </c>
      <c r="D474" s="380" t="s">
        <v>306</v>
      </c>
      <c r="E474" s="381" t="s">
        <v>603</v>
      </c>
    </row>
    <row r="475" spans="1:5" ht="65.25" customHeight="1" x14ac:dyDescent="0.25">
      <c r="A475" s="744"/>
      <c r="B475" s="378"/>
      <c r="C475" s="379" t="s">
        <v>307</v>
      </c>
      <c r="D475" s="380" t="s">
        <v>639</v>
      </c>
      <c r="E475" s="381" t="s">
        <v>737</v>
      </c>
    </row>
    <row r="476" spans="1:5" ht="65.25" customHeight="1" x14ac:dyDescent="0.25">
      <c r="A476" s="744"/>
      <c r="B476" s="378"/>
      <c r="C476" s="379" t="s">
        <v>309</v>
      </c>
      <c r="D476" s="380" t="s">
        <v>641</v>
      </c>
      <c r="E476" s="381" t="s">
        <v>738</v>
      </c>
    </row>
    <row r="477" spans="1:5" ht="65.25" customHeight="1" x14ac:dyDescent="0.25">
      <c r="A477" s="744"/>
      <c r="B477" s="378"/>
      <c r="C477" s="379" t="s">
        <v>310</v>
      </c>
      <c r="D477" s="380" t="s">
        <v>306</v>
      </c>
      <c r="E477" s="381" t="s">
        <v>603</v>
      </c>
    </row>
    <row r="478" spans="1:5" ht="65.25" customHeight="1" x14ac:dyDescent="0.25">
      <c r="A478" s="745"/>
      <c r="B478" s="378"/>
      <c r="C478" s="379" t="s">
        <v>311</v>
      </c>
      <c r="D478" s="380" t="s">
        <v>312</v>
      </c>
      <c r="E478" s="381"/>
    </row>
    <row r="479" spans="1:5" ht="65.25" customHeight="1" x14ac:dyDescent="0.25">
      <c r="A479" s="743">
        <v>28</v>
      </c>
      <c r="B479" s="374" t="s">
        <v>407</v>
      </c>
      <c r="C479" s="375" t="s">
        <v>408</v>
      </c>
      <c r="D479" s="376" t="s">
        <v>739</v>
      </c>
      <c r="E479" s="377" t="s">
        <v>740</v>
      </c>
    </row>
    <row r="480" spans="1:5" ht="65.25" customHeight="1" x14ac:dyDescent="0.25">
      <c r="A480" s="744"/>
      <c r="B480" s="378"/>
      <c r="C480" s="379" t="s">
        <v>409</v>
      </c>
      <c r="D480" s="380" t="s">
        <v>741</v>
      </c>
      <c r="E480" s="381" t="s">
        <v>263</v>
      </c>
    </row>
    <row r="481" spans="1:5" ht="65.25" customHeight="1" x14ac:dyDescent="0.25">
      <c r="A481" s="744"/>
      <c r="B481" s="378"/>
      <c r="C481" s="379" t="s">
        <v>411</v>
      </c>
      <c r="D481" s="380" t="s">
        <v>412</v>
      </c>
      <c r="E481" s="381" t="s">
        <v>263</v>
      </c>
    </row>
    <row r="482" spans="1:5" ht="65.25" customHeight="1" x14ac:dyDescent="0.25">
      <c r="A482" s="744"/>
      <c r="B482" s="378"/>
      <c r="C482" s="379" t="s">
        <v>742</v>
      </c>
      <c r="D482" s="380" t="s">
        <v>743</v>
      </c>
      <c r="E482" s="381" t="s">
        <v>263</v>
      </c>
    </row>
    <row r="483" spans="1:5" ht="65.25" customHeight="1" x14ac:dyDescent="0.25">
      <c r="A483" s="744"/>
      <c r="B483" s="378"/>
      <c r="C483" s="379" t="s">
        <v>285</v>
      </c>
      <c r="D483" s="380" t="s">
        <v>263</v>
      </c>
      <c r="E483" s="381" t="s">
        <v>263</v>
      </c>
    </row>
    <row r="484" spans="1:5" ht="65.25" customHeight="1" x14ac:dyDescent="0.25">
      <c r="A484" s="744"/>
      <c r="B484" s="378"/>
      <c r="C484" s="379" t="s">
        <v>320</v>
      </c>
      <c r="D484" s="380" t="s">
        <v>298</v>
      </c>
      <c r="E484" s="381" t="s">
        <v>744</v>
      </c>
    </row>
    <row r="485" spans="1:5" ht="65.25" customHeight="1" x14ac:dyDescent="0.25">
      <c r="A485" s="744"/>
      <c r="B485" s="378"/>
      <c r="C485" s="379" t="s">
        <v>321</v>
      </c>
      <c r="D485" s="380" t="s">
        <v>308</v>
      </c>
      <c r="E485" s="381" t="s">
        <v>745</v>
      </c>
    </row>
    <row r="486" spans="1:5" ht="65.25" customHeight="1" x14ac:dyDescent="0.25">
      <c r="A486" s="744"/>
      <c r="B486" s="378"/>
      <c r="C486" s="379" t="s">
        <v>415</v>
      </c>
      <c r="D486" s="380" t="s">
        <v>394</v>
      </c>
      <c r="E486" s="381" t="s">
        <v>746</v>
      </c>
    </row>
    <row r="487" spans="1:5" ht="65.25" customHeight="1" x14ac:dyDescent="0.25">
      <c r="A487" s="744"/>
      <c r="B487" s="378"/>
      <c r="C487" s="379" t="s">
        <v>416</v>
      </c>
      <c r="D487" s="380" t="s">
        <v>308</v>
      </c>
      <c r="E487" s="381" t="s">
        <v>745</v>
      </c>
    </row>
    <row r="488" spans="1:5" ht="65.25" customHeight="1" x14ac:dyDescent="0.25">
      <c r="A488" s="744"/>
      <c r="B488" s="378"/>
      <c r="C488" s="379" t="s">
        <v>417</v>
      </c>
      <c r="D488" s="380" t="s">
        <v>296</v>
      </c>
      <c r="E488" s="381" t="s">
        <v>747</v>
      </c>
    </row>
    <row r="489" spans="1:5" ht="65.25" customHeight="1" x14ac:dyDescent="0.25">
      <c r="A489" s="744"/>
      <c r="B489" s="378"/>
      <c r="C489" s="379" t="s">
        <v>418</v>
      </c>
      <c r="D489" s="380" t="s">
        <v>296</v>
      </c>
      <c r="E489" s="381" t="s">
        <v>747</v>
      </c>
    </row>
    <row r="490" spans="1:5" ht="65.25" customHeight="1" x14ac:dyDescent="0.25">
      <c r="A490" s="744"/>
      <c r="B490" s="378"/>
      <c r="C490" s="379" t="s">
        <v>419</v>
      </c>
      <c r="D490" s="380" t="s">
        <v>325</v>
      </c>
      <c r="E490" s="381" t="s">
        <v>748</v>
      </c>
    </row>
    <row r="491" spans="1:5" ht="65.25" customHeight="1" x14ac:dyDescent="0.25">
      <c r="A491" s="744"/>
      <c r="B491" s="378"/>
      <c r="C491" s="379" t="s">
        <v>420</v>
      </c>
      <c r="D491" s="380" t="s">
        <v>286</v>
      </c>
      <c r="E491" s="381" t="s">
        <v>749</v>
      </c>
    </row>
    <row r="492" spans="1:5" ht="65.25" customHeight="1" x14ac:dyDescent="0.25">
      <c r="A492" s="744"/>
      <c r="B492" s="378"/>
      <c r="C492" s="379" t="s">
        <v>421</v>
      </c>
      <c r="D492" s="380" t="s">
        <v>750</v>
      </c>
      <c r="E492" s="381" t="s">
        <v>751</v>
      </c>
    </row>
    <row r="493" spans="1:5" ht="65.25" customHeight="1" x14ac:dyDescent="0.25">
      <c r="A493" s="744"/>
      <c r="B493" s="378"/>
      <c r="C493" s="379" t="s">
        <v>290</v>
      </c>
      <c r="D493" s="380" t="s">
        <v>263</v>
      </c>
      <c r="E493" s="381" t="s">
        <v>263</v>
      </c>
    </row>
    <row r="494" spans="1:5" ht="65.25" customHeight="1" x14ac:dyDescent="0.25">
      <c r="A494" s="744"/>
      <c r="B494" s="378"/>
      <c r="C494" s="379" t="s">
        <v>423</v>
      </c>
      <c r="D494" s="380" t="s">
        <v>263</v>
      </c>
      <c r="E494" s="381" t="s">
        <v>263</v>
      </c>
    </row>
    <row r="495" spans="1:5" ht="65.25" customHeight="1" x14ac:dyDescent="0.25">
      <c r="A495" s="744"/>
      <c r="B495" s="378"/>
      <c r="C495" s="379" t="s">
        <v>295</v>
      </c>
      <c r="D495" s="380" t="s">
        <v>263</v>
      </c>
      <c r="E495" s="381" t="s">
        <v>263</v>
      </c>
    </row>
    <row r="496" spans="1:5" ht="65.25" customHeight="1" x14ac:dyDescent="0.25">
      <c r="A496" s="744"/>
      <c r="B496" s="378"/>
      <c r="C496" s="379" t="s">
        <v>424</v>
      </c>
      <c r="D496" s="380" t="s">
        <v>263</v>
      </c>
      <c r="E496" s="381" t="s">
        <v>263</v>
      </c>
    </row>
    <row r="497" spans="1:5" ht="65.25" customHeight="1" x14ac:dyDescent="0.25">
      <c r="A497" s="744"/>
      <c r="B497" s="378"/>
      <c r="C497" s="379" t="s">
        <v>335</v>
      </c>
      <c r="D497" s="380" t="s">
        <v>263</v>
      </c>
      <c r="E497" s="381" t="s">
        <v>263</v>
      </c>
    </row>
    <row r="498" spans="1:5" ht="65.25" customHeight="1" x14ac:dyDescent="0.25">
      <c r="A498" s="744"/>
      <c r="B498" s="378"/>
      <c r="C498" s="379" t="s">
        <v>297</v>
      </c>
      <c r="D498" s="380" t="s">
        <v>325</v>
      </c>
      <c r="E498" s="381" t="s">
        <v>748</v>
      </c>
    </row>
    <row r="499" spans="1:5" ht="65.25" customHeight="1" x14ac:dyDescent="0.25">
      <c r="A499" s="745"/>
      <c r="B499" s="378"/>
      <c r="C499" s="379" t="s">
        <v>311</v>
      </c>
      <c r="D499" s="380" t="s">
        <v>312</v>
      </c>
      <c r="E499" s="381"/>
    </row>
    <row r="500" spans="1:5" ht="65.25" customHeight="1" x14ac:dyDescent="0.25">
      <c r="A500" s="740" t="s">
        <v>425</v>
      </c>
      <c r="B500" s="741"/>
      <c r="C500" s="741"/>
      <c r="D500" s="741"/>
      <c r="E500" s="742"/>
    </row>
    <row r="501" spans="1:5" ht="65.25" customHeight="1" x14ac:dyDescent="0.25">
      <c r="A501" s="743">
        <v>29</v>
      </c>
      <c r="B501" s="374" t="s">
        <v>426</v>
      </c>
      <c r="C501" s="375" t="s">
        <v>427</v>
      </c>
      <c r="D501" s="376" t="s">
        <v>752</v>
      </c>
      <c r="E501" s="377" t="s">
        <v>753</v>
      </c>
    </row>
    <row r="502" spans="1:5" ht="65.25" customHeight="1" x14ac:dyDescent="0.25">
      <c r="A502" s="744"/>
      <c r="B502" s="378"/>
      <c r="C502" s="379" t="s">
        <v>754</v>
      </c>
      <c r="D502" s="380" t="s">
        <v>755</v>
      </c>
      <c r="E502" s="381" t="s">
        <v>263</v>
      </c>
    </row>
    <row r="503" spans="1:5" ht="65.25" customHeight="1" x14ac:dyDescent="0.25">
      <c r="A503" s="744"/>
      <c r="B503" s="378"/>
      <c r="C503" s="379" t="s">
        <v>428</v>
      </c>
      <c r="D503" s="380" t="s">
        <v>429</v>
      </c>
      <c r="E503" s="381" t="s">
        <v>263</v>
      </c>
    </row>
    <row r="504" spans="1:5" ht="65.25" customHeight="1" x14ac:dyDescent="0.25">
      <c r="A504" s="744"/>
      <c r="B504" s="378"/>
      <c r="C504" s="379" t="s">
        <v>628</v>
      </c>
      <c r="D504" s="380" t="s">
        <v>756</v>
      </c>
      <c r="E504" s="381" t="s">
        <v>263</v>
      </c>
    </row>
    <row r="505" spans="1:5" ht="65.25" customHeight="1" x14ac:dyDescent="0.25">
      <c r="A505" s="744"/>
      <c r="B505" s="378"/>
      <c r="C505" s="379" t="s">
        <v>283</v>
      </c>
      <c r="D505" s="380" t="s">
        <v>630</v>
      </c>
      <c r="E505" s="381" t="s">
        <v>263</v>
      </c>
    </row>
    <row r="506" spans="1:5" ht="65.25" customHeight="1" x14ac:dyDescent="0.25">
      <c r="A506" s="744"/>
      <c r="B506" s="378"/>
      <c r="C506" s="379" t="s">
        <v>285</v>
      </c>
      <c r="D506" s="380" t="s">
        <v>263</v>
      </c>
      <c r="E506" s="381" t="s">
        <v>263</v>
      </c>
    </row>
    <row r="507" spans="1:5" ht="65.25" customHeight="1" x14ac:dyDescent="0.25">
      <c r="A507" s="744"/>
      <c r="B507" s="378"/>
      <c r="C507" s="379" t="s">
        <v>287</v>
      </c>
      <c r="D507" s="380" t="s">
        <v>263</v>
      </c>
      <c r="E507" s="381" t="s">
        <v>263</v>
      </c>
    </row>
    <row r="508" spans="1:5" ht="65.25" customHeight="1" x14ac:dyDescent="0.25">
      <c r="A508" s="744"/>
      <c r="B508" s="378"/>
      <c r="C508" s="379" t="s">
        <v>288</v>
      </c>
      <c r="D508" s="380" t="s">
        <v>333</v>
      </c>
      <c r="E508" s="381">
        <v>254.71</v>
      </c>
    </row>
    <row r="509" spans="1:5" ht="65.25" customHeight="1" x14ac:dyDescent="0.25">
      <c r="A509" s="744"/>
      <c r="B509" s="378"/>
      <c r="C509" s="379" t="s">
        <v>290</v>
      </c>
      <c r="D509" s="380" t="s">
        <v>263</v>
      </c>
      <c r="E509" s="381" t="s">
        <v>263</v>
      </c>
    </row>
    <row r="510" spans="1:5" ht="65.25" customHeight="1" x14ac:dyDescent="0.25">
      <c r="A510" s="744"/>
      <c r="B510" s="378"/>
      <c r="C510" s="379" t="s">
        <v>291</v>
      </c>
      <c r="D510" s="380" t="s">
        <v>263</v>
      </c>
      <c r="E510" s="381" t="s">
        <v>263</v>
      </c>
    </row>
    <row r="511" spans="1:5" ht="65.25" customHeight="1" x14ac:dyDescent="0.25">
      <c r="A511" s="744"/>
      <c r="B511" s="378"/>
      <c r="C511" s="379" t="s">
        <v>293</v>
      </c>
      <c r="D511" s="380" t="s">
        <v>263</v>
      </c>
      <c r="E511" s="381" t="s">
        <v>263</v>
      </c>
    </row>
    <row r="512" spans="1:5" ht="65.25" customHeight="1" x14ac:dyDescent="0.25">
      <c r="A512" s="744"/>
      <c r="B512" s="378"/>
      <c r="C512" s="379" t="s">
        <v>295</v>
      </c>
      <c r="D512" s="380" t="s">
        <v>298</v>
      </c>
      <c r="E512" s="381">
        <v>159.19</v>
      </c>
    </row>
    <row r="513" spans="1:5" ht="65.25" customHeight="1" x14ac:dyDescent="0.25">
      <c r="A513" s="744"/>
      <c r="B513" s="378"/>
      <c r="C513" s="379" t="s">
        <v>297</v>
      </c>
      <c r="D513" s="380" t="s">
        <v>308</v>
      </c>
      <c r="E513" s="381">
        <v>318.38</v>
      </c>
    </row>
    <row r="514" spans="1:5" ht="65.25" customHeight="1" x14ac:dyDescent="0.25">
      <c r="A514" s="744"/>
      <c r="B514" s="378"/>
      <c r="C514" s="379" t="s">
        <v>299</v>
      </c>
      <c r="D514" s="380" t="s">
        <v>300</v>
      </c>
      <c r="E514" s="381">
        <v>780.04</v>
      </c>
    </row>
    <row r="515" spans="1:5" ht="65.25" customHeight="1" x14ac:dyDescent="0.25">
      <c r="A515" s="744"/>
      <c r="B515" s="378"/>
      <c r="C515" s="379" t="s">
        <v>301</v>
      </c>
      <c r="D515" s="380" t="s">
        <v>635</v>
      </c>
      <c r="E515" s="381">
        <v>748.2</v>
      </c>
    </row>
    <row r="516" spans="1:5" ht="65.25" customHeight="1" x14ac:dyDescent="0.25">
      <c r="A516" s="744"/>
      <c r="B516" s="378"/>
      <c r="C516" s="379" t="s">
        <v>303</v>
      </c>
      <c r="D516" s="380" t="s">
        <v>304</v>
      </c>
      <c r="E516" s="381">
        <v>47.76</v>
      </c>
    </row>
    <row r="517" spans="1:5" ht="65.25" customHeight="1" x14ac:dyDescent="0.25">
      <c r="A517" s="744"/>
      <c r="B517" s="378"/>
      <c r="C517" s="379" t="s">
        <v>305</v>
      </c>
      <c r="D517" s="380" t="s">
        <v>306</v>
      </c>
      <c r="E517" s="381">
        <v>79.599999999999994</v>
      </c>
    </row>
    <row r="518" spans="1:5" ht="65.25" customHeight="1" x14ac:dyDescent="0.25">
      <c r="A518" s="744"/>
      <c r="B518" s="378"/>
      <c r="C518" s="379" t="s">
        <v>307</v>
      </c>
      <c r="D518" s="380" t="s">
        <v>639</v>
      </c>
      <c r="E518" s="381">
        <v>541.25</v>
      </c>
    </row>
    <row r="519" spans="1:5" ht="65.25" customHeight="1" x14ac:dyDescent="0.25">
      <c r="A519" s="744"/>
      <c r="B519" s="378"/>
      <c r="C519" s="379" t="s">
        <v>309</v>
      </c>
      <c r="D519" s="380" t="s">
        <v>641</v>
      </c>
      <c r="E519" s="381">
        <v>175.11</v>
      </c>
    </row>
    <row r="520" spans="1:5" ht="65.25" customHeight="1" x14ac:dyDescent="0.25">
      <c r="A520" s="744"/>
      <c r="B520" s="378"/>
      <c r="C520" s="379" t="s">
        <v>310</v>
      </c>
      <c r="D520" s="380" t="s">
        <v>306</v>
      </c>
      <c r="E520" s="381">
        <v>79.599999999999994</v>
      </c>
    </row>
    <row r="521" spans="1:5" ht="65.25" customHeight="1" x14ac:dyDescent="0.25">
      <c r="A521" s="745"/>
      <c r="B521" s="378"/>
      <c r="C521" s="379" t="s">
        <v>311</v>
      </c>
      <c r="D521" s="380" t="s">
        <v>312</v>
      </c>
      <c r="E521" s="381"/>
    </row>
    <row r="522" spans="1:5" ht="65.25" customHeight="1" x14ac:dyDescent="0.25">
      <c r="A522" s="743">
        <v>30</v>
      </c>
      <c r="B522" s="374" t="s">
        <v>430</v>
      </c>
      <c r="C522" s="375" t="s">
        <v>431</v>
      </c>
      <c r="D522" s="376" t="s">
        <v>757</v>
      </c>
      <c r="E522" s="377" t="s">
        <v>758</v>
      </c>
    </row>
    <row r="523" spans="1:5" ht="20.25" customHeight="1" x14ac:dyDescent="0.25">
      <c r="A523" s="744"/>
      <c r="B523" s="378"/>
      <c r="C523" s="379" t="s">
        <v>432</v>
      </c>
      <c r="D523" s="380" t="s">
        <v>433</v>
      </c>
      <c r="E523" s="381" t="s">
        <v>263</v>
      </c>
    </row>
    <row r="524" spans="1:5" ht="24" customHeight="1" x14ac:dyDescent="0.25">
      <c r="A524" s="744"/>
      <c r="B524" s="378"/>
      <c r="C524" s="379" t="s">
        <v>283</v>
      </c>
      <c r="D524" s="380" t="s">
        <v>759</v>
      </c>
      <c r="E524" s="381" t="s">
        <v>263</v>
      </c>
    </row>
    <row r="525" spans="1:5" ht="42" customHeight="1" x14ac:dyDescent="0.25">
      <c r="A525" s="744"/>
      <c r="B525" s="378"/>
      <c r="C525" s="379" t="s">
        <v>760</v>
      </c>
      <c r="D525" s="380" t="s">
        <v>761</v>
      </c>
      <c r="E525" s="381" t="s">
        <v>263</v>
      </c>
    </row>
    <row r="526" spans="1:5" ht="22.5" customHeight="1" x14ac:dyDescent="0.25">
      <c r="A526" s="744"/>
      <c r="B526" s="378"/>
      <c r="C526" s="379" t="s">
        <v>437</v>
      </c>
      <c r="D526" s="380" t="s">
        <v>762</v>
      </c>
      <c r="E526" s="381">
        <v>847.34</v>
      </c>
    </row>
    <row r="527" spans="1:5" ht="24" customHeight="1" x14ac:dyDescent="0.25">
      <c r="A527" s="744"/>
      <c r="B527" s="378"/>
      <c r="C527" s="379" t="s">
        <v>438</v>
      </c>
      <c r="D527" s="380" t="s">
        <v>439</v>
      </c>
      <c r="E527" s="381">
        <v>994.71</v>
      </c>
    </row>
    <row r="528" spans="1:5" ht="18" customHeight="1" x14ac:dyDescent="0.25">
      <c r="A528" s="744"/>
      <c r="B528" s="378"/>
      <c r="C528" s="379" t="s">
        <v>440</v>
      </c>
      <c r="D528" s="380" t="s">
        <v>292</v>
      </c>
      <c r="E528" s="381">
        <v>36.840000000000003</v>
      </c>
    </row>
    <row r="529" spans="1:5" ht="25.5" customHeight="1" x14ac:dyDescent="0.25">
      <c r="A529" s="744"/>
      <c r="B529" s="378"/>
      <c r="C529" s="379" t="s">
        <v>441</v>
      </c>
      <c r="D529" s="380" t="s">
        <v>286</v>
      </c>
      <c r="E529" s="381">
        <v>73.680000000000007</v>
      </c>
    </row>
    <row r="530" spans="1:5" ht="24" customHeight="1" x14ac:dyDescent="0.25">
      <c r="A530" s="744"/>
      <c r="B530" s="378"/>
      <c r="C530" s="379" t="s">
        <v>442</v>
      </c>
      <c r="D530" s="380" t="s">
        <v>639</v>
      </c>
      <c r="E530" s="381">
        <v>626.29999999999995</v>
      </c>
    </row>
    <row r="531" spans="1:5" ht="27" customHeight="1" x14ac:dyDescent="0.25">
      <c r="A531" s="744"/>
      <c r="B531" s="378"/>
      <c r="C531" s="379" t="s">
        <v>444</v>
      </c>
      <c r="D531" s="380" t="s">
        <v>298</v>
      </c>
      <c r="E531" s="381">
        <v>184.21</v>
      </c>
    </row>
    <row r="532" spans="1:5" ht="23.25" customHeight="1" x14ac:dyDescent="0.25">
      <c r="A532" s="744"/>
      <c r="B532" s="378"/>
      <c r="C532" s="379" t="s">
        <v>445</v>
      </c>
      <c r="D532" s="380" t="s">
        <v>286</v>
      </c>
      <c r="E532" s="381">
        <v>73.680000000000007</v>
      </c>
    </row>
    <row r="533" spans="1:5" ht="26.25" customHeight="1" x14ac:dyDescent="0.25">
      <c r="A533" s="744"/>
      <c r="B533" s="378"/>
      <c r="C533" s="379" t="s">
        <v>288</v>
      </c>
      <c r="D533" s="380" t="s">
        <v>333</v>
      </c>
      <c r="E533" s="381">
        <v>294.73</v>
      </c>
    </row>
    <row r="534" spans="1:5" ht="21.75" customHeight="1" x14ac:dyDescent="0.25">
      <c r="A534" s="744"/>
      <c r="B534" s="378"/>
      <c r="C534" s="379" t="s">
        <v>295</v>
      </c>
      <c r="D534" s="380" t="s">
        <v>298</v>
      </c>
      <c r="E534" s="381">
        <v>184.21</v>
      </c>
    </row>
    <row r="535" spans="1:5" ht="25.5" customHeight="1" x14ac:dyDescent="0.25">
      <c r="A535" s="744"/>
      <c r="B535" s="378"/>
      <c r="C535" s="379" t="s">
        <v>297</v>
      </c>
      <c r="D535" s="380" t="s">
        <v>308</v>
      </c>
      <c r="E535" s="381">
        <v>368.41</v>
      </c>
    </row>
    <row r="536" spans="1:5" ht="28.5" customHeight="1" x14ac:dyDescent="0.25">
      <c r="A536" s="745"/>
      <c r="B536" s="378"/>
      <c r="C536" s="379" t="s">
        <v>311</v>
      </c>
      <c r="D536" s="380" t="s">
        <v>312</v>
      </c>
      <c r="E536" s="381"/>
    </row>
    <row r="537" spans="1:5" ht="65.25" customHeight="1" x14ac:dyDescent="0.25">
      <c r="A537" s="743">
        <v>31</v>
      </c>
      <c r="B537" s="374" t="s">
        <v>448</v>
      </c>
      <c r="C537" s="375" t="s">
        <v>449</v>
      </c>
      <c r="D537" s="376" t="s">
        <v>763</v>
      </c>
      <c r="E537" s="377" t="s">
        <v>764</v>
      </c>
    </row>
    <row r="538" spans="1:5" ht="65.25" customHeight="1" x14ac:dyDescent="0.25">
      <c r="A538" s="744"/>
      <c r="B538" s="378"/>
      <c r="C538" s="379" t="s">
        <v>432</v>
      </c>
      <c r="D538" s="380" t="s">
        <v>433</v>
      </c>
      <c r="E538" s="381" t="s">
        <v>263</v>
      </c>
    </row>
    <row r="539" spans="1:5" ht="65.25" customHeight="1" x14ac:dyDescent="0.25">
      <c r="A539" s="744"/>
      <c r="B539" s="378"/>
      <c r="C539" s="379" t="s">
        <v>283</v>
      </c>
      <c r="D539" s="380" t="s">
        <v>759</v>
      </c>
      <c r="E539" s="381" t="s">
        <v>263</v>
      </c>
    </row>
    <row r="540" spans="1:5" ht="65.25" customHeight="1" x14ac:dyDescent="0.25">
      <c r="A540" s="744"/>
      <c r="B540" s="378"/>
      <c r="C540" s="379" t="s">
        <v>760</v>
      </c>
      <c r="D540" s="380" t="s">
        <v>765</v>
      </c>
      <c r="E540" s="381" t="s">
        <v>263</v>
      </c>
    </row>
    <row r="541" spans="1:5" ht="65.25" customHeight="1" x14ac:dyDescent="0.25">
      <c r="A541" s="744"/>
      <c r="B541" s="378"/>
      <c r="C541" s="379" t="s">
        <v>437</v>
      </c>
      <c r="D541" s="380" t="s">
        <v>762</v>
      </c>
      <c r="E541" s="381">
        <v>673.53</v>
      </c>
    </row>
    <row r="542" spans="1:5" ht="65.25" customHeight="1" x14ac:dyDescent="0.25">
      <c r="A542" s="744"/>
      <c r="B542" s="378"/>
      <c r="C542" s="379" t="s">
        <v>438</v>
      </c>
      <c r="D542" s="380" t="s">
        <v>439</v>
      </c>
      <c r="E542" s="381">
        <v>790.66</v>
      </c>
    </row>
    <row r="543" spans="1:5" ht="65.25" customHeight="1" x14ac:dyDescent="0.25">
      <c r="A543" s="744"/>
      <c r="B543" s="378"/>
      <c r="C543" s="379" t="s">
        <v>440</v>
      </c>
      <c r="D543" s="380" t="s">
        <v>292</v>
      </c>
      <c r="E543" s="381">
        <v>29.28</v>
      </c>
    </row>
    <row r="544" spans="1:5" ht="65.25" customHeight="1" x14ac:dyDescent="0.25">
      <c r="A544" s="744"/>
      <c r="B544" s="378"/>
      <c r="C544" s="379" t="s">
        <v>441</v>
      </c>
      <c r="D544" s="380" t="s">
        <v>286</v>
      </c>
      <c r="E544" s="381">
        <v>58.57</v>
      </c>
    </row>
    <row r="545" spans="1:5" ht="65.25" customHeight="1" x14ac:dyDescent="0.25">
      <c r="A545" s="744"/>
      <c r="B545" s="378"/>
      <c r="C545" s="379" t="s">
        <v>442</v>
      </c>
      <c r="D545" s="380" t="s">
        <v>639</v>
      </c>
      <c r="E545" s="381">
        <v>497.82</v>
      </c>
    </row>
    <row r="546" spans="1:5" ht="65.25" customHeight="1" x14ac:dyDescent="0.25">
      <c r="A546" s="744"/>
      <c r="B546" s="378"/>
      <c r="C546" s="379" t="s">
        <v>444</v>
      </c>
      <c r="D546" s="380" t="s">
        <v>298</v>
      </c>
      <c r="E546" s="381">
        <v>146.41999999999999</v>
      </c>
    </row>
    <row r="547" spans="1:5" ht="65.25" customHeight="1" x14ac:dyDescent="0.25">
      <c r="A547" s="744"/>
      <c r="B547" s="378"/>
      <c r="C547" s="379" t="s">
        <v>445</v>
      </c>
      <c r="D547" s="380" t="s">
        <v>286</v>
      </c>
      <c r="E547" s="381">
        <v>58.57</v>
      </c>
    </row>
    <row r="548" spans="1:5" ht="65.25" customHeight="1" x14ac:dyDescent="0.25">
      <c r="A548" s="744"/>
      <c r="B548" s="378"/>
      <c r="C548" s="379" t="s">
        <v>288</v>
      </c>
      <c r="D548" s="380" t="s">
        <v>333</v>
      </c>
      <c r="E548" s="381">
        <v>234.27</v>
      </c>
    </row>
    <row r="549" spans="1:5" ht="65.25" customHeight="1" x14ac:dyDescent="0.25">
      <c r="A549" s="744"/>
      <c r="B549" s="378"/>
      <c r="C549" s="379" t="s">
        <v>295</v>
      </c>
      <c r="D549" s="380" t="s">
        <v>298</v>
      </c>
      <c r="E549" s="381">
        <v>146.41999999999999</v>
      </c>
    </row>
    <row r="550" spans="1:5" ht="65.25" customHeight="1" x14ac:dyDescent="0.25">
      <c r="A550" s="744"/>
      <c r="B550" s="378"/>
      <c r="C550" s="379" t="s">
        <v>297</v>
      </c>
      <c r="D550" s="380" t="s">
        <v>308</v>
      </c>
      <c r="E550" s="381">
        <v>292.83999999999997</v>
      </c>
    </row>
    <row r="551" spans="1:5" ht="65.25" customHeight="1" x14ac:dyDescent="0.25">
      <c r="A551" s="745"/>
      <c r="B551" s="378"/>
      <c r="C551" s="379" t="s">
        <v>311</v>
      </c>
      <c r="D551" s="380" t="s">
        <v>312</v>
      </c>
      <c r="E551" s="381"/>
    </row>
    <row r="552" spans="1:5" ht="65.25" customHeight="1" x14ac:dyDescent="0.25">
      <c r="A552" s="740" t="s">
        <v>450</v>
      </c>
      <c r="B552" s="741"/>
      <c r="C552" s="741"/>
      <c r="D552" s="741"/>
      <c r="E552" s="742"/>
    </row>
    <row r="553" spans="1:5" ht="65.25" customHeight="1" x14ac:dyDescent="0.25">
      <c r="A553" s="743">
        <v>32</v>
      </c>
      <c r="B553" s="374" t="s">
        <v>451</v>
      </c>
      <c r="C553" s="375" t="s">
        <v>452</v>
      </c>
      <c r="D553" s="376" t="s">
        <v>766</v>
      </c>
      <c r="E553" s="377">
        <v>780</v>
      </c>
    </row>
    <row r="554" spans="1:5" ht="65.25" customHeight="1" x14ac:dyDescent="0.25">
      <c r="A554" s="744"/>
      <c r="B554" s="378"/>
      <c r="C554" s="379" t="s">
        <v>283</v>
      </c>
      <c r="D554" s="380" t="s">
        <v>767</v>
      </c>
      <c r="E554" s="381" t="s">
        <v>263</v>
      </c>
    </row>
    <row r="555" spans="1:5" ht="65.25" customHeight="1" x14ac:dyDescent="0.25">
      <c r="A555" s="744"/>
      <c r="B555" s="378"/>
      <c r="C555" s="379" t="s">
        <v>768</v>
      </c>
      <c r="D555" s="380" t="s">
        <v>455</v>
      </c>
      <c r="E555" s="381" t="s">
        <v>263</v>
      </c>
    </row>
    <row r="556" spans="1:5" ht="65.25" customHeight="1" x14ac:dyDescent="0.25">
      <c r="A556" s="744"/>
      <c r="B556" s="378"/>
      <c r="C556" s="379" t="s">
        <v>456</v>
      </c>
      <c r="D556" s="380" t="s">
        <v>750</v>
      </c>
      <c r="E556" s="381">
        <v>156</v>
      </c>
    </row>
    <row r="557" spans="1:5" ht="65.25" customHeight="1" x14ac:dyDescent="0.25">
      <c r="A557" s="744"/>
      <c r="B557" s="378"/>
      <c r="C557" s="379" t="s">
        <v>457</v>
      </c>
      <c r="D557" s="380" t="s">
        <v>769</v>
      </c>
      <c r="E557" s="381">
        <v>569.4</v>
      </c>
    </row>
    <row r="558" spans="1:5" ht="65.25" customHeight="1" x14ac:dyDescent="0.25">
      <c r="A558" s="744"/>
      <c r="B558" s="378"/>
      <c r="C558" s="379" t="s">
        <v>459</v>
      </c>
      <c r="D558" s="380" t="s">
        <v>325</v>
      </c>
      <c r="E558" s="381">
        <v>54.6</v>
      </c>
    </row>
    <row r="559" spans="1:5" ht="65.25" customHeight="1" x14ac:dyDescent="0.25">
      <c r="A559" s="745"/>
      <c r="B559" s="378"/>
      <c r="C559" s="379" t="s">
        <v>311</v>
      </c>
      <c r="D559" s="380" t="s">
        <v>312</v>
      </c>
      <c r="E559" s="381"/>
    </row>
    <row r="560" spans="1:5" ht="65.25" customHeight="1" x14ac:dyDescent="0.25">
      <c r="A560" s="743">
        <v>33</v>
      </c>
      <c r="B560" s="374" t="s">
        <v>460</v>
      </c>
      <c r="C560" s="375" t="s">
        <v>461</v>
      </c>
      <c r="D560" s="376" t="s">
        <v>770</v>
      </c>
      <c r="E560" s="377" t="s">
        <v>771</v>
      </c>
    </row>
    <row r="561" spans="1:5" ht="65.25" customHeight="1" x14ac:dyDescent="0.25">
      <c r="A561" s="744"/>
      <c r="B561" s="378"/>
      <c r="C561" s="379" t="s">
        <v>462</v>
      </c>
      <c r="D561" s="380" t="s">
        <v>463</v>
      </c>
      <c r="E561" s="381" t="s">
        <v>263</v>
      </c>
    </row>
    <row r="562" spans="1:5" ht="65.25" customHeight="1" x14ac:dyDescent="0.25">
      <c r="A562" s="744"/>
      <c r="B562" s="378"/>
      <c r="C562" s="379" t="s">
        <v>283</v>
      </c>
      <c r="D562" s="380" t="s">
        <v>315</v>
      </c>
      <c r="E562" s="381" t="s">
        <v>263</v>
      </c>
    </row>
    <row r="563" spans="1:5" ht="65.25" customHeight="1" x14ac:dyDescent="0.25">
      <c r="A563" s="744"/>
      <c r="B563" s="378"/>
      <c r="C563" s="379" t="s">
        <v>772</v>
      </c>
      <c r="D563" s="380" t="s">
        <v>773</v>
      </c>
      <c r="E563" s="381" t="s">
        <v>263</v>
      </c>
    </row>
    <row r="564" spans="1:5" ht="65.25" customHeight="1" x14ac:dyDescent="0.25">
      <c r="A564" s="744"/>
      <c r="B564" s="378"/>
      <c r="C564" s="379" t="s">
        <v>285</v>
      </c>
      <c r="D564" s="380" t="s">
        <v>263</v>
      </c>
      <c r="E564" s="381" t="s">
        <v>263</v>
      </c>
    </row>
    <row r="565" spans="1:5" ht="65.25" customHeight="1" x14ac:dyDescent="0.25">
      <c r="A565" s="744"/>
      <c r="B565" s="378"/>
      <c r="C565" s="379" t="s">
        <v>320</v>
      </c>
      <c r="D565" s="380" t="s">
        <v>286</v>
      </c>
      <c r="E565" s="381">
        <v>625.48</v>
      </c>
    </row>
    <row r="566" spans="1:5" ht="65.25" customHeight="1" x14ac:dyDescent="0.25">
      <c r="A566" s="744"/>
      <c r="B566" s="378"/>
      <c r="C566" s="379" t="s">
        <v>321</v>
      </c>
      <c r="D566" s="380" t="s">
        <v>289</v>
      </c>
      <c r="E566" s="381" t="s">
        <v>774</v>
      </c>
    </row>
    <row r="567" spans="1:5" ht="65.25" customHeight="1" x14ac:dyDescent="0.25">
      <c r="A567" s="744"/>
      <c r="B567" s="378"/>
      <c r="C567" s="379" t="s">
        <v>322</v>
      </c>
      <c r="D567" s="380" t="s">
        <v>775</v>
      </c>
      <c r="E567" s="381" t="s">
        <v>776</v>
      </c>
    </row>
    <row r="568" spans="1:5" ht="65.25" customHeight="1" x14ac:dyDescent="0.25">
      <c r="A568" s="744"/>
      <c r="B568" s="378"/>
      <c r="C568" s="379" t="s">
        <v>777</v>
      </c>
      <c r="D568" s="380" t="s">
        <v>639</v>
      </c>
      <c r="E568" s="381" t="s">
        <v>778</v>
      </c>
    </row>
    <row r="569" spans="1:5" ht="65.25" customHeight="1" x14ac:dyDescent="0.25">
      <c r="A569" s="744"/>
      <c r="B569" s="378"/>
      <c r="C569" s="379" t="s">
        <v>779</v>
      </c>
      <c r="D569" s="380" t="s">
        <v>296</v>
      </c>
      <c r="E569" s="381">
        <v>938.22</v>
      </c>
    </row>
    <row r="570" spans="1:5" ht="65.25" customHeight="1" x14ac:dyDescent="0.25">
      <c r="A570" s="744"/>
      <c r="B570" s="378"/>
      <c r="C570" s="379" t="s">
        <v>780</v>
      </c>
      <c r="D570" s="380" t="s">
        <v>296</v>
      </c>
      <c r="E570" s="381">
        <v>938.22</v>
      </c>
    </row>
    <row r="571" spans="1:5" ht="65.25" customHeight="1" x14ac:dyDescent="0.25">
      <c r="A571" s="744"/>
      <c r="B571" s="378"/>
      <c r="C571" s="379" t="s">
        <v>781</v>
      </c>
      <c r="D571" s="380" t="s">
        <v>323</v>
      </c>
      <c r="E571" s="381" t="s">
        <v>782</v>
      </c>
    </row>
    <row r="572" spans="1:5" ht="65.25" customHeight="1" x14ac:dyDescent="0.25">
      <c r="A572" s="744"/>
      <c r="B572" s="378"/>
      <c r="C572" s="379" t="s">
        <v>783</v>
      </c>
      <c r="D572" s="380" t="s">
        <v>286</v>
      </c>
      <c r="E572" s="381">
        <v>625.48</v>
      </c>
    </row>
    <row r="573" spans="1:5" ht="65.25" customHeight="1" x14ac:dyDescent="0.25">
      <c r="A573" s="744"/>
      <c r="B573" s="378"/>
      <c r="C573" s="379" t="s">
        <v>784</v>
      </c>
      <c r="D573" s="380" t="s">
        <v>292</v>
      </c>
      <c r="E573" s="381">
        <v>312.74</v>
      </c>
    </row>
    <row r="574" spans="1:5" ht="65.25" customHeight="1" x14ac:dyDescent="0.25">
      <c r="A574" s="744"/>
      <c r="B574" s="378"/>
      <c r="C574" s="379" t="s">
        <v>421</v>
      </c>
      <c r="D574" s="380" t="s">
        <v>750</v>
      </c>
      <c r="E574" s="381" t="s">
        <v>785</v>
      </c>
    </row>
    <row r="575" spans="1:5" ht="65.25" customHeight="1" x14ac:dyDescent="0.25">
      <c r="A575" s="744"/>
      <c r="B575" s="378"/>
      <c r="C575" s="379" t="s">
        <v>295</v>
      </c>
      <c r="D575" s="380" t="s">
        <v>308</v>
      </c>
      <c r="E575" s="381" t="s">
        <v>786</v>
      </c>
    </row>
    <row r="576" spans="1:5" ht="65.25" customHeight="1" x14ac:dyDescent="0.25">
      <c r="A576" s="744"/>
      <c r="B576" s="378"/>
      <c r="C576" s="379" t="s">
        <v>334</v>
      </c>
      <c r="D576" s="380" t="s">
        <v>292</v>
      </c>
      <c r="E576" s="381">
        <v>312.74</v>
      </c>
    </row>
    <row r="577" spans="1:5" ht="65.25" customHeight="1" x14ac:dyDescent="0.25">
      <c r="A577" s="744"/>
      <c r="B577" s="378"/>
      <c r="C577" s="379" t="s">
        <v>297</v>
      </c>
      <c r="D577" s="380" t="s">
        <v>333</v>
      </c>
      <c r="E577" s="381" t="s">
        <v>787</v>
      </c>
    </row>
    <row r="578" spans="1:5" ht="65.25" customHeight="1" x14ac:dyDescent="0.25">
      <c r="A578" s="745"/>
      <c r="B578" s="378"/>
      <c r="C578" s="379" t="s">
        <v>311</v>
      </c>
      <c r="D578" s="380" t="s">
        <v>312</v>
      </c>
      <c r="E578" s="381"/>
    </row>
    <row r="579" spans="1:5" ht="65.25" customHeight="1" x14ac:dyDescent="0.25">
      <c r="A579" s="743">
        <v>34</v>
      </c>
      <c r="B579" s="374" t="s">
        <v>466</v>
      </c>
      <c r="C579" s="375" t="s">
        <v>467</v>
      </c>
      <c r="D579" s="376" t="s">
        <v>788</v>
      </c>
      <c r="E579" s="377" t="s">
        <v>789</v>
      </c>
    </row>
    <row r="580" spans="1:5" ht="65.25" customHeight="1" x14ac:dyDescent="0.25">
      <c r="A580" s="744"/>
      <c r="B580" s="378"/>
      <c r="C580" s="379" t="s">
        <v>283</v>
      </c>
      <c r="D580" s="380" t="s">
        <v>790</v>
      </c>
      <c r="E580" s="381" t="s">
        <v>263</v>
      </c>
    </row>
    <row r="581" spans="1:5" ht="65.25" customHeight="1" x14ac:dyDescent="0.25">
      <c r="A581" s="745"/>
      <c r="B581" s="378"/>
      <c r="C581" s="379" t="s">
        <v>791</v>
      </c>
      <c r="D581" s="380" t="s">
        <v>792</v>
      </c>
      <c r="E581" s="381" t="s">
        <v>263</v>
      </c>
    </row>
    <row r="582" spans="1:5" ht="26.25" customHeight="1" x14ac:dyDescent="0.25">
      <c r="A582" s="373"/>
      <c r="B582" s="746" t="s">
        <v>793</v>
      </c>
      <c r="C582" s="747"/>
      <c r="D582" s="748"/>
      <c r="E582" s="382"/>
    </row>
    <row r="583" spans="1:5" ht="40.5" customHeight="1" x14ac:dyDescent="0.25">
      <c r="A583" s="373"/>
      <c r="B583" s="731" t="s">
        <v>1147</v>
      </c>
      <c r="C583" s="732"/>
      <c r="D583" s="733"/>
      <c r="E583" s="377" t="s">
        <v>1153</v>
      </c>
    </row>
    <row r="584" spans="1:5" ht="38.25" customHeight="1" x14ac:dyDescent="0.25">
      <c r="A584" s="373"/>
      <c r="B584" s="731" t="s">
        <v>1149</v>
      </c>
      <c r="C584" s="732"/>
      <c r="D584" s="733"/>
      <c r="E584" s="377" t="s">
        <v>1154</v>
      </c>
    </row>
    <row r="585" spans="1:5" ht="22.5" customHeight="1" x14ac:dyDescent="0.25">
      <c r="A585" s="348"/>
      <c r="B585" s="734" t="s">
        <v>470</v>
      </c>
      <c r="C585" s="735"/>
      <c r="D585" s="736"/>
      <c r="E585" s="349" t="s">
        <v>1155</v>
      </c>
    </row>
    <row r="586" spans="1:5" ht="30.75" customHeight="1" x14ac:dyDescent="0.25">
      <c r="A586" s="350"/>
      <c r="B586" s="737" t="s">
        <v>471</v>
      </c>
      <c r="C586" s="738"/>
      <c r="D586" s="739"/>
      <c r="E586" s="351">
        <v>16081024.970000001</v>
      </c>
    </row>
  </sheetData>
  <mergeCells count="52">
    <mergeCell ref="A560:A578"/>
    <mergeCell ref="A579:A581"/>
    <mergeCell ref="A553:A559"/>
    <mergeCell ref="A537:A551"/>
    <mergeCell ref="A522:A536"/>
    <mergeCell ref="A501:A521"/>
    <mergeCell ref="A479:A499"/>
    <mergeCell ref="A461:A478"/>
    <mergeCell ref="A446:A460"/>
    <mergeCell ref="A438:A444"/>
    <mergeCell ref="A419:A437"/>
    <mergeCell ref="A401:A418"/>
    <mergeCell ref="A382:A400"/>
    <mergeCell ref="A364:A381"/>
    <mergeCell ref="A345:A363"/>
    <mergeCell ref="A327:A344"/>
    <mergeCell ref="A309:A326"/>
    <mergeCell ref="A290:A308"/>
    <mergeCell ref="A272:A289"/>
    <mergeCell ref="A257:A271"/>
    <mergeCell ref="A127:A145"/>
    <mergeCell ref="A109:A126"/>
    <mergeCell ref="A90:A108"/>
    <mergeCell ref="A242:A256"/>
    <mergeCell ref="A227:A241"/>
    <mergeCell ref="A203:A216"/>
    <mergeCell ref="A217:A225"/>
    <mergeCell ref="A184:A202"/>
    <mergeCell ref="B583:D583"/>
    <mergeCell ref="B584:D584"/>
    <mergeCell ref="B585:D585"/>
    <mergeCell ref="B586:D586"/>
    <mergeCell ref="A19:E19"/>
    <mergeCell ref="A226:E226"/>
    <mergeCell ref="A445:E445"/>
    <mergeCell ref="A500:E500"/>
    <mergeCell ref="A552:E552"/>
    <mergeCell ref="A72:A89"/>
    <mergeCell ref="A53:A71"/>
    <mergeCell ref="A34:A52"/>
    <mergeCell ref="A20:A33"/>
    <mergeCell ref="B582:D582"/>
    <mergeCell ref="A165:A183"/>
    <mergeCell ref="A146:A164"/>
    <mergeCell ref="A2:B2"/>
    <mergeCell ref="C3:E3"/>
    <mergeCell ref="A5:D5"/>
    <mergeCell ref="B13:E13"/>
    <mergeCell ref="A8:D8"/>
    <mergeCell ref="B11:E11"/>
    <mergeCell ref="A4:E4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Протокол</vt:lpstr>
      <vt:lpstr>Пояснительная записка</vt:lpstr>
      <vt:lpstr>НМЦ</vt:lpstr>
      <vt:lpstr>ВОР</vt:lpstr>
      <vt:lpstr>Смета контракта</vt:lpstr>
      <vt:lpstr>График</vt:lpstr>
      <vt:lpstr>НМЦК</vt:lpstr>
      <vt:lpstr>СР-1</vt:lpstr>
      <vt:lpstr>РД</vt:lpstr>
      <vt:lpstr>Экспертиза</vt:lpstr>
      <vt:lpstr>Сводная ПИР</vt:lpstr>
      <vt:lpstr>ПД</vt:lpstr>
      <vt:lpstr>Экология</vt:lpstr>
      <vt:lpstr>Гидромет</vt:lpstr>
      <vt:lpstr>Геодезия</vt:lpstr>
      <vt:lpstr>ГРО</vt:lpstr>
      <vt:lpstr>ориентировочно КВЛ</vt:lpstr>
      <vt:lpstr>График!Область_печати</vt:lpstr>
      <vt:lpstr>'Смета контракта'!Область_печати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2023-05-22T15:44:54Z</dcterms:modified>
</cp:coreProperties>
</file>