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Департамент торгов\ПРОЦЕДУРЫ\2-1 КОНКУРС в электронной форме\ОКЭФ-07 СМР Эльбрус EL3+EL6 (44-ФЗ)\"/>
    </mc:Choice>
  </mc:AlternateContent>
  <bookViews>
    <workbookView xWindow="-120" yWindow="-120" windowWidth="20580" windowHeight="7455" tabRatio="898" activeTab="2"/>
  </bookViews>
  <sheets>
    <sheet name="ГПР" sheetId="23" r:id="rId1"/>
    <sheet name="ПЗ" sheetId="14" r:id="rId2"/>
    <sheet name="НМЦ" sheetId="13" r:id="rId3"/>
    <sheet name="Протокол НМЦК" sheetId="12" r:id="rId4"/>
    <sheet name="Проект сметы контракта" sheetId="22" r:id="rId5"/>
    <sheet name="ВОР" sheetId="19" r:id="rId6"/>
    <sheet name="Дефляторы" sheetId="16" r:id="rId7"/>
    <sheet name="Расчет стоимости шеф-монтажа" sheetId="21" state="hidden" r:id="rId8"/>
    <sheet name="НМЦК (с разбивкой по объектам)" sheetId="6" r:id="rId9"/>
    <sheet name="Затраты подрядчика" sheetId="4" r:id="rId10"/>
    <sheet name="ССР EL6" sheetId="3" r:id="rId11"/>
    <sheet name="Земляные работы" sheetId="7" state="hidden" r:id="rId12"/>
    <sheet name="НМЦК (структура по ССР)" sheetId="17" state="hidden" r:id="rId13"/>
    <sheet name="ВОР(черновик)" sheetId="11" state="hidden" r:id="rId14"/>
    <sheet name="НМЦК (черновик)" sheetId="9" state="hidden" r:id="rId15"/>
  </sheets>
  <externalReferences>
    <externalReference r:id="rId16"/>
    <externalReference r:id="rId17"/>
  </externalReferences>
  <definedNames>
    <definedName name="_xlnm._FilterDatabase" localSheetId="13" hidden="1">'ВОР(черновик)'!#REF!</definedName>
    <definedName name="_xlnm._FilterDatabase" localSheetId="8" hidden="1">'НМЦК (с разбивкой по объектам)'!$B$1:$B$839</definedName>
    <definedName name="_xlnm._FilterDatabase" localSheetId="12" hidden="1">'НМЦК (структура по ССР)'!#REF!</definedName>
    <definedName name="_xlnm._FilterDatabase" localSheetId="14" hidden="1">'НМЦК (черновик)'!$A$1:$A$780</definedName>
    <definedName name="_xlnm.Print_Titles" localSheetId="9">'Затраты подрядчика'!$26:$26</definedName>
    <definedName name="_xlnm.Print_Titles" localSheetId="10">'ССР EL6'!$26:$26</definedName>
    <definedName name="_xlnm.Print_Area" localSheetId="5">ВОР!$A$1:$E$827</definedName>
    <definedName name="_xlnm.Print_Area" localSheetId="13">'ВОР(черновик)'!$A$1:$K$777</definedName>
    <definedName name="_xlnm.Print_Area" localSheetId="0">ГПР!$A$1:$U$24</definedName>
    <definedName name="_xlnm.Print_Area" localSheetId="9">'Затраты подрядчика'!$A$1:$S$166</definedName>
    <definedName name="_xlnm.Print_Area" localSheetId="2">НМЦ!$A$1:$N$21</definedName>
    <definedName name="_xlnm.Print_Area" localSheetId="8">'НМЦК (с разбивкой по объектам)'!$A$1:$K$842</definedName>
    <definedName name="_xlnm.Print_Area" localSheetId="12">'НМЦК (структура по ССР)'!$A$1:$K$777</definedName>
    <definedName name="_xlnm.Print_Area" localSheetId="14">'НМЦК (черновик)'!$A$1:$L$783</definedName>
    <definedName name="_xlnm.Print_Area" localSheetId="1">ПЗ!$A$1:$C$33</definedName>
    <definedName name="_xlnm.Print_Area" localSheetId="4">'Проект сметы контракта'!$A$1:$G$825</definedName>
    <definedName name="_xlnm.Print_Area" localSheetId="7">'Расчет стоимости шеф-монтажа'!$A$1:$J$12</definedName>
  </definedNames>
  <calcPr calcId="162913" refMode="R1C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9" i="4" l="1"/>
  <c r="F314" i="6" l="1"/>
  <c r="N83" i="4"/>
  <c r="D6" i="21"/>
  <c r="D30" i="16" l="1"/>
  <c r="D29" i="16"/>
  <c r="D22" i="16"/>
  <c r="D21" i="16"/>
  <c r="D16" i="16"/>
  <c r="D15" i="16"/>
  <c r="D14" i="16"/>
  <c r="D18" i="16" s="1"/>
  <c r="D8" i="16"/>
  <c r="D7" i="16"/>
  <c r="D28" i="16"/>
  <c r="E28" i="16"/>
  <c r="E26" i="16"/>
  <c r="D26" i="16"/>
  <c r="E20" i="16"/>
  <c r="D20" i="16"/>
  <c r="E5" i="16"/>
  <c r="D5" i="16"/>
  <c r="E22" i="23"/>
  <c r="E21" i="23"/>
  <c r="E19" i="23"/>
  <c r="E18" i="23"/>
  <c r="E16" i="23"/>
  <c r="E15" i="23"/>
  <c r="E13" i="23"/>
  <c r="E12" i="23"/>
  <c r="E10" i="23"/>
  <c r="E9" i="23"/>
  <c r="E7" i="23"/>
  <c r="D24" i="16" l="1"/>
  <c r="D31" i="16"/>
  <c r="D33" i="16" s="1"/>
  <c r="D32" i="16"/>
  <c r="D27" i="16"/>
  <c r="D23" i="16"/>
  <c r="D25" i="16" s="1"/>
  <c r="D17" i="16"/>
  <c r="D19" i="16" s="1"/>
  <c r="G18" i="22"/>
  <c r="G19" i="22"/>
  <c r="G20" i="22"/>
  <c r="G37" i="22"/>
  <c r="G41" i="22"/>
  <c r="G45" i="22"/>
  <c r="G53" i="22"/>
  <c r="G74" i="22"/>
  <c r="G109" i="22"/>
  <c r="G124" i="22"/>
  <c r="G132" i="22"/>
  <c r="G133" i="22"/>
  <c r="G149" i="22"/>
  <c r="G165" i="22"/>
  <c r="G209" i="22"/>
  <c r="G217" i="22"/>
  <c r="G224" i="22"/>
  <c r="G225" i="22"/>
  <c r="G234" i="22"/>
  <c r="G258" i="22"/>
  <c r="G259" i="22"/>
  <c r="G264" i="22"/>
  <c r="G273" i="22"/>
  <c r="G281" i="22"/>
  <c r="G282" i="22"/>
  <c r="G290" i="22"/>
  <c r="G302" i="22"/>
  <c r="G303" i="22"/>
  <c r="G310" i="22"/>
  <c r="G318" i="22"/>
  <c r="G319" i="22"/>
  <c r="G335" i="22"/>
  <c r="G343" i="22"/>
  <c r="G375" i="22"/>
  <c r="G400" i="22"/>
  <c r="G410" i="22"/>
  <c r="G423" i="22"/>
  <c r="G426" i="22"/>
  <c r="G445" i="22"/>
  <c r="G446" i="22"/>
  <c r="G457" i="22"/>
  <c r="G461" i="22"/>
  <c r="G469" i="22"/>
  <c r="G483" i="22"/>
  <c r="G484" i="22"/>
  <c r="G492" i="22"/>
  <c r="G495" i="22"/>
  <c r="G504" i="22"/>
  <c r="G516" i="22"/>
  <c r="G537" i="22"/>
  <c r="G554" i="22"/>
  <c r="G568" i="22"/>
  <c r="G579" i="22"/>
  <c r="G583" i="22"/>
  <c r="G585" i="22"/>
  <c r="G601" i="22"/>
  <c r="G602" i="22"/>
  <c r="G617" i="22"/>
  <c r="G625" i="22"/>
  <c r="G628" i="22"/>
  <c r="G640" i="22"/>
  <c r="G705" i="22"/>
  <c r="G706" i="22"/>
  <c r="G710" i="22"/>
  <c r="G717" i="22"/>
  <c r="G718" i="22"/>
  <c r="G722" i="22"/>
  <c r="G726" i="22"/>
  <c r="G734" i="22"/>
  <c r="G739" i="22"/>
  <c r="G742" i="22"/>
  <c r="G743" i="22"/>
  <c r="G755" i="22"/>
  <c r="G762" i="22"/>
  <c r="G776" i="22"/>
  <c r="G785" i="22"/>
  <c r="G793" i="22"/>
  <c r="G831" i="6"/>
  <c r="F18" i="22" l="1"/>
  <c r="F19" i="22"/>
  <c r="F20" i="22"/>
  <c r="F37" i="22"/>
  <c r="F41" i="22"/>
  <c r="F45" i="22"/>
  <c r="F53" i="22"/>
  <c r="F74" i="22"/>
  <c r="F109" i="22"/>
  <c r="F124" i="22"/>
  <c r="F132" i="22"/>
  <c r="F133" i="22"/>
  <c r="F149" i="22"/>
  <c r="F165" i="22"/>
  <c r="F209" i="22"/>
  <c r="F217" i="22"/>
  <c r="F224" i="22"/>
  <c r="F225" i="22"/>
  <c r="F234" i="22"/>
  <c r="F258" i="22"/>
  <c r="F259" i="22"/>
  <c r="F264" i="22"/>
  <c r="F273" i="22"/>
  <c r="F281" i="22"/>
  <c r="F282" i="22"/>
  <c r="F290" i="22"/>
  <c r="F302" i="22"/>
  <c r="F303" i="22"/>
  <c r="F310" i="22"/>
  <c r="F318" i="22"/>
  <c r="F319" i="22"/>
  <c r="F335" i="22"/>
  <c r="F343" i="22"/>
  <c r="F375" i="22"/>
  <c r="F400" i="22"/>
  <c r="F410" i="22"/>
  <c r="F423" i="22"/>
  <c r="F426" i="22"/>
  <c r="F445" i="22"/>
  <c r="F446" i="22"/>
  <c r="F457" i="22"/>
  <c r="F461" i="22"/>
  <c r="F469" i="22"/>
  <c r="F483" i="22"/>
  <c r="F484" i="22"/>
  <c r="F492" i="22"/>
  <c r="F495" i="22"/>
  <c r="F504" i="22"/>
  <c r="F516" i="22"/>
  <c r="F537" i="22"/>
  <c r="F554" i="22"/>
  <c r="F568" i="22"/>
  <c r="F579" i="22"/>
  <c r="F583" i="22"/>
  <c r="F585" i="22"/>
  <c r="F601" i="22"/>
  <c r="F602" i="22"/>
  <c r="F617" i="22"/>
  <c r="F625" i="22"/>
  <c r="F628" i="22"/>
  <c r="F640" i="22"/>
  <c r="F705" i="22"/>
  <c r="F706" i="22"/>
  <c r="F710" i="22"/>
  <c r="F717" i="22"/>
  <c r="F718" i="22"/>
  <c r="F722" i="22"/>
  <c r="F726" i="22"/>
  <c r="F734" i="22"/>
  <c r="F739" i="22"/>
  <c r="F742" i="22"/>
  <c r="F743" i="22"/>
  <c r="F755" i="22"/>
  <c r="F762" i="22"/>
  <c r="F776" i="22"/>
  <c r="F785" i="22"/>
  <c r="F793" i="22"/>
  <c r="E788" i="22"/>
  <c r="E787" i="22"/>
  <c r="E786" i="22"/>
  <c r="E783" i="22"/>
  <c r="E782" i="22"/>
  <c r="E781" i="22"/>
  <c r="E780" i="22"/>
  <c r="E779" i="22"/>
  <c r="E778" i="22"/>
  <c r="E777" i="22"/>
  <c r="E775" i="22"/>
  <c r="E774" i="22"/>
  <c r="E773" i="22"/>
  <c r="E772" i="22"/>
  <c r="E771" i="22"/>
  <c r="E770" i="22"/>
  <c r="E769" i="22"/>
  <c r="E768" i="22"/>
  <c r="E767" i="22"/>
  <c r="E766" i="22"/>
  <c r="E765" i="22"/>
  <c r="E764" i="22"/>
  <c r="E763" i="22"/>
  <c r="E761" i="22"/>
  <c r="E760" i="22"/>
  <c r="E759" i="22"/>
  <c r="E758" i="22"/>
  <c r="E757" i="22"/>
  <c r="E756" i="22"/>
  <c r="E754" i="22"/>
  <c r="E753" i="22"/>
  <c r="E752" i="22"/>
  <c r="E751" i="22"/>
  <c r="E750" i="22"/>
  <c r="E749" i="22"/>
  <c r="E748" i="22"/>
  <c r="E747" i="22"/>
  <c r="E746" i="22"/>
  <c r="E745" i="22"/>
  <c r="E744" i="22"/>
  <c r="E741" i="22"/>
  <c r="E740" i="22"/>
  <c r="E737" i="22"/>
  <c r="E736" i="22"/>
  <c r="E735" i="22"/>
  <c r="E730" i="22"/>
  <c r="E729" i="22"/>
  <c r="E728" i="22"/>
  <c r="E725" i="22"/>
  <c r="E724" i="22"/>
  <c r="E723" i="22"/>
  <c r="E721" i="22"/>
  <c r="E720" i="22"/>
  <c r="E719" i="22"/>
  <c r="E716" i="22"/>
  <c r="E715" i="22"/>
  <c r="E714" i="22"/>
  <c r="E707" i="22"/>
  <c r="E649" i="22"/>
  <c r="E648" i="22"/>
  <c r="E646" i="22"/>
  <c r="E645" i="22"/>
  <c r="E644" i="22"/>
  <c r="E643" i="22"/>
  <c r="E642" i="22"/>
  <c r="E591" i="22"/>
  <c r="E590" i="22"/>
  <c r="E589" i="22"/>
  <c r="E588" i="22"/>
  <c r="E586" i="22"/>
  <c r="E581" i="22"/>
  <c r="E578" i="22"/>
  <c r="E577" i="22"/>
  <c r="E573" i="22"/>
  <c r="E572" i="22"/>
  <c r="E571" i="22"/>
  <c r="E570" i="22"/>
  <c r="E569" i="22"/>
  <c r="E563" i="22"/>
  <c r="E561" i="22"/>
  <c r="E558" i="22"/>
  <c r="E557" i="22"/>
  <c r="E556" i="22"/>
  <c r="E555" i="22"/>
  <c r="E534" i="22"/>
  <c r="E524" i="22"/>
  <c r="E523" i="22"/>
  <c r="J514" i="22"/>
  <c r="J513" i="22"/>
  <c r="J512" i="22"/>
  <c r="I511" i="22"/>
  <c r="K510" i="22"/>
  <c r="J510" i="22"/>
  <c r="K509" i="22"/>
  <c r="J509" i="22"/>
  <c r="J508" i="22"/>
  <c r="K507" i="22"/>
  <c r="J507" i="22"/>
  <c r="I506" i="22"/>
  <c r="K505" i="22"/>
  <c r="J505" i="22"/>
  <c r="E501" i="22"/>
  <c r="E500" i="22"/>
  <c r="E499" i="22"/>
  <c r="E498" i="22"/>
  <c r="E497" i="22"/>
  <c r="E496" i="22"/>
  <c r="E486" i="22"/>
  <c r="E485" i="22"/>
  <c r="E479" i="22"/>
  <c r="E474" i="22"/>
  <c r="E470" i="22"/>
  <c r="E467" i="22"/>
  <c r="E466" i="22"/>
  <c r="E465" i="22"/>
  <c r="E464" i="22"/>
  <c r="E463" i="22"/>
  <c r="E462" i="22"/>
  <c r="E437" i="22"/>
  <c r="E432" i="22"/>
  <c r="E431" i="22"/>
  <c r="E430" i="22"/>
  <c r="E429" i="22"/>
  <c r="E428" i="22"/>
  <c r="E427" i="22"/>
  <c r="E395" i="22"/>
  <c r="E394" i="22"/>
  <c r="E391" i="22"/>
  <c r="E387" i="22"/>
  <c r="E386" i="22"/>
  <c r="E385" i="22"/>
  <c r="E384" i="22"/>
  <c r="E382" i="22"/>
  <c r="E381" i="22"/>
  <c r="E380" i="22"/>
  <c r="E379" i="22"/>
  <c r="E378" i="22"/>
  <c r="E377" i="22"/>
  <c r="E376" i="22"/>
  <c r="E373" i="22"/>
  <c r="E350" i="22"/>
  <c r="E341" i="22"/>
  <c r="E340" i="22"/>
  <c r="E339" i="22"/>
  <c r="E338" i="22"/>
  <c r="E337" i="22"/>
  <c r="E336" i="22"/>
  <c r="E324" i="22"/>
  <c r="E323" i="22"/>
  <c r="E322" i="22"/>
  <c r="E321" i="22"/>
  <c r="E320" i="22"/>
  <c r="E309" i="22"/>
  <c r="E308" i="22"/>
  <c r="E307" i="22"/>
  <c r="E306" i="22"/>
  <c r="E305" i="22"/>
  <c r="E304" i="22"/>
  <c r="E287" i="22"/>
  <c r="E286" i="22"/>
  <c r="E285" i="22"/>
  <c r="E284" i="22"/>
  <c r="E283" i="22"/>
  <c r="E270" i="22"/>
  <c r="E269" i="22"/>
  <c r="E265" i="22"/>
  <c r="E261" i="22"/>
  <c r="E260" i="22"/>
  <c r="K232" i="22"/>
  <c r="J232" i="22"/>
  <c r="K231" i="22"/>
  <c r="J231" i="22"/>
  <c r="E218" i="22"/>
  <c r="J203" i="22"/>
  <c r="J197" i="22"/>
  <c r="J191" i="22"/>
  <c r="J185" i="22"/>
  <c r="J179" i="22"/>
  <c r="J173" i="22"/>
  <c r="E167" i="22"/>
  <c r="E166" i="22"/>
  <c r="E159" i="22"/>
  <c r="E158" i="22"/>
  <c r="E151" i="22"/>
  <c r="E150" i="22"/>
  <c r="E143" i="22"/>
  <c r="E142" i="22"/>
  <c r="E135" i="22"/>
  <c r="E134" i="22"/>
  <c r="E126" i="22"/>
  <c r="E125" i="22"/>
  <c r="E119" i="22"/>
  <c r="E117" i="22"/>
  <c r="E114" i="22"/>
  <c r="E113" i="22"/>
  <c r="E112" i="22"/>
  <c r="E111" i="22"/>
  <c r="E110" i="22"/>
  <c r="E87" i="22"/>
  <c r="E86" i="22"/>
  <c r="E84" i="22"/>
  <c r="E82" i="22"/>
  <c r="E80" i="22"/>
  <c r="E79" i="22"/>
  <c r="E78" i="22"/>
  <c r="E77" i="22"/>
  <c r="E76" i="22"/>
  <c r="E75" i="22"/>
  <c r="E47" i="22"/>
  <c r="E46" i="22"/>
  <c r="K39" i="22"/>
  <c r="J39" i="22"/>
  <c r="K38" i="22"/>
  <c r="J38" i="22"/>
  <c r="E33" i="22"/>
  <c r="E32" i="22"/>
  <c r="E31" i="22"/>
  <c r="E30" i="22"/>
  <c r="E29" i="22"/>
  <c r="E22" i="22"/>
  <c r="E21" i="22"/>
  <c r="C14" i="22"/>
  <c r="M13" i="22"/>
  <c r="M9" i="22"/>
  <c r="F350" i="6"/>
  <c r="L69" i="4"/>
  <c r="M69" i="4"/>
  <c r="M114" i="3"/>
  <c r="G121" i="4" s="1"/>
  <c r="F803" i="6"/>
  <c r="F35" i="4" l="1"/>
  <c r="N35" i="4" s="1"/>
  <c r="H121" i="4"/>
  <c r="E27" i="21" l="1"/>
  <c r="E26" i="21"/>
  <c r="E24" i="21"/>
  <c r="O22" i="21"/>
  <c r="N22" i="21"/>
  <c r="M22" i="21"/>
  <c r="L22" i="21"/>
  <c r="K22" i="21"/>
  <c r="P19" i="21"/>
  <c r="O19" i="21"/>
  <c r="N19" i="21"/>
  <c r="M19" i="21"/>
  <c r="L19" i="21"/>
  <c r="K19" i="21"/>
  <c r="O14" i="21"/>
  <c r="N14" i="21"/>
  <c r="M14" i="21"/>
  <c r="L14" i="21"/>
  <c r="K14" i="21"/>
  <c r="F6" i="21"/>
  <c r="D14" i="21" l="1"/>
  <c r="H6" i="21"/>
  <c r="I6" i="21" s="1"/>
  <c r="F7" i="21"/>
  <c r="F8" i="21" s="1"/>
  <c r="D7" i="21"/>
  <c r="D8" i="21" s="1"/>
  <c r="I823" i="6"/>
  <c r="I825" i="6"/>
  <c r="I824" i="6"/>
  <c r="G823" i="6"/>
  <c r="G825" i="6"/>
  <c r="G824" i="6"/>
  <c r="M136" i="3"/>
  <c r="F28" i="16"/>
  <c r="O121" i="4" l="1"/>
  <c r="F824" i="6" s="1"/>
  <c r="G142" i="4"/>
  <c r="H142" i="4" s="1"/>
  <c r="H824" i="6"/>
  <c r="J824" i="6" s="1"/>
  <c r="F825" i="6"/>
  <c r="H825" i="6" s="1"/>
  <c r="P121" i="4"/>
  <c r="D9" i="21"/>
  <c r="D10" i="21" s="1"/>
  <c r="F9" i="21"/>
  <c r="F10" i="21" s="1"/>
  <c r="H7" i="21"/>
  <c r="H8" i="21" s="1"/>
  <c r="I7" i="21"/>
  <c r="I8" i="21" s="1"/>
  <c r="H823" i="6" l="1"/>
  <c r="J825" i="6"/>
  <c r="K825" i="6" s="1"/>
  <c r="G822" i="22" s="1"/>
  <c r="F822" i="22" s="1"/>
  <c r="F823" i="6"/>
  <c r="I9" i="21"/>
  <c r="I10" i="21" s="1"/>
  <c r="H9" i="21"/>
  <c r="H10" i="21" s="1"/>
  <c r="K824" i="6"/>
  <c r="G821" i="22" s="1"/>
  <c r="F821" i="22" s="1"/>
  <c r="J823" i="6" l="1"/>
  <c r="K823" i="6"/>
  <c r="G820" i="22" s="1"/>
  <c r="F820" i="22" s="1"/>
  <c r="E790" i="19"/>
  <c r="E789" i="19"/>
  <c r="E788" i="19"/>
  <c r="E785" i="19"/>
  <c r="E784" i="19"/>
  <c r="E783" i="19"/>
  <c r="E782" i="19"/>
  <c r="E781" i="19"/>
  <c r="E780" i="19"/>
  <c r="E779" i="19"/>
  <c r="E777" i="19"/>
  <c r="E776" i="19"/>
  <c r="E775" i="19"/>
  <c r="E774" i="19"/>
  <c r="E773" i="19"/>
  <c r="E772" i="19"/>
  <c r="E771" i="19"/>
  <c r="E770" i="19"/>
  <c r="E769" i="19"/>
  <c r="E768" i="19"/>
  <c r="E767" i="19"/>
  <c r="E766" i="19"/>
  <c r="E765" i="19"/>
  <c r="E763" i="19"/>
  <c r="E762" i="19"/>
  <c r="E761" i="19"/>
  <c r="E760" i="19"/>
  <c r="E759" i="19"/>
  <c r="E758" i="19"/>
  <c r="E756" i="19"/>
  <c r="E755" i="19"/>
  <c r="E754" i="19"/>
  <c r="E753" i="19"/>
  <c r="E752" i="19"/>
  <c r="E751" i="19"/>
  <c r="E750" i="19"/>
  <c r="E749" i="19"/>
  <c r="E748" i="19"/>
  <c r="E747" i="19"/>
  <c r="E746" i="19"/>
  <c r="E743" i="19"/>
  <c r="E742" i="19"/>
  <c r="E739" i="19"/>
  <c r="E738" i="19"/>
  <c r="E737" i="19"/>
  <c r="E732" i="19"/>
  <c r="E731" i="19"/>
  <c r="E730" i="19"/>
  <c r="E727" i="19"/>
  <c r="E726" i="19"/>
  <c r="E725" i="19"/>
  <c r="E723" i="19"/>
  <c r="E722" i="19"/>
  <c r="E721" i="19"/>
  <c r="E718" i="19"/>
  <c r="E717" i="19"/>
  <c r="E716" i="19"/>
  <c r="E709" i="19"/>
  <c r="E651" i="19"/>
  <c r="E650" i="19"/>
  <c r="E648" i="19"/>
  <c r="E647" i="19"/>
  <c r="E646" i="19"/>
  <c r="E645" i="19"/>
  <c r="E644" i="19"/>
  <c r="E593" i="19"/>
  <c r="E592" i="19"/>
  <c r="E591" i="19"/>
  <c r="E590" i="19"/>
  <c r="E588" i="19"/>
  <c r="E583" i="19"/>
  <c r="E580" i="19"/>
  <c r="E579" i="19"/>
  <c r="E575" i="19"/>
  <c r="E574" i="19"/>
  <c r="E573" i="19"/>
  <c r="E572" i="19"/>
  <c r="E571" i="19"/>
  <c r="E565" i="19"/>
  <c r="E563" i="19"/>
  <c r="E560" i="19"/>
  <c r="E559" i="19"/>
  <c r="E558" i="19"/>
  <c r="E557" i="19"/>
  <c r="E536" i="19"/>
  <c r="E526" i="19"/>
  <c r="E525" i="19"/>
  <c r="E503" i="19"/>
  <c r="E502" i="19"/>
  <c r="E501" i="19"/>
  <c r="E500" i="19"/>
  <c r="E499" i="19"/>
  <c r="E498" i="19"/>
  <c r="E488" i="19"/>
  <c r="E487" i="19"/>
  <c r="E481" i="19"/>
  <c r="E476" i="19"/>
  <c r="E472" i="19"/>
  <c r="E469" i="19"/>
  <c r="E468" i="19"/>
  <c r="E467" i="19"/>
  <c r="E466" i="19"/>
  <c r="E465" i="19"/>
  <c r="E464" i="19"/>
  <c r="E439" i="19"/>
  <c r="E434" i="19"/>
  <c r="E433" i="19"/>
  <c r="E432" i="19"/>
  <c r="E431" i="19"/>
  <c r="E430" i="19"/>
  <c r="E429" i="19"/>
  <c r="E397" i="19"/>
  <c r="E396" i="19"/>
  <c r="E393" i="19"/>
  <c r="E389" i="19"/>
  <c r="E388" i="19"/>
  <c r="E387" i="19"/>
  <c r="E386" i="19"/>
  <c r="E384" i="19"/>
  <c r="E383" i="19"/>
  <c r="E382" i="19"/>
  <c r="E381" i="19"/>
  <c r="E380" i="19"/>
  <c r="E379" i="19"/>
  <c r="E378" i="19"/>
  <c r="E375" i="19"/>
  <c r="E352" i="19"/>
  <c r="E343" i="19"/>
  <c r="E342" i="19"/>
  <c r="E341" i="19"/>
  <c r="E340" i="19"/>
  <c r="E339" i="19"/>
  <c r="E338" i="19"/>
  <c r="E326" i="19"/>
  <c r="E325" i="19"/>
  <c r="E324" i="19"/>
  <c r="E323" i="19"/>
  <c r="E322" i="19"/>
  <c r="E311" i="19"/>
  <c r="E310" i="19"/>
  <c r="E309" i="19"/>
  <c r="E308" i="19"/>
  <c r="E307" i="19"/>
  <c r="E306" i="19"/>
  <c r="E289" i="19"/>
  <c r="E288" i="19"/>
  <c r="E287" i="19"/>
  <c r="E286" i="19"/>
  <c r="E285" i="19"/>
  <c r="E272" i="19"/>
  <c r="E271" i="19"/>
  <c r="E267" i="19"/>
  <c r="E263" i="19"/>
  <c r="E262" i="19"/>
  <c r="E220" i="19"/>
  <c r="E169" i="19"/>
  <c r="E168" i="19"/>
  <c r="E161" i="19"/>
  <c r="E160" i="19"/>
  <c r="E153" i="19"/>
  <c r="E152" i="19"/>
  <c r="E145" i="19"/>
  <c r="E144" i="19"/>
  <c r="E137" i="19"/>
  <c r="E136" i="19"/>
  <c r="E128" i="19"/>
  <c r="E127" i="19"/>
  <c r="E121" i="19"/>
  <c r="E119" i="19"/>
  <c r="E116" i="19"/>
  <c r="E115" i="19"/>
  <c r="E114" i="19"/>
  <c r="E113" i="19"/>
  <c r="E112" i="19"/>
  <c r="E89" i="19"/>
  <c r="E88" i="19"/>
  <c r="E86" i="19"/>
  <c r="E84" i="19"/>
  <c r="E82" i="19"/>
  <c r="E81" i="19"/>
  <c r="E80" i="19"/>
  <c r="E79" i="19"/>
  <c r="E78" i="19"/>
  <c r="E77" i="19"/>
  <c r="E49" i="19"/>
  <c r="E48" i="19"/>
  <c r="E35" i="19"/>
  <c r="E34" i="19"/>
  <c r="E33" i="19"/>
  <c r="E32" i="19"/>
  <c r="E31" i="19"/>
  <c r="E24" i="19"/>
  <c r="E23" i="19"/>
  <c r="C16" i="19"/>
  <c r="F70" i="6"/>
  <c r="F508" i="6"/>
  <c r="L20" i="13" l="1"/>
  <c r="M20" i="13" l="1"/>
  <c r="N20" i="13" s="1"/>
  <c r="F302" i="6"/>
  <c r="F318" i="6"/>
  <c r="F319" i="6"/>
  <c r="F303" i="6"/>
  <c r="F282" i="6"/>
  <c r="F281" i="6" l="1"/>
  <c r="F301" i="6" l="1"/>
  <c r="E170" i="6" l="1"/>
  <c r="E169" i="6"/>
  <c r="E489" i="6"/>
  <c r="E488" i="6"/>
  <c r="E25" i="6"/>
  <c r="E24" i="6"/>
  <c r="E128" i="6"/>
  <c r="E129" i="6"/>
  <c r="F210" i="6"/>
  <c r="F209" i="6"/>
  <c r="F208" i="6"/>
  <c r="F207" i="6"/>
  <c r="F204" i="6"/>
  <c r="F203" i="6"/>
  <c r="F202" i="6"/>
  <c r="F201" i="6"/>
  <c r="F198" i="6"/>
  <c r="F197" i="6"/>
  <c r="F196" i="6"/>
  <c r="F195" i="6"/>
  <c r="F192" i="6"/>
  <c r="F191" i="6"/>
  <c r="F190" i="6"/>
  <c r="F189" i="6"/>
  <c r="F186" i="6"/>
  <c r="F185" i="6"/>
  <c r="F184" i="6"/>
  <c r="F183" i="6"/>
  <c r="F180" i="6"/>
  <c r="F179" i="6"/>
  <c r="F178" i="6"/>
  <c r="F177" i="6"/>
  <c r="F316" i="6"/>
  <c r="F300" i="6"/>
  <c r="F280" i="6"/>
  <c r="G766" i="17" l="1"/>
  <c r="G759" i="17" s="1"/>
  <c r="I759" i="17"/>
  <c r="I757" i="17"/>
  <c r="G757" i="17"/>
  <c r="I756" i="17"/>
  <c r="G756" i="17"/>
  <c r="I754" i="17"/>
  <c r="G754" i="17"/>
  <c r="I753" i="17"/>
  <c r="G753" i="17"/>
  <c r="I752" i="17"/>
  <c r="G752" i="17"/>
  <c r="I751" i="17"/>
  <c r="G751" i="17"/>
  <c r="F751" i="17"/>
  <c r="I750" i="17"/>
  <c r="G750" i="17"/>
  <c r="F750" i="17"/>
  <c r="H750" i="17" s="1"/>
  <c r="I749" i="17"/>
  <c r="G749" i="17"/>
  <c r="F749" i="17"/>
  <c r="I748" i="17"/>
  <c r="G748" i="17"/>
  <c r="I747" i="17"/>
  <c r="G747" i="17"/>
  <c r="I746" i="17"/>
  <c r="G746" i="17"/>
  <c r="I745" i="17"/>
  <c r="G745" i="17"/>
  <c r="I744" i="17"/>
  <c r="G744" i="17"/>
  <c r="I743" i="17"/>
  <c r="G743" i="17"/>
  <c r="G741" i="17"/>
  <c r="G740" i="17"/>
  <c r="F740" i="17"/>
  <c r="G739" i="17"/>
  <c r="F739" i="17"/>
  <c r="G737" i="17"/>
  <c r="G736" i="17"/>
  <c r="G734" i="17"/>
  <c r="G733" i="17"/>
  <c r="G732" i="17"/>
  <c r="F732" i="17"/>
  <c r="G731" i="17"/>
  <c r="F731" i="17"/>
  <c r="G730" i="17"/>
  <c r="F730" i="17"/>
  <c r="G729" i="17"/>
  <c r="F729" i="17"/>
  <c r="G728" i="17"/>
  <c r="F728" i="17"/>
  <c r="H728" i="17" s="1"/>
  <c r="G727" i="17"/>
  <c r="F727" i="17"/>
  <c r="G725" i="17"/>
  <c r="F725" i="17"/>
  <c r="G724" i="17"/>
  <c r="F724" i="17"/>
  <c r="H724" i="17" s="1"/>
  <c r="G723" i="17"/>
  <c r="F723" i="17"/>
  <c r="H723" i="17" s="1"/>
  <c r="G721" i="17"/>
  <c r="F721" i="17"/>
  <c r="H721" i="17" s="1"/>
  <c r="G720" i="17"/>
  <c r="H720" i="17" s="1"/>
  <c r="F720" i="17"/>
  <c r="E720" i="17"/>
  <c r="G719" i="17"/>
  <c r="F719" i="17"/>
  <c r="G718" i="17"/>
  <c r="F718" i="17"/>
  <c r="H718" i="17" s="1"/>
  <c r="G717" i="17"/>
  <c r="F717" i="17"/>
  <c r="G715" i="17"/>
  <c r="F715" i="17"/>
  <c r="H715" i="17" s="1"/>
  <c r="G714" i="17"/>
  <c r="H714" i="17" s="1"/>
  <c r="F714" i="17"/>
  <c r="G713" i="17"/>
  <c r="G712" i="17"/>
  <c r="F712" i="17"/>
  <c r="G711" i="17"/>
  <c r="F711" i="17"/>
  <c r="H711" i="17" s="1"/>
  <c r="G710" i="17"/>
  <c r="H710" i="17" s="1"/>
  <c r="F710" i="17"/>
  <c r="G709" i="17"/>
  <c r="F709" i="17"/>
  <c r="G708" i="17"/>
  <c r="F708" i="17"/>
  <c r="G707" i="17"/>
  <c r="F707" i="17"/>
  <c r="G706" i="17"/>
  <c r="H706" i="17" s="1"/>
  <c r="F706" i="17"/>
  <c r="G705" i="17"/>
  <c r="F705" i="17"/>
  <c r="H705" i="17" s="1"/>
  <c r="G704" i="17"/>
  <c r="H704" i="17" s="1"/>
  <c r="F704" i="17"/>
  <c r="G703" i="17"/>
  <c r="F703" i="17"/>
  <c r="G701" i="17"/>
  <c r="F701" i="17"/>
  <c r="H701" i="17" s="1"/>
  <c r="G700" i="17"/>
  <c r="F700" i="17"/>
  <c r="H700" i="17" s="1"/>
  <c r="G699" i="17"/>
  <c r="F699" i="17"/>
  <c r="H699" i="17" s="1"/>
  <c r="G698" i="17"/>
  <c r="F698" i="17"/>
  <c r="H697" i="17"/>
  <c r="G697" i="17"/>
  <c r="F697" i="17"/>
  <c r="G696" i="17"/>
  <c r="F696" i="17"/>
  <c r="G695" i="17"/>
  <c r="H695" i="17" s="1"/>
  <c r="F695" i="17"/>
  <c r="G694" i="17"/>
  <c r="F694" i="17"/>
  <c r="H694" i="17" s="1"/>
  <c r="G693" i="17"/>
  <c r="F693" i="17"/>
  <c r="H693" i="17" s="1"/>
  <c r="G692" i="17"/>
  <c r="F692" i="17"/>
  <c r="H692" i="17" s="1"/>
  <c r="G689" i="17"/>
  <c r="F689" i="17"/>
  <c r="G688" i="17"/>
  <c r="H688" i="17" s="1"/>
  <c r="F688" i="17"/>
  <c r="G687" i="17"/>
  <c r="F687" i="17"/>
  <c r="H687" i="17" s="1"/>
  <c r="G686" i="17"/>
  <c r="F686" i="17"/>
  <c r="H686" i="17" s="1"/>
  <c r="G685" i="17"/>
  <c r="F685" i="17"/>
  <c r="H685" i="17" s="1"/>
  <c r="H684" i="17"/>
  <c r="G684" i="17"/>
  <c r="F684" i="17"/>
  <c r="G683" i="17"/>
  <c r="F683" i="17"/>
  <c r="G682" i="17"/>
  <c r="F682" i="17"/>
  <c r="H682" i="17" s="1"/>
  <c r="E682" i="17"/>
  <c r="G681" i="17"/>
  <c r="H681" i="17" s="1"/>
  <c r="F681" i="17"/>
  <c r="G680" i="17"/>
  <c r="F680" i="17"/>
  <c r="H680" i="17" s="1"/>
  <c r="G679" i="17"/>
  <c r="H679" i="17" s="1"/>
  <c r="F679" i="17"/>
  <c r="G678" i="17"/>
  <c r="F678" i="17"/>
  <c r="G677" i="17"/>
  <c r="F677" i="17"/>
  <c r="E677" i="17"/>
  <c r="G676" i="17"/>
  <c r="F676" i="17"/>
  <c r="H676" i="17" s="1"/>
  <c r="E676" i="17"/>
  <c r="G675" i="17"/>
  <c r="F675" i="17"/>
  <c r="H675" i="17" s="1"/>
  <c r="E675" i="17"/>
  <c r="G674" i="17"/>
  <c r="H674" i="17" s="1"/>
  <c r="F674" i="17"/>
  <c r="E674" i="17"/>
  <c r="G673" i="17"/>
  <c r="F673" i="17"/>
  <c r="E673" i="17"/>
  <c r="G672" i="17"/>
  <c r="F672" i="17"/>
  <c r="E672" i="17"/>
  <c r="G669" i="17"/>
  <c r="H669" i="17" s="1"/>
  <c r="F669" i="17"/>
  <c r="G668" i="17"/>
  <c r="F668" i="17"/>
  <c r="H668" i="17" s="1"/>
  <c r="E668" i="17"/>
  <c r="G667" i="17"/>
  <c r="F667" i="17"/>
  <c r="H667" i="17" s="1"/>
  <c r="E667" i="17"/>
  <c r="G666" i="17"/>
  <c r="F666" i="17"/>
  <c r="G665" i="17"/>
  <c r="F665" i="17"/>
  <c r="H665" i="17" s="1"/>
  <c r="G664" i="17"/>
  <c r="H664" i="17" s="1"/>
  <c r="F664" i="17"/>
  <c r="G663" i="17"/>
  <c r="F663" i="17"/>
  <c r="E663" i="17"/>
  <c r="G661" i="17"/>
  <c r="F661" i="17"/>
  <c r="H661" i="17" s="1"/>
  <c r="G660" i="17"/>
  <c r="F660" i="17"/>
  <c r="G659" i="17"/>
  <c r="F659" i="17"/>
  <c r="H659" i="17" s="1"/>
  <c r="E659" i="17"/>
  <c r="G658" i="17"/>
  <c r="F658" i="17"/>
  <c r="H658" i="17" s="1"/>
  <c r="E658" i="17"/>
  <c r="G655" i="17"/>
  <c r="F655" i="17"/>
  <c r="H655" i="17" s="1"/>
  <c r="E655" i="17"/>
  <c r="G654" i="17"/>
  <c r="F654" i="17"/>
  <c r="H654" i="17" s="1"/>
  <c r="E654" i="17"/>
  <c r="G653" i="17"/>
  <c r="H653" i="17" s="1"/>
  <c r="F653" i="17"/>
  <c r="E653" i="17"/>
  <c r="G652" i="17"/>
  <c r="F652" i="17"/>
  <c r="E652" i="17"/>
  <c r="G651" i="17"/>
  <c r="F651" i="17"/>
  <c r="H651" i="17" s="1"/>
  <c r="E651" i="17"/>
  <c r="H650" i="17"/>
  <c r="G650" i="17"/>
  <c r="F650" i="17"/>
  <c r="E650" i="17"/>
  <c r="G647" i="17"/>
  <c r="F647" i="17"/>
  <c r="G646" i="17"/>
  <c r="H646" i="17" s="1"/>
  <c r="F646" i="17"/>
  <c r="E646" i="17"/>
  <c r="G645" i="17"/>
  <c r="F645" i="17"/>
  <c r="H645" i="17" s="1"/>
  <c r="E645" i="17"/>
  <c r="G644" i="17"/>
  <c r="F644" i="17"/>
  <c r="E644" i="17"/>
  <c r="H643" i="17"/>
  <c r="G643" i="17"/>
  <c r="F643" i="17"/>
  <c r="E643" i="17"/>
  <c r="G642" i="17"/>
  <c r="F642" i="17"/>
  <c r="E642" i="17"/>
  <c r="H639" i="17"/>
  <c r="G639" i="17"/>
  <c r="F639" i="17"/>
  <c r="E639" i="17"/>
  <c r="G638" i="17"/>
  <c r="F638" i="17"/>
  <c r="E638" i="17"/>
  <c r="G637" i="17"/>
  <c r="F637" i="17"/>
  <c r="H637" i="17" s="1"/>
  <c r="E637" i="17"/>
  <c r="G636" i="17"/>
  <c r="F636" i="17"/>
  <c r="E636" i="17"/>
  <c r="G635" i="17"/>
  <c r="F635" i="17"/>
  <c r="H635" i="17" s="1"/>
  <c r="E635" i="17"/>
  <c r="G631" i="17"/>
  <c r="F631" i="17"/>
  <c r="G630" i="17"/>
  <c r="F630" i="17"/>
  <c r="H630" i="17" s="1"/>
  <c r="G629" i="17"/>
  <c r="F629" i="17"/>
  <c r="H629" i="17" s="1"/>
  <c r="H628" i="17"/>
  <c r="G628" i="17"/>
  <c r="F628" i="17"/>
  <c r="F626" i="17" s="1"/>
  <c r="G625" i="17"/>
  <c r="F625" i="17"/>
  <c r="H625" i="17" s="1"/>
  <c r="G623" i="17"/>
  <c r="F623" i="17"/>
  <c r="G622" i="17"/>
  <c r="F622" i="17"/>
  <c r="H622" i="17" s="1"/>
  <c r="G621" i="17"/>
  <c r="F621" i="17"/>
  <c r="G620" i="17"/>
  <c r="F620" i="17"/>
  <c r="H620" i="17" s="1"/>
  <c r="G619" i="17"/>
  <c r="F619" i="17"/>
  <c r="G618" i="17"/>
  <c r="F618" i="17"/>
  <c r="G617" i="17"/>
  <c r="F617" i="17"/>
  <c r="G616" i="17"/>
  <c r="F616" i="17"/>
  <c r="H616" i="17" s="1"/>
  <c r="G615" i="17"/>
  <c r="F615" i="17"/>
  <c r="G614" i="17"/>
  <c r="F614" i="17"/>
  <c r="H614" i="17" s="1"/>
  <c r="G613" i="17"/>
  <c r="F613" i="17"/>
  <c r="G612" i="17"/>
  <c r="F612" i="17"/>
  <c r="G610" i="17"/>
  <c r="F610" i="17"/>
  <c r="H610" i="17" s="1"/>
  <c r="G609" i="17"/>
  <c r="F609" i="17"/>
  <c r="H609" i="17" s="1"/>
  <c r="G608" i="17"/>
  <c r="F608" i="17"/>
  <c r="H608" i="17" s="1"/>
  <c r="G607" i="17"/>
  <c r="F607" i="17"/>
  <c r="H607" i="17" s="1"/>
  <c r="H606" i="17"/>
  <c r="G606" i="17"/>
  <c r="F606" i="17"/>
  <c r="G605" i="17"/>
  <c r="F605" i="17"/>
  <c r="G604" i="17"/>
  <c r="F604" i="17"/>
  <c r="H604" i="17" s="1"/>
  <c r="G603" i="17"/>
  <c r="F603" i="17"/>
  <c r="H603" i="17" s="1"/>
  <c r="G602" i="17"/>
  <c r="F602" i="17"/>
  <c r="H602" i="17" s="1"/>
  <c r="G600" i="17"/>
  <c r="H600" i="17" s="1"/>
  <c r="F600" i="17"/>
  <c r="G599" i="17"/>
  <c r="F599" i="17"/>
  <c r="G598" i="17"/>
  <c r="F598" i="17"/>
  <c r="G597" i="17"/>
  <c r="F597" i="17"/>
  <c r="G596" i="17"/>
  <c r="H596" i="17" s="1"/>
  <c r="F596" i="17"/>
  <c r="E596" i="17"/>
  <c r="G595" i="17"/>
  <c r="F595" i="17"/>
  <c r="E595" i="17"/>
  <c r="G594" i="17"/>
  <c r="F594" i="17"/>
  <c r="G593" i="17"/>
  <c r="F593" i="17"/>
  <c r="G592" i="17"/>
  <c r="F592" i="17"/>
  <c r="E592" i="17"/>
  <c r="G591" i="17"/>
  <c r="F591" i="17"/>
  <c r="H591" i="17" s="1"/>
  <c r="G590" i="17"/>
  <c r="F590" i="17"/>
  <c r="H589" i="17"/>
  <c r="G589" i="17"/>
  <c r="F589" i="17"/>
  <c r="G588" i="17"/>
  <c r="F588" i="17"/>
  <c r="H588" i="17" s="1"/>
  <c r="E588" i="17"/>
  <c r="G587" i="17"/>
  <c r="F587" i="17"/>
  <c r="E587" i="17"/>
  <c r="H586" i="17"/>
  <c r="G586" i="17"/>
  <c r="F586" i="17"/>
  <c r="E586" i="17"/>
  <c r="G585" i="17"/>
  <c r="F585" i="17"/>
  <c r="H585" i="17" s="1"/>
  <c r="E585" i="17"/>
  <c r="G584" i="17"/>
  <c r="F584" i="17"/>
  <c r="G583" i="17"/>
  <c r="F583" i="17"/>
  <c r="H583" i="17" s="1"/>
  <c r="E583" i="17"/>
  <c r="G582" i="17"/>
  <c r="F582" i="17"/>
  <c r="H582" i="17" s="1"/>
  <c r="E582" i="17"/>
  <c r="G581" i="17"/>
  <c r="F581" i="17"/>
  <c r="E581" i="17"/>
  <c r="G580" i="17"/>
  <c r="F580" i="17"/>
  <c r="E580" i="17"/>
  <c r="H579" i="17"/>
  <c r="G579" i="17"/>
  <c r="F579" i="17"/>
  <c r="E579" i="17"/>
  <c r="G578" i="17"/>
  <c r="F578" i="17"/>
  <c r="H578" i="17" s="1"/>
  <c r="E578" i="17"/>
  <c r="G577" i="17"/>
  <c r="F577" i="17"/>
  <c r="E577" i="17"/>
  <c r="G573" i="17"/>
  <c r="F573" i="17"/>
  <c r="H573" i="17" s="1"/>
  <c r="G572" i="17"/>
  <c r="F572" i="17"/>
  <c r="F571" i="17" s="1"/>
  <c r="G570" i="17"/>
  <c r="F570" i="17"/>
  <c r="E570" i="17"/>
  <c r="G569" i="17"/>
  <c r="F569" i="17"/>
  <c r="H568" i="17"/>
  <c r="G568" i="17"/>
  <c r="F568" i="17"/>
  <c r="E568" i="17"/>
  <c r="G567" i="17"/>
  <c r="F567" i="17"/>
  <c r="G566" i="17"/>
  <c r="H566" i="17" s="1"/>
  <c r="F566" i="17"/>
  <c r="G565" i="17"/>
  <c r="F565" i="17"/>
  <c r="E565" i="17"/>
  <c r="G564" i="17"/>
  <c r="F564" i="17"/>
  <c r="E564" i="17"/>
  <c r="G563" i="17"/>
  <c r="F563" i="17"/>
  <c r="H563" i="17" s="1"/>
  <c r="E563" i="17"/>
  <c r="G562" i="17"/>
  <c r="F562" i="17"/>
  <c r="E562" i="17"/>
  <c r="G558" i="17"/>
  <c r="H558" i="17" s="1"/>
  <c r="F558" i="17"/>
  <c r="F557" i="17" s="1"/>
  <c r="G557" i="17"/>
  <c r="G556" i="17"/>
  <c r="F556" i="17"/>
  <c r="H556" i="17" s="1"/>
  <c r="E556" i="17"/>
  <c r="H555" i="17"/>
  <c r="G555" i="17"/>
  <c r="F555" i="17"/>
  <c r="G554" i="17"/>
  <c r="F554" i="17"/>
  <c r="H554" i="17" s="1"/>
  <c r="E554" i="17"/>
  <c r="H553" i="17"/>
  <c r="G553" i="17"/>
  <c r="F553" i="17"/>
  <c r="G552" i="17"/>
  <c r="F552" i="17"/>
  <c r="G551" i="17"/>
  <c r="F551" i="17"/>
  <c r="H551" i="17" s="1"/>
  <c r="E551" i="17"/>
  <c r="G550" i="17"/>
  <c r="H550" i="17" s="1"/>
  <c r="F550" i="17"/>
  <c r="E550" i="17"/>
  <c r="G549" i="17"/>
  <c r="F549" i="17"/>
  <c r="E549" i="17"/>
  <c r="G548" i="17"/>
  <c r="F548" i="17"/>
  <c r="E548" i="17"/>
  <c r="G547" i="17"/>
  <c r="F547" i="17"/>
  <c r="H547" i="17" s="1"/>
  <c r="E547" i="17"/>
  <c r="G545" i="17"/>
  <c r="H543" i="17"/>
  <c r="G543" i="17"/>
  <c r="F543" i="17"/>
  <c r="E543" i="17"/>
  <c r="G542" i="17"/>
  <c r="F542" i="17"/>
  <c r="H541" i="17"/>
  <c r="G541" i="17"/>
  <c r="F541" i="17"/>
  <c r="G540" i="17"/>
  <c r="F540" i="17"/>
  <c r="H540" i="17" s="1"/>
  <c r="G539" i="17"/>
  <c r="F539" i="17"/>
  <c r="H539" i="17" s="1"/>
  <c r="G538" i="17"/>
  <c r="F538" i="17"/>
  <c r="H538" i="17" s="1"/>
  <c r="G537" i="17"/>
  <c r="F537" i="17"/>
  <c r="H537" i="17" s="1"/>
  <c r="G536" i="17"/>
  <c r="F536" i="17"/>
  <c r="H536" i="17" s="1"/>
  <c r="G535" i="17"/>
  <c r="H535" i="17" s="1"/>
  <c r="F535" i="17"/>
  <c r="G534" i="17"/>
  <c r="F534" i="17"/>
  <c r="G533" i="17"/>
  <c r="F533" i="17"/>
  <c r="H533" i="17" s="1"/>
  <c r="G532" i="17"/>
  <c r="F532" i="17"/>
  <c r="H532" i="17" s="1"/>
  <c r="G531" i="17"/>
  <c r="F531" i="17"/>
  <c r="H531" i="17" s="1"/>
  <c r="G530" i="17"/>
  <c r="F530" i="17"/>
  <c r="H529" i="17"/>
  <c r="G529" i="17"/>
  <c r="F529" i="17"/>
  <c r="G528" i="17"/>
  <c r="F528" i="17"/>
  <c r="G527" i="17"/>
  <c r="F527" i="17"/>
  <c r="H527" i="17" s="1"/>
  <c r="G526" i="17"/>
  <c r="F526" i="17"/>
  <c r="H526" i="17" s="1"/>
  <c r="G525" i="17"/>
  <c r="F525" i="17"/>
  <c r="H525" i="17" s="1"/>
  <c r="G524" i="17"/>
  <c r="F524" i="17"/>
  <c r="H524" i="17" s="1"/>
  <c r="H523" i="17"/>
  <c r="G523" i="17"/>
  <c r="F523" i="17"/>
  <c r="G522" i="17"/>
  <c r="F522" i="17"/>
  <c r="G521" i="17"/>
  <c r="F521" i="17"/>
  <c r="H521" i="17" s="1"/>
  <c r="G520" i="17"/>
  <c r="F520" i="17"/>
  <c r="H520" i="17" s="1"/>
  <c r="E520" i="17"/>
  <c r="G519" i="17"/>
  <c r="F519" i="17"/>
  <c r="H519" i="17" s="1"/>
  <c r="G518" i="17"/>
  <c r="F518" i="17"/>
  <c r="H518" i="17" s="1"/>
  <c r="G517" i="17"/>
  <c r="F517" i="17"/>
  <c r="H517" i="17" s="1"/>
  <c r="G516" i="17"/>
  <c r="H516" i="17" s="1"/>
  <c r="F516" i="17"/>
  <c r="G515" i="17"/>
  <c r="F515" i="17"/>
  <c r="G514" i="17"/>
  <c r="F514" i="17"/>
  <c r="H514" i="17" s="1"/>
  <c r="G512" i="17"/>
  <c r="F512" i="17"/>
  <c r="G511" i="17"/>
  <c r="F511" i="17"/>
  <c r="H511" i="17" s="1"/>
  <c r="E511" i="17"/>
  <c r="G510" i="17"/>
  <c r="F510" i="17"/>
  <c r="H510" i="17" s="1"/>
  <c r="E510" i="17"/>
  <c r="G509" i="17"/>
  <c r="F509" i="17"/>
  <c r="E509" i="17"/>
  <c r="G508" i="17"/>
  <c r="F508" i="17"/>
  <c r="E508" i="17"/>
  <c r="G507" i="17"/>
  <c r="H507" i="17" s="1"/>
  <c r="F507" i="17"/>
  <c r="E507" i="17"/>
  <c r="G506" i="17"/>
  <c r="H506" i="17" s="1"/>
  <c r="F506" i="17"/>
  <c r="E506" i="17"/>
  <c r="G503" i="17"/>
  <c r="F503" i="17"/>
  <c r="H503" i="17" s="1"/>
  <c r="E503" i="17"/>
  <c r="G502" i="17"/>
  <c r="F502" i="17"/>
  <c r="G501" i="17"/>
  <c r="F501" i="17"/>
  <c r="G500" i="17"/>
  <c r="H500" i="17" s="1"/>
  <c r="F500" i="17"/>
  <c r="G499" i="17"/>
  <c r="F499" i="17"/>
  <c r="H499" i="17" s="1"/>
  <c r="E499" i="17"/>
  <c r="G497" i="17"/>
  <c r="F497" i="17"/>
  <c r="H497" i="17" s="1"/>
  <c r="G496" i="17"/>
  <c r="H496" i="17" s="1"/>
  <c r="F496" i="17"/>
  <c r="E496" i="17"/>
  <c r="G495" i="17"/>
  <c r="F495" i="17"/>
  <c r="E495" i="17"/>
  <c r="G494" i="17"/>
  <c r="F494" i="17"/>
  <c r="E494" i="17"/>
  <c r="G493" i="17"/>
  <c r="F493" i="17"/>
  <c r="H493" i="17" s="1"/>
  <c r="E493" i="17"/>
  <c r="G492" i="17"/>
  <c r="F492" i="17"/>
  <c r="H492" i="17" s="1"/>
  <c r="E492" i="17"/>
  <c r="G491" i="17"/>
  <c r="F491" i="17"/>
  <c r="E491" i="17"/>
  <c r="G488" i="17"/>
  <c r="H488" i="17" s="1"/>
  <c r="F488" i="17"/>
  <c r="G487" i="17"/>
  <c r="F487" i="17"/>
  <c r="H487" i="17" s="1"/>
  <c r="G486" i="17"/>
  <c r="H486" i="17" s="1"/>
  <c r="F486" i="17"/>
  <c r="G484" i="17"/>
  <c r="F484" i="17"/>
  <c r="H484" i="17" s="1"/>
  <c r="G483" i="17"/>
  <c r="F483" i="17"/>
  <c r="H483" i="17" s="1"/>
  <c r="G482" i="17"/>
  <c r="F482" i="17"/>
  <c r="H482" i="17" s="1"/>
  <c r="G480" i="17"/>
  <c r="F480" i="17"/>
  <c r="G479" i="17"/>
  <c r="H479" i="17" s="1"/>
  <c r="F479" i="17"/>
  <c r="G478" i="17"/>
  <c r="F478" i="17"/>
  <c r="H478" i="17" s="1"/>
  <c r="G477" i="17"/>
  <c r="F477" i="17"/>
  <c r="H477" i="17" s="1"/>
  <c r="G476" i="17"/>
  <c r="F476" i="17"/>
  <c r="H475" i="17"/>
  <c r="G475" i="17"/>
  <c r="F475" i="17"/>
  <c r="G473" i="17"/>
  <c r="G472" i="17"/>
  <c r="F472" i="17"/>
  <c r="G471" i="17"/>
  <c r="F471" i="17"/>
  <c r="G470" i="17"/>
  <c r="F470" i="17"/>
  <c r="H470" i="17" s="1"/>
  <c r="G469" i="17"/>
  <c r="F469" i="17"/>
  <c r="G468" i="17"/>
  <c r="F468" i="17"/>
  <c r="G466" i="17"/>
  <c r="G465" i="17"/>
  <c r="F465" i="17"/>
  <c r="E465" i="17"/>
  <c r="G464" i="17"/>
  <c r="F464" i="17"/>
  <c r="H464" i="17" s="1"/>
  <c r="E464" i="17"/>
  <c r="G462" i="17"/>
  <c r="F462" i="17"/>
  <c r="G461" i="17"/>
  <c r="F461" i="17"/>
  <c r="G460" i="17"/>
  <c r="F460" i="17"/>
  <c r="H458" i="17"/>
  <c r="G458" i="17"/>
  <c r="F458" i="17"/>
  <c r="G457" i="17"/>
  <c r="F457" i="17"/>
  <c r="H457" i="17" s="1"/>
  <c r="G456" i="17"/>
  <c r="F456" i="17"/>
  <c r="H456" i="17" s="1"/>
  <c r="E456" i="17"/>
  <c r="G455" i="17"/>
  <c r="H455" i="17" s="1"/>
  <c r="F455" i="17"/>
  <c r="E455" i="17"/>
  <c r="G454" i="17"/>
  <c r="F454" i="17"/>
  <c r="E454" i="17"/>
  <c r="G453" i="17"/>
  <c r="F453" i="17"/>
  <c r="H453" i="17" s="1"/>
  <c r="E453" i="17"/>
  <c r="H452" i="17"/>
  <c r="G452" i="17"/>
  <c r="F452" i="17"/>
  <c r="E452" i="17"/>
  <c r="G451" i="17"/>
  <c r="H451" i="17" s="1"/>
  <c r="F451" i="17"/>
  <c r="G449" i="17"/>
  <c r="G448" i="17"/>
  <c r="F448" i="17"/>
  <c r="H448" i="17" s="1"/>
  <c r="G447" i="17"/>
  <c r="F447" i="17"/>
  <c r="H446" i="17"/>
  <c r="G446" i="17"/>
  <c r="F446" i="17"/>
  <c r="G444" i="17"/>
  <c r="H444" i="17" s="1"/>
  <c r="F444" i="17"/>
  <c r="E444" i="17"/>
  <c r="G443" i="17"/>
  <c r="F443" i="17"/>
  <c r="E443" i="17"/>
  <c r="G442" i="17"/>
  <c r="F442" i="17"/>
  <c r="H442" i="17" s="1"/>
  <c r="G441" i="17"/>
  <c r="F441" i="17"/>
  <c r="E441" i="17"/>
  <c r="G440" i="17"/>
  <c r="F440" i="17"/>
  <c r="H440" i="17" s="1"/>
  <c r="G439" i="17"/>
  <c r="F439" i="17"/>
  <c r="H439" i="17" s="1"/>
  <c r="E439" i="17"/>
  <c r="G438" i="17"/>
  <c r="F438" i="17"/>
  <c r="G437" i="17"/>
  <c r="F437" i="17"/>
  <c r="E437" i="17"/>
  <c r="G436" i="17"/>
  <c r="F436" i="17"/>
  <c r="H436" i="17" s="1"/>
  <c r="E436" i="17"/>
  <c r="G435" i="17"/>
  <c r="F435" i="17"/>
  <c r="E435" i="17"/>
  <c r="G434" i="17"/>
  <c r="F434" i="17"/>
  <c r="H434" i="17" s="1"/>
  <c r="E434" i="17"/>
  <c r="G433" i="17"/>
  <c r="F433" i="17"/>
  <c r="H433" i="17" s="1"/>
  <c r="E433" i="17"/>
  <c r="G432" i="17"/>
  <c r="F432" i="17"/>
  <c r="H432" i="17" s="1"/>
  <c r="E432" i="17"/>
  <c r="H430" i="17"/>
  <c r="G430" i="17"/>
  <c r="F430" i="17"/>
  <c r="G429" i="17"/>
  <c r="F429" i="17"/>
  <c r="G428" i="17"/>
  <c r="G426" i="17"/>
  <c r="H426" i="17" s="1"/>
  <c r="F426" i="17"/>
  <c r="G425" i="17"/>
  <c r="F425" i="17"/>
  <c r="H425" i="17" s="1"/>
  <c r="G424" i="17"/>
  <c r="G423" i="17"/>
  <c r="F423" i="17"/>
  <c r="H423" i="17" s="1"/>
  <c r="G422" i="17"/>
  <c r="F422" i="17"/>
  <c r="G421" i="17"/>
  <c r="F421" i="17"/>
  <c r="H421" i="17" s="1"/>
  <c r="G420" i="17"/>
  <c r="F420" i="17"/>
  <c r="F419" i="17" s="1"/>
  <c r="G419" i="17"/>
  <c r="G418" i="17"/>
  <c r="H418" i="17" s="1"/>
  <c r="F418" i="17"/>
  <c r="G417" i="17"/>
  <c r="F417" i="17"/>
  <c r="H417" i="17" s="1"/>
  <c r="G416" i="17"/>
  <c r="F416" i="17"/>
  <c r="G414" i="17"/>
  <c r="G413" i="17"/>
  <c r="F413" i="17"/>
  <c r="H413" i="17" s="1"/>
  <c r="G412" i="17"/>
  <c r="F412" i="17"/>
  <c r="H412" i="17" s="1"/>
  <c r="G411" i="17"/>
  <c r="F411" i="17"/>
  <c r="H411" i="17" s="1"/>
  <c r="G410" i="17"/>
  <c r="F410" i="17"/>
  <c r="H410" i="17" s="1"/>
  <c r="G409" i="17"/>
  <c r="H409" i="17" s="1"/>
  <c r="F409" i="17"/>
  <c r="G408" i="17"/>
  <c r="F408" i="17"/>
  <c r="G407" i="17"/>
  <c r="F407" i="17"/>
  <c r="H407" i="17" s="1"/>
  <c r="G406" i="17"/>
  <c r="F406" i="17"/>
  <c r="H406" i="17" s="1"/>
  <c r="G405" i="17"/>
  <c r="F405" i="17"/>
  <c r="H405" i="17" s="1"/>
  <c r="G404" i="17"/>
  <c r="F404" i="17"/>
  <c r="H403" i="17"/>
  <c r="G403" i="17"/>
  <c r="F403" i="17"/>
  <c r="G402" i="17"/>
  <c r="F402" i="17"/>
  <c r="G401" i="17"/>
  <c r="F401" i="17"/>
  <c r="H401" i="17" s="1"/>
  <c r="G400" i="17"/>
  <c r="F400" i="17"/>
  <c r="H400" i="17" s="1"/>
  <c r="H399" i="17"/>
  <c r="G399" i="17"/>
  <c r="F399" i="17"/>
  <c r="G398" i="17"/>
  <c r="F398" i="17"/>
  <c r="H398" i="17" s="1"/>
  <c r="H397" i="17"/>
  <c r="G397" i="17"/>
  <c r="F397" i="17"/>
  <c r="G396" i="17"/>
  <c r="F396" i="17"/>
  <c r="G395" i="17"/>
  <c r="F395" i="17"/>
  <c r="H395" i="17" s="1"/>
  <c r="G394" i="17"/>
  <c r="F394" i="17"/>
  <c r="H394" i="17" s="1"/>
  <c r="G393" i="17"/>
  <c r="F393" i="17"/>
  <c r="H393" i="17" s="1"/>
  <c r="G392" i="17"/>
  <c r="F392" i="17"/>
  <c r="H391" i="17"/>
  <c r="G391" i="17"/>
  <c r="F391" i="17"/>
  <c r="G390" i="17"/>
  <c r="F390" i="17"/>
  <c r="H390" i="17" s="1"/>
  <c r="G389" i="17"/>
  <c r="F389" i="17"/>
  <c r="H389" i="17" s="1"/>
  <c r="G388" i="17"/>
  <c r="F388" i="17"/>
  <c r="H388" i="17" s="1"/>
  <c r="G387" i="17"/>
  <c r="F387" i="17"/>
  <c r="H387" i="17" s="1"/>
  <c r="G386" i="17"/>
  <c r="F386" i="17"/>
  <c r="H386" i="17" s="1"/>
  <c r="G385" i="17"/>
  <c r="H385" i="17" s="1"/>
  <c r="F385" i="17"/>
  <c r="G384" i="17"/>
  <c r="F384" i="17"/>
  <c r="G383" i="17"/>
  <c r="F383" i="17"/>
  <c r="H383" i="17" s="1"/>
  <c r="G382" i="17"/>
  <c r="F382" i="17"/>
  <c r="H382" i="17" s="1"/>
  <c r="G381" i="17"/>
  <c r="F381" i="17"/>
  <c r="H381" i="17" s="1"/>
  <c r="G380" i="17"/>
  <c r="F380" i="17"/>
  <c r="H379" i="17"/>
  <c r="G379" i="17"/>
  <c r="F379" i="17"/>
  <c r="G378" i="17"/>
  <c r="F378" i="17"/>
  <c r="G377" i="17"/>
  <c r="F377" i="17"/>
  <c r="H377" i="17" s="1"/>
  <c r="G376" i="17"/>
  <c r="G375" i="17"/>
  <c r="F375" i="17"/>
  <c r="H375" i="17" s="1"/>
  <c r="G374" i="17"/>
  <c r="F374" i="17"/>
  <c r="G373" i="17"/>
  <c r="G372" i="17"/>
  <c r="F372" i="17"/>
  <c r="G371" i="17"/>
  <c r="G370" i="17"/>
  <c r="F370" i="17"/>
  <c r="G369" i="17"/>
  <c r="H369" i="17" s="1"/>
  <c r="F369" i="17"/>
  <c r="G368" i="17"/>
  <c r="F368" i="17"/>
  <c r="G367" i="17"/>
  <c r="F367" i="17"/>
  <c r="H367" i="17" s="1"/>
  <c r="G366" i="17"/>
  <c r="F366" i="17"/>
  <c r="G365" i="17"/>
  <c r="G364" i="17"/>
  <c r="F364" i="17"/>
  <c r="G363" i="17"/>
  <c r="F363" i="17"/>
  <c r="H363" i="17" s="1"/>
  <c r="E363" i="17"/>
  <c r="G362" i="17"/>
  <c r="F362" i="17"/>
  <c r="E362" i="17"/>
  <c r="G361" i="17"/>
  <c r="F361" i="17"/>
  <c r="F359" i="17" s="1"/>
  <c r="E361" i="17"/>
  <c r="G359" i="17"/>
  <c r="G358" i="17"/>
  <c r="F358" i="17"/>
  <c r="H358" i="17" s="1"/>
  <c r="E358" i="17"/>
  <c r="G357" i="17"/>
  <c r="F357" i="17"/>
  <c r="H357" i="17" s="1"/>
  <c r="E357" i="17"/>
  <c r="G356" i="17"/>
  <c r="F356" i="17"/>
  <c r="G355" i="17"/>
  <c r="F355" i="17"/>
  <c r="H355" i="17" s="1"/>
  <c r="E355" i="17"/>
  <c r="G354" i="17"/>
  <c r="F354" i="17"/>
  <c r="H354" i="17" s="1"/>
  <c r="E354" i="17"/>
  <c r="G353" i="17"/>
  <c r="H353" i="17" s="1"/>
  <c r="F353" i="17"/>
  <c r="E353" i="17"/>
  <c r="G352" i="17"/>
  <c r="F352" i="17"/>
  <c r="E352" i="17"/>
  <c r="G351" i="17"/>
  <c r="H351" i="17" s="1"/>
  <c r="F351" i="17"/>
  <c r="E351" i="17"/>
  <c r="G350" i="17"/>
  <c r="H350" i="17" s="1"/>
  <c r="F350" i="17"/>
  <c r="H348" i="17"/>
  <c r="G348" i="17"/>
  <c r="F348" i="17"/>
  <c r="G347" i="17"/>
  <c r="F347" i="17"/>
  <c r="G346" i="17"/>
  <c r="F346" i="17"/>
  <c r="G345" i="17"/>
  <c r="F345" i="17"/>
  <c r="H345" i="17" s="1"/>
  <c r="G344" i="17"/>
  <c r="F344" i="17"/>
  <c r="H343" i="17"/>
  <c r="G343" i="17"/>
  <c r="F343" i="17"/>
  <c r="G342" i="17"/>
  <c r="F342" i="17"/>
  <c r="G341" i="17"/>
  <c r="F341" i="17"/>
  <c r="H341" i="17" s="1"/>
  <c r="G340" i="17"/>
  <c r="F340" i="17"/>
  <c r="H340" i="17" s="1"/>
  <c r="G339" i="17"/>
  <c r="F339" i="17"/>
  <c r="H339" i="17" s="1"/>
  <c r="G338" i="17"/>
  <c r="H338" i="17" s="1"/>
  <c r="F338" i="17"/>
  <c r="G336" i="17"/>
  <c r="F336" i="17"/>
  <c r="G335" i="17"/>
  <c r="F335" i="17"/>
  <c r="H335" i="17" s="1"/>
  <c r="G333" i="17"/>
  <c r="F333" i="17"/>
  <c r="G332" i="17"/>
  <c r="F332" i="17"/>
  <c r="G331" i="17"/>
  <c r="F331" i="17"/>
  <c r="H331" i="17" s="1"/>
  <c r="G330" i="17"/>
  <c r="F330" i="17"/>
  <c r="H330" i="17" s="1"/>
  <c r="G329" i="17"/>
  <c r="H329" i="17" s="1"/>
  <c r="F329" i="17"/>
  <c r="G328" i="17"/>
  <c r="H328" i="17" s="1"/>
  <c r="F328" i="17"/>
  <c r="G327" i="17"/>
  <c r="F327" i="17"/>
  <c r="G325" i="17"/>
  <c r="F325" i="17"/>
  <c r="H325" i="17" s="1"/>
  <c r="G324" i="17"/>
  <c r="H324" i="17" s="1"/>
  <c r="F324" i="17"/>
  <c r="G323" i="17"/>
  <c r="F323" i="17"/>
  <c r="G322" i="17"/>
  <c r="F322" i="17"/>
  <c r="G321" i="17"/>
  <c r="F321" i="17"/>
  <c r="G320" i="17"/>
  <c r="H320" i="17" s="1"/>
  <c r="F320" i="17"/>
  <c r="G319" i="17"/>
  <c r="F319" i="17"/>
  <c r="H319" i="17" s="1"/>
  <c r="G318" i="17"/>
  <c r="H318" i="17" s="1"/>
  <c r="F318" i="17"/>
  <c r="G317" i="17"/>
  <c r="F317" i="17"/>
  <c r="G316" i="17"/>
  <c r="F316" i="17"/>
  <c r="G315" i="17"/>
  <c r="F315" i="17"/>
  <c r="H314" i="17"/>
  <c r="G314" i="17"/>
  <c r="F314" i="17"/>
  <c r="G313" i="17"/>
  <c r="F313" i="17"/>
  <c r="G312" i="17"/>
  <c r="F312" i="17"/>
  <c r="H312" i="17" s="1"/>
  <c r="G309" i="17"/>
  <c r="G308" i="17"/>
  <c r="F308" i="17"/>
  <c r="H308" i="17" s="1"/>
  <c r="G307" i="17"/>
  <c r="F307" i="17"/>
  <c r="H307" i="17" s="1"/>
  <c r="G306" i="17"/>
  <c r="F306" i="17"/>
  <c r="H306" i="17" s="1"/>
  <c r="G305" i="17"/>
  <c r="F305" i="17"/>
  <c r="H305" i="17" s="1"/>
  <c r="G304" i="17"/>
  <c r="F304" i="17"/>
  <c r="G301" i="17"/>
  <c r="F301" i="17"/>
  <c r="H301" i="17" s="1"/>
  <c r="G300" i="17"/>
  <c r="F300" i="17"/>
  <c r="H300" i="17" s="1"/>
  <c r="G299" i="17"/>
  <c r="F299" i="17"/>
  <c r="H299" i="17" s="1"/>
  <c r="G298" i="17"/>
  <c r="F298" i="17"/>
  <c r="H298" i="17" s="1"/>
  <c r="G297" i="17"/>
  <c r="F297" i="17"/>
  <c r="G296" i="17"/>
  <c r="G295" i="17"/>
  <c r="F295" i="17"/>
  <c r="E295" i="17"/>
  <c r="G294" i="17"/>
  <c r="F294" i="17"/>
  <c r="H294" i="17" s="1"/>
  <c r="E294" i="17"/>
  <c r="G293" i="17"/>
  <c r="F293" i="17"/>
  <c r="H293" i="17" s="1"/>
  <c r="E293" i="17"/>
  <c r="G292" i="17"/>
  <c r="F292" i="17"/>
  <c r="E292" i="17"/>
  <c r="G291" i="17"/>
  <c r="F291" i="17"/>
  <c r="H291" i="17" s="1"/>
  <c r="G290" i="17"/>
  <c r="F290" i="17"/>
  <c r="H290" i="17" s="1"/>
  <c r="E290" i="17"/>
  <c r="G288" i="17"/>
  <c r="F288" i="17"/>
  <c r="H288" i="17" s="1"/>
  <c r="G286" i="17"/>
  <c r="F286" i="17"/>
  <c r="H286" i="17" s="1"/>
  <c r="G285" i="17"/>
  <c r="F285" i="17"/>
  <c r="G284" i="17"/>
  <c r="F284" i="17"/>
  <c r="E284" i="17"/>
  <c r="G283" i="17"/>
  <c r="F283" i="17"/>
  <c r="G281" i="17"/>
  <c r="F281" i="17"/>
  <c r="H281" i="17" s="1"/>
  <c r="E281" i="17"/>
  <c r="G280" i="17"/>
  <c r="F280" i="17"/>
  <c r="H280" i="17" s="1"/>
  <c r="E280" i="17"/>
  <c r="G279" i="17"/>
  <c r="F279" i="17"/>
  <c r="G278" i="17"/>
  <c r="F278" i="17"/>
  <c r="H278" i="17" s="1"/>
  <c r="E278" i="17"/>
  <c r="G277" i="17"/>
  <c r="F277" i="17"/>
  <c r="H277" i="17" s="1"/>
  <c r="E277" i="17"/>
  <c r="G276" i="17"/>
  <c r="F276" i="17"/>
  <c r="H276" i="17" s="1"/>
  <c r="E276" i="17"/>
  <c r="G275" i="17"/>
  <c r="F275" i="17"/>
  <c r="E275" i="17"/>
  <c r="G274" i="17"/>
  <c r="F274" i="17"/>
  <c r="E274" i="17"/>
  <c r="G272" i="17"/>
  <c r="G271" i="17"/>
  <c r="F271" i="17"/>
  <c r="H271" i="17" s="1"/>
  <c r="E271" i="17"/>
  <c r="G270" i="17"/>
  <c r="F270" i="17"/>
  <c r="E270" i="17"/>
  <c r="G269" i="17"/>
  <c r="F269" i="17"/>
  <c r="G268" i="17"/>
  <c r="F268" i="17"/>
  <c r="G267" i="17"/>
  <c r="F267" i="17"/>
  <c r="H267" i="17" s="1"/>
  <c r="G266" i="17"/>
  <c r="F266" i="17"/>
  <c r="H266" i="17" s="1"/>
  <c r="G265" i="17"/>
  <c r="F265" i="17"/>
  <c r="H265" i="17" s="1"/>
  <c r="G264" i="17"/>
  <c r="F264" i="17"/>
  <c r="H264" i="17" s="1"/>
  <c r="G262" i="17"/>
  <c r="F262" i="17"/>
  <c r="H262" i="17" s="1"/>
  <c r="H261" i="17"/>
  <c r="G261" i="17"/>
  <c r="F261" i="17"/>
  <c r="E261" i="17"/>
  <c r="G260" i="17"/>
  <c r="F260" i="17"/>
  <c r="E260" i="17"/>
  <c r="G259" i="17"/>
  <c r="F259" i="17"/>
  <c r="E259" i="17"/>
  <c r="G258" i="17"/>
  <c r="F258" i="17"/>
  <c r="E258" i="17"/>
  <c r="G257" i="17"/>
  <c r="F257" i="17"/>
  <c r="H257" i="17" s="1"/>
  <c r="E257" i="17"/>
  <c r="G256" i="17"/>
  <c r="F256" i="17"/>
  <c r="E256" i="17"/>
  <c r="G254" i="17"/>
  <c r="F254" i="17"/>
  <c r="H254" i="17" s="1"/>
  <c r="G253" i="17"/>
  <c r="F253" i="17"/>
  <c r="H253" i="17" s="1"/>
  <c r="G250" i="17"/>
  <c r="F250" i="17"/>
  <c r="E250" i="17"/>
  <c r="H249" i="17"/>
  <c r="G249" i="17"/>
  <c r="F249" i="17"/>
  <c r="E249" i="17"/>
  <c r="G248" i="17"/>
  <c r="F248" i="17"/>
  <c r="E248" i="17"/>
  <c r="G247" i="17"/>
  <c r="F247" i="17"/>
  <c r="H247" i="17" s="1"/>
  <c r="E247" i="17"/>
  <c r="G246" i="17"/>
  <c r="F246" i="17"/>
  <c r="E246" i="17"/>
  <c r="G245" i="17"/>
  <c r="F245" i="17"/>
  <c r="H245" i="17" s="1"/>
  <c r="E245" i="17"/>
  <c r="G244" i="17"/>
  <c r="F244" i="17"/>
  <c r="E244" i="17"/>
  <c r="G242" i="17"/>
  <c r="F242" i="17"/>
  <c r="E242" i="17"/>
  <c r="G241" i="17"/>
  <c r="F241" i="17"/>
  <c r="H241" i="17" s="1"/>
  <c r="E241" i="17"/>
  <c r="G240" i="17"/>
  <c r="F240" i="17"/>
  <c r="H240" i="17" s="1"/>
  <c r="E240" i="17"/>
  <c r="G239" i="17"/>
  <c r="F239" i="17"/>
  <c r="H239" i="17" s="1"/>
  <c r="E239" i="17"/>
  <c r="G238" i="17"/>
  <c r="F238" i="17"/>
  <c r="E238" i="17"/>
  <c r="G237" i="17"/>
  <c r="F237" i="17"/>
  <c r="E237" i="17"/>
  <c r="G236" i="17"/>
  <c r="F236" i="17"/>
  <c r="H236" i="17" s="1"/>
  <c r="E236" i="17"/>
  <c r="H235" i="17"/>
  <c r="G235" i="17"/>
  <c r="F235" i="17"/>
  <c r="E235" i="17"/>
  <c r="G234" i="17"/>
  <c r="F234" i="17"/>
  <c r="E234" i="17"/>
  <c r="G233" i="17"/>
  <c r="F233" i="17"/>
  <c r="H233" i="17" s="1"/>
  <c r="E233" i="17"/>
  <c r="G232" i="17"/>
  <c r="F232" i="17"/>
  <c r="E232" i="17"/>
  <c r="G231" i="17"/>
  <c r="F231" i="17"/>
  <c r="H231" i="17" s="1"/>
  <c r="E231" i="17"/>
  <c r="G230" i="17"/>
  <c r="F230" i="17"/>
  <c r="H230" i="17" s="1"/>
  <c r="E230" i="17"/>
  <c r="G228" i="17"/>
  <c r="F228" i="17"/>
  <c r="E228" i="17"/>
  <c r="G227" i="17"/>
  <c r="F227" i="17"/>
  <c r="H227" i="17" s="1"/>
  <c r="E227" i="17"/>
  <c r="G226" i="17"/>
  <c r="F226" i="17"/>
  <c r="H226" i="17" s="1"/>
  <c r="E226" i="17"/>
  <c r="G225" i="17"/>
  <c r="F225" i="17"/>
  <c r="H225" i="17" s="1"/>
  <c r="E225" i="17"/>
  <c r="G224" i="17"/>
  <c r="F224" i="17"/>
  <c r="H224" i="17" s="1"/>
  <c r="E224" i="17"/>
  <c r="G223" i="17"/>
  <c r="F223" i="17"/>
  <c r="E223" i="17"/>
  <c r="G221" i="17"/>
  <c r="F221" i="17"/>
  <c r="E221" i="17"/>
  <c r="G220" i="17"/>
  <c r="F220" i="17"/>
  <c r="E220" i="17"/>
  <c r="G219" i="17"/>
  <c r="F219" i="17"/>
  <c r="H219" i="17" s="1"/>
  <c r="E219" i="17"/>
  <c r="G218" i="17"/>
  <c r="F218" i="17"/>
  <c r="E218" i="17"/>
  <c r="G217" i="17"/>
  <c r="F217" i="17"/>
  <c r="E217" i="17"/>
  <c r="G216" i="17"/>
  <c r="F216" i="17"/>
  <c r="H216" i="17" s="1"/>
  <c r="E216" i="17"/>
  <c r="G215" i="17"/>
  <c r="F215" i="17"/>
  <c r="H215" i="17" s="1"/>
  <c r="E215" i="17"/>
  <c r="G214" i="17"/>
  <c r="F214" i="17"/>
  <c r="H214" i="17" s="1"/>
  <c r="E214" i="17"/>
  <c r="G213" i="17"/>
  <c r="F213" i="17"/>
  <c r="H213" i="17" s="1"/>
  <c r="E213" i="17"/>
  <c r="G212" i="17"/>
  <c r="F212" i="17"/>
  <c r="H212" i="17" s="1"/>
  <c r="E212" i="17"/>
  <c r="G211" i="17"/>
  <c r="F211" i="17"/>
  <c r="H211" i="17" s="1"/>
  <c r="E211" i="17"/>
  <c r="G208" i="17"/>
  <c r="F208" i="17"/>
  <c r="E208" i="17"/>
  <c r="H207" i="17"/>
  <c r="G207" i="17"/>
  <c r="F207" i="17"/>
  <c r="E207" i="17"/>
  <c r="G206" i="17"/>
  <c r="F206" i="17"/>
  <c r="E206" i="17"/>
  <c r="G205" i="17"/>
  <c r="F205" i="17"/>
  <c r="H205" i="17" s="1"/>
  <c r="E205" i="17"/>
  <c r="G204" i="17"/>
  <c r="F204" i="17"/>
  <c r="E204" i="17"/>
  <c r="G202" i="17"/>
  <c r="F202" i="17"/>
  <c r="H202" i="17" s="1"/>
  <c r="G201" i="17"/>
  <c r="F201" i="17"/>
  <c r="H201" i="17" s="1"/>
  <c r="G200" i="17"/>
  <c r="F200" i="17"/>
  <c r="H200" i="17" s="1"/>
  <c r="G199" i="17"/>
  <c r="F199" i="17"/>
  <c r="H199" i="17" s="1"/>
  <c r="E199" i="17"/>
  <c r="G198" i="17"/>
  <c r="F198" i="17"/>
  <c r="E198" i="17"/>
  <c r="G197" i="17"/>
  <c r="F197" i="17"/>
  <c r="H197" i="17" s="1"/>
  <c r="E197" i="17"/>
  <c r="G196" i="17"/>
  <c r="F196" i="17"/>
  <c r="H196" i="17" s="1"/>
  <c r="G194" i="17"/>
  <c r="F194" i="17"/>
  <c r="H194" i="17" s="1"/>
  <c r="E194" i="17"/>
  <c r="G193" i="17"/>
  <c r="F193" i="17"/>
  <c r="E193" i="17"/>
  <c r="G192" i="17"/>
  <c r="F192" i="17"/>
  <c r="H192" i="17" s="1"/>
  <c r="E192" i="17"/>
  <c r="G190" i="17"/>
  <c r="F190" i="17"/>
  <c r="E190" i="17"/>
  <c r="G189" i="17"/>
  <c r="F189" i="17"/>
  <c r="H189" i="17" s="1"/>
  <c r="E189" i="17"/>
  <c r="G188" i="17"/>
  <c r="F188" i="17"/>
  <c r="E188" i="17"/>
  <c r="G185" i="17"/>
  <c r="F185" i="17"/>
  <c r="H185" i="17" s="1"/>
  <c r="E185" i="17"/>
  <c r="G184" i="17"/>
  <c r="F184" i="17"/>
  <c r="E184" i="17"/>
  <c r="G183" i="17"/>
  <c r="F183" i="17"/>
  <c r="E183" i="17"/>
  <c r="G182" i="17"/>
  <c r="F182" i="17"/>
  <c r="G181" i="17"/>
  <c r="F181" i="17"/>
  <c r="G180" i="17"/>
  <c r="F180" i="17"/>
  <c r="H178" i="17"/>
  <c r="G178" i="17"/>
  <c r="F178" i="17"/>
  <c r="G177" i="17"/>
  <c r="F177" i="17"/>
  <c r="G176" i="17"/>
  <c r="H176" i="17" s="1"/>
  <c r="F176" i="17"/>
  <c r="E176" i="17"/>
  <c r="G173" i="17"/>
  <c r="G172" i="17"/>
  <c r="F172" i="17"/>
  <c r="G171" i="17"/>
  <c r="F171" i="17"/>
  <c r="G170" i="17"/>
  <c r="F170" i="17"/>
  <c r="H170" i="17" s="1"/>
  <c r="G169" i="17"/>
  <c r="F169" i="17"/>
  <c r="E169" i="17"/>
  <c r="G168" i="17"/>
  <c r="F168" i="17"/>
  <c r="H168" i="17" s="1"/>
  <c r="G167" i="17"/>
  <c r="F167" i="17"/>
  <c r="H166" i="17"/>
  <c r="G166" i="17"/>
  <c r="F166" i="17"/>
  <c r="G165" i="17"/>
  <c r="F165" i="17"/>
  <c r="G164" i="17"/>
  <c r="H164" i="17" s="1"/>
  <c r="F164" i="17"/>
  <c r="G163" i="17"/>
  <c r="F163" i="17"/>
  <c r="H163" i="17" s="1"/>
  <c r="F162" i="17"/>
  <c r="G160" i="17"/>
  <c r="F160" i="17"/>
  <c r="H160" i="17" s="1"/>
  <c r="G159" i="17"/>
  <c r="F159" i="17"/>
  <c r="G158" i="17"/>
  <c r="F158" i="17"/>
  <c r="G157" i="17"/>
  <c r="F157" i="17"/>
  <c r="H157" i="17" s="1"/>
  <c r="G154" i="17"/>
  <c r="F154" i="17"/>
  <c r="H154" i="17" s="1"/>
  <c r="G153" i="17"/>
  <c r="F153" i="17"/>
  <c r="H153" i="17" s="1"/>
  <c r="G152" i="17"/>
  <c r="F152" i="17"/>
  <c r="H152" i="17" s="1"/>
  <c r="H151" i="17"/>
  <c r="G151" i="17"/>
  <c r="F151" i="17"/>
  <c r="G150" i="17"/>
  <c r="F150" i="17"/>
  <c r="G149" i="17"/>
  <c r="F149" i="17"/>
  <c r="H149" i="17" s="1"/>
  <c r="E149" i="17"/>
  <c r="G147" i="17"/>
  <c r="F147" i="17"/>
  <c r="G146" i="17"/>
  <c r="F146" i="17"/>
  <c r="G145" i="17"/>
  <c r="F145" i="17"/>
  <c r="G144" i="17"/>
  <c r="H144" i="17" s="1"/>
  <c r="F144" i="17"/>
  <c r="G143" i="17"/>
  <c r="F143" i="17"/>
  <c r="H143" i="17" s="1"/>
  <c r="G142" i="17"/>
  <c r="H142" i="17" s="1"/>
  <c r="F142" i="17"/>
  <c r="G141" i="17"/>
  <c r="F141" i="17"/>
  <c r="G138" i="17"/>
  <c r="F138" i="17"/>
  <c r="H138" i="17" s="1"/>
  <c r="G137" i="17"/>
  <c r="H137" i="17" s="1"/>
  <c r="F137" i="17"/>
  <c r="G136" i="17"/>
  <c r="F136" i="17"/>
  <c r="G135" i="17"/>
  <c r="F135" i="17"/>
  <c r="G134" i="17"/>
  <c r="F134" i="17"/>
  <c r="G133" i="17"/>
  <c r="H133" i="17" s="1"/>
  <c r="F133" i="17"/>
  <c r="G132" i="17"/>
  <c r="F132" i="17"/>
  <c r="H132" i="17" s="1"/>
  <c r="G131" i="17"/>
  <c r="H131" i="17" s="1"/>
  <c r="F131" i="17"/>
  <c r="G130" i="17"/>
  <c r="F130" i="17"/>
  <c r="F129" i="17" s="1"/>
  <c r="G128" i="17"/>
  <c r="H128" i="17" s="1"/>
  <c r="F128" i="17"/>
  <c r="G127" i="17"/>
  <c r="F127" i="17"/>
  <c r="G126" i="17"/>
  <c r="F126" i="17"/>
  <c r="H126" i="17" s="1"/>
  <c r="G125" i="17"/>
  <c r="F125" i="17"/>
  <c r="G123" i="17"/>
  <c r="F123" i="17"/>
  <c r="G122" i="17"/>
  <c r="F122" i="17"/>
  <c r="G121" i="17"/>
  <c r="F121" i="17"/>
  <c r="H121" i="17" s="1"/>
  <c r="G120" i="17"/>
  <c r="H120" i="17" s="1"/>
  <c r="F120" i="17"/>
  <c r="G119" i="17"/>
  <c r="F119" i="17"/>
  <c r="G118" i="17"/>
  <c r="F118" i="17"/>
  <c r="G116" i="17"/>
  <c r="F116" i="17"/>
  <c r="H116" i="17" s="1"/>
  <c r="G115" i="17"/>
  <c r="H115" i="17" s="1"/>
  <c r="F115" i="17"/>
  <c r="G114" i="17"/>
  <c r="F114" i="17"/>
  <c r="G113" i="17"/>
  <c r="F113" i="17"/>
  <c r="H113" i="17" s="1"/>
  <c r="G112" i="17"/>
  <c r="F112" i="17"/>
  <c r="G111" i="17"/>
  <c r="G110" i="17"/>
  <c r="F110" i="17"/>
  <c r="H110" i="17" s="1"/>
  <c r="G109" i="17"/>
  <c r="F109" i="17"/>
  <c r="H109" i="17" s="1"/>
  <c r="G108" i="17"/>
  <c r="F108" i="17"/>
  <c r="G106" i="17"/>
  <c r="H106" i="17" s="1"/>
  <c r="F106" i="17"/>
  <c r="G105" i="17"/>
  <c r="F105" i="17"/>
  <c r="H105" i="17" s="1"/>
  <c r="G104" i="17"/>
  <c r="F104" i="17"/>
  <c r="G103" i="17"/>
  <c r="F103" i="17"/>
  <c r="H103" i="17" s="1"/>
  <c r="G102" i="17"/>
  <c r="F102" i="17"/>
  <c r="F99" i="17" s="1"/>
  <c r="G101" i="17"/>
  <c r="F101" i="17"/>
  <c r="G99" i="17"/>
  <c r="G98" i="17"/>
  <c r="F98" i="17"/>
  <c r="H98" i="17" s="1"/>
  <c r="G97" i="17"/>
  <c r="F97" i="17"/>
  <c r="H97" i="17" s="1"/>
  <c r="G96" i="17"/>
  <c r="G95" i="17"/>
  <c r="G94" i="17"/>
  <c r="G93" i="17"/>
  <c r="E93" i="17"/>
  <c r="G92" i="17"/>
  <c r="E92" i="17"/>
  <c r="G89" i="17"/>
  <c r="F89" i="17"/>
  <c r="G88" i="17"/>
  <c r="H88" i="17" s="1"/>
  <c r="F88" i="17"/>
  <c r="G87" i="17"/>
  <c r="F87" i="17"/>
  <c r="H87" i="17" s="1"/>
  <c r="G86" i="17"/>
  <c r="F86" i="17"/>
  <c r="G85" i="17"/>
  <c r="G84" i="17"/>
  <c r="G83" i="17"/>
  <c r="G82" i="17"/>
  <c r="E82" i="17"/>
  <c r="G81" i="17"/>
  <c r="E81" i="17"/>
  <c r="G79" i="17"/>
  <c r="G78" i="17"/>
  <c r="G77" i="17"/>
  <c r="G76" i="17"/>
  <c r="E76" i="17"/>
  <c r="G75" i="17"/>
  <c r="E75" i="17"/>
  <c r="G73" i="17"/>
  <c r="G72" i="17"/>
  <c r="G71" i="17"/>
  <c r="G70" i="17"/>
  <c r="E70" i="17"/>
  <c r="G69" i="17"/>
  <c r="E69" i="17"/>
  <c r="G67" i="17"/>
  <c r="G66" i="17"/>
  <c r="G65" i="17"/>
  <c r="G64" i="17"/>
  <c r="E64" i="17"/>
  <c r="G63" i="17"/>
  <c r="E63" i="17"/>
  <c r="G59" i="17"/>
  <c r="F59" i="17"/>
  <c r="H59" i="17" s="1"/>
  <c r="G58" i="17"/>
  <c r="F58" i="17"/>
  <c r="G57" i="17"/>
  <c r="G56" i="17"/>
  <c r="G55" i="17"/>
  <c r="G54" i="17"/>
  <c r="E54" i="17"/>
  <c r="G53" i="17"/>
  <c r="E53" i="17"/>
  <c r="N48" i="17"/>
  <c r="G48" i="17"/>
  <c r="F48" i="17"/>
  <c r="H48" i="17" s="1"/>
  <c r="N47" i="17"/>
  <c r="G47" i="17"/>
  <c r="N46" i="17"/>
  <c r="G46" i="17"/>
  <c r="N45" i="17"/>
  <c r="F45" i="17" s="1"/>
  <c r="H45" i="17" s="1"/>
  <c r="G45" i="17"/>
  <c r="N44" i="17"/>
  <c r="F44" i="17" s="1"/>
  <c r="H44" i="17" s="1"/>
  <c r="G44" i="17"/>
  <c r="N43" i="17"/>
  <c r="F43" i="17" s="1"/>
  <c r="H43" i="17" s="1"/>
  <c r="G43" i="17"/>
  <c r="N42" i="17"/>
  <c r="G42" i="17"/>
  <c r="F42" i="17"/>
  <c r="H42" i="17" s="1"/>
  <c r="N41" i="17"/>
  <c r="G41" i="17"/>
  <c r="N40" i="17"/>
  <c r="G40" i="17"/>
  <c r="N39" i="17"/>
  <c r="G39" i="17"/>
  <c r="O37" i="17"/>
  <c r="N37" i="17"/>
  <c r="G37" i="17"/>
  <c r="F37" i="17"/>
  <c r="H37" i="17" s="1"/>
  <c r="O36" i="17"/>
  <c r="N36" i="17"/>
  <c r="G36" i="17"/>
  <c r="F36" i="17"/>
  <c r="H36" i="17" s="1"/>
  <c r="N34" i="17"/>
  <c r="G34" i="17"/>
  <c r="N33" i="17"/>
  <c r="G33" i="17"/>
  <c r="N32" i="17"/>
  <c r="G32" i="17"/>
  <c r="M31" i="17"/>
  <c r="O30" i="17"/>
  <c r="N30" i="17"/>
  <c r="G30" i="17"/>
  <c r="F30" i="17"/>
  <c r="O29" i="17"/>
  <c r="N29" i="17"/>
  <c r="G29" i="17"/>
  <c r="F29" i="17"/>
  <c r="H29" i="17" s="1"/>
  <c r="N28" i="17"/>
  <c r="G28" i="17"/>
  <c r="F28" i="17"/>
  <c r="H28" i="17" s="1"/>
  <c r="O27" i="17"/>
  <c r="N27" i="17"/>
  <c r="G27" i="17"/>
  <c r="F27" i="17"/>
  <c r="M26" i="17"/>
  <c r="O25" i="17"/>
  <c r="N25" i="17"/>
  <c r="G25" i="17"/>
  <c r="H25" i="17" s="1"/>
  <c r="F25" i="17"/>
  <c r="O23" i="17"/>
  <c r="N23" i="17"/>
  <c r="G23" i="17"/>
  <c r="F23" i="17"/>
  <c r="O22" i="17"/>
  <c r="N22" i="17"/>
  <c r="G22" i="17"/>
  <c r="F22" i="17"/>
  <c r="G21" i="17"/>
  <c r="F21" i="17"/>
  <c r="H21" i="17" s="1"/>
  <c r="G18" i="17"/>
  <c r="G17" i="17"/>
  <c r="C17" i="17"/>
  <c r="Q16" i="17"/>
  <c r="G16" i="17"/>
  <c r="G14" i="17"/>
  <c r="G13" i="17"/>
  <c r="Q12" i="17"/>
  <c r="G12" i="17"/>
  <c r="I822" i="6"/>
  <c r="I807" i="6"/>
  <c r="I808" i="6"/>
  <c r="I809" i="6"/>
  <c r="I810" i="6"/>
  <c r="I811" i="6"/>
  <c r="I812" i="6"/>
  <c r="I813" i="6"/>
  <c r="I814" i="6"/>
  <c r="I815" i="6"/>
  <c r="I816" i="6"/>
  <c r="I817" i="6"/>
  <c r="I819" i="6"/>
  <c r="I820" i="6"/>
  <c r="I806" i="6"/>
  <c r="I748" i="6"/>
  <c r="I576" i="6"/>
  <c r="I639" i="6"/>
  <c r="I697" i="6"/>
  <c r="I46" i="6"/>
  <c r="I471" i="6"/>
  <c r="I363" i="6"/>
  <c r="I560" i="6"/>
  <c r="I399" i="6"/>
  <c r="I275" i="6"/>
  <c r="I270" i="6"/>
  <c r="I457" i="6"/>
  <c r="I299" i="6"/>
  <c r="I122" i="17"/>
  <c r="H27" i="17" l="1"/>
  <c r="H30" i="17"/>
  <c r="H118" i="17"/>
  <c r="H145" i="17"/>
  <c r="H169" i="17"/>
  <c r="H188" i="17"/>
  <c r="H193" i="17"/>
  <c r="H198" i="17"/>
  <c r="H204" i="17"/>
  <c r="H217" i="17"/>
  <c r="H234" i="17"/>
  <c r="H246" i="17"/>
  <c r="J246" i="17" s="1"/>
  <c r="K246" i="17" s="1"/>
  <c r="H392" i="17"/>
  <c r="H435" i="17"/>
  <c r="H460" i="17"/>
  <c r="F473" i="17"/>
  <c r="H480" i="17"/>
  <c r="H542" i="17"/>
  <c r="H567" i="17"/>
  <c r="H590" i="17"/>
  <c r="H617" i="17"/>
  <c r="H623" i="17"/>
  <c r="H647" i="17"/>
  <c r="H707" i="17"/>
  <c r="F117" i="17"/>
  <c r="H165" i="17"/>
  <c r="H183" i="17"/>
  <c r="H208" i="17"/>
  <c r="H221" i="17"/>
  <c r="H250" i="17"/>
  <c r="H274" i="17"/>
  <c r="H283" i="17"/>
  <c r="H378" i="17"/>
  <c r="H402" i="17"/>
  <c r="F466" i="17"/>
  <c r="H528" i="17"/>
  <c r="H552" i="17"/>
  <c r="H572" i="17"/>
  <c r="H595" i="17"/>
  <c r="H612" i="17"/>
  <c r="H618" i="17"/>
  <c r="H631" i="17"/>
  <c r="H689" i="17"/>
  <c r="H696" i="17"/>
  <c r="H89" i="17"/>
  <c r="H101" i="17"/>
  <c r="H108" i="17"/>
  <c r="H99" i="17" s="1"/>
  <c r="H146" i="17"/>
  <c r="H242" i="17"/>
  <c r="H269" i="17"/>
  <c r="H344" i="17"/>
  <c r="H362" i="17"/>
  <c r="H461" i="17"/>
  <c r="H476" i="17"/>
  <c r="H494" i="17"/>
  <c r="H638" i="17"/>
  <c r="H708" i="17"/>
  <c r="F41" i="17"/>
  <c r="H41" i="17" s="1"/>
  <c r="H114" i="17"/>
  <c r="J114" i="17" s="1"/>
  <c r="K114" i="17" s="1"/>
  <c r="H127" i="17"/>
  <c r="H141" i="17"/>
  <c r="H147" i="17"/>
  <c r="H159" i="17"/>
  <c r="H171" i="17"/>
  <c r="H184" i="17"/>
  <c r="H223" i="17"/>
  <c r="H258" i="17"/>
  <c r="H279" i="17"/>
  <c r="H284" i="17"/>
  <c r="H327" i="17"/>
  <c r="H332" i="17"/>
  <c r="H368" i="17"/>
  <c r="H384" i="17"/>
  <c r="H408" i="17"/>
  <c r="H462" i="17"/>
  <c r="H469" i="17"/>
  <c r="H515" i="17"/>
  <c r="H534" i="17"/>
  <c r="H580" i="17"/>
  <c r="H587" i="17"/>
  <c r="H613" i="17"/>
  <c r="H619" i="17"/>
  <c r="H644" i="17"/>
  <c r="H666" i="17"/>
  <c r="H703" i="17"/>
  <c r="H709" i="17"/>
  <c r="H58" i="17"/>
  <c r="H102" i="17"/>
  <c r="H134" i="17"/>
  <c r="H167" i="17"/>
  <c r="H172" i="17"/>
  <c r="H180" i="17"/>
  <c r="H190" i="17"/>
  <c r="H206" i="17"/>
  <c r="H232" i="17"/>
  <c r="H244" i="17"/>
  <c r="H259" i="17"/>
  <c r="H270" i="17"/>
  <c r="H285" i="17"/>
  <c r="H295" i="17"/>
  <c r="H315" i="17"/>
  <c r="H321" i="17"/>
  <c r="H333" i="17"/>
  <c r="H380" i="17"/>
  <c r="H376" i="17" s="1"/>
  <c r="H404" i="17"/>
  <c r="H420" i="17"/>
  <c r="H437" i="17"/>
  <c r="H441" i="17"/>
  <c r="H447" i="17"/>
  <c r="H495" i="17"/>
  <c r="H501" i="17"/>
  <c r="H530" i="17"/>
  <c r="H569" i="17"/>
  <c r="H592" i="17"/>
  <c r="H597" i="17"/>
  <c r="H660" i="17"/>
  <c r="H698" i="17"/>
  <c r="H730" i="17"/>
  <c r="H751" i="17"/>
  <c r="F40" i="17"/>
  <c r="H40" i="17" s="1"/>
  <c r="F414" i="17"/>
  <c r="F46" i="17"/>
  <c r="H46" i="17" s="1"/>
  <c r="H122" i="17"/>
  <c r="H181" i="17"/>
  <c r="H256" i="17"/>
  <c r="F376" i="17"/>
  <c r="H471" i="17"/>
  <c r="H615" i="17"/>
  <c r="H621" i="17"/>
  <c r="F632" i="17"/>
  <c r="H673" i="17"/>
  <c r="H731" i="17"/>
  <c r="H740" i="17"/>
  <c r="H123" i="17"/>
  <c r="H135" i="17"/>
  <c r="H292" i="17"/>
  <c r="H316" i="17"/>
  <c r="H322" i="17"/>
  <c r="H346" i="17"/>
  <c r="J346" i="17" s="1"/>
  <c r="K346" i="17" s="1"/>
  <c r="H438" i="17"/>
  <c r="H472" i="17"/>
  <c r="H502" i="17"/>
  <c r="H593" i="17"/>
  <c r="H598" i="17"/>
  <c r="H677" i="17"/>
  <c r="F34" i="17"/>
  <c r="H34" i="17" s="1"/>
  <c r="H86" i="17"/>
  <c r="H104" i="17"/>
  <c r="H130" i="17"/>
  <c r="H136" i="17"/>
  <c r="H129" i="17" s="1"/>
  <c r="H150" i="17"/>
  <c r="H182" i="17"/>
  <c r="H220" i="17"/>
  <c r="H237" i="17"/>
  <c r="H317" i="17"/>
  <c r="H323" i="17"/>
  <c r="H342" i="17"/>
  <c r="H347" i="17"/>
  <c r="H356" i="17"/>
  <c r="H396" i="17"/>
  <c r="H416" i="17"/>
  <c r="H422" i="17"/>
  <c r="H419" i="17" s="1"/>
  <c r="H443" i="17"/>
  <c r="H454" i="17"/>
  <c r="H465" i="17"/>
  <c r="H508" i="17"/>
  <c r="H522" i="17"/>
  <c r="H594" i="17"/>
  <c r="H599" i="17"/>
  <c r="H605" i="17"/>
  <c r="H642" i="17"/>
  <c r="H652" i="17"/>
  <c r="H663" i="17"/>
  <c r="H678" i="17"/>
  <c r="H683" i="17"/>
  <c r="H719" i="17"/>
  <c r="H725" i="17"/>
  <c r="H732" i="17"/>
  <c r="I439" i="6"/>
  <c r="I415" i="6"/>
  <c r="I113" i="6"/>
  <c r="I98" i="6"/>
  <c r="I665" i="6"/>
  <c r="I780" i="6"/>
  <c r="I478" i="6"/>
  <c r="I306" i="6"/>
  <c r="I383" i="6"/>
  <c r="I347" i="6"/>
  <c r="I89" i="6"/>
  <c r="I607" i="6"/>
  <c r="I278" i="6"/>
  <c r="I331" i="6"/>
  <c r="I447" i="6"/>
  <c r="I431" i="6"/>
  <c r="I262" i="6"/>
  <c r="I327" i="6"/>
  <c r="I423" i="6"/>
  <c r="I407" i="6"/>
  <c r="I391" i="6"/>
  <c r="I568" i="6"/>
  <c r="I121" i="6"/>
  <c r="I371" i="6"/>
  <c r="I355" i="6"/>
  <c r="I339" i="6"/>
  <c r="I109" i="6"/>
  <c r="I58" i="6"/>
  <c r="I33" i="6"/>
  <c r="I74" i="6"/>
  <c r="I681" i="6"/>
  <c r="I789" i="6"/>
  <c r="I623" i="6"/>
  <c r="I593" i="6"/>
  <c r="I505" i="6"/>
  <c r="I764" i="6"/>
  <c r="I728" i="6"/>
  <c r="I225" i="6"/>
  <c r="I549" i="6"/>
  <c r="I160" i="6"/>
  <c r="I188" i="6"/>
  <c r="I30" i="17"/>
  <c r="I38" i="17"/>
  <c r="J38" i="17" s="1"/>
  <c r="K38" i="17" s="1"/>
  <c r="I187" i="17"/>
  <c r="I188" i="17"/>
  <c r="I191" i="17"/>
  <c r="I16" i="6"/>
  <c r="I276" i="6"/>
  <c r="I329" i="6"/>
  <c r="I445" i="6"/>
  <c r="I429" i="6"/>
  <c r="I312" i="6"/>
  <c r="I325" i="6"/>
  <c r="I421" i="6"/>
  <c r="I405" i="6"/>
  <c r="I389" i="6"/>
  <c r="I566" i="6"/>
  <c r="I119" i="6"/>
  <c r="I369" i="6"/>
  <c r="I353" i="6"/>
  <c r="I337" i="6"/>
  <c r="I107" i="6"/>
  <c r="I56" i="6"/>
  <c r="I31" i="6"/>
  <c r="I706" i="6"/>
  <c r="I677" i="6"/>
  <c r="I651" i="6"/>
  <c r="I619" i="6"/>
  <c r="I589" i="6"/>
  <c r="I501" i="6"/>
  <c r="I760" i="6"/>
  <c r="I724" i="6"/>
  <c r="I221" i="6"/>
  <c r="I247" i="6"/>
  <c r="I154" i="6"/>
  <c r="I42" i="6"/>
  <c r="I60" i="17"/>
  <c r="I68" i="17"/>
  <c r="J68" i="17" s="1"/>
  <c r="K68" i="17" s="1"/>
  <c r="I69" i="17"/>
  <c r="I70" i="17"/>
  <c r="I71" i="17"/>
  <c r="I710" i="6"/>
  <c r="I253" i="6"/>
  <c r="I174" i="6"/>
  <c r="I137" i="6"/>
  <c r="I507" i="6"/>
  <c r="I297" i="6"/>
  <c r="I52" i="6"/>
  <c r="I455" i="6"/>
  <c r="I437" i="6"/>
  <c r="I268" i="6"/>
  <c r="I291" i="6"/>
  <c r="I314" i="6"/>
  <c r="I413" i="6"/>
  <c r="I397" i="6"/>
  <c r="I381" i="6"/>
  <c r="I558" i="6"/>
  <c r="I111" i="6"/>
  <c r="I361" i="6"/>
  <c r="I345" i="6"/>
  <c r="I469" i="6"/>
  <c r="I96" i="6"/>
  <c r="I44" i="6"/>
  <c r="I86" i="6"/>
  <c r="I693" i="6"/>
  <c r="I661" i="6"/>
  <c r="I635" i="6"/>
  <c r="I544" i="6"/>
  <c r="I572" i="6"/>
  <c r="I776" i="6"/>
  <c r="I744" i="6"/>
  <c r="I537" i="6"/>
  <c r="I249" i="6"/>
  <c r="I489" i="6"/>
  <c r="I28" i="6"/>
  <c r="I801" i="6"/>
  <c r="I75" i="17"/>
  <c r="I17" i="6"/>
  <c r="I295" i="6"/>
  <c r="I482" i="6"/>
  <c r="I335" i="6"/>
  <c r="I461" i="6"/>
  <c r="I453" i="6"/>
  <c r="I443" i="6"/>
  <c r="I435" i="6"/>
  <c r="I274" i="6"/>
  <c r="I266" i="6"/>
  <c r="I310" i="6"/>
  <c r="I289" i="6"/>
  <c r="I323" i="6"/>
  <c r="I427" i="6"/>
  <c r="I419" i="6"/>
  <c r="I411" i="6"/>
  <c r="I403" i="6"/>
  <c r="I395" i="6"/>
  <c r="I387" i="6"/>
  <c r="I379" i="6"/>
  <c r="I564" i="6"/>
  <c r="I555" i="6"/>
  <c r="I117" i="6"/>
  <c r="I375" i="6"/>
  <c r="I367" i="6"/>
  <c r="I359" i="6"/>
  <c r="I351" i="6"/>
  <c r="I343" i="6"/>
  <c r="I476" i="6"/>
  <c r="I467" i="6"/>
  <c r="I104" i="6"/>
  <c r="I93" i="6"/>
  <c r="I50" i="6"/>
  <c r="I37" i="6"/>
  <c r="I94" i="6"/>
  <c r="I82" i="6"/>
  <c r="I702" i="6"/>
  <c r="I689" i="6"/>
  <c r="I673" i="6"/>
  <c r="I657" i="6"/>
  <c r="I647" i="6"/>
  <c r="I631" i="6"/>
  <c r="I615" i="6"/>
  <c r="I539" i="6"/>
  <c r="I577" i="6"/>
  <c r="I526" i="6"/>
  <c r="I497" i="6"/>
  <c r="I772" i="6"/>
  <c r="I756" i="6"/>
  <c r="I738" i="6"/>
  <c r="I718" i="6"/>
  <c r="I531" i="6"/>
  <c r="I216" i="6"/>
  <c r="I794" i="6"/>
  <c r="I243" i="6"/>
  <c r="I158" i="6"/>
  <c r="I147" i="6"/>
  <c r="I24" i="6"/>
  <c r="I515" i="6"/>
  <c r="I24" i="17"/>
  <c r="I25" i="17"/>
  <c r="J25" i="17" s="1"/>
  <c r="K25" i="17" s="1"/>
  <c r="I52" i="17"/>
  <c r="I53" i="17"/>
  <c r="I54" i="17"/>
  <c r="I55" i="17"/>
  <c r="I86" i="17"/>
  <c r="J86" i="17" s="1"/>
  <c r="K86" i="17" s="1"/>
  <c r="I741" i="6"/>
  <c r="I707" i="6"/>
  <c r="I595" i="6"/>
  <c r="I547" i="6"/>
  <c r="I528" i="6"/>
  <c r="I485" i="6"/>
  <c r="I494" i="6"/>
  <c r="I570" i="6"/>
  <c r="I793" i="6"/>
  <c r="I518" i="6"/>
  <c r="I484" i="6"/>
  <c r="I569" i="6"/>
  <c r="I538" i="6"/>
  <c r="I506" i="6"/>
  <c r="I320" i="6"/>
  <c r="I553" i="6"/>
  <c r="I532" i="6"/>
  <c r="I303" i="6"/>
  <c r="I281" i="6"/>
  <c r="I259" i="6"/>
  <c r="I301" i="6"/>
  <c r="I282" i="6"/>
  <c r="I302" i="6"/>
  <c r="I260" i="6"/>
  <c r="I304" i="6"/>
  <c r="I283" i="6"/>
  <c r="I205" i="6"/>
  <c r="I181" i="6"/>
  <c r="I143" i="6"/>
  <c r="I106" i="6"/>
  <c r="I62" i="6"/>
  <c r="I39" i="6"/>
  <c r="I248" i="6"/>
  <c r="I199" i="6"/>
  <c r="I167" i="6"/>
  <c r="I134" i="6"/>
  <c r="I101" i="6"/>
  <c r="I54" i="6"/>
  <c r="I30" i="6"/>
  <c r="I233" i="6"/>
  <c r="I193" i="6"/>
  <c r="I159" i="6"/>
  <c r="I125" i="6"/>
  <c r="I71" i="6"/>
  <c r="I51" i="6"/>
  <c r="I19" i="6"/>
  <c r="I211" i="6"/>
  <c r="I187" i="6"/>
  <c r="I151" i="6"/>
  <c r="I110" i="6"/>
  <c r="I67" i="6"/>
  <c r="I43" i="6"/>
  <c r="I20" i="6"/>
  <c r="I171" i="6"/>
  <c r="I129" i="6"/>
  <c r="I169" i="6"/>
  <c r="I209" i="6"/>
  <c r="I203" i="6"/>
  <c r="I197" i="6"/>
  <c r="I191" i="6"/>
  <c r="I185" i="6"/>
  <c r="I170" i="6"/>
  <c r="I132" i="6"/>
  <c r="I128" i="6"/>
  <c r="I210" i="6"/>
  <c r="I208" i="6"/>
  <c r="I204" i="6"/>
  <c r="I202" i="6"/>
  <c r="I198" i="6"/>
  <c r="I196" i="6"/>
  <c r="I192" i="6"/>
  <c r="I190" i="6"/>
  <c r="I186" i="6"/>
  <c r="I184" i="6"/>
  <c r="I316" i="6"/>
  <c r="I173" i="6"/>
  <c r="I131" i="6"/>
  <c r="I172" i="6"/>
  <c r="I130" i="6"/>
  <c r="I207" i="6"/>
  <c r="I201" i="6"/>
  <c r="I195" i="6"/>
  <c r="I189" i="6"/>
  <c r="I183" i="6"/>
  <c r="I300" i="6"/>
  <c r="I741" i="17"/>
  <c r="I737" i="17"/>
  <c r="I734" i="17"/>
  <c r="I730" i="17"/>
  <c r="J730" i="17" s="1"/>
  <c r="K730" i="17" s="1"/>
  <c r="I726" i="17"/>
  <c r="I724" i="17"/>
  <c r="J724" i="17" s="1"/>
  <c r="K724" i="17" s="1"/>
  <c r="I722" i="17"/>
  <c r="I720" i="17"/>
  <c r="J720" i="17" s="1"/>
  <c r="K720" i="17" s="1"/>
  <c r="I719" i="17"/>
  <c r="I709" i="17"/>
  <c r="J709" i="17" s="1"/>
  <c r="K709" i="17" s="1"/>
  <c r="I705" i="17"/>
  <c r="J705" i="17" s="1"/>
  <c r="K705" i="17" s="1"/>
  <c r="I697" i="17"/>
  <c r="J697" i="17" s="1"/>
  <c r="K697" i="17" s="1"/>
  <c r="I696" i="17"/>
  <c r="I684" i="17"/>
  <c r="J684" i="17" s="1"/>
  <c r="K684" i="17" s="1"/>
  <c r="I683" i="17"/>
  <c r="J683" i="17" s="1"/>
  <c r="I681" i="17"/>
  <c r="J681" i="17" s="1"/>
  <c r="K681" i="17" s="1"/>
  <c r="I677" i="17"/>
  <c r="I676" i="17"/>
  <c r="J676" i="17" s="1"/>
  <c r="K676" i="17" s="1"/>
  <c r="I675" i="17"/>
  <c r="J675" i="17" s="1"/>
  <c r="K675" i="17" s="1"/>
  <c r="I674" i="17"/>
  <c r="J674" i="17" s="1"/>
  <c r="K674" i="17" s="1"/>
  <c r="I663" i="17"/>
  <c r="I662" i="17"/>
  <c r="I660" i="17"/>
  <c r="I657" i="17"/>
  <c r="I652" i="17"/>
  <c r="J652" i="17" s="1"/>
  <c r="K652" i="17" s="1"/>
  <c r="I651" i="17"/>
  <c r="J651" i="17" s="1"/>
  <c r="K651" i="17" s="1"/>
  <c r="I650" i="17"/>
  <c r="J650" i="17" s="1"/>
  <c r="K650" i="17" s="1"/>
  <c r="I640" i="17"/>
  <c r="I633" i="17"/>
  <c r="I628" i="17"/>
  <c r="J628" i="17" s="1"/>
  <c r="K628" i="17" s="1"/>
  <c r="I627" i="17"/>
  <c r="I623" i="17"/>
  <c r="J623" i="17" s="1"/>
  <c r="K623" i="17" s="1"/>
  <c r="I619" i="17"/>
  <c r="I615" i="17"/>
  <c r="J615" i="17" s="1"/>
  <c r="K615" i="17" s="1"/>
  <c r="I611" i="17"/>
  <c r="I608" i="17"/>
  <c r="J608" i="17" s="1"/>
  <c r="K608" i="17" s="1"/>
  <c r="I607" i="17"/>
  <c r="J607" i="17" s="1"/>
  <c r="K607" i="17" s="1"/>
  <c r="I598" i="17"/>
  <c r="J598" i="17" s="1"/>
  <c r="K598" i="17" s="1"/>
  <c r="I592" i="17"/>
  <c r="J592" i="17" s="1"/>
  <c r="K592" i="17" s="1"/>
  <c r="I591" i="17"/>
  <c r="J591" i="17" s="1"/>
  <c r="K591" i="17" s="1"/>
  <c r="I590" i="17"/>
  <c r="I585" i="17"/>
  <c r="J585" i="17" s="1"/>
  <c r="K585" i="17" s="1"/>
  <c r="I583" i="17"/>
  <c r="J583" i="17" s="1"/>
  <c r="K583" i="17" s="1"/>
  <c r="I577" i="17"/>
  <c r="I576" i="17"/>
  <c r="I559" i="17"/>
  <c r="I556" i="17"/>
  <c r="J556" i="17" s="1"/>
  <c r="K556" i="17" s="1"/>
  <c r="I551" i="17"/>
  <c r="J551" i="17" s="1"/>
  <c r="K551" i="17" s="1"/>
  <c r="I545" i="17"/>
  <c r="I541" i="17"/>
  <c r="J541" i="17" s="1"/>
  <c r="K541" i="17" s="1"/>
  <c r="I539" i="17"/>
  <c r="J539" i="17" s="1"/>
  <c r="K539" i="17" s="1"/>
  <c r="I537" i="17"/>
  <c r="J537" i="17" s="1"/>
  <c r="K537" i="17" s="1"/>
  <c r="I535" i="17"/>
  <c r="I533" i="17"/>
  <c r="J533" i="17" s="1"/>
  <c r="K533" i="17" s="1"/>
  <c r="I531" i="17"/>
  <c r="I529" i="17"/>
  <c r="J529" i="17" s="1"/>
  <c r="K529" i="17" s="1"/>
  <c r="I527" i="17"/>
  <c r="I525" i="17"/>
  <c r="J525" i="17" s="1"/>
  <c r="K525" i="17" s="1"/>
  <c r="I523" i="17"/>
  <c r="J523" i="17" s="1"/>
  <c r="K523" i="17" s="1"/>
  <c r="I521" i="17"/>
  <c r="J521" i="17" s="1"/>
  <c r="K521" i="17" s="1"/>
  <c r="I518" i="17"/>
  <c r="J518" i="17" s="1"/>
  <c r="K518" i="17" s="1"/>
  <c r="I517" i="17"/>
  <c r="J517" i="17" s="1"/>
  <c r="K517" i="17" s="1"/>
  <c r="I509" i="17"/>
  <c r="I508" i="17"/>
  <c r="J508" i="17" s="1"/>
  <c r="K508" i="17" s="1"/>
  <c r="I507" i="17"/>
  <c r="J507" i="17" s="1"/>
  <c r="K507" i="17" s="1"/>
  <c r="I502" i="17"/>
  <c r="J502" i="17" s="1"/>
  <c r="K502" i="17" s="1"/>
  <c r="I489" i="17"/>
  <c r="I487" i="17"/>
  <c r="J487" i="17" s="1"/>
  <c r="K487" i="17" s="1"/>
  <c r="I478" i="17"/>
  <c r="J478" i="17" s="1"/>
  <c r="K478" i="17" s="1"/>
  <c r="I471" i="17"/>
  <c r="I739" i="17"/>
  <c r="I731" i="17"/>
  <c r="J731" i="17" s="1"/>
  <c r="K731" i="17" s="1"/>
  <c r="I727" i="17"/>
  <c r="I725" i="17"/>
  <c r="J725" i="17" s="1"/>
  <c r="K725" i="17" s="1"/>
  <c r="I723" i="17"/>
  <c r="J723" i="17" s="1"/>
  <c r="K723" i="17" s="1"/>
  <c r="I721" i="17"/>
  <c r="J721" i="17" s="1"/>
  <c r="K721" i="17" s="1"/>
  <c r="I713" i="17"/>
  <c r="I710" i="17"/>
  <c r="J710" i="17" s="1"/>
  <c r="K710" i="17" s="1"/>
  <c r="I706" i="17"/>
  <c r="J706" i="17" s="1"/>
  <c r="K706" i="17" s="1"/>
  <c r="I702" i="17"/>
  <c r="I699" i="17"/>
  <c r="J699" i="17" s="1"/>
  <c r="K699" i="17" s="1"/>
  <c r="I698" i="17"/>
  <c r="J698" i="17" s="1"/>
  <c r="K698" i="17" s="1"/>
  <c r="I691" i="17"/>
  <c r="I686" i="17"/>
  <c r="J686" i="17" s="1"/>
  <c r="K686" i="17" s="1"/>
  <c r="I685" i="17"/>
  <c r="J685" i="17" s="1"/>
  <c r="K685" i="17" s="1"/>
  <c r="I678" i="17"/>
  <c r="I673" i="17"/>
  <c r="I672" i="17"/>
  <c r="I671" i="17"/>
  <c r="I664" i="17"/>
  <c r="J664" i="17" s="1"/>
  <c r="K664" i="17" s="1"/>
  <c r="I661" i="17"/>
  <c r="J661" i="17" s="1"/>
  <c r="K661" i="17" s="1"/>
  <c r="I656" i="17"/>
  <c r="I649" i="17"/>
  <c r="I639" i="17"/>
  <c r="J639" i="17" s="1"/>
  <c r="K639" i="17" s="1"/>
  <c r="I632" i="17"/>
  <c r="I630" i="17"/>
  <c r="J630" i="17" s="1"/>
  <c r="K630" i="17" s="1"/>
  <c r="I629" i="17"/>
  <c r="J629" i="17" s="1"/>
  <c r="K629" i="17" s="1"/>
  <c r="I626" i="17"/>
  <c r="I620" i="17"/>
  <c r="J620" i="17" s="1"/>
  <c r="K620" i="17" s="1"/>
  <c r="I616" i="17"/>
  <c r="J616" i="17" s="1"/>
  <c r="K616" i="17" s="1"/>
  <c r="I612" i="17"/>
  <c r="I610" i="17"/>
  <c r="J610" i="17" s="1"/>
  <c r="K610" i="17" s="1"/>
  <c r="I609" i="17"/>
  <c r="J609" i="17" s="1"/>
  <c r="K609" i="17" s="1"/>
  <c r="I602" i="17"/>
  <c r="J602" i="17" s="1"/>
  <c r="K602" i="17" s="1"/>
  <c r="I601" i="17"/>
  <c r="I599" i="17"/>
  <c r="J599" i="17" s="1"/>
  <c r="K599" i="17" s="1"/>
  <c r="I593" i="17"/>
  <c r="I584" i="17"/>
  <c r="I582" i="17"/>
  <c r="I575" i="17"/>
  <c r="I565" i="17"/>
  <c r="I564" i="17"/>
  <c r="I563" i="17"/>
  <c r="I558" i="17"/>
  <c r="J558" i="17" s="1"/>
  <c r="J557" i="17" s="1"/>
  <c r="I557" i="17"/>
  <c r="I555" i="17"/>
  <c r="J555" i="17" s="1"/>
  <c r="K555" i="17" s="1"/>
  <c r="I554" i="17"/>
  <c r="J554" i="17" s="1"/>
  <c r="K554" i="17" s="1"/>
  <c r="I553" i="17"/>
  <c r="J553" i="17" s="1"/>
  <c r="K553" i="17" s="1"/>
  <c r="I552" i="17"/>
  <c r="J552" i="17" s="1"/>
  <c r="K552" i="17" s="1"/>
  <c r="I550" i="17"/>
  <c r="J550" i="17" s="1"/>
  <c r="K550" i="17" s="1"/>
  <c r="I542" i="17"/>
  <c r="J542" i="17" s="1"/>
  <c r="K542" i="17" s="1"/>
  <c r="I540" i="17"/>
  <c r="J540" i="17" s="1"/>
  <c r="K540" i="17" s="1"/>
  <c r="I538" i="17"/>
  <c r="J538" i="17" s="1"/>
  <c r="K538" i="17" s="1"/>
  <c r="I536" i="17"/>
  <c r="J536" i="17" s="1"/>
  <c r="K536" i="17" s="1"/>
  <c r="I534" i="17"/>
  <c r="J534" i="17" s="1"/>
  <c r="K534" i="17" s="1"/>
  <c r="I532" i="17"/>
  <c r="I530" i="17"/>
  <c r="J530" i="17" s="1"/>
  <c r="K530" i="17" s="1"/>
  <c r="I528" i="17"/>
  <c r="I526" i="17"/>
  <c r="I524" i="17"/>
  <c r="J524" i="17" s="1"/>
  <c r="K524" i="17" s="1"/>
  <c r="I522" i="17"/>
  <c r="J522" i="17" s="1"/>
  <c r="K522" i="17" s="1"/>
  <c r="I520" i="17"/>
  <c r="J520" i="17" s="1"/>
  <c r="K520" i="17" s="1"/>
  <c r="I519" i="17"/>
  <c r="J519" i="17" s="1"/>
  <c r="K519" i="17" s="1"/>
  <c r="I506" i="17"/>
  <c r="J506" i="17" s="1"/>
  <c r="I505" i="17"/>
  <c r="I499" i="17"/>
  <c r="J499" i="17" s="1"/>
  <c r="K499" i="17" s="1"/>
  <c r="I498" i="17"/>
  <c r="I496" i="17"/>
  <c r="J496" i="17" s="1"/>
  <c r="K496" i="17" s="1"/>
  <c r="I495" i="17"/>
  <c r="I494" i="17"/>
  <c r="J494" i="17" s="1"/>
  <c r="K494" i="17" s="1"/>
  <c r="I493" i="17"/>
  <c r="J493" i="17" s="1"/>
  <c r="K493" i="17" s="1"/>
  <c r="I488" i="17"/>
  <c r="J488" i="17" s="1"/>
  <c r="K488" i="17" s="1"/>
  <c r="I481" i="17"/>
  <c r="I479" i="17"/>
  <c r="J479" i="17" s="1"/>
  <c r="K479" i="17" s="1"/>
  <c r="I472" i="17"/>
  <c r="J472" i="17" s="1"/>
  <c r="K472" i="17" s="1"/>
  <c r="I468" i="17"/>
  <c r="I466" i="17"/>
  <c r="I459" i="17"/>
  <c r="I456" i="17"/>
  <c r="J456" i="17" s="1"/>
  <c r="K456" i="17" s="1"/>
  <c r="I448" i="17"/>
  <c r="J448" i="17" s="1"/>
  <c r="K448" i="17" s="1"/>
  <c r="I447" i="17"/>
  <c r="J447" i="17" s="1"/>
  <c r="K447" i="17" s="1"/>
  <c r="I444" i="17"/>
  <c r="J444" i="17" s="1"/>
  <c r="K444" i="17" s="1"/>
  <c r="I443" i="17"/>
  <c r="J443" i="17" s="1"/>
  <c r="K443" i="17" s="1"/>
  <c r="I728" i="17"/>
  <c r="J728" i="17" s="1"/>
  <c r="K728" i="17" s="1"/>
  <c r="I708" i="17"/>
  <c r="J708" i="17" s="1"/>
  <c r="K708" i="17" s="1"/>
  <c r="I701" i="17"/>
  <c r="J701" i="17" s="1"/>
  <c r="K701" i="17" s="1"/>
  <c r="I700" i="17"/>
  <c r="J700" i="17" s="1"/>
  <c r="K700" i="17" s="1"/>
  <c r="I693" i="17"/>
  <c r="J693" i="17" s="1"/>
  <c r="K693" i="17" s="1"/>
  <c r="I692" i="17"/>
  <c r="J692" i="17" s="1"/>
  <c r="K692" i="17" s="1"/>
  <c r="I689" i="17"/>
  <c r="J689" i="17" s="1"/>
  <c r="K689" i="17" s="1"/>
  <c r="I682" i="17"/>
  <c r="I653" i="17"/>
  <c r="J653" i="17" s="1"/>
  <c r="K653" i="17" s="1"/>
  <c r="I647" i="17"/>
  <c r="J647" i="17" s="1"/>
  <c r="K647" i="17" s="1"/>
  <c r="I642" i="17"/>
  <c r="J642" i="17" s="1"/>
  <c r="K642" i="17" s="1"/>
  <c r="I641" i="17"/>
  <c r="I618" i="17"/>
  <c r="J618" i="17" s="1"/>
  <c r="K618" i="17" s="1"/>
  <c r="I606" i="17"/>
  <c r="J606" i="17" s="1"/>
  <c r="K606" i="17" s="1"/>
  <c r="I605" i="17"/>
  <c r="J605" i="17" s="1"/>
  <c r="K605" i="17" s="1"/>
  <c r="I597" i="17"/>
  <c r="I589" i="17"/>
  <c r="J589" i="17" s="1"/>
  <c r="K589" i="17" s="1"/>
  <c r="I588" i="17"/>
  <c r="J588" i="17" s="1"/>
  <c r="K588" i="17" s="1"/>
  <c r="I587" i="17"/>
  <c r="J587" i="17" s="1"/>
  <c r="K587" i="17" s="1"/>
  <c r="I586" i="17"/>
  <c r="J586" i="17" s="1"/>
  <c r="K586" i="17" s="1"/>
  <c r="I578" i="17"/>
  <c r="J578" i="17" s="1"/>
  <c r="K578" i="17" s="1"/>
  <c r="I574" i="17"/>
  <c r="I572" i="17"/>
  <c r="J572" i="17" s="1"/>
  <c r="J571" i="17" s="1"/>
  <c r="I571" i="17"/>
  <c r="I568" i="17"/>
  <c r="J568" i="17" s="1"/>
  <c r="K568" i="17" s="1"/>
  <c r="I566" i="17"/>
  <c r="J566" i="17" s="1"/>
  <c r="K566" i="17" s="1"/>
  <c r="I546" i="17"/>
  <c r="I514" i="17"/>
  <c r="I513" i="17"/>
  <c r="I511" i="17"/>
  <c r="J511" i="17" s="1"/>
  <c r="K511" i="17" s="1"/>
  <c r="I503" i="17"/>
  <c r="J503" i="17" s="1"/>
  <c r="K503" i="17" s="1"/>
  <c r="I497" i="17"/>
  <c r="J497" i="17" s="1"/>
  <c r="K497" i="17" s="1"/>
  <c r="I492" i="17"/>
  <c r="J492" i="17" s="1"/>
  <c r="K492" i="17" s="1"/>
  <c r="I480" i="17"/>
  <c r="J480" i="17" s="1"/>
  <c r="K480" i="17" s="1"/>
  <c r="I469" i="17"/>
  <c r="J469" i="17" s="1"/>
  <c r="K469" i="17" s="1"/>
  <c r="I462" i="17"/>
  <c r="I455" i="17"/>
  <c r="J455" i="17" s="1"/>
  <c r="K455" i="17" s="1"/>
  <c r="I454" i="17"/>
  <c r="J454" i="17" s="1"/>
  <c r="K454" i="17" s="1"/>
  <c r="I453" i="17"/>
  <c r="J453" i="17" s="1"/>
  <c r="K453" i="17" s="1"/>
  <c r="I452" i="17"/>
  <c r="I450" i="17"/>
  <c r="I446" i="17"/>
  <c r="J446" i="17" s="1"/>
  <c r="K446" i="17" s="1"/>
  <c r="I445" i="17"/>
  <c r="I740" i="17"/>
  <c r="I729" i="17"/>
  <c r="I711" i="17"/>
  <c r="J711" i="17" s="1"/>
  <c r="K711" i="17" s="1"/>
  <c r="I703" i="17"/>
  <c r="J703" i="17" s="1"/>
  <c r="K703" i="17" s="1"/>
  <c r="I695" i="17"/>
  <c r="J695" i="17" s="1"/>
  <c r="K695" i="17" s="1"/>
  <c r="I694" i="17"/>
  <c r="J694" i="17" s="1"/>
  <c r="K694" i="17" s="1"/>
  <c r="I638" i="17"/>
  <c r="J638" i="17" s="1"/>
  <c r="K638" i="17" s="1"/>
  <c r="I637" i="17"/>
  <c r="J637" i="17" s="1"/>
  <c r="K637" i="17" s="1"/>
  <c r="I636" i="17"/>
  <c r="I635" i="17"/>
  <c r="J635" i="17" s="1"/>
  <c r="K635" i="17" s="1"/>
  <c r="I621" i="17"/>
  <c r="J621" i="17" s="1"/>
  <c r="K621" i="17" s="1"/>
  <c r="I613" i="17"/>
  <c r="J613" i="17" s="1"/>
  <c r="K613" i="17" s="1"/>
  <c r="I600" i="17"/>
  <c r="I573" i="17"/>
  <c r="J573" i="17" s="1"/>
  <c r="K573" i="17" s="1"/>
  <c r="I570" i="17"/>
  <c r="I569" i="17"/>
  <c r="J569" i="17" s="1"/>
  <c r="K569" i="17" s="1"/>
  <c r="I567" i="17"/>
  <c r="J567" i="17" s="1"/>
  <c r="K567" i="17" s="1"/>
  <c r="I562" i="17"/>
  <c r="I561" i="17"/>
  <c r="I516" i="17"/>
  <c r="J516" i="17" s="1"/>
  <c r="K516" i="17" s="1"/>
  <c r="I515" i="17"/>
  <c r="J515" i="17" s="1"/>
  <c r="K515" i="17" s="1"/>
  <c r="I512" i="17"/>
  <c r="I510" i="17"/>
  <c r="J510" i="17" s="1"/>
  <c r="K510" i="17" s="1"/>
  <c r="I491" i="17"/>
  <c r="I490" i="17"/>
  <c r="I485" i="17"/>
  <c r="I483" i="17"/>
  <c r="J483" i="17" s="1"/>
  <c r="K483" i="17" s="1"/>
  <c r="I482" i="17"/>
  <c r="J482" i="17" s="1"/>
  <c r="K482" i="17" s="1"/>
  <c r="I470" i="17"/>
  <c r="I467" i="17"/>
  <c r="I458" i="17"/>
  <c r="J458" i="17" s="1"/>
  <c r="K458" i="17" s="1"/>
  <c r="I457" i="17"/>
  <c r="J457" i="17" s="1"/>
  <c r="K457" i="17" s="1"/>
  <c r="I451" i="17"/>
  <c r="J451" i="17" s="1"/>
  <c r="I449" i="17"/>
  <c r="I439" i="17"/>
  <c r="J439" i="17" s="1"/>
  <c r="K439" i="17" s="1"/>
  <c r="I437" i="17"/>
  <c r="J437" i="17" s="1"/>
  <c r="K437" i="17" s="1"/>
  <c r="I436" i="17"/>
  <c r="J436" i="17" s="1"/>
  <c r="K436" i="17" s="1"/>
  <c r="I430" i="17"/>
  <c r="J430" i="17" s="1"/>
  <c r="K430" i="17" s="1"/>
  <c r="I429" i="17"/>
  <c r="I424" i="17"/>
  <c r="I421" i="17"/>
  <c r="J421" i="17" s="1"/>
  <c r="K421" i="17" s="1"/>
  <c r="I417" i="17"/>
  <c r="J417" i="17" s="1"/>
  <c r="K417" i="17" s="1"/>
  <c r="I409" i="17"/>
  <c r="J409" i="17" s="1"/>
  <c r="K409" i="17" s="1"/>
  <c r="I408" i="17"/>
  <c r="J408" i="17" s="1"/>
  <c r="K408" i="17" s="1"/>
  <c r="I401" i="17"/>
  <c r="J401" i="17" s="1"/>
  <c r="K401" i="17" s="1"/>
  <c r="I400" i="17"/>
  <c r="I393" i="17"/>
  <c r="J393" i="17" s="1"/>
  <c r="K393" i="17" s="1"/>
  <c r="I392" i="17"/>
  <c r="J392" i="17" s="1"/>
  <c r="K392" i="17" s="1"/>
  <c r="I385" i="17"/>
  <c r="J385" i="17" s="1"/>
  <c r="K385" i="17" s="1"/>
  <c r="I384" i="17"/>
  <c r="J384" i="17" s="1"/>
  <c r="K384" i="17" s="1"/>
  <c r="I377" i="17"/>
  <c r="J377" i="17" s="1"/>
  <c r="K377" i="17" s="1"/>
  <c r="I376" i="17"/>
  <c r="I372" i="17"/>
  <c r="I369" i="17"/>
  <c r="J369" i="17" s="1"/>
  <c r="K369" i="17" s="1"/>
  <c r="I368" i="17"/>
  <c r="J368" i="17" s="1"/>
  <c r="K368" i="17" s="1"/>
  <c r="I364" i="17"/>
  <c r="I362" i="17"/>
  <c r="J362" i="17" s="1"/>
  <c r="K362" i="17" s="1"/>
  <c r="I361" i="17"/>
  <c r="I360" i="17"/>
  <c r="I358" i="17"/>
  <c r="J358" i="17" s="1"/>
  <c r="K358" i="17" s="1"/>
  <c r="I343" i="17"/>
  <c r="J343" i="17" s="1"/>
  <c r="K343" i="17" s="1"/>
  <c r="I342" i="17"/>
  <c r="J342" i="17" s="1"/>
  <c r="K342" i="17" s="1"/>
  <c r="I337" i="17"/>
  <c r="I335" i="17"/>
  <c r="J335" i="17" s="1"/>
  <c r="K335" i="17" s="1"/>
  <c r="I334" i="17"/>
  <c r="I332" i="17"/>
  <c r="I326" i="17"/>
  <c r="I324" i="17"/>
  <c r="J324" i="17" s="1"/>
  <c r="K324" i="17" s="1"/>
  <c r="I320" i="17"/>
  <c r="J320" i="17" s="1"/>
  <c r="K320" i="17" s="1"/>
  <c r="I316" i="17"/>
  <c r="J316" i="17" s="1"/>
  <c r="K316" i="17" s="1"/>
  <c r="I307" i="17"/>
  <c r="J307" i="17" s="1"/>
  <c r="K307" i="17" s="1"/>
  <c r="I306" i="17"/>
  <c r="J306" i="17" s="1"/>
  <c r="K306" i="17" s="1"/>
  <c r="I300" i="17"/>
  <c r="J300" i="17" s="1"/>
  <c r="K300" i="17" s="1"/>
  <c r="I298" i="17"/>
  <c r="J298" i="17" s="1"/>
  <c r="K298" i="17" s="1"/>
  <c r="I297" i="17"/>
  <c r="I286" i="17"/>
  <c r="J286" i="17" s="1"/>
  <c r="K286" i="17" s="1"/>
  <c r="I272" i="17"/>
  <c r="I267" i="17"/>
  <c r="J267" i="17" s="1"/>
  <c r="K267" i="17" s="1"/>
  <c r="I718" i="17"/>
  <c r="J718" i="17" s="1"/>
  <c r="K718" i="17" s="1"/>
  <c r="I717" i="17"/>
  <c r="I715" i="17"/>
  <c r="J715" i="17" s="1"/>
  <c r="K715" i="17" s="1"/>
  <c r="I679" i="17"/>
  <c r="J679" i="17" s="1"/>
  <c r="K679" i="17" s="1"/>
  <c r="I670" i="17"/>
  <c r="I668" i="17"/>
  <c r="J668" i="17" s="1"/>
  <c r="K668" i="17" s="1"/>
  <c r="I667" i="17"/>
  <c r="J667" i="17" s="1"/>
  <c r="K667" i="17" s="1"/>
  <c r="I665" i="17"/>
  <c r="J665" i="17" s="1"/>
  <c r="K665" i="17" s="1"/>
  <c r="I659" i="17"/>
  <c r="J659" i="17" s="1"/>
  <c r="K659" i="17" s="1"/>
  <c r="I658" i="17"/>
  <c r="J658" i="17" s="1"/>
  <c r="K658" i="17" s="1"/>
  <c r="I631" i="17"/>
  <c r="J631" i="17" s="1"/>
  <c r="K631" i="17" s="1"/>
  <c r="I625" i="17"/>
  <c r="J625" i="17" s="1"/>
  <c r="K625" i="17" s="1"/>
  <c r="I624" i="17"/>
  <c r="I560" i="17"/>
  <c r="I543" i="17"/>
  <c r="J543" i="17" s="1"/>
  <c r="K543" i="17" s="1"/>
  <c r="I501" i="17"/>
  <c r="J501" i="17" s="1"/>
  <c r="K501" i="17" s="1"/>
  <c r="I477" i="17"/>
  <c r="J477" i="17" s="1"/>
  <c r="K477" i="17" s="1"/>
  <c r="I476" i="17"/>
  <c r="J476" i="17" s="1"/>
  <c r="K476" i="17" s="1"/>
  <c r="I473" i="17"/>
  <c r="I461" i="17"/>
  <c r="J461" i="17" s="1"/>
  <c r="K461" i="17" s="1"/>
  <c r="I441" i="17"/>
  <c r="J441" i="17" s="1"/>
  <c r="K441" i="17" s="1"/>
  <c r="I440" i="17"/>
  <c r="J440" i="17" s="1"/>
  <c r="K440" i="17" s="1"/>
  <c r="I426" i="17"/>
  <c r="I411" i="17"/>
  <c r="J411" i="17" s="1"/>
  <c r="K411" i="17" s="1"/>
  <c r="I410" i="17"/>
  <c r="J410" i="17" s="1"/>
  <c r="K410" i="17" s="1"/>
  <c r="I407" i="17"/>
  <c r="J407" i="17" s="1"/>
  <c r="K407" i="17" s="1"/>
  <c r="I406" i="17"/>
  <c r="J406" i="17" s="1"/>
  <c r="K406" i="17" s="1"/>
  <c r="I395" i="17"/>
  <c r="J395" i="17" s="1"/>
  <c r="K395" i="17" s="1"/>
  <c r="I394" i="17"/>
  <c r="J394" i="17" s="1"/>
  <c r="K394" i="17" s="1"/>
  <c r="I391" i="17"/>
  <c r="J391" i="17" s="1"/>
  <c r="K391" i="17" s="1"/>
  <c r="I390" i="17"/>
  <c r="J390" i="17" s="1"/>
  <c r="K390" i="17" s="1"/>
  <c r="I379" i="17"/>
  <c r="J379" i="17" s="1"/>
  <c r="K379" i="17" s="1"/>
  <c r="I378" i="17"/>
  <c r="J378" i="17" s="1"/>
  <c r="K378" i="17" s="1"/>
  <c r="I375" i="17"/>
  <c r="J375" i="17" s="1"/>
  <c r="K375" i="17" s="1"/>
  <c r="I374" i="17"/>
  <c r="I365" i="17"/>
  <c r="I363" i="17"/>
  <c r="J363" i="17" s="1"/>
  <c r="K363" i="17" s="1"/>
  <c r="I350" i="17"/>
  <c r="J350" i="17" s="1"/>
  <c r="K350" i="17" s="1"/>
  <c r="I348" i="17"/>
  <c r="I347" i="17"/>
  <c r="J347" i="17" s="1"/>
  <c r="K347" i="17" s="1"/>
  <c r="I338" i="17"/>
  <c r="J338" i="17" s="1"/>
  <c r="K338" i="17" s="1"/>
  <c r="I328" i="17"/>
  <c r="J328" i="17" s="1"/>
  <c r="K328" i="17" s="1"/>
  <c r="I327" i="17"/>
  <c r="J327" i="17" s="1"/>
  <c r="I323" i="17"/>
  <c r="J323" i="17" s="1"/>
  <c r="K323" i="17" s="1"/>
  <c r="I312" i="17"/>
  <c r="J312" i="17" s="1"/>
  <c r="K312" i="17" s="1"/>
  <c r="I311" i="17"/>
  <c r="I308" i="17"/>
  <c r="J308" i="17" s="1"/>
  <c r="K308" i="17" s="1"/>
  <c r="I305" i="17"/>
  <c r="J305" i="17" s="1"/>
  <c r="K305" i="17" s="1"/>
  <c r="I304" i="17"/>
  <c r="I302" i="17"/>
  <c r="I282" i="17"/>
  <c r="I271" i="17"/>
  <c r="J271" i="17" s="1"/>
  <c r="K271" i="17" s="1"/>
  <c r="I270" i="17"/>
  <c r="J270" i="17" s="1"/>
  <c r="K270" i="17" s="1"/>
  <c r="I269" i="17"/>
  <c r="J269" i="17" s="1"/>
  <c r="K269" i="17" s="1"/>
  <c r="I266" i="17"/>
  <c r="I254" i="17"/>
  <c r="J254" i="17" s="1"/>
  <c r="K254" i="17" s="1"/>
  <c r="I250" i="17"/>
  <c r="J250" i="17" s="1"/>
  <c r="K250" i="17" s="1"/>
  <c r="I249" i="17"/>
  <c r="J249" i="17" s="1"/>
  <c r="K249" i="17" s="1"/>
  <c r="I238" i="17"/>
  <c r="I237" i="17"/>
  <c r="J237" i="17" s="1"/>
  <c r="K237" i="17" s="1"/>
  <c r="I236" i="17"/>
  <c r="J236" i="17" s="1"/>
  <c r="K236" i="17" s="1"/>
  <c r="I235" i="17"/>
  <c r="J235" i="17" s="1"/>
  <c r="K235" i="17" s="1"/>
  <c r="I224" i="17"/>
  <c r="I223" i="17"/>
  <c r="J223" i="17" s="1"/>
  <c r="K223" i="17" s="1"/>
  <c r="I222" i="17"/>
  <c r="I210" i="17"/>
  <c r="I202" i="17"/>
  <c r="I190" i="17"/>
  <c r="J190" i="17" s="1"/>
  <c r="K190" i="17" s="1"/>
  <c r="I189" i="17"/>
  <c r="J189" i="17" s="1"/>
  <c r="K189" i="17" s="1"/>
  <c r="I184" i="17"/>
  <c r="J184" i="17" s="1"/>
  <c r="K184" i="17" s="1"/>
  <c r="I183" i="17"/>
  <c r="J183" i="17" s="1"/>
  <c r="K183" i="17" s="1"/>
  <c r="I182" i="17"/>
  <c r="J182" i="17" s="1"/>
  <c r="K182" i="17" s="1"/>
  <c r="I173" i="17"/>
  <c r="I170" i="17"/>
  <c r="J170" i="17" s="1"/>
  <c r="K170" i="17" s="1"/>
  <c r="I162" i="17"/>
  <c r="I157" i="17"/>
  <c r="J157" i="17" s="1"/>
  <c r="K157" i="17" s="1"/>
  <c r="I156" i="17"/>
  <c r="J156" i="17" s="1"/>
  <c r="I151" i="17"/>
  <c r="J151" i="17" s="1"/>
  <c r="K151" i="17" s="1"/>
  <c r="I150" i="17"/>
  <c r="J150" i="17" s="1"/>
  <c r="K150" i="17" s="1"/>
  <c r="I148" i="17"/>
  <c r="J148" i="17" s="1"/>
  <c r="I146" i="17"/>
  <c r="J146" i="17" s="1"/>
  <c r="K146" i="17" s="1"/>
  <c r="I142" i="17"/>
  <c r="J142" i="17" s="1"/>
  <c r="K142" i="17" s="1"/>
  <c r="I138" i="17"/>
  <c r="J138" i="17" s="1"/>
  <c r="K138" i="17" s="1"/>
  <c r="I134" i="17"/>
  <c r="J134" i="17" s="1"/>
  <c r="K134" i="17" s="1"/>
  <c r="I130" i="17"/>
  <c r="J130" i="17" s="1"/>
  <c r="K130" i="17" s="1"/>
  <c r="I126" i="17"/>
  <c r="J126" i="17" s="1"/>
  <c r="K126" i="17" s="1"/>
  <c r="I125" i="17"/>
  <c r="I123" i="17"/>
  <c r="J123" i="17" s="1"/>
  <c r="K123" i="17" s="1"/>
  <c r="I119" i="17"/>
  <c r="I111" i="17"/>
  <c r="I107" i="17"/>
  <c r="J107" i="17" s="1"/>
  <c r="K107" i="17" s="1"/>
  <c r="I105" i="17"/>
  <c r="J105" i="17" s="1"/>
  <c r="K105" i="17" s="1"/>
  <c r="I101" i="17"/>
  <c r="J101" i="17" s="1"/>
  <c r="I99" i="17"/>
  <c r="I89" i="17"/>
  <c r="I85" i="17"/>
  <c r="I83" i="17"/>
  <c r="I82" i="17"/>
  <c r="I81" i="17"/>
  <c r="I80" i="17"/>
  <c r="J80" i="17" s="1"/>
  <c r="K80" i="17" s="1"/>
  <c r="I78" i="17"/>
  <c r="I77" i="17"/>
  <c r="I76" i="17"/>
  <c r="I67" i="17"/>
  <c r="I63" i="17"/>
  <c r="I62" i="17"/>
  <c r="I56" i="17"/>
  <c r="I49" i="17"/>
  <c r="I736" i="17"/>
  <c r="I733" i="17"/>
  <c r="I707" i="17"/>
  <c r="I688" i="17"/>
  <c r="J688" i="17" s="1"/>
  <c r="K688" i="17" s="1"/>
  <c r="I687" i="17"/>
  <c r="J687" i="17" s="1"/>
  <c r="K687" i="17" s="1"/>
  <c r="I646" i="17"/>
  <c r="J646" i="17" s="1"/>
  <c r="K646" i="17" s="1"/>
  <c r="I645" i="17"/>
  <c r="J645" i="17" s="1"/>
  <c r="K645" i="17" s="1"/>
  <c r="I644" i="17"/>
  <c r="I643" i="17"/>
  <c r="J643" i="17" s="1"/>
  <c r="K643" i="17" s="1"/>
  <c r="I617" i="17"/>
  <c r="J617" i="17" s="1"/>
  <c r="K617" i="17" s="1"/>
  <c r="I484" i="17"/>
  <c r="J484" i="17" s="1"/>
  <c r="K484" i="17" s="1"/>
  <c r="I434" i="17"/>
  <c r="J434" i="17" s="1"/>
  <c r="K434" i="17" s="1"/>
  <c r="I433" i="17"/>
  <c r="J433" i="17" s="1"/>
  <c r="K433" i="17" s="1"/>
  <c r="I432" i="17"/>
  <c r="J432" i="17" s="1"/>
  <c r="K432" i="17" s="1"/>
  <c r="I422" i="17"/>
  <c r="I419" i="17"/>
  <c r="I416" i="17"/>
  <c r="J416" i="17" s="1"/>
  <c r="I414" i="17"/>
  <c r="I403" i="17"/>
  <c r="J403" i="17" s="1"/>
  <c r="K403" i="17" s="1"/>
  <c r="I402" i="17"/>
  <c r="J402" i="17" s="1"/>
  <c r="K402" i="17" s="1"/>
  <c r="I399" i="17"/>
  <c r="J399" i="17" s="1"/>
  <c r="K399" i="17" s="1"/>
  <c r="I398" i="17"/>
  <c r="J398" i="17" s="1"/>
  <c r="K398" i="17" s="1"/>
  <c r="I387" i="17"/>
  <c r="J387" i="17" s="1"/>
  <c r="K387" i="17" s="1"/>
  <c r="I386" i="17"/>
  <c r="I383" i="17"/>
  <c r="J383" i="17" s="1"/>
  <c r="K383" i="17" s="1"/>
  <c r="I382" i="17"/>
  <c r="J382" i="17" s="1"/>
  <c r="K382" i="17" s="1"/>
  <c r="I357" i="17"/>
  <c r="I355" i="17"/>
  <c r="J355" i="17" s="1"/>
  <c r="K355" i="17" s="1"/>
  <c r="I354" i="17"/>
  <c r="I345" i="17"/>
  <c r="J345" i="17" s="1"/>
  <c r="K345" i="17" s="1"/>
  <c r="I344" i="17"/>
  <c r="I341" i="17"/>
  <c r="J341" i="17" s="1"/>
  <c r="K341" i="17" s="1"/>
  <c r="I331" i="17"/>
  <c r="J331" i="17" s="1"/>
  <c r="K331" i="17" s="1"/>
  <c r="I330" i="17"/>
  <c r="J330" i="17" s="1"/>
  <c r="K330" i="17" s="1"/>
  <c r="I321" i="17"/>
  <c r="J321" i="17" s="1"/>
  <c r="K321" i="17" s="1"/>
  <c r="I318" i="17"/>
  <c r="J318" i="17" s="1"/>
  <c r="K318" i="17" s="1"/>
  <c r="I315" i="17"/>
  <c r="J315" i="17" s="1"/>
  <c r="K315" i="17" s="1"/>
  <c r="I309" i="17"/>
  <c r="I292" i="17"/>
  <c r="I291" i="17"/>
  <c r="J291" i="17" s="1"/>
  <c r="K291" i="17" s="1"/>
  <c r="I289" i="17"/>
  <c r="I285" i="17"/>
  <c r="J285" i="17" s="1"/>
  <c r="K285" i="17" s="1"/>
  <c r="I279" i="17"/>
  <c r="J279" i="17" s="1"/>
  <c r="K279" i="17" s="1"/>
  <c r="I276" i="17"/>
  <c r="J276" i="17" s="1"/>
  <c r="K276" i="17" s="1"/>
  <c r="I275" i="17"/>
  <c r="I274" i="17"/>
  <c r="J274" i="17" s="1"/>
  <c r="K274" i="17" s="1"/>
  <c r="I273" i="17"/>
  <c r="I264" i="17"/>
  <c r="J264" i="17" s="1"/>
  <c r="K264" i="17" s="1"/>
  <c r="I262" i="17"/>
  <c r="J262" i="17" s="1"/>
  <c r="K262" i="17" s="1"/>
  <c r="I260" i="17"/>
  <c r="I259" i="17"/>
  <c r="J259" i="17" s="1"/>
  <c r="K259" i="17" s="1"/>
  <c r="I258" i="17"/>
  <c r="J258" i="17" s="1"/>
  <c r="K258" i="17" s="1"/>
  <c r="I257" i="17"/>
  <c r="J257" i="17" s="1"/>
  <c r="K257" i="17" s="1"/>
  <c r="I252" i="17"/>
  <c r="I244" i="17"/>
  <c r="J244" i="17" s="1"/>
  <c r="K244" i="17" s="1"/>
  <c r="I243" i="17"/>
  <c r="I230" i="17"/>
  <c r="J230" i="17" s="1"/>
  <c r="K230" i="17" s="1"/>
  <c r="I229" i="17"/>
  <c r="I218" i="17"/>
  <c r="I217" i="17"/>
  <c r="J217" i="17" s="1"/>
  <c r="K217" i="17" s="1"/>
  <c r="I216" i="17"/>
  <c r="J216" i="17" s="1"/>
  <c r="K216" i="17" s="1"/>
  <c r="I215" i="17"/>
  <c r="J215" i="17" s="1"/>
  <c r="K215" i="17" s="1"/>
  <c r="I208" i="17"/>
  <c r="J208" i="17" s="1"/>
  <c r="K208" i="17" s="1"/>
  <c r="I207" i="17"/>
  <c r="J207" i="17" s="1"/>
  <c r="K207" i="17" s="1"/>
  <c r="I200" i="17"/>
  <c r="J200" i="17" s="1"/>
  <c r="K200" i="17" s="1"/>
  <c r="I194" i="17"/>
  <c r="J194" i="17" s="1"/>
  <c r="K194" i="17" s="1"/>
  <c r="I186" i="17"/>
  <c r="I180" i="17"/>
  <c r="I178" i="17"/>
  <c r="J178" i="17" s="1"/>
  <c r="K178" i="17" s="1"/>
  <c r="I177" i="17"/>
  <c r="I175" i="17"/>
  <c r="I172" i="17"/>
  <c r="J172" i="17" s="1"/>
  <c r="K172" i="17" s="1"/>
  <c r="I166" i="17"/>
  <c r="I165" i="17"/>
  <c r="J165" i="17" s="1"/>
  <c r="K165" i="17" s="1"/>
  <c r="I161" i="17"/>
  <c r="I159" i="17"/>
  <c r="J159" i="17" s="1"/>
  <c r="K159" i="17" s="1"/>
  <c r="I154" i="17"/>
  <c r="I144" i="17"/>
  <c r="J144" i="17" s="1"/>
  <c r="K144" i="17" s="1"/>
  <c r="I140" i="17"/>
  <c r="I136" i="17"/>
  <c r="I132" i="17"/>
  <c r="J132" i="17" s="1"/>
  <c r="K132" i="17" s="1"/>
  <c r="I121" i="17"/>
  <c r="J121" i="17" s="1"/>
  <c r="K121" i="17" s="1"/>
  <c r="I648" i="17"/>
  <c r="I634" i="17"/>
  <c r="I604" i="17"/>
  <c r="I603" i="17"/>
  <c r="J603" i="17" s="1"/>
  <c r="K603" i="17" s="1"/>
  <c r="I504" i="17"/>
  <c r="I460" i="17"/>
  <c r="J460" i="17" s="1"/>
  <c r="K460" i="17" s="1"/>
  <c r="I435" i="17"/>
  <c r="J435" i="17" s="1"/>
  <c r="K435" i="17" s="1"/>
  <c r="I413" i="17"/>
  <c r="J413" i="17" s="1"/>
  <c r="K413" i="17" s="1"/>
  <c r="I412" i="17"/>
  <c r="J412" i="17" s="1"/>
  <c r="K412" i="17" s="1"/>
  <c r="I397" i="17"/>
  <c r="J397" i="17" s="1"/>
  <c r="K397" i="17" s="1"/>
  <c r="I396" i="17"/>
  <c r="J396" i="17" s="1"/>
  <c r="K396" i="17" s="1"/>
  <c r="I381" i="17"/>
  <c r="J381" i="17" s="1"/>
  <c r="K381" i="17" s="1"/>
  <c r="I380" i="17"/>
  <c r="I370" i="17"/>
  <c r="I367" i="17"/>
  <c r="I366" i="17"/>
  <c r="I359" i="17"/>
  <c r="I349" i="17"/>
  <c r="I333" i="17"/>
  <c r="J333" i="17" s="1"/>
  <c r="K333" i="17" s="1"/>
  <c r="I319" i="17"/>
  <c r="J319" i="17" s="1"/>
  <c r="K319" i="17" s="1"/>
  <c r="I314" i="17"/>
  <c r="J314" i="17" s="1"/>
  <c r="K314" i="17" s="1"/>
  <c r="I313" i="17"/>
  <c r="I303" i="17"/>
  <c r="I288" i="17"/>
  <c r="J288" i="17" s="1"/>
  <c r="K288" i="17" s="1"/>
  <c r="I287" i="17"/>
  <c r="I281" i="17"/>
  <c r="J281" i="17" s="1"/>
  <c r="K281" i="17" s="1"/>
  <c r="I280" i="17"/>
  <c r="J280" i="17" s="1"/>
  <c r="K280" i="17" s="1"/>
  <c r="I214" i="17"/>
  <c r="J214" i="17" s="1"/>
  <c r="K214" i="17" s="1"/>
  <c r="I213" i="17"/>
  <c r="J213" i="17" s="1"/>
  <c r="K213" i="17" s="1"/>
  <c r="I212" i="17"/>
  <c r="J212" i="17" s="1"/>
  <c r="K212" i="17" s="1"/>
  <c r="I211" i="17"/>
  <c r="J211" i="17" s="1"/>
  <c r="K211" i="17" s="1"/>
  <c r="I201" i="17"/>
  <c r="J201" i="17" s="1"/>
  <c r="K201" i="17" s="1"/>
  <c r="I179" i="17"/>
  <c r="I169" i="17"/>
  <c r="J169" i="17" s="1"/>
  <c r="K169" i="17" s="1"/>
  <c r="I168" i="17"/>
  <c r="J168" i="17" s="1"/>
  <c r="K168" i="17" s="1"/>
  <c r="I167" i="17"/>
  <c r="J167" i="17" s="1"/>
  <c r="K167" i="17" s="1"/>
  <c r="I164" i="17"/>
  <c r="J164" i="17" s="1"/>
  <c r="I163" i="17"/>
  <c r="J163" i="17" s="1"/>
  <c r="K163" i="17" s="1"/>
  <c r="I160" i="17"/>
  <c r="J160" i="17" s="1"/>
  <c r="I145" i="17"/>
  <c r="J145" i="17" s="1"/>
  <c r="K145" i="17" s="1"/>
  <c r="I137" i="17"/>
  <c r="J137" i="17" s="1"/>
  <c r="K137" i="17" s="1"/>
  <c r="I129" i="17"/>
  <c r="I109" i="17"/>
  <c r="J109" i="17" s="1"/>
  <c r="K109" i="17" s="1"/>
  <c r="I108" i="17"/>
  <c r="J108" i="17" s="1"/>
  <c r="K108" i="17" s="1"/>
  <c r="I104" i="17"/>
  <c r="J104" i="17" s="1"/>
  <c r="K104" i="17" s="1"/>
  <c r="I95" i="17"/>
  <c r="I94" i="17"/>
  <c r="I93" i="17"/>
  <c r="I92" i="17"/>
  <c r="I87" i="17"/>
  <c r="J87" i="17" s="1"/>
  <c r="K87" i="17" s="1"/>
  <c r="I84" i="17"/>
  <c r="I74" i="17"/>
  <c r="J74" i="17" s="1"/>
  <c r="K74" i="17" s="1"/>
  <c r="I72" i="17"/>
  <c r="I66" i="17"/>
  <c r="I65" i="17"/>
  <c r="I64" i="17"/>
  <c r="I61" i="17"/>
  <c r="I57" i="17"/>
  <c r="I51" i="17"/>
  <c r="I37" i="17"/>
  <c r="J37" i="17" s="1"/>
  <c r="K37" i="17" s="1"/>
  <c r="I34" i="17"/>
  <c r="J34" i="17" s="1"/>
  <c r="K34" i="17" s="1"/>
  <c r="I27" i="17"/>
  <c r="J27" i="17" s="1"/>
  <c r="K27" i="17" s="1"/>
  <c r="I26" i="17"/>
  <c r="J26" i="17" s="1"/>
  <c r="K26" i="17" s="1"/>
  <c r="I17" i="17"/>
  <c r="I16" i="17"/>
  <c r="I800" i="6"/>
  <c r="I508" i="6"/>
  <c r="I512" i="6"/>
  <c r="I516" i="6"/>
  <c r="I175" i="6"/>
  <c r="I194" i="6"/>
  <c r="I178" i="6"/>
  <c r="I25" i="6"/>
  <c r="I29" i="6"/>
  <c r="I138" i="6"/>
  <c r="I144" i="6"/>
  <c r="I148" i="6"/>
  <c r="I155" i="6"/>
  <c r="I161" i="6"/>
  <c r="I165" i="6"/>
  <c r="I166" i="6"/>
  <c r="I490" i="6"/>
  <c r="I493" i="6"/>
  <c r="I240" i="6"/>
  <c r="I244" i="6"/>
  <c r="I63" i="6"/>
  <c r="I66" i="6"/>
  <c r="I69" i="6"/>
  <c r="I795" i="6"/>
  <c r="I250" i="6"/>
  <c r="I254" i="6"/>
  <c r="I213" i="6"/>
  <c r="I217" i="6"/>
  <c r="I222" i="6"/>
  <c r="I226" i="6"/>
  <c r="I258" i="6"/>
  <c r="I533" i="6"/>
  <c r="I548" i="6"/>
  <c r="I711" i="6"/>
  <c r="I715" i="6"/>
  <c r="I719" i="6"/>
  <c r="I725" i="6"/>
  <c r="I730" i="6"/>
  <c r="I734" i="6"/>
  <c r="I739" i="6"/>
  <c r="I745" i="6"/>
  <c r="I749" i="6"/>
  <c r="I753" i="6"/>
  <c r="I757" i="6"/>
  <c r="I761" i="6"/>
  <c r="I765" i="6"/>
  <c r="I769" i="6"/>
  <c r="I773" i="6"/>
  <c r="I777" i="6"/>
  <c r="I781" i="6"/>
  <c r="I785" i="6"/>
  <c r="I498" i="6"/>
  <c r="I502" i="6"/>
  <c r="I519" i="6"/>
  <c r="I523" i="6"/>
  <c r="I527" i="6"/>
  <c r="I573" i="6"/>
  <c r="I579" i="6"/>
  <c r="I583" i="6"/>
  <c r="I586" i="6"/>
  <c r="I590" i="6"/>
  <c r="I594" i="6"/>
  <c r="I600" i="6"/>
  <c r="I541" i="6"/>
  <c r="I545" i="6"/>
  <c r="I608" i="6"/>
  <c r="I612" i="6"/>
  <c r="I616" i="6"/>
  <c r="I620" i="6"/>
  <c r="I624" i="6"/>
  <c r="I628" i="6"/>
  <c r="I632" i="6"/>
  <c r="I636" i="6"/>
  <c r="I640" i="6"/>
  <c r="I644" i="6"/>
  <c r="I648" i="6"/>
  <c r="I652" i="6"/>
  <c r="I790" i="6"/>
  <c r="I654" i="6"/>
  <c r="I658" i="6"/>
  <c r="I662" i="6"/>
  <c r="I666" i="6"/>
  <c r="I670" i="6"/>
  <c r="I674" i="6"/>
  <c r="I678" i="6"/>
  <c r="I682" i="6"/>
  <c r="I686" i="6"/>
  <c r="I690" i="6"/>
  <c r="I694" i="6"/>
  <c r="I698" i="6"/>
  <c r="I550" i="6"/>
  <c r="I703" i="6"/>
  <c r="I317" i="6"/>
  <c r="I75" i="6"/>
  <c r="I79" i="6"/>
  <c r="I83" i="6"/>
  <c r="I87" i="6"/>
  <c r="I714" i="17"/>
  <c r="J714" i="17" s="1"/>
  <c r="I712" i="17"/>
  <c r="I655" i="17"/>
  <c r="J655" i="17" s="1"/>
  <c r="K655" i="17" s="1"/>
  <c r="I654" i="17"/>
  <c r="J654" i="17" s="1"/>
  <c r="K654" i="17" s="1"/>
  <c r="I614" i="17"/>
  <c r="J614" i="17" s="1"/>
  <c r="K614" i="17" s="1"/>
  <c r="I596" i="17"/>
  <c r="J596" i="17" s="1"/>
  <c r="K596" i="17" s="1"/>
  <c r="I595" i="17"/>
  <c r="I594" i="17"/>
  <c r="J594" i="17" s="1"/>
  <c r="K594" i="17" s="1"/>
  <c r="I581" i="17"/>
  <c r="I580" i="17"/>
  <c r="J580" i="17" s="1"/>
  <c r="K580" i="17" s="1"/>
  <c r="I579" i="17"/>
  <c r="I475" i="17"/>
  <c r="J475" i="17" s="1"/>
  <c r="I474" i="17"/>
  <c r="I442" i="17"/>
  <c r="J442" i="17" s="1"/>
  <c r="K442" i="17" s="1"/>
  <c r="I438" i="17"/>
  <c r="J438" i="17" s="1"/>
  <c r="K438" i="17" s="1"/>
  <c r="I425" i="17"/>
  <c r="J425" i="17" s="1"/>
  <c r="I423" i="17"/>
  <c r="J423" i="17" s="1"/>
  <c r="K423" i="17" s="1"/>
  <c r="I418" i="17"/>
  <c r="J418" i="17" s="1"/>
  <c r="K418" i="17" s="1"/>
  <c r="I405" i="17"/>
  <c r="J405" i="17" s="1"/>
  <c r="K405" i="17" s="1"/>
  <c r="I404" i="17"/>
  <c r="J404" i="17" s="1"/>
  <c r="K404" i="17" s="1"/>
  <c r="I389" i="17"/>
  <c r="J389" i="17" s="1"/>
  <c r="K389" i="17" s="1"/>
  <c r="I388" i="17"/>
  <c r="J388" i="17" s="1"/>
  <c r="K388" i="17" s="1"/>
  <c r="I373" i="17"/>
  <c r="I371" i="17"/>
  <c r="I346" i="17"/>
  <c r="I336" i="17"/>
  <c r="I329" i="17"/>
  <c r="J329" i="17" s="1"/>
  <c r="K329" i="17" s="1"/>
  <c r="I325" i="17"/>
  <c r="J325" i="17" s="1"/>
  <c r="K325" i="17" s="1"/>
  <c r="I310" i="17"/>
  <c r="I268" i="17"/>
  <c r="I263" i="17"/>
  <c r="I253" i="17"/>
  <c r="J253" i="17" s="1"/>
  <c r="K253" i="17" s="1"/>
  <c r="I221" i="17"/>
  <c r="J221" i="17" s="1"/>
  <c r="I220" i="17"/>
  <c r="J220" i="17" s="1"/>
  <c r="K220" i="17" s="1"/>
  <c r="I219" i="17"/>
  <c r="I185" i="17"/>
  <c r="J185" i="17" s="1"/>
  <c r="K185" i="17" s="1"/>
  <c r="I176" i="17"/>
  <c r="J176" i="17" s="1"/>
  <c r="K176" i="17" s="1"/>
  <c r="I153" i="17"/>
  <c r="J153" i="17" s="1"/>
  <c r="K153" i="17" s="1"/>
  <c r="I152" i="17"/>
  <c r="J152" i="17" s="1"/>
  <c r="K152" i="17" s="1"/>
  <c r="I149" i="17"/>
  <c r="J149" i="17" s="1"/>
  <c r="K149" i="17" s="1"/>
  <c r="I141" i="17"/>
  <c r="J141" i="17" s="1"/>
  <c r="K141" i="17" s="1"/>
  <c r="I133" i="17"/>
  <c r="J133" i="17" s="1"/>
  <c r="K133" i="17" s="1"/>
  <c r="I128" i="17"/>
  <c r="J128" i="17" s="1"/>
  <c r="K128" i="17" s="1"/>
  <c r="I127" i="17"/>
  <c r="J127" i="17" s="1"/>
  <c r="K127" i="17" s="1"/>
  <c r="I124" i="17"/>
  <c r="I120" i="17"/>
  <c r="J120" i="17" s="1"/>
  <c r="K120" i="17" s="1"/>
  <c r="I117" i="17"/>
  <c r="I115" i="17"/>
  <c r="J115" i="17" s="1"/>
  <c r="K115" i="17" s="1"/>
  <c r="I114" i="17"/>
  <c r="I102" i="17"/>
  <c r="J102" i="17" s="1"/>
  <c r="K102" i="17" s="1"/>
  <c r="I98" i="17"/>
  <c r="J98" i="17" s="1"/>
  <c r="K98" i="17" s="1"/>
  <c r="I97" i="17"/>
  <c r="J97" i="17" s="1"/>
  <c r="K97" i="17" s="1"/>
  <c r="I90" i="17"/>
  <c r="I79" i="17"/>
  <c r="I59" i="17"/>
  <c r="J59" i="17" s="1"/>
  <c r="K59" i="17" s="1"/>
  <c r="I46" i="17"/>
  <c r="J46" i="17" s="1"/>
  <c r="K46" i="17" s="1"/>
  <c r="I45" i="17"/>
  <c r="J45" i="17" s="1"/>
  <c r="K45" i="17" s="1"/>
  <c r="I44" i="17"/>
  <c r="J44" i="17" s="1"/>
  <c r="K44" i="17" s="1"/>
  <c r="I43" i="17"/>
  <c r="J43" i="17" s="1"/>
  <c r="K43" i="17" s="1"/>
  <c r="I42" i="17"/>
  <c r="J42" i="17" s="1"/>
  <c r="K42" i="17" s="1"/>
  <c r="I36" i="17"/>
  <c r="J36" i="17" s="1"/>
  <c r="K36" i="17" s="1"/>
  <c r="I35" i="17"/>
  <c r="I32" i="17"/>
  <c r="I29" i="17"/>
  <c r="J29" i="17" s="1"/>
  <c r="K29" i="17" s="1"/>
  <c r="I28" i="17"/>
  <c r="J28" i="17" s="1"/>
  <c r="K28" i="17" s="1"/>
  <c r="I23" i="17"/>
  <c r="I21" i="17"/>
  <c r="J21" i="17" s="1"/>
  <c r="K21" i="17" s="1"/>
  <c r="I18" i="17"/>
  <c r="I804" i="6"/>
  <c r="I235" i="6"/>
  <c r="I510" i="6"/>
  <c r="I514" i="6"/>
  <c r="I41" i="6"/>
  <c r="I182" i="6"/>
  <c r="I206" i="6"/>
  <c r="I180" i="6"/>
  <c r="I27" i="6"/>
  <c r="I126" i="6"/>
  <c r="I140" i="6"/>
  <c r="I146" i="6"/>
  <c r="I153" i="6"/>
  <c r="I157" i="6"/>
  <c r="I163" i="6"/>
  <c r="I150" i="6"/>
  <c r="I488" i="6"/>
  <c r="I492" i="6"/>
  <c r="I238" i="6"/>
  <c r="I242" i="6"/>
  <c r="I246" i="6"/>
  <c r="I65" i="6"/>
  <c r="I546" i="6"/>
  <c r="I280" i="6"/>
  <c r="I73" i="6"/>
  <c r="I252" i="6"/>
  <c r="I256" i="6"/>
  <c r="I215" i="6"/>
  <c r="I219" i="6"/>
  <c r="I224" i="6"/>
  <c r="I230" i="6"/>
  <c r="I530" i="6"/>
  <c r="I535" i="6"/>
  <c r="I536" i="6"/>
  <c r="I713" i="6"/>
  <c r="I717" i="6"/>
  <c r="I723" i="6"/>
  <c r="I727" i="6"/>
  <c r="I732" i="6"/>
  <c r="I736" i="6"/>
  <c r="I740" i="6"/>
  <c r="I747" i="6"/>
  <c r="I751" i="6"/>
  <c r="I755" i="6"/>
  <c r="I759" i="6"/>
  <c r="I763" i="6"/>
  <c r="I767" i="6"/>
  <c r="I771" i="6"/>
  <c r="I775" i="6"/>
  <c r="I779" i="6"/>
  <c r="I783" i="6"/>
  <c r="I496" i="6"/>
  <c r="I500" i="6"/>
  <c r="I504" i="6"/>
  <c r="I521" i="6"/>
  <c r="I525" i="6"/>
  <c r="I571" i="6"/>
  <c r="I575" i="6"/>
  <c r="I581" i="6"/>
  <c r="I585" i="6"/>
  <c r="I588" i="6"/>
  <c r="I592" i="6"/>
  <c r="I598" i="6"/>
  <c r="I602" i="6"/>
  <c r="I543" i="6"/>
  <c r="I606" i="6"/>
  <c r="I610" i="6"/>
  <c r="I614" i="6"/>
  <c r="I618" i="6"/>
  <c r="I622" i="6"/>
  <c r="I626" i="6"/>
  <c r="I630" i="6"/>
  <c r="I634" i="6"/>
  <c r="I638" i="6"/>
  <c r="I642" i="6"/>
  <c r="I646" i="6"/>
  <c r="I650" i="6"/>
  <c r="I788" i="6"/>
  <c r="I792" i="6"/>
  <c r="I656" i="6"/>
  <c r="I660" i="6"/>
  <c r="I664" i="6"/>
  <c r="I668" i="6"/>
  <c r="I672" i="6"/>
  <c r="I676" i="6"/>
  <c r="I680" i="6"/>
  <c r="I684" i="6"/>
  <c r="I688" i="6"/>
  <c r="I692" i="6"/>
  <c r="I696" i="6"/>
  <c r="I700" i="6"/>
  <c r="I552" i="6"/>
  <c r="I705" i="6"/>
  <c r="I319" i="6"/>
  <c r="I77" i="6"/>
  <c r="I81" i="6"/>
  <c r="I85" i="6"/>
  <c r="I544" i="17"/>
  <c r="I431" i="17"/>
  <c r="I427" i="17"/>
  <c r="I420" i="17"/>
  <c r="J420" i="17" s="1"/>
  <c r="I317" i="17"/>
  <c r="J317" i="17" s="1"/>
  <c r="K317" i="17" s="1"/>
  <c r="I301" i="17"/>
  <c r="J301" i="17" s="1"/>
  <c r="I295" i="17"/>
  <c r="J295" i="17" s="1"/>
  <c r="K295" i="17" s="1"/>
  <c r="I294" i="17"/>
  <c r="J294" i="17" s="1"/>
  <c r="K294" i="17" s="1"/>
  <c r="I293" i="17"/>
  <c r="J293" i="17" s="1"/>
  <c r="K293" i="17" s="1"/>
  <c r="I256" i="17"/>
  <c r="J256" i="17" s="1"/>
  <c r="K256" i="17" s="1"/>
  <c r="I255" i="17"/>
  <c r="I174" i="17"/>
  <c r="I171" i="17"/>
  <c r="J171" i="17" s="1"/>
  <c r="K171" i="17" s="1"/>
  <c r="I158" i="17"/>
  <c r="I143" i="17"/>
  <c r="J143" i="17" s="1"/>
  <c r="K143" i="17" s="1"/>
  <c r="I103" i="17"/>
  <c r="J103" i="17" s="1"/>
  <c r="K103" i="17" s="1"/>
  <c r="I58" i="17"/>
  <c r="J58" i="17" s="1"/>
  <c r="K58" i="17" s="1"/>
  <c r="I48" i="17"/>
  <c r="J48" i="17" s="1"/>
  <c r="K48" i="17" s="1"/>
  <c r="I47" i="17"/>
  <c r="I31" i="17"/>
  <c r="J31" i="17" s="1"/>
  <c r="K31" i="17" s="1"/>
  <c r="I22" i="17"/>
  <c r="I234" i="6"/>
  <c r="I513" i="6"/>
  <c r="I176" i="6"/>
  <c r="I179" i="6"/>
  <c r="I133" i="6"/>
  <c r="I145" i="6"/>
  <c r="I156" i="6"/>
  <c r="I142" i="6"/>
  <c r="I491" i="6"/>
  <c r="I241" i="6"/>
  <c r="I64" i="6"/>
  <c r="I70" i="6"/>
  <c r="I251" i="6"/>
  <c r="I214" i="6"/>
  <c r="I223" i="6"/>
  <c r="I529" i="6"/>
  <c r="I554" i="6"/>
  <c r="I716" i="6"/>
  <c r="I726" i="6"/>
  <c r="I735" i="6"/>
  <c r="I746" i="6"/>
  <c r="I754" i="6"/>
  <c r="I762" i="6"/>
  <c r="I770" i="6"/>
  <c r="I778" i="6"/>
  <c r="I786" i="6"/>
  <c r="I503" i="6"/>
  <c r="I524" i="6"/>
  <c r="I574" i="6"/>
  <c r="I584" i="6"/>
  <c r="I591" i="6"/>
  <c r="I601" i="6"/>
  <c r="I603" i="6"/>
  <c r="I613" i="6"/>
  <c r="I621" i="6"/>
  <c r="I629" i="6"/>
  <c r="I637" i="6"/>
  <c r="I645" i="6"/>
  <c r="I787" i="6"/>
  <c r="I655" i="6"/>
  <c r="I663" i="6"/>
  <c r="I671" i="6"/>
  <c r="I679" i="6"/>
  <c r="I687" i="6"/>
  <c r="I695" i="6"/>
  <c r="I551" i="6"/>
  <c r="I318" i="6"/>
  <c r="I80" i="6"/>
  <c r="I88" i="6"/>
  <c r="I102" i="6"/>
  <c r="I32" i="6"/>
  <c r="I36" i="6"/>
  <c r="I45" i="6"/>
  <c r="I49" i="6"/>
  <c r="I57" i="6"/>
  <c r="I61" i="6"/>
  <c r="I97" i="6"/>
  <c r="I103" i="6"/>
  <c r="I108" i="6"/>
  <c r="I466" i="6"/>
  <c r="I470" i="6"/>
  <c r="I475" i="6"/>
  <c r="I338" i="6"/>
  <c r="I342" i="6"/>
  <c r="I346" i="6"/>
  <c r="I350" i="6"/>
  <c r="I354" i="6"/>
  <c r="I358" i="6"/>
  <c r="I362" i="6"/>
  <c r="I366" i="6"/>
  <c r="I370" i="6"/>
  <c r="I374" i="6"/>
  <c r="I112" i="6"/>
  <c r="I116" i="6"/>
  <c r="I120" i="6"/>
  <c r="I124" i="6"/>
  <c r="I559" i="6"/>
  <c r="I563" i="6"/>
  <c r="I567" i="6"/>
  <c r="I378" i="6"/>
  <c r="I382" i="6"/>
  <c r="I386" i="6"/>
  <c r="I390" i="6"/>
  <c r="I394" i="6"/>
  <c r="I398" i="6"/>
  <c r="I402" i="6"/>
  <c r="I406" i="6"/>
  <c r="I410" i="6"/>
  <c r="I414" i="6"/>
  <c r="I418" i="6"/>
  <c r="I422" i="6"/>
  <c r="I426" i="6"/>
  <c r="I315" i="6"/>
  <c r="I322" i="6"/>
  <c r="I326" i="6"/>
  <c r="I288" i="6"/>
  <c r="I305" i="6"/>
  <c r="I309" i="6"/>
  <c r="I261" i="6"/>
  <c r="I265" i="6"/>
  <c r="I269" i="6"/>
  <c r="I273" i="6"/>
  <c r="I430" i="6"/>
  <c r="I434" i="6"/>
  <c r="I438" i="6"/>
  <c r="I442" i="6"/>
  <c r="I446" i="6"/>
  <c r="I452" i="6"/>
  <c r="I456" i="6"/>
  <c r="I460" i="6"/>
  <c r="I330" i="6"/>
  <c r="I334" i="6"/>
  <c r="I53" i="6"/>
  <c r="I481" i="6"/>
  <c r="I277" i="6"/>
  <c r="I294" i="6"/>
  <c r="I298" i="6"/>
  <c r="I232" i="6"/>
  <c r="I704" i="17"/>
  <c r="J704" i="17" s="1"/>
  <c r="K704" i="17" s="1"/>
  <c r="I669" i="17"/>
  <c r="J669" i="17" s="1"/>
  <c r="K669" i="17" s="1"/>
  <c r="I500" i="17"/>
  <c r="J500" i="17" s="1"/>
  <c r="K500" i="17" s="1"/>
  <c r="I486" i="17"/>
  <c r="J486" i="17" s="1"/>
  <c r="K486" i="17" s="1"/>
  <c r="I465" i="17"/>
  <c r="J465" i="17" s="1"/>
  <c r="K465" i="17" s="1"/>
  <c r="I464" i="17"/>
  <c r="J464" i="17" s="1"/>
  <c r="K464" i="17" s="1"/>
  <c r="I463" i="17"/>
  <c r="I356" i="17"/>
  <c r="J356" i="17" s="1"/>
  <c r="K356" i="17" s="1"/>
  <c r="I340" i="17"/>
  <c r="J340" i="17" s="1"/>
  <c r="K340" i="17" s="1"/>
  <c r="I339" i="17"/>
  <c r="J339" i="17" s="1"/>
  <c r="K339" i="17" s="1"/>
  <c r="I322" i="17"/>
  <c r="J322" i="17" s="1"/>
  <c r="K322" i="17" s="1"/>
  <c r="I251" i="17"/>
  <c r="I248" i="17"/>
  <c r="I247" i="17"/>
  <c r="J247" i="17" s="1"/>
  <c r="K247" i="17" s="1"/>
  <c r="I246" i="17"/>
  <c r="I245" i="17"/>
  <c r="J245" i="17" s="1"/>
  <c r="K245" i="17" s="1"/>
  <c r="I242" i="17"/>
  <c r="J242" i="17" s="1"/>
  <c r="K242" i="17" s="1"/>
  <c r="I241" i="17"/>
  <c r="J241" i="17" s="1"/>
  <c r="K241" i="17" s="1"/>
  <c r="I240" i="17"/>
  <c r="J240" i="17" s="1"/>
  <c r="K240" i="17" s="1"/>
  <c r="I239" i="17"/>
  <c r="J239" i="17" s="1"/>
  <c r="K239" i="17" s="1"/>
  <c r="I199" i="17"/>
  <c r="J199" i="17" s="1"/>
  <c r="K199" i="17" s="1"/>
  <c r="I198" i="17"/>
  <c r="J198" i="17" s="1"/>
  <c r="K198" i="17" s="1"/>
  <c r="I197" i="17"/>
  <c r="I196" i="17"/>
  <c r="J196" i="17" s="1"/>
  <c r="K196" i="17" s="1"/>
  <c r="I195" i="17"/>
  <c r="I193" i="17"/>
  <c r="J193" i="17" s="1"/>
  <c r="K193" i="17" s="1"/>
  <c r="I192" i="17"/>
  <c r="J192" i="17" s="1"/>
  <c r="K192" i="17" s="1"/>
  <c r="I549" i="17"/>
  <c r="I548" i="17"/>
  <c r="I547" i="17"/>
  <c r="J547" i="17" s="1"/>
  <c r="K547" i="17" s="1"/>
  <c r="I428" i="17"/>
  <c r="I299" i="17"/>
  <c r="J299" i="17" s="1"/>
  <c r="K299" i="17" s="1"/>
  <c r="I296" i="17"/>
  <c r="I290" i="17"/>
  <c r="J290" i="17" s="1"/>
  <c r="K290" i="17" s="1"/>
  <c r="I284" i="17"/>
  <c r="I283" i="17"/>
  <c r="J283" i="17" s="1"/>
  <c r="K283" i="17" s="1"/>
  <c r="I278" i="17"/>
  <c r="J278" i="17" s="1"/>
  <c r="K278" i="17" s="1"/>
  <c r="I277" i="17"/>
  <c r="J277" i="17" s="1"/>
  <c r="K277" i="17" s="1"/>
  <c r="I261" i="17"/>
  <c r="J261" i="17" s="1"/>
  <c r="K261" i="17" s="1"/>
  <c r="I209" i="17"/>
  <c r="I206" i="17"/>
  <c r="I205" i="17"/>
  <c r="J205" i="17" s="1"/>
  <c r="K205" i="17" s="1"/>
  <c r="I204" i="17"/>
  <c r="J204" i="17" s="1"/>
  <c r="K204" i="17" s="1"/>
  <c r="I203" i="17"/>
  <c r="I181" i="17"/>
  <c r="J181" i="17" s="1"/>
  <c r="K181" i="17" s="1"/>
  <c r="I155" i="17"/>
  <c r="J155" i="17" s="1"/>
  <c r="I135" i="17"/>
  <c r="J135" i="17" s="1"/>
  <c r="K135" i="17" s="1"/>
  <c r="I118" i="17"/>
  <c r="J118" i="17" s="1"/>
  <c r="I88" i="17"/>
  <c r="J88" i="17" s="1"/>
  <c r="K88" i="17" s="1"/>
  <c r="I73" i="17"/>
  <c r="I50" i="17"/>
  <c r="I509" i="6"/>
  <c r="I517" i="6"/>
  <c r="I200" i="6"/>
  <c r="I26" i="6"/>
  <c r="I139" i="6"/>
  <c r="I149" i="6"/>
  <c r="I162" i="6"/>
  <c r="I487" i="6"/>
  <c r="I236" i="6"/>
  <c r="I245" i="6"/>
  <c r="I596" i="6"/>
  <c r="I72" i="6"/>
  <c r="I255" i="6"/>
  <c r="I218" i="6"/>
  <c r="I229" i="6"/>
  <c r="I534" i="6"/>
  <c r="I712" i="6"/>
  <c r="I722" i="6"/>
  <c r="I731" i="6"/>
  <c r="I743" i="6"/>
  <c r="I750" i="6"/>
  <c r="I758" i="6"/>
  <c r="I766" i="6"/>
  <c r="I774" i="6"/>
  <c r="I782" i="6"/>
  <c r="I499" i="6"/>
  <c r="I520" i="6"/>
  <c r="I578" i="6"/>
  <c r="I580" i="6"/>
  <c r="I587" i="6"/>
  <c r="I597" i="6"/>
  <c r="I542" i="6"/>
  <c r="I609" i="6"/>
  <c r="I617" i="6"/>
  <c r="I625" i="6"/>
  <c r="I633" i="6"/>
  <c r="I641" i="6"/>
  <c r="I649" i="6"/>
  <c r="I791" i="6"/>
  <c r="I659" i="6"/>
  <c r="I667" i="6"/>
  <c r="I675" i="6"/>
  <c r="I683" i="6"/>
  <c r="I691" i="6"/>
  <c r="I699" i="6"/>
  <c r="I704" i="6"/>
  <c r="I76" i="6"/>
  <c r="I84" i="6"/>
  <c r="I90" i="6"/>
  <c r="I92" i="6"/>
  <c r="I34" i="6"/>
  <c r="I38" i="6"/>
  <c r="I47" i="6"/>
  <c r="I55" i="6"/>
  <c r="I59" i="6"/>
  <c r="I95" i="6"/>
  <c r="I99" i="6"/>
  <c r="I105" i="6"/>
  <c r="I463" i="6"/>
  <c r="I468" i="6"/>
  <c r="I473" i="6"/>
  <c r="I477" i="6"/>
  <c r="I340" i="6"/>
  <c r="I344" i="6"/>
  <c r="I348" i="6"/>
  <c r="I352" i="6"/>
  <c r="I356" i="6"/>
  <c r="I360" i="6"/>
  <c r="I364" i="6"/>
  <c r="I368" i="6"/>
  <c r="I372" i="6"/>
  <c r="I376" i="6"/>
  <c r="I114" i="6"/>
  <c r="I118" i="6"/>
  <c r="I122" i="6"/>
  <c r="I556" i="6"/>
  <c r="I561" i="6"/>
  <c r="I565" i="6"/>
  <c r="I462" i="6"/>
  <c r="I380" i="6"/>
  <c r="I384" i="6"/>
  <c r="I388" i="6"/>
  <c r="I392" i="6"/>
  <c r="I396" i="6"/>
  <c r="I400" i="6"/>
  <c r="I404" i="6"/>
  <c r="I408" i="6"/>
  <c r="I412" i="6"/>
  <c r="I416" i="6"/>
  <c r="I420" i="6"/>
  <c r="I424" i="6"/>
  <c r="I313" i="6"/>
  <c r="I292" i="6"/>
  <c r="I324" i="6"/>
  <c r="I286" i="6"/>
  <c r="I290" i="6"/>
  <c r="I307" i="6"/>
  <c r="I311" i="6"/>
  <c r="I263" i="6"/>
  <c r="I267" i="6"/>
  <c r="I271" i="6"/>
  <c r="I428" i="6"/>
  <c r="I432" i="6"/>
  <c r="I436" i="6"/>
  <c r="I440" i="6"/>
  <c r="I444" i="6"/>
  <c r="I450" i="6"/>
  <c r="I454" i="6"/>
  <c r="I458" i="6"/>
  <c r="I328" i="6"/>
  <c r="I332" i="6"/>
  <c r="I336" i="6"/>
  <c r="I479" i="6"/>
  <c r="I483" i="6"/>
  <c r="I279" i="6"/>
  <c r="I296" i="6"/>
  <c r="I797" i="6"/>
  <c r="I18" i="6"/>
  <c r="I732" i="17"/>
  <c r="J732" i="17" s="1"/>
  <c r="K732" i="17" s="1"/>
  <c r="I716" i="17"/>
  <c r="I690" i="17"/>
  <c r="I680" i="17"/>
  <c r="J680" i="17" s="1"/>
  <c r="K680" i="17" s="1"/>
  <c r="I666" i="17"/>
  <c r="J666" i="17" s="1"/>
  <c r="K666" i="17" s="1"/>
  <c r="I622" i="17"/>
  <c r="I415" i="17"/>
  <c r="I353" i="17"/>
  <c r="J353" i="17" s="1"/>
  <c r="K353" i="17" s="1"/>
  <c r="I352" i="17"/>
  <c r="I351" i="17"/>
  <c r="J351" i="17" s="1"/>
  <c r="K351" i="17" s="1"/>
  <c r="I265" i="17"/>
  <c r="J265" i="17" s="1"/>
  <c r="K265" i="17" s="1"/>
  <c r="I234" i="17"/>
  <c r="J234" i="17" s="1"/>
  <c r="K234" i="17" s="1"/>
  <c r="I233" i="17"/>
  <c r="J233" i="17" s="1"/>
  <c r="K233" i="17" s="1"/>
  <c r="I232" i="17"/>
  <c r="J232" i="17" s="1"/>
  <c r="K232" i="17" s="1"/>
  <c r="I231" i="17"/>
  <c r="J231" i="17" s="1"/>
  <c r="K231" i="17" s="1"/>
  <c r="I228" i="17"/>
  <c r="I227" i="17"/>
  <c r="J227" i="17" s="1"/>
  <c r="K227" i="17" s="1"/>
  <c r="I226" i="17"/>
  <c r="J226" i="17" s="1"/>
  <c r="K226" i="17" s="1"/>
  <c r="I225" i="17"/>
  <c r="J225" i="17" s="1"/>
  <c r="K225" i="17" s="1"/>
  <c r="I147" i="17"/>
  <c r="I139" i="17"/>
  <c r="I131" i="17"/>
  <c r="J131" i="17" s="1"/>
  <c r="K131" i="17" s="1"/>
  <c r="I100" i="17"/>
  <c r="J100" i="17" s="1"/>
  <c r="K100" i="17" s="1"/>
  <c r="I96" i="17"/>
  <c r="I91" i="17"/>
  <c r="I798" i="6"/>
  <c r="I293" i="6"/>
  <c r="I480" i="6"/>
  <c r="I333" i="6"/>
  <c r="I459" i="6"/>
  <c r="I451" i="6"/>
  <c r="I441" i="6"/>
  <c r="I433" i="6"/>
  <c r="I272" i="6"/>
  <c r="I264" i="6"/>
  <c r="I308" i="6"/>
  <c r="I287" i="6"/>
  <c r="I321" i="6"/>
  <c r="I425" i="6"/>
  <c r="I417" i="6"/>
  <c r="I409" i="6"/>
  <c r="I401" i="6"/>
  <c r="I393" i="6"/>
  <c r="I385" i="6"/>
  <c r="I377" i="6"/>
  <c r="I562" i="6"/>
  <c r="I123" i="6"/>
  <c r="I115" i="6"/>
  <c r="I373" i="6"/>
  <c r="I365" i="6"/>
  <c r="I357" i="6"/>
  <c r="I349" i="6"/>
  <c r="I341" i="6"/>
  <c r="I474" i="6"/>
  <c r="I465" i="6"/>
  <c r="I100" i="6"/>
  <c r="I60" i="6"/>
  <c r="I48" i="6"/>
  <c r="I35" i="6"/>
  <c r="I91" i="6"/>
  <c r="I78" i="6"/>
  <c r="I701" i="6"/>
  <c r="I685" i="6"/>
  <c r="I669" i="6"/>
  <c r="I653" i="6"/>
  <c r="I643" i="6"/>
  <c r="I627" i="6"/>
  <c r="I611" i="6"/>
  <c r="I599" i="6"/>
  <c r="I582" i="6"/>
  <c r="I522" i="6"/>
  <c r="I784" i="6"/>
  <c r="I768" i="6"/>
  <c r="I752" i="6"/>
  <c r="I733" i="6"/>
  <c r="I714" i="6"/>
  <c r="I231" i="6"/>
  <c r="I257" i="6"/>
  <c r="I68" i="6"/>
  <c r="I239" i="6"/>
  <c r="I164" i="6"/>
  <c r="I141" i="6"/>
  <c r="I177" i="6"/>
  <c r="I511" i="6"/>
  <c r="I33" i="17"/>
  <c r="I39" i="17"/>
  <c r="I40" i="17"/>
  <c r="J40" i="17" s="1"/>
  <c r="K40" i="17" s="1"/>
  <c r="I41" i="17"/>
  <c r="J41" i="17" s="1"/>
  <c r="K41" i="17" s="1"/>
  <c r="I106" i="17"/>
  <c r="J106" i="17" s="1"/>
  <c r="K106" i="17" s="1"/>
  <c r="I110" i="17"/>
  <c r="J110" i="17" s="1"/>
  <c r="K110" i="17" s="1"/>
  <c r="I112" i="17"/>
  <c r="I113" i="17"/>
  <c r="J113" i="17" s="1"/>
  <c r="K113" i="17" s="1"/>
  <c r="I116" i="17"/>
  <c r="J116" i="17" s="1"/>
  <c r="K116" i="17" s="1"/>
  <c r="J292" i="17"/>
  <c r="J532" i="17"/>
  <c r="K532" i="17" s="1"/>
  <c r="J426" i="17"/>
  <c r="K426" i="17" s="1"/>
  <c r="J122" i="17"/>
  <c r="K122" i="17" s="1"/>
  <c r="J284" i="17"/>
  <c r="K284" i="17" s="1"/>
  <c r="J526" i="17"/>
  <c r="K526" i="17" s="1"/>
  <c r="J386" i="17"/>
  <c r="K386" i="17" s="1"/>
  <c r="J188" i="17"/>
  <c r="K188" i="17" s="1"/>
  <c r="J357" i="17"/>
  <c r="K357" i="17" s="1"/>
  <c r="J400" i="17"/>
  <c r="K400" i="17" s="1"/>
  <c r="J600" i="17"/>
  <c r="K600" i="17" s="1"/>
  <c r="J582" i="17"/>
  <c r="K582" i="17" s="1"/>
  <c r="J206" i="17"/>
  <c r="K206" i="17" s="1"/>
  <c r="J619" i="17"/>
  <c r="K619" i="17" s="1"/>
  <c r="H112" i="17"/>
  <c r="F111" i="17"/>
  <c r="H125" i="17"/>
  <c r="F124" i="17"/>
  <c r="J224" i="17"/>
  <c r="K224" i="17" s="1"/>
  <c r="H275" i="17"/>
  <c r="F272" i="17"/>
  <c r="H22" i="17"/>
  <c r="F47" i="17"/>
  <c r="H47" i="17" s="1"/>
  <c r="J154" i="17"/>
  <c r="K154" i="17" s="1"/>
  <c r="J266" i="17"/>
  <c r="K266" i="17" s="1"/>
  <c r="J344" i="17"/>
  <c r="K344" i="17" s="1"/>
  <c r="J197" i="17"/>
  <c r="K197" i="17" s="1"/>
  <c r="H272" i="17"/>
  <c r="F32" i="17"/>
  <c r="H32" i="17" s="1"/>
  <c r="K160" i="17"/>
  <c r="H473" i="17"/>
  <c r="J89" i="17"/>
  <c r="K89" i="17" s="1"/>
  <c r="H23" i="17"/>
  <c r="F33" i="17"/>
  <c r="H33" i="17" s="1"/>
  <c r="F39" i="17"/>
  <c r="H39" i="17" s="1"/>
  <c r="J147" i="17"/>
  <c r="K147" i="17" s="1"/>
  <c r="J202" i="17"/>
  <c r="K202" i="17" s="1"/>
  <c r="H313" i="17"/>
  <c r="F309" i="17"/>
  <c r="H119" i="17"/>
  <c r="F139" i="17"/>
  <c r="H158" i="17"/>
  <c r="J166" i="17"/>
  <c r="K166" i="17" s="1"/>
  <c r="H218" i="17"/>
  <c r="H228" i="17"/>
  <c r="H238" i="17"/>
  <c r="H248" i="17"/>
  <c r="H260" i="17"/>
  <c r="H268" i="17"/>
  <c r="K292" i="17"/>
  <c r="H304" i="17"/>
  <c r="F302" i="17"/>
  <c r="H177" i="17"/>
  <c r="F173" i="17"/>
  <c r="K221" i="17"/>
  <c r="F251" i="17"/>
  <c r="H297" i="17"/>
  <c r="F296" i="17"/>
  <c r="K301" i="17"/>
  <c r="K327" i="17"/>
  <c r="J348" i="17"/>
  <c r="K348" i="17" s="1"/>
  <c r="J354" i="17"/>
  <c r="K354" i="17" s="1"/>
  <c r="J470" i="17"/>
  <c r="K470" i="17" s="1"/>
  <c r="H162" i="17"/>
  <c r="J219" i="17"/>
  <c r="K219" i="17" s="1"/>
  <c r="H414" i="17"/>
  <c r="J462" i="17"/>
  <c r="K462" i="17" s="1"/>
  <c r="H361" i="17"/>
  <c r="H364" i="17"/>
  <c r="H366" i="17"/>
  <c r="F365" i="17"/>
  <c r="F449" i="17"/>
  <c r="J452" i="17"/>
  <c r="K452" i="17" s="1"/>
  <c r="H509" i="17"/>
  <c r="F504" i="17"/>
  <c r="H336" i="17"/>
  <c r="H352" i="17"/>
  <c r="H370" i="17"/>
  <c r="H372" i="17"/>
  <c r="F371" i="17"/>
  <c r="H374" i="17"/>
  <c r="F373" i="17"/>
  <c r="H449" i="17"/>
  <c r="H491" i="17"/>
  <c r="F489" i="17"/>
  <c r="J367" i="17"/>
  <c r="K367" i="17" s="1"/>
  <c r="H424" i="17"/>
  <c r="H429" i="17"/>
  <c r="F428" i="17"/>
  <c r="H564" i="17"/>
  <c r="F560" i="17"/>
  <c r="F559" i="17" s="1"/>
  <c r="F424" i="17"/>
  <c r="H468" i="17"/>
  <c r="H512" i="17"/>
  <c r="H549" i="17"/>
  <c r="H571" i="17"/>
  <c r="H577" i="17"/>
  <c r="F575" i="17"/>
  <c r="F574" i="17" s="1"/>
  <c r="J563" i="17"/>
  <c r="K563" i="17" s="1"/>
  <c r="J597" i="17"/>
  <c r="K597" i="17" s="1"/>
  <c r="J514" i="17"/>
  <c r="K514" i="17" s="1"/>
  <c r="H548" i="17"/>
  <c r="F545" i="17"/>
  <c r="F544" i="17" s="1"/>
  <c r="H562" i="17"/>
  <c r="J622" i="17"/>
  <c r="K622" i="17" s="1"/>
  <c r="J527" i="17"/>
  <c r="K527" i="17" s="1"/>
  <c r="J531" i="17"/>
  <c r="K531" i="17" s="1"/>
  <c r="J535" i="17"/>
  <c r="K535" i="17" s="1"/>
  <c r="H557" i="17"/>
  <c r="J604" i="17"/>
  <c r="K604" i="17" s="1"/>
  <c r="H626" i="17"/>
  <c r="H565" i="17"/>
  <c r="H570" i="17"/>
  <c r="J579" i="17"/>
  <c r="K579" i="17" s="1"/>
  <c r="H581" i="17"/>
  <c r="H584" i="17"/>
  <c r="J595" i="17"/>
  <c r="K595" i="17" s="1"/>
  <c r="H636" i="17"/>
  <c r="J663" i="17"/>
  <c r="K663" i="17" s="1"/>
  <c r="J682" i="17"/>
  <c r="K682" i="17" s="1"/>
  <c r="H712" i="17"/>
  <c r="H727" i="17"/>
  <c r="K683" i="17"/>
  <c r="H717" i="17"/>
  <c r="F713" i="17"/>
  <c r="J750" i="17"/>
  <c r="H749" i="17"/>
  <c r="J751" i="17"/>
  <c r="K751" i="17" s="1"/>
  <c r="H672" i="17"/>
  <c r="F670" i="17"/>
  <c r="H713" i="17"/>
  <c r="H729" i="17"/>
  <c r="H739" i="17"/>
  <c r="J740" i="17"/>
  <c r="K740" i="17" s="1"/>
  <c r="F161" i="17" l="1"/>
  <c r="J673" i="17"/>
  <c r="K673" i="17" s="1"/>
  <c r="J678" i="17"/>
  <c r="K678" i="17" s="1"/>
  <c r="J30" i="17"/>
  <c r="K30" i="17" s="1"/>
  <c r="J422" i="17"/>
  <c r="K422" i="17" s="1"/>
  <c r="J707" i="17"/>
  <c r="K707" i="17" s="1"/>
  <c r="J696" i="17"/>
  <c r="K696" i="17" s="1"/>
  <c r="J593" i="17"/>
  <c r="K593" i="17" s="1"/>
  <c r="J660" i="17"/>
  <c r="K660" i="17" s="1"/>
  <c r="J332" i="17"/>
  <c r="K332" i="17" s="1"/>
  <c r="J471" i="17"/>
  <c r="K471" i="17" s="1"/>
  <c r="H632" i="17"/>
  <c r="J380" i="17"/>
  <c r="K380" i="17" s="1"/>
  <c r="K376" i="17" s="1"/>
  <c r="J719" i="17"/>
  <c r="K719" i="17" s="1"/>
  <c r="J528" i="17"/>
  <c r="K528" i="17" s="1"/>
  <c r="J495" i="17"/>
  <c r="K495" i="17" s="1"/>
  <c r="J136" i="17"/>
  <c r="K136" i="17" s="1"/>
  <c r="K129" i="17" s="1"/>
  <c r="J180" i="17"/>
  <c r="K180" i="17" s="1"/>
  <c r="J644" i="17"/>
  <c r="K644" i="17" s="1"/>
  <c r="J612" i="17"/>
  <c r="K612" i="17" s="1"/>
  <c r="J590" i="17"/>
  <c r="K590" i="17" s="1"/>
  <c r="J677" i="17"/>
  <c r="K677" i="17" s="1"/>
  <c r="J424" i="17"/>
  <c r="J414" i="17"/>
  <c r="J473" i="17"/>
  <c r="K626" i="17"/>
  <c r="J626" i="17"/>
  <c r="K572" i="17"/>
  <c r="K571" i="17" s="1"/>
  <c r="K425" i="17"/>
  <c r="K424" i="17" s="1"/>
  <c r="J162" i="17"/>
  <c r="J712" i="17"/>
  <c r="K712" i="17" s="1"/>
  <c r="J570" i="17"/>
  <c r="K570" i="17" s="1"/>
  <c r="K420" i="17"/>
  <c r="K419" i="17" s="1"/>
  <c r="J352" i="17"/>
  <c r="K352" i="17" s="1"/>
  <c r="J509" i="17"/>
  <c r="K509" i="17"/>
  <c r="J366" i="17"/>
  <c r="H365" i="17"/>
  <c r="J177" i="17"/>
  <c r="K177" i="17" s="1"/>
  <c r="F20" i="17"/>
  <c r="J739" i="17"/>
  <c r="K739" i="17" s="1"/>
  <c r="K714" i="17"/>
  <c r="J749" i="17"/>
  <c r="K750" i="17"/>
  <c r="K749" i="17" s="1"/>
  <c r="J717" i="17"/>
  <c r="H545" i="17"/>
  <c r="H544" i="17" s="1"/>
  <c r="J548" i="17"/>
  <c r="K548" i="17" s="1"/>
  <c r="J512" i="17"/>
  <c r="K512" i="17" s="1"/>
  <c r="K506" i="17"/>
  <c r="J429" i="17"/>
  <c r="J428" i="17" s="1"/>
  <c r="H428" i="17"/>
  <c r="J449" i="17"/>
  <c r="J336" i="17"/>
  <c r="K336" i="17" s="1"/>
  <c r="K416" i="17"/>
  <c r="K414" i="17" s="1"/>
  <c r="J158" i="17"/>
  <c r="K158" i="17" s="1"/>
  <c r="K139" i="17" s="1"/>
  <c r="K118" i="17"/>
  <c r="J23" i="17"/>
  <c r="K23" i="17" s="1"/>
  <c r="K451" i="17"/>
  <c r="K449" i="17" s="1"/>
  <c r="J32" i="17"/>
  <c r="K32" i="17" s="1"/>
  <c r="H111" i="17"/>
  <c r="J112" i="17"/>
  <c r="J111" i="17" s="1"/>
  <c r="J584" i="17"/>
  <c r="K584" i="17" s="1"/>
  <c r="H575" i="17"/>
  <c r="J577" i="17"/>
  <c r="J238" i="17"/>
  <c r="K238" i="17" s="1"/>
  <c r="J99" i="17"/>
  <c r="J729" i="17"/>
  <c r="K729" i="17" s="1"/>
  <c r="J727" i="17"/>
  <c r="K727" i="17" s="1"/>
  <c r="J581" i="17"/>
  <c r="K581" i="17" s="1"/>
  <c r="J565" i="17"/>
  <c r="K565" i="17" s="1"/>
  <c r="K558" i="17"/>
  <c r="K557" i="17" s="1"/>
  <c r="J564" i="17"/>
  <c r="K564" i="17" s="1"/>
  <c r="H489" i="17"/>
  <c r="J491" i="17"/>
  <c r="J489" i="17" s="1"/>
  <c r="J370" i="17"/>
  <c r="K370" i="17" s="1"/>
  <c r="J364" i="17"/>
  <c r="K364" i="17" s="1"/>
  <c r="J376" i="17"/>
  <c r="J260" i="17"/>
  <c r="K260" i="17" s="1"/>
  <c r="H251" i="17"/>
  <c r="K164" i="17"/>
  <c r="K162" i="17" s="1"/>
  <c r="J119" i="17"/>
  <c r="K119" i="17" s="1"/>
  <c r="J313" i="17"/>
  <c r="H309" i="17"/>
  <c r="H139" i="17"/>
  <c r="J22" i="17"/>
  <c r="H670" i="17"/>
  <c r="J672" i="17"/>
  <c r="J636" i="17"/>
  <c r="J632" i="17" s="1"/>
  <c r="H371" i="17"/>
  <c r="J372" i="17"/>
  <c r="J371" i="17" s="1"/>
  <c r="H302" i="17"/>
  <c r="J304" i="17"/>
  <c r="J302" i="17" s="1"/>
  <c r="J268" i="17"/>
  <c r="K268" i="17" s="1"/>
  <c r="J248" i="17"/>
  <c r="K248" i="17" s="1"/>
  <c r="J33" i="17"/>
  <c r="K33" i="17" s="1"/>
  <c r="J47" i="17"/>
  <c r="K47" i="17" s="1"/>
  <c r="H124" i="17"/>
  <c r="J125" i="17"/>
  <c r="J124" i="17" s="1"/>
  <c r="H560" i="17"/>
  <c r="H559" i="17" s="1"/>
  <c r="J562" i="17"/>
  <c r="J549" i="17"/>
  <c r="J468" i="17"/>
  <c r="J466" i="17" s="1"/>
  <c r="H466" i="17"/>
  <c r="H504" i="17"/>
  <c r="F427" i="17"/>
  <c r="H373" i="17"/>
  <c r="J374" i="17"/>
  <c r="J373" i="17" s="1"/>
  <c r="J361" i="17"/>
  <c r="H359" i="17"/>
  <c r="H296" i="17"/>
  <c r="J297" i="17"/>
  <c r="J296" i="17" s="1"/>
  <c r="J228" i="17"/>
  <c r="K228" i="17" s="1"/>
  <c r="J218" i="17"/>
  <c r="H173" i="17"/>
  <c r="H117" i="17"/>
  <c r="J39" i="17"/>
  <c r="K39" i="17" s="1"/>
  <c r="K475" i="17"/>
  <c r="K473" i="17" s="1"/>
  <c r="K101" i="17"/>
  <c r="K99" i="17" s="1"/>
  <c r="H20" i="17"/>
  <c r="J275" i="17"/>
  <c r="K275" i="17" s="1"/>
  <c r="K272" i="17" s="1"/>
  <c r="J309" i="17" l="1"/>
  <c r="J419" i="17"/>
  <c r="H161" i="17"/>
  <c r="J670" i="17"/>
  <c r="H574" i="17"/>
  <c r="J129" i="17"/>
  <c r="H427" i="17"/>
  <c r="J359" i="17"/>
  <c r="J504" i="17"/>
  <c r="J117" i="17"/>
  <c r="K429" i="17"/>
  <c r="K428" i="17" s="1"/>
  <c r="J560" i="17"/>
  <c r="J559" i="17" s="1"/>
  <c r="K125" i="17"/>
  <c r="K124" i="17" s="1"/>
  <c r="K251" i="17"/>
  <c r="K313" i="17"/>
  <c r="K309" i="17" s="1"/>
  <c r="J173" i="17"/>
  <c r="K297" i="17"/>
  <c r="K296" i="17" s="1"/>
  <c r="J272" i="17"/>
  <c r="K636" i="17"/>
  <c r="K632" i="17" s="1"/>
  <c r="J139" i="17"/>
  <c r="J575" i="17"/>
  <c r="J574" i="17" s="1"/>
  <c r="J713" i="17"/>
  <c r="J20" i="17"/>
  <c r="J251" i="17"/>
  <c r="K468" i="17"/>
  <c r="K466" i="17" s="1"/>
  <c r="K218" i="17"/>
  <c r="J545" i="17"/>
  <c r="J544" i="17" s="1"/>
  <c r="K672" i="17"/>
  <c r="K670" i="17" s="1"/>
  <c r="K112" i="17"/>
  <c r="K111" i="17" s="1"/>
  <c r="K173" i="17"/>
  <c r="K361" i="17"/>
  <c r="K359" i="17" s="1"/>
  <c r="K374" i="17"/>
  <c r="K373" i="17" s="1"/>
  <c r="K562" i="17"/>
  <c r="K560" i="17" s="1"/>
  <c r="K559" i="17" s="1"/>
  <c r="K22" i="17"/>
  <c r="K20" i="17" s="1"/>
  <c r="K577" i="17"/>
  <c r="K575" i="17" s="1"/>
  <c r="K574" i="17" s="1"/>
  <c r="K117" i="17"/>
  <c r="K504" i="17"/>
  <c r="J365" i="17"/>
  <c r="K549" i="17"/>
  <c r="K545" i="17" s="1"/>
  <c r="K544" i="17" s="1"/>
  <c r="K491" i="17"/>
  <c r="K489" i="17" s="1"/>
  <c r="J427" i="17"/>
  <c r="K717" i="17"/>
  <c r="K713" i="17" s="1"/>
  <c r="K366" i="17"/>
  <c r="K365" i="17" s="1"/>
  <c r="K304" i="17"/>
  <c r="K302" i="17" s="1"/>
  <c r="K372" i="17"/>
  <c r="K371" i="17" s="1"/>
  <c r="J161" i="17" l="1"/>
  <c r="K427" i="17"/>
  <c r="K161" i="17"/>
  <c r="F20" i="16"/>
  <c r="F26" i="16"/>
  <c r="F5" i="16"/>
  <c r="G707" i="6" l="1"/>
  <c r="G741" i="6"/>
  <c r="G595" i="6"/>
  <c r="G569" i="6"/>
  <c r="G555" i="6"/>
  <c r="G567" i="6"/>
  <c r="G570" i="6"/>
  <c r="G556" i="6"/>
  <c r="G793" i="6"/>
  <c r="G547" i="6"/>
  <c r="G553" i="6"/>
  <c r="G539" i="6"/>
  <c r="G532" i="6"/>
  <c r="G538" i="6"/>
  <c r="G506" i="6"/>
  <c r="G518" i="6"/>
  <c r="G478" i="6"/>
  <c r="G528" i="6"/>
  <c r="G485" i="6"/>
  <c r="G428" i="6"/>
  <c r="G320" i="6"/>
  <c r="G494" i="6"/>
  <c r="G377" i="6"/>
  <c r="G484" i="6"/>
  <c r="G337" i="6"/>
  <c r="G463" i="6"/>
  <c r="G301" i="6"/>
  <c r="G304" i="6"/>
  <c r="G283" i="6"/>
  <c r="G303" i="6"/>
  <c r="H303" i="6" s="1"/>
  <c r="J303" i="6" s="1"/>
  <c r="K303" i="6" s="1"/>
  <c r="G300" i="22" s="1"/>
  <c r="F300" i="22" s="1"/>
  <c r="G302" i="6"/>
  <c r="H302" i="6" s="1"/>
  <c r="G282" i="6"/>
  <c r="H282" i="6" s="1"/>
  <c r="G259" i="6"/>
  <c r="G260" i="6"/>
  <c r="G281" i="6"/>
  <c r="G248" i="6"/>
  <c r="G211" i="6"/>
  <c r="G175" i="6"/>
  <c r="G159" i="6"/>
  <c r="G143" i="6"/>
  <c r="G233" i="6"/>
  <c r="G199" i="6"/>
  <c r="G187" i="6"/>
  <c r="G125" i="6"/>
  <c r="G167" i="6"/>
  <c r="G151" i="6"/>
  <c r="G134" i="6"/>
  <c r="G205" i="6"/>
  <c r="G193" i="6"/>
  <c r="G181" i="6"/>
  <c r="G126" i="6"/>
  <c r="G110" i="6"/>
  <c r="G101" i="6"/>
  <c r="G106" i="6"/>
  <c r="G91" i="6"/>
  <c r="G93" i="6"/>
  <c r="G67" i="6"/>
  <c r="G19" i="6"/>
  <c r="G30" i="6"/>
  <c r="G54" i="6"/>
  <c r="G20" i="6"/>
  <c r="G62" i="6"/>
  <c r="G43" i="6"/>
  <c r="G71" i="6"/>
  <c r="G51" i="6"/>
  <c r="G39" i="6"/>
  <c r="G172" i="6"/>
  <c r="G171" i="6"/>
  <c r="G170" i="6"/>
  <c r="G173" i="6"/>
  <c r="G169" i="6"/>
  <c r="G131" i="6"/>
  <c r="G129" i="6"/>
  <c r="G132" i="6"/>
  <c r="G130" i="6"/>
  <c r="G128" i="6"/>
  <c r="G208" i="6"/>
  <c r="H208" i="6" s="1"/>
  <c r="J208" i="6" s="1"/>
  <c r="K208" i="6" s="1"/>
  <c r="G205" i="22" s="1"/>
  <c r="F205" i="22" s="1"/>
  <c r="G207" i="6"/>
  <c r="H207" i="6" s="1"/>
  <c r="G210" i="6"/>
  <c r="H210" i="6" s="1"/>
  <c r="J210" i="6" s="1"/>
  <c r="K210" i="6" s="1"/>
  <c r="G207" i="22" s="1"/>
  <c r="F207" i="22" s="1"/>
  <c r="G209" i="6"/>
  <c r="H209" i="6" s="1"/>
  <c r="J209" i="6" s="1"/>
  <c r="K209" i="6" s="1"/>
  <c r="G206" i="22" s="1"/>
  <c r="F206" i="22" s="1"/>
  <c r="G203" i="6"/>
  <c r="H203" i="6" s="1"/>
  <c r="J203" i="6" s="1"/>
  <c r="K203" i="6" s="1"/>
  <c r="G200" i="22" s="1"/>
  <c r="F200" i="22" s="1"/>
  <c r="G204" i="6"/>
  <c r="H204" i="6" s="1"/>
  <c r="J204" i="6" s="1"/>
  <c r="K204" i="6" s="1"/>
  <c r="G201" i="22" s="1"/>
  <c r="F201" i="22" s="1"/>
  <c r="G202" i="6"/>
  <c r="H202" i="6" s="1"/>
  <c r="J202" i="6" s="1"/>
  <c r="K202" i="6" s="1"/>
  <c r="G199" i="22" s="1"/>
  <c r="F199" i="22" s="1"/>
  <c r="G201" i="6"/>
  <c r="H201" i="6" s="1"/>
  <c r="J201" i="6" s="1"/>
  <c r="K201" i="6" s="1"/>
  <c r="G198" i="22" s="1"/>
  <c r="F198" i="22" s="1"/>
  <c r="G195" i="6"/>
  <c r="H195" i="6" s="1"/>
  <c r="G197" i="6"/>
  <c r="H197" i="6" s="1"/>
  <c r="J197" i="6" s="1"/>
  <c r="K197" i="6" s="1"/>
  <c r="G194" i="22" s="1"/>
  <c r="F194" i="22" s="1"/>
  <c r="G196" i="6"/>
  <c r="H196" i="6" s="1"/>
  <c r="G198" i="6"/>
  <c r="H198" i="6" s="1"/>
  <c r="J198" i="6" s="1"/>
  <c r="K198" i="6" s="1"/>
  <c r="G195" i="22" s="1"/>
  <c r="F195" i="22" s="1"/>
  <c r="G191" i="6"/>
  <c r="H191" i="6" s="1"/>
  <c r="J191" i="6" s="1"/>
  <c r="K191" i="6" s="1"/>
  <c r="G188" i="22" s="1"/>
  <c r="F188" i="22" s="1"/>
  <c r="G192" i="6"/>
  <c r="H192" i="6" s="1"/>
  <c r="J192" i="6" s="1"/>
  <c r="K192" i="6" s="1"/>
  <c r="G189" i="22" s="1"/>
  <c r="F189" i="22" s="1"/>
  <c r="G190" i="6"/>
  <c r="H190" i="6" s="1"/>
  <c r="G189" i="6"/>
  <c r="H189" i="6" s="1"/>
  <c r="J189" i="6" s="1"/>
  <c r="K189" i="6" s="1"/>
  <c r="G186" i="22" s="1"/>
  <c r="F186" i="22" s="1"/>
  <c r="G184" i="6"/>
  <c r="H184" i="6" s="1"/>
  <c r="G183" i="6"/>
  <c r="H183" i="6" s="1"/>
  <c r="J183" i="6" s="1"/>
  <c r="K183" i="6" s="1"/>
  <c r="G180" i="22" s="1"/>
  <c r="F180" i="22" s="1"/>
  <c r="G186" i="6"/>
  <c r="H186" i="6" s="1"/>
  <c r="J186" i="6" s="1"/>
  <c r="K186" i="6" s="1"/>
  <c r="G183" i="22" s="1"/>
  <c r="F183" i="22" s="1"/>
  <c r="G185" i="6"/>
  <c r="H185" i="6" s="1"/>
  <c r="J185" i="6" s="1"/>
  <c r="K185" i="6" s="1"/>
  <c r="G182" i="22" s="1"/>
  <c r="F182" i="22" s="1"/>
  <c r="G316" i="6"/>
  <c r="H316" i="6" s="1"/>
  <c r="J316" i="6" s="1"/>
  <c r="K316" i="6" s="1"/>
  <c r="G313" i="22" s="1"/>
  <c r="F313" i="22" s="1"/>
  <c r="G300" i="6"/>
  <c r="H300" i="6" s="1"/>
  <c r="J300" i="6" s="1"/>
  <c r="K300" i="6" s="1"/>
  <c r="G297" i="22" s="1"/>
  <c r="F297" i="22" s="1"/>
  <c r="J282" i="6" l="1"/>
  <c r="H281" i="6"/>
  <c r="J302" i="6"/>
  <c r="J301" i="6" s="1"/>
  <c r="H301" i="6"/>
  <c r="J207" i="6"/>
  <c r="K207" i="6" s="1"/>
  <c r="G204" i="22" s="1"/>
  <c r="F204" i="22" s="1"/>
  <c r="J196" i="6"/>
  <c r="K196" i="6" s="1"/>
  <c r="G193" i="22" s="1"/>
  <c r="F193" i="22" s="1"/>
  <c r="J195" i="6"/>
  <c r="K195" i="6" s="1"/>
  <c r="G192" i="22" s="1"/>
  <c r="F192" i="22" s="1"/>
  <c r="J190" i="6"/>
  <c r="K190" i="6" s="1"/>
  <c r="G187" i="22" s="1"/>
  <c r="F187" i="22" s="1"/>
  <c r="J184" i="6"/>
  <c r="K184" i="6" s="1"/>
  <c r="G181" i="22" s="1"/>
  <c r="F181" i="22" s="1"/>
  <c r="K302" i="6" l="1"/>
  <c r="K282" i="6"/>
  <c r="J281" i="6"/>
  <c r="I13" i="17"/>
  <c r="I12" i="17"/>
  <c r="I14" i="17"/>
  <c r="I13" i="6"/>
  <c r="I14" i="6"/>
  <c r="I12" i="6"/>
  <c r="K281" i="6" l="1"/>
  <c r="G278" i="22" s="1"/>
  <c r="F278" i="22" s="1"/>
  <c r="G279" i="22"/>
  <c r="F279" i="22" s="1"/>
  <c r="K301" i="6"/>
  <c r="G298" i="22" s="1"/>
  <c r="F298" i="22" s="1"/>
  <c r="G299" i="22"/>
  <c r="F299" i="22" s="1"/>
  <c r="B3" i="13"/>
  <c r="A3" i="21" s="1"/>
  <c r="G25" i="13"/>
  <c r="G17" i="13"/>
  <c r="C4" i="12"/>
  <c r="G766" i="11"/>
  <c r="G759" i="11" s="1"/>
  <c r="I759" i="11"/>
  <c r="I757" i="11"/>
  <c r="G757" i="11"/>
  <c r="I756" i="11"/>
  <c r="G756" i="11"/>
  <c r="I754" i="11"/>
  <c r="G754" i="11"/>
  <c r="I753" i="11"/>
  <c r="G753" i="11"/>
  <c r="I752" i="11"/>
  <c r="G752" i="11"/>
  <c r="I751" i="11"/>
  <c r="G751" i="11"/>
  <c r="F751" i="11"/>
  <c r="H751" i="11" s="1"/>
  <c r="I750" i="11"/>
  <c r="G750" i="11"/>
  <c r="F750" i="11"/>
  <c r="I749" i="11"/>
  <c r="G749" i="11"/>
  <c r="I748" i="11"/>
  <c r="G748" i="11"/>
  <c r="I747" i="11"/>
  <c r="G747" i="11"/>
  <c r="I746" i="11"/>
  <c r="G746" i="11"/>
  <c r="I745" i="11"/>
  <c r="G745" i="11"/>
  <c r="I744" i="11"/>
  <c r="G744" i="11"/>
  <c r="I743" i="11"/>
  <c r="G743" i="11"/>
  <c r="I741" i="11"/>
  <c r="G741" i="11"/>
  <c r="I740" i="11"/>
  <c r="G740" i="11"/>
  <c r="F740" i="11"/>
  <c r="I739" i="11"/>
  <c r="G739" i="11"/>
  <c r="F739" i="11"/>
  <c r="I737" i="11"/>
  <c r="G737" i="11"/>
  <c r="I736" i="11"/>
  <c r="G736" i="11"/>
  <c r="I734" i="11"/>
  <c r="G734" i="11"/>
  <c r="I733" i="11"/>
  <c r="G733" i="11"/>
  <c r="I732" i="11"/>
  <c r="G732" i="11"/>
  <c r="H732" i="11" s="1"/>
  <c r="F732" i="11"/>
  <c r="I731" i="11"/>
  <c r="G731" i="11"/>
  <c r="F731" i="11"/>
  <c r="I730" i="11"/>
  <c r="G730" i="11"/>
  <c r="H730" i="11" s="1"/>
  <c r="F730" i="11"/>
  <c r="I729" i="11"/>
  <c r="G729" i="11"/>
  <c r="F729" i="11"/>
  <c r="I728" i="11"/>
  <c r="G728" i="11"/>
  <c r="H728" i="11" s="1"/>
  <c r="F728" i="11"/>
  <c r="I727" i="11"/>
  <c r="G727" i="11"/>
  <c r="F727" i="11"/>
  <c r="I725" i="11"/>
  <c r="G725" i="11"/>
  <c r="H725" i="11" s="1"/>
  <c r="F725" i="11"/>
  <c r="I724" i="11"/>
  <c r="G724" i="11"/>
  <c r="F724" i="11"/>
  <c r="I723" i="11"/>
  <c r="G723" i="11"/>
  <c r="H723" i="11" s="1"/>
  <c r="F723" i="11"/>
  <c r="I721" i="11"/>
  <c r="G721" i="11"/>
  <c r="F721" i="11"/>
  <c r="I720" i="11"/>
  <c r="G720" i="11"/>
  <c r="H720" i="11" s="1"/>
  <c r="F720" i="11"/>
  <c r="E720" i="11"/>
  <c r="I719" i="11"/>
  <c r="G719" i="11"/>
  <c r="F719" i="11"/>
  <c r="I718" i="11"/>
  <c r="G718" i="11"/>
  <c r="F718" i="11"/>
  <c r="I717" i="11"/>
  <c r="G717" i="11"/>
  <c r="F717" i="11"/>
  <c r="I715" i="11"/>
  <c r="G715" i="11"/>
  <c r="F715" i="11"/>
  <c r="I714" i="11"/>
  <c r="G714" i="11"/>
  <c r="F714" i="11"/>
  <c r="I713" i="11"/>
  <c r="G713" i="11"/>
  <c r="I712" i="11"/>
  <c r="G712" i="11"/>
  <c r="F712" i="11"/>
  <c r="I711" i="11"/>
  <c r="G711" i="11"/>
  <c r="F711" i="11"/>
  <c r="I710" i="11"/>
  <c r="G710" i="11"/>
  <c r="F710" i="11"/>
  <c r="I709" i="11"/>
  <c r="G709" i="11"/>
  <c r="F709" i="11"/>
  <c r="I708" i="11"/>
  <c r="G708" i="11"/>
  <c r="F708" i="11"/>
  <c r="I707" i="11"/>
  <c r="G707" i="11"/>
  <c r="F707" i="11"/>
  <c r="I706" i="11"/>
  <c r="G706" i="11"/>
  <c r="F706" i="11"/>
  <c r="I705" i="11"/>
  <c r="G705" i="11"/>
  <c r="F705" i="11"/>
  <c r="I704" i="11"/>
  <c r="G704" i="11"/>
  <c r="F704" i="11"/>
  <c r="I703" i="11"/>
  <c r="G703" i="11"/>
  <c r="F703" i="11"/>
  <c r="I701" i="11"/>
  <c r="G701" i="11"/>
  <c r="F701" i="11"/>
  <c r="I700" i="11"/>
  <c r="G700" i="11"/>
  <c r="F700" i="11"/>
  <c r="I699" i="11"/>
  <c r="G699" i="11"/>
  <c r="F699" i="11"/>
  <c r="I698" i="11"/>
  <c r="G698" i="11"/>
  <c r="F698" i="11"/>
  <c r="I697" i="11"/>
  <c r="G697" i="11"/>
  <c r="F697" i="11"/>
  <c r="I696" i="11"/>
  <c r="G696" i="11"/>
  <c r="F696" i="11"/>
  <c r="I695" i="11"/>
  <c r="G695" i="11"/>
  <c r="F695" i="11"/>
  <c r="I694" i="11"/>
  <c r="G694" i="11"/>
  <c r="F694" i="11"/>
  <c r="I693" i="11"/>
  <c r="G693" i="11"/>
  <c r="F693" i="11"/>
  <c r="I692" i="11"/>
  <c r="G692" i="11"/>
  <c r="F692" i="11"/>
  <c r="I689" i="11"/>
  <c r="G689" i="11"/>
  <c r="F689" i="11"/>
  <c r="I688" i="11"/>
  <c r="G688" i="11"/>
  <c r="F688" i="11"/>
  <c r="I687" i="11"/>
  <c r="G687" i="11"/>
  <c r="F687" i="11"/>
  <c r="I686" i="11"/>
  <c r="G686" i="11"/>
  <c r="F686" i="11"/>
  <c r="I685" i="11"/>
  <c r="G685" i="11"/>
  <c r="F685" i="11"/>
  <c r="I684" i="11"/>
  <c r="G684" i="11"/>
  <c r="F684" i="11"/>
  <c r="I683" i="11"/>
  <c r="G683" i="11"/>
  <c r="F683" i="11"/>
  <c r="I682" i="11"/>
  <c r="G682" i="11"/>
  <c r="F682" i="11"/>
  <c r="E682" i="11"/>
  <c r="I681" i="11"/>
  <c r="G681" i="11"/>
  <c r="F681" i="11"/>
  <c r="I680" i="11"/>
  <c r="G680" i="11"/>
  <c r="F680" i="11"/>
  <c r="I679" i="11"/>
  <c r="G679" i="11"/>
  <c r="F679" i="11"/>
  <c r="I678" i="11"/>
  <c r="G678" i="11"/>
  <c r="F678" i="11"/>
  <c r="I677" i="11"/>
  <c r="G677" i="11"/>
  <c r="F677" i="11"/>
  <c r="E677" i="11"/>
  <c r="I676" i="11"/>
  <c r="G676" i="11"/>
  <c r="H676" i="11" s="1"/>
  <c r="F676" i="11"/>
  <c r="E676" i="11"/>
  <c r="I675" i="11"/>
  <c r="G675" i="11"/>
  <c r="F675" i="11"/>
  <c r="E675" i="11"/>
  <c r="I674" i="11"/>
  <c r="G674" i="11"/>
  <c r="F674" i="11"/>
  <c r="E674" i="11"/>
  <c r="I673" i="11"/>
  <c r="G673" i="11"/>
  <c r="H673" i="11" s="1"/>
  <c r="F673" i="11"/>
  <c r="E673" i="11"/>
  <c r="I672" i="11"/>
  <c r="G672" i="11"/>
  <c r="F672" i="11"/>
  <c r="E672" i="11"/>
  <c r="I669" i="11"/>
  <c r="G669" i="11"/>
  <c r="F669" i="11"/>
  <c r="I668" i="11"/>
  <c r="G668" i="11"/>
  <c r="F668" i="11"/>
  <c r="E668" i="11"/>
  <c r="I667" i="11"/>
  <c r="G667" i="11"/>
  <c r="H667" i="11" s="1"/>
  <c r="F667" i="11"/>
  <c r="E667" i="11"/>
  <c r="I666" i="11"/>
  <c r="G666" i="11"/>
  <c r="F666" i="11"/>
  <c r="I665" i="11"/>
  <c r="G665" i="11"/>
  <c r="H665" i="11" s="1"/>
  <c r="F665" i="11"/>
  <c r="I664" i="11"/>
  <c r="G664" i="11"/>
  <c r="F664" i="11"/>
  <c r="I663" i="11"/>
  <c r="G663" i="11"/>
  <c r="F663" i="11"/>
  <c r="E663" i="11"/>
  <c r="I661" i="11"/>
  <c r="G661" i="11"/>
  <c r="F661" i="11"/>
  <c r="I660" i="11"/>
  <c r="G660" i="11"/>
  <c r="F660" i="11"/>
  <c r="I659" i="11"/>
  <c r="G659" i="11"/>
  <c r="F659" i="11"/>
  <c r="E659" i="11"/>
  <c r="I658" i="11"/>
  <c r="G658" i="11"/>
  <c r="F658" i="11"/>
  <c r="E658" i="11"/>
  <c r="I655" i="11"/>
  <c r="G655" i="11"/>
  <c r="F655" i="11"/>
  <c r="E655" i="11"/>
  <c r="I654" i="11"/>
  <c r="G654" i="11"/>
  <c r="F654" i="11"/>
  <c r="E654" i="11"/>
  <c r="I653" i="11"/>
  <c r="G653" i="11"/>
  <c r="F653" i="11"/>
  <c r="E653" i="11"/>
  <c r="I652" i="11"/>
  <c r="G652" i="11"/>
  <c r="F652" i="11"/>
  <c r="E652" i="11"/>
  <c r="I651" i="11"/>
  <c r="G651" i="11"/>
  <c r="F651" i="11"/>
  <c r="E651" i="11"/>
  <c r="I650" i="11"/>
  <c r="G650" i="11"/>
  <c r="F650" i="11"/>
  <c r="E650" i="11"/>
  <c r="I647" i="11"/>
  <c r="G647" i="11"/>
  <c r="F647" i="11"/>
  <c r="I646" i="11"/>
  <c r="G646" i="11"/>
  <c r="F646" i="11"/>
  <c r="E646" i="11"/>
  <c r="I645" i="11"/>
  <c r="G645" i="11"/>
  <c r="F645" i="11"/>
  <c r="E645" i="11"/>
  <c r="I644" i="11"/>
  <c r="G644" i="11"/>
  <c r="H644" i="11" s="1"/>
  <c r="J644" i="11" s="1"/>
  <c r="F644" i="11"/>
  <c r="E644" i="11"/>
  <c r="I643" i="11"/>
  <c r="G643" i="11"/>
  <c r="F643" i="11"/>
  <c r="E643" i="11"/>
  <c r="I642" i="11"/>
  <c r="G642" i="11"/>
  <c r="F642" i="11"/>
  <c r="E642" i="11"/>
  <c r="I639" i="11"/>
  <c r="G639" i="11"/>
  <c r="H639" i="11" s="1"/>
  <c r="J639" i="11" s="1"/>
  <c r="F639" i="11"/>
  <c r="E639" i="11"/>
  <c r="I638" i="11"/>
  <c r="G638" i="11"/>
  <c r="F638" i="11"/>
  <c r="E638" i="11"/>
  <c r="I637" i="11"/>
  <c r="G637" i="11"/>
  <c r="F637" i="11"/>
  <c r="E637" i="11"/>
  <c r="I636" i="11"/>
  <c r="G636" i="11"/>
  <c r="H636" i="11" s="1"/>
  <c r="F636" i="11"/>
  <c r="E636" i="11"/>
  <c r="I635" i="11"/>
  <c r="G635" i="11"/>
  <c r="F635" i="11"/>
  <c r="E635" i="11"/>
  <c r="I631" i="11"/>
  <c r="G631" i="11"/>
  <c r="F631" i="11"/>
  <c r="I630" i="11"/>
  <c r="G630" i="11"/>
  <c r="F630" i="11"/>
  <c r="I629" i="11"/>
  <c r="G629" i="11"/>
  <c r="F629" i="11"/>
  <c r="I628" i="11"/>
  <c r="G628" i="11"/>
  <c r="F628" i="11"/>
  <c r="I625" i="11"/>
  <c r="G625" i="11"/>
  <c r="F625" i="11"/>
  <c r="I623" i="11"/>
  <c r="G623" i="11"/>
  <c r="F623" i="11"/>
  <c r="I622" i="11"/>
  <c r="G622" i="11"/>
  <c r="F622" i="11"/>
  <c r="I621" i="11"/>
  <c r="G621" i="11"/>
  <c r="F621" i="11"/>
  <c r="I620" i="11"/>
  <c r="G620" i="11"/>
  <c r="F620" i="11"/>
  <c r="I619" i="11"/>
  <c r="G619" i="11"/>
  <c r="F619" i="11"/>
  <c r="I618" i="11"/>
  <c r="G618" i="11"/>
  <c r="F618" i="11"/>
  <c r="I617" i="11"/>
  <c r="G617" i="11"/>
  <c r="F617" i="11"/>
  <c r="I616" i="11"/>
  <c r="G616" i="11"/>
  <c r="F616" i="11"/>
  <c r="I615" i="11"/>
  <c r="G615" i="11"/>
  <c r="F615" i="11"/>
  <c r="I614" i="11"/>
  <c r="G614" i="11"/>
  <c r="F614" i="11"/>
  <c r="I613" i="11"/>
  <c r="G613" i="11"/>
  <c r="F613" i="11"/>
  <c r="I612" i="11"/>
  <c r="G612" i="11"/>
  <c r="F612" i="11"/>
  <c r="I610" i="11"/>
  <c r="G610" i="11"/>
  <c r="F610" i="11"/>
  <c r="I609" i="11"/>
  <c r="G609" i="11"/>
  <c r="F609" i="11"/>
  <c r="I608" i="11"/>
  <c r="G608" i="11"/>
  <c r="F608" i="11"/>
  <c r="I607" i="11"/>
  <c r="G607" i="11"/>
  <c r="F607" i="11"/>
  <c r="I606" i="11"/>
  <c r="G606" i="11"/>
  <c r="F606" i="11"/>
  <c r="I605" i="11"/>
  <c r="G605" i="11"/>
  <c r="F605" i="11"/>
  <c r="I604" i="11"/>
  <c r="G604" i="11"/>
  <c r="F604" i="11"/>
  <c r="I603" i="11"/>
  <c r="G603" i="11"/>
  <c r="F603" i="11"/>
  <c r="I602" i="11"/>
  <c r="G602" i="11"/>
  <c r="F602" i="11"/>
  <c r="I600" i="11"/>
  <c r="G600" i="11"/>
  <c r="F600" i="11"/>
  <c r="I599" i="11"/>
  <c r="G599" i="11"/>
  <c r="F599" i="11"/>
  <c r="I598" i="11"/>
  <c r="G598" i="11"/>
  <c r="F598" i="11"/>
  <c r="I597" i="11"/>
  <c r="G597" i="11"/>
  <c r="F597" i="11"/>
  <c r="I596" i="11"/>
  <c r="G596" i="11"/>
  <c r="F596" i="11"/>
  <c r="E596" i="11"/>
  <c r="I595" i="11"/>
  <c r="G595" i="11"/>
  <c r="F595" i="11"/>
  <c r="E595" i="11"/>
  <c r="I594" i="11"/>
  <c r="G594" i="11"/>
  <c r="F594" i="11"/>
  <c r="I593" i="11"/>
  <c r="G593" i="11"/>
  <c r="F593" i="11"/>
  <c r="I592" i="11"/>
  <c r="G592" i="11"/>
  <c r="F592" i="11"/>
  <c r="E592" i="11"/>
  <c r="I591" i="11"/>
  <c r="G591" i="11"/>
  <c r="F591" i="11"/>
  <c r="I590" i="11"/>
  <c r="G590" i="11"/>
  <c r="F590" i="11"/>
  <c r="I589" i="11"/>
  <c r="G589" i="11"/>
  <c r="F589" i="11"/>
  <c r="I588" i="11"/>
  <c r="G588" i="11"/>
  <c r="F588" i="11"/>
  <c r="E588" i="11"/>
  <c r="I587" i="11"/>
  <c r="G587" i="11"/>
  <c r="F587" i="11"/>
  <c r="E587" i="11"/>
  <c r="I586" i="11"/>
  <c r="G586" i="11"/>
  <c r="H586" i="11" s="1"/>
  <c r="F586" i="11"/>
  <c r="E586" i="11"/>
  <c r="I585" i="11"/>
  <c r="G585" i="11"/>
  <c r="F585" i="11"/>
  <c r="E585" i="11"/>
  <c r="I584" i="11"/>
  <c r="G584" i="11"/>
  <c r="F584" i="11"/>
  <c r="I583" i="11"/>
  <c r="G583" i="11"/>
  <c r="H583" i="11" s="1"/>
  <c r="F583" i="11"/>
  <c r="E583" i="11"/>
  <c r="I582" i="11"/>
  <c r="G582" i="11"/>
  <c r="F582" i="11"/>
  <c r="E582" i="11"/>
  <c r="I581" i="11"/>
  <c r="G581" i="11"/>
  <c r="F581" i="11"/>
  <c r="E581" i="11"/>
  <c r="I580" i="11"/>
  <c r="G580" i="11"/>
  <c r="F580" i="11"/>
  <c r="E580" i="11"/>
  <c r="I579" i="11"/>
  <c r="G579" i="11"/>
  <c r="F579" i="11"/>
  <c r="E579" i="11"/>
  <c r="I578" i="11"/>
  <c r="G578" i="11"/>
  <c r="F578" i="11"/>
  <c r="E578" i="11"/>
  <c r="I577" i="11"/>
  <c r="G577" i="11"/>
  <c r="F577" i="11"/>
  <c r="E577" i="11"/>
  <c r="I573" i="11"/>
  <c r="G573" i="11"/>
  <c r="F573" i="11"/>
  <c r="I572" i="11"/>
  <c r="G572" i="11"/>
  <c r="F572" i="11"/>
  <c r="F571" i="11"/>
  <c r="I570" i="11"/>
  <c r="G570" i="11"/>
  <c r="F570" i="11"/>
  <c r="E570" i="11"/>
  <c r="I569" i="11"/>
  <c r="G569" i="11"/>
  <c r="F569" i="11"/>
  <c r="I568" i="11"/>
  <c r="G568" i="11"/>
  <c r="H568" i="11" s="1"/>
  <c r="F568" i="11"/>
  <c r="E568" i="11"/>
  <c r="I567" i="11"/>
  <c r="G567" i="11"/>
  <c r="F567" i="11"/>
  <c r="I566" i="11"/>
  <c r="G566" i="11"/>
  <c r="H566" i="11" s="1"/>
  <c r="F566" i="11"/>
  <c r="I565" i="11"/>
  <c r="G565" i="11"/>
  <c r="F565" i="11"/>
  <c r="E565" i="11"/>
  <c r="I564" i="11"/>
  <c r="G564" i="11"/>
  <c r="F564" i="11"/>
  <c r="E564" i="11"/>
  <c r="I563" i="11"/>
  <c r="G563" i="11"/>
  <c r="H563" i="11" s="1"/>
  <c r="F563" i="11"/>
  <c r="E563" i="11"/>
  <c r="I562" i="11"/>
  <c r="G562" i="11"/>
  <c r="F562" i="11"/>
  <c r="H562" i="11" s="1"/>
  <c r="E562" i="11"/>
  <c r="I558" i="11"/>
  <c r="G558" i="11"/>
  <c r="F558" i="11"/>
  <c r="I557" i="11"/>
  <c r="G557" i="11"/>
  <c r="I556" i="11"/>
  <c r="G556" i="11"/>
  <c r="F556" i="11"/>
  <c r="E556" i="11"/>
  <c r="I555" i="11"/>
  <c r="G555" i="11"/>
  <c r="F555" i="11"/>
  <c r="I554" i="11"/>
  <c r="G554" i="11"/>
  <c r="F554" i="11"/>
  <c r="E554" i="11"/>
  <c r="I553" i="11"/>
  <c r="G553" i="11"/>
  <c r="F553" i="11"/>
  <c r="I552" i="11"/>
  <c r="G552" i="11"/>
  <c r="F552" i="11"/>
  <c r="I551" i="11"/>
  <c r="G551" i="11"/>
  <c r="F551" i="11"/>
  <c r="E551" i="11"/>
  <c r="I550" i="11"/>
  <c r="G550" i="11"/>
  <c r="F550" i="11"/>
  <c r="E550" i="11"/>
  <c r="I549" i="11"/>
  <c r="G549" i="11"/>
  <c r="F549" i="11"/>
  <c r="E549" i="11"/>
  <c r="I548" i="11"/>
  <c r="G548" i="11"/>
  <c r="F548" i="11"/>
  <c r="E548" i="11"/>
  <c r="I547" i="11"/>
  <c r="G547" i="11"/>
  <c r="F547" i="11"/>
  <c r="E547" i="11"/>
  <c r="I545" i="11"/>
  <c r="G545" i="11"/>
  <c r="I543" i="11"/>
  <c r="G543" i="11"/>
  <c r="F543" i="11"/>
  <c r="E543" i="11"/>
  <c r="I542" i="11"/>
  <c r="G542" i="11"/>
  <c r="F542" i="11"/>
  <c r="I541" i="11"/>
  <c r="G541" i="11"/>
  <c r="H541" i="11" s="1"/>
  <c r="F541" i="11"/>
  <c r="I540" i="11"/>
  <c r="G540" i="11"/>
  <c r="F540" i="11"/>
  <c r="I539" i="11"/>
  <c r="G539" i="11"/>
  <c r="H539" i="11" s="1"/>
  <c r="F539" i="11"/>
  <c r="I538" i="11"/>
  <c r="G538" i="11"/>
  <c r="F538" i="11"/>
  <c r="I537" i="11"/>
  <c r="G537" i="11"/>
  <c r="H537" i="11" s="1"/>
  <c r="F537" i="11"/>
  <c r="I536" i="11"/>
  <c r="G536" i="11"/>
  <c r="F536" i="11"/>
  <c r="I535" i="11"/>
  <c r="G535" i="11"/>
  <c r="H535" i="11" s="1"/>
  <c r="F535" i="11"/>
  <c r="I534" i="11"/>
  <c r="G534" i="11"/>
  <c r="F534" i="11"/>
  <c r="I533" i="11"/>
  <c r="G533" i="11"/>
  <c r="H533" i="11" s="1"/>
  <c r="F533" i="11"/>
  <c r="I532" i="11"/>
  <c r="G532" i="11"/>
  <c r="F532" i="11"/>
  <c r="I531" i="11"/>
  <c r="G531" i="11"/>
  <c r="H531" i="11" s="1"/>
  <c r="F531" i="11"/>
  <c r="I530" i="11"/>
  <c r="G530" i="11"/>
  <c r="F530" i="11"/>
  <c r="I529" i="11"/>
  <c r="G529" i="11"/>
  <c r="H529" i="11" s="1"/>
  <c r="F529" i="11"/>
  <c r="I528" i="11"/>
  <c r="G528" i="11"/>
  <c r="F528" i="11"/>
  <c r="I527" i="11"/>
  <c r="G527" i="11"/>
  <c r="H527" i="11" s="1"/>
  <c r="F527" i="11"/>
  <c r="I526" i="11"/>
  <c r="G526" i="11"/>
  <c r="F526" i="11"/>
  <c r="I525" i="11"/>
  <c r="G525" i="11"/>
  <c r="H525" i="11" s="1"/>
  <c r="F525" i="11"/>
  <c r="I524" i="11"/>
  <c r="G524" i="11"/>
  <c r="F524" i="11"/>
  <c r="I523" i="11"/>
  <c r="G523" i="11"/>
  <c r="H523" i="11" s="1"/>
  <c r="F523" i="11"/>
  <c r="I522" i="11"/>
  <c r="G522" i="11"/>
  <c r="F522" i="11"/>
  <c r="I521" i="11"/>
  <c r="G521" i="11"/>
  <c r="H521" i="11" s="1"/>
  <c r="F521" i="11"/>
  <c r="I520" i="11"/>
  <c r="G520" i="11"/>
  <c r="F520" i="11"/>
  <c r="E520" i="11"/>
  <c r="I519" i="11"/>
  <c r="G519" i="11"/>
  <c r="F519" i="11"/>
  <c r="I518" i="11"/>
  <c r="G518" i="11"/>
  <c r="F518" i="11"/>
  <c r="I517" i="11"/>
  <c r="G517" i="11"/>
  <c r="F517" i="11"/>
  <c r="I516" i="11"/>
  <c r="G516" i="11"/>
  <c r="F516" i="11"/>
  <c r="H516" i="11" s="1"/>
  <c r="I515" i="11"/>
  <c r="G515" i="11"/>
  <c r="F515" i="11"/>
  <c r="I514" i="11"/>
  <c r="G514" i="11"/>
  <c r="F514" i="11"/>
  <c r="I512" i="11"/>
  <c r="G512" i="11"/>
  <c r="F512" i="11"/>
  <c r="I511" i="11"/>
  <c r="G511" i="11"/>
  <c r="F511" i="11"/>
  <c r="E511" i="11"/>
  <c r="I510" i="11"/>
  <c r="G510" i="11"/>
  <c r="F510" i="11"/>
  <c r="E510" i="11"/>
  <c r="I509" i="11"/>
  <c r="G509" i="11"/>
  <c r="F509" i="11"/>
  <c r="E509" i="11"/>
  <c r="I508" i="11"/>
  <c r="G508" i="11"/>
  <c r="F508" i="11"/>
  <c r="E508" i="11"/>
  <c r="I507" i="11"/>
  <c r="G507" i="11"/>
  <c r="F507" i="11"/>
  <c r="E507" i="11"/>
  <c r="I506" i="11"/>
  <c r="G506" i="11"/>
  <c r="F506" i="11"/>
  <c r="E506" i="11"/>
  <c r="I503" i="11"/>
  <c r="G503" i="11"/>
  <c r="F503" i="11"/>
  <c r="E503" i="11"/>
  <c r="I502" i="11"/>
  <c r="G502" i="11"/>
  <c r="F502" i="11"/>
  <c r="I501" i="11"/>
  <c r="G501" i="11"/>
  <c r="F501" i="11"/>
  <c r="I500" i="11"/>
  <c r="G500" i="11"/>
  <c r="F500" i="11"/>
  <c r="I499" i="11"/>
  <c r="G499" i="11"/>
  <c r="F499" i="11"/>
  <c r="E499" i="11"/>
  <c r="I497" i="11"/>
  <c r="G497" i="11"/>
  <c r="F497" i="11"/>
  <c r="I496" i="11"/>
  <c r="G496" i="11"/>
  <c r="H496" i="11" s="1"/>
  <c r="F496" i="11"/>
  <c r="E496" i="11"/>
  <c r="I495" i="11"/>
  <c r="G495" i="11"/>
  <c r="F495" i="11"/>
  <c r="E495" i="11"/>
  <c r="I494" i="11"/>
  <c r="G494" i="11"/>
  <c r="F494" i="11"/>
  <c r="E494" i="11"/>
  <c r="I493" i="11"/>
  <c r="G493" i="11"/>
  <c r="H493" i="11" s="1"/>
  <c r="F493" i="11"/>
  <c r="E493" i="11"/>
  <c r="I492" i="11"/>
  <c r="G492" i="11"/>
  <c r="F492" i="11"/>
  <c r="E492" i="11"/>
  <c r="I491" i="11"/>
  <c r="G491" i="11"/>
  <c r="F491" i="11"/>
  <c r="E491" i="11"/>
  <c r="I488" i="11"/>
  <c r="G488" i="11"/>
  <c r="F488" i="11"/>
  <c r="I487" i="11"/>
  <c r="G487" i="11"/>
  <c r="F487" i="11"/>
  <c r="I486" i="11"/>
  <c r="G486" i="11"/>
  <c r="F486" i="11"/>
  <c r="I484" i="11"/>
  <c r="G484" i="11"/>
  <c r="F484" i="11"/>
  <c r="I483" i="11"/>
  <c r="G483" i="11"/>
  <c r="F483" i="11"/>
  <c r="I482" i="11"/>
  <c r="G482" i="11"/>
  <c r="F482" i="11"/>
  <c r="I480" i="11"/>
  <c r="G480" i="11"/>
  <c r="F480" i="11"/>
  <c r="I479" i="11"/>
  <c r="G479" i="11"/>
  <c r="F479" i="11"/>
  <c r="I478" i="11"/>
  <c r="G478" i="11"/>
  <c r="F478" i="11"/>
  <c r="I477" i="11"/>
  <c r="G477" i="11"/>
  <c r="F477" i="11"/>
  <c r="I476" i="11"/>
  <c r="G476" i="11"/>
  <c r="F476" i="11"/>
  <c r="I475" i="11"/>
  <c r="G475" i="11"/>
  <c r="F475" i="11"/>
  <c r="F473" i="11" s="1"/>
  <c r="I473" i="11"/>
  <c r="G473" i="11"/>
  <c r="I472" i="11"/>
  <c r="G472" i="11"/>
  <c r="F472" i="11"/>
  <c r="I471" i="11"/>
  <c r="G471" i="11"/>
  <c r="F471" i="11"/>
  <c r="I470" i="11"/>
  <c r="G470" i="11"/>
  <c r="F470" i="11"/>
  <c r="I469" i="11"/>
  <c r="G469" i="11"/>
  <c r="F469" i="11"/>
  <c r="I468" i="11"/>
  <c r="G468" i="11"/>
  <c r="F468" i="11"/>
  <c r="I466" i="11"/>
  <c r="G466" i="11"/>
  <c r="I465" i="11"/>
  <c r="G465" i="11"/>
  <c r="F465" i="11"/>
  <c r="E465" i="11"/>
  <c r="I464" i="11"/>
  <c r="G464" i="11"/>
  <c r="F464" i="11"/>
  <c r="E464" i="11"/>
  <c r="I462" i="11"/>
  <c r="G462" i="11"/>
  <c r="F462" i="11"/>
  <c r="I461" i="11"/>
  <c r="G461" i="11"/>
  <c r="F461" i="11"/>
  <c r="I460" i="11"/>
  <c r="G460" i="11"/>
  <c r="F460" i="11"/>
  <c r="I458" i="11"/>
  <c r="G458" i="11"/>
  <c r="H458" i="11" s="1"/>
  <c r="F458" i="11"/>
  <c r="I457" i="11"/>
  <c r="G457" i="11"/>
  <c r="F457" i="11"/>
  <c r="I456" i="11"/>
  <c r="G456" i="11"/>
  <c r="H456" i="11" s="1"/>
  <c r="F456" i="11"/>
  <c r="E456" i="11"/>
  <c r="I455" i="11"/>
  <c r="G455" i="11"/>
  <c r="F455" i="11"/>
  <c r="E455" i="11"/>
  <c r="I454" i="11"/>
  <c r="G454" i="11"/>
  <c r="F454" i="11"/>
  <c r="E454" i="11"/>
  <c r="I453" i="11"/>
  <c r="G453" i="11"/>
  <c r="H453" i="11" s="1"/>
  <c r="F453" i="11"/>
  <c r="E453" i="11"/>
  <c r="I452" i="11"/>
  <c r="G452" i="11"/>
  <c r="H452" i="11" s="1"/>
  <c r="F452" i="11"/>
  <c r="E452" i="11"/>
  <c r="I451" i="11"/>
  <c r="G451" i="11"/>
  <c r="F451" i="11"/>
  <c r="I449" i="11"/>
  <c r="G449" i="11"/>
  <c r="I448" i="11"/>
  <c r="G448" i="11"/>
  <c r="F448" i="11"/>
  <c r="I447" i="11"/>
  <c r="G447" i="11"/>
  <c r="H447" i="11" s="1"/>
  <c r="F447" i="11"/>
  <c r="I446" i="11"/>
  <c r="G446" i="11"/>
  <c r="F446" i="11"/>
  <c r="I444" i="11"/>
  <c r="G444" i="11"/>
  <c r="H444" i="11" s="1"/>
  <c r="F444" i="11"/>
  <c r="E444" i="11"/>
  <c r="I443" i="11"/>
  <c r="G443" i="11"/>
  <c r="F443" i="11"/>
  <c r="E443" i="11"/>
  <c r="I442" i="11"/>
  <c r="G442" i="11"/>
  <c r="F442" i="11"/>
  <c r="I441" i="11"/>
  <c r="G441" i="11"/>
  <c r="F441" i="11"/>
  <c r="E441" i="11"/>
  <c r="I440" i="11"/>
  <c r="G440" i="11"/>
  <c r="F440" i="11"/>
  <c r="I439" i="11"/>
  <c r="G439" i="11"/>
  <c r="H439" i="11" s="1"/>
  <c r="F439" i="11"/>
  <c r="E439" i="11"/>
  <c r="I438" i="11"/>
  <c r="G438" i="11"/>
  <c r="F438" i="11"/>
  <c r="I437" i="11"/>
  <c r="G437" i="11"/>
  <c r="F437" i="11"/>
  <c r="E437" i="11"/>
  <c r="I436" i="11"/>
  <c r="G436" i="11"/>
  <c r="F436" i="11"/>
  <c r="E436" i="11"/>
  <c r="I435" i="11"/>
  <c r="G435" i="11"/>
  <c r="F435" i="11"/>
  <c r="E435" i="11"/>
  <c r="I434" i="11"/>
  <c r="G434" i="11"/>
  <c r="F434" i="11"/>
  <c r="E434" i="11"/>
  <c r="I433" i="11"/>
  <c r="G433" i="11"/>
  <c r="F433" i="11"/>
  <c r="E433" i="11"/>
  <c r="I432" i="11"/>
  <c r="G432" i="11"/>
  <c r="F432" i="11"/>
  <c r="E432" i="11"/>
  <c r="I430" i="11"/>
  <c r="G430" i="11"/>
  <c r="F430" i="11"/>
  <c r="I429" i="11"/>
  <c r="G429" i="11"/>
  <c r="F429" i="11"/>
  <c r="I428" i="11"/>
  <c r="G428" i="11"/>
  <c r="I426" i="11"/>
  <c r="G426" i="11"/>
  <c r="F426" i="11"/>
  <c r="I425" i="11"/>
  <c r="G425" i="11"/>
  <c r="H425" i="11" s="1"/>
  <c r="F425" i="11"/>
  <c r="I424" i="11"/>
  <c r="G424" i="11"/>
  <c r="F424" i="11"/>
  <c r="I423" i="11"/>
  <c r="G423" i="11"/>
  <c r="H423" i="11" s="1"/>
  <c r="F423" i="11"/>
  <c r="I422" i="11"/>
  <c r="G422" i="11"/>
  <c r="F422" i="11"/>
  <c r="I421" i="11"/>
  <c r="G421" i="11"/>
  <c r="H421" i="11" s="1"/>
  <c r="F421" i="11"/>
  <c r="I420" i="11"/>
  <c r="G420" i="11"/>
  <c r="F420" i="11"/>
  <c r="I419" i="11"/>
  <c r="G419" i="11"/>
  <c r="I418" i="11"/>
  <c r="G418" i="11"/>
  <c r="F418" i="11"/>
  <c r="I417" i="11"/>
  <c r="G417" i="11"/>
  <c r="F417" i="11"/>
  <c r="I416" i="11"/>
  <c r="G416" i="11"/>
  <c r="F416" i="11"/>
  <c r="I414" i="11"/>
  <c r="G414" i="11"/>
  <c r="I413" i="11"/>
  <c r="G413" i="11"/>
  <c r="F413" i="11"/>
  <c r="I412" i="11"/>
  <c r="G412" i="11"/>
  <c r="H412" i="11" s="1"/>
  <c r="F412" i="11"/>
  <c r="I411" i="11"/>
  <c r="G411" i="11"/>
  <c r="F411" i="11"/>
  <c r="I410" i="11"/>
  <c r="G410" i="11"/>
  <c r="F410" i="11"/>
  <c r="I409" i="11"/>
  <c r="G409" i="11"/>
  <c r="F409" i="11"/>
  <c r="I408" i="11"/>
  <c r="G408" i="11"/>
  <c r="H408" i="11" s="1"/>
  <c r="F408" i="11"/>
  <c r="I407" i="11"/>
  <c r="G407" i="11"/>
  <c r="F407" i="11"/>
  <c r="I406" i="11"/>
  <c r="G406" i="11"/>
  <c r="F406" i="11"/>
  <c r="I405" i="11"/>
  <c r="G405" i="11"/>
  <c r="F405" i="11"/>
  <c r="I404" i="11"/>
  <c r="G404" i="11"/>
  <c r="H404" i="11" s="1"/>
  <c r="F404" i="11"/>
  <c r="I403" i="11"/>
  <c r="G403" i="11"/>
  <c r="F403" i="11"/>
  <c r="I402" i="11"/>
  <c r="G402" i="11"/>
  <c r="F402" i="11"/>
  <c r="I401" i="11"/>
  <c r="G401" i="11"/>
  <c r="F401" i="11"/>
  <c r="I400" i="11"/>
  <c r="G400" i="11"/>
  <c r="H400" i="11" s="1"/>
  <c r="F400" i="11"/>
  <c r="I399" i="11"/>
  <c r="G399" i="11"/>
  <c r="F399" i="11"/>
  <c r="I398" i="11"/>
  <c r="G398" i="11"/>
  <c r="F398" i="11"/>
  <c r="I397" i="11"/>
  <c r="G397" i="11"/>
  <c r="F397" i="11"/>
  <c r="I396" i="11"/>
  <c r="G396" i="11"/>
  <c r="H396" i="11" s="1"/>
  <c r="F396" i="11"/>
  <c r="I395" i="11"/>
  <c r="G395" i="11"/>
  <c r="F395" i="11"/>
  <c r="I394" i="11"/>
  <c r="G394" i="11"/>
  <c r="F394" i="11"/>
  <c r="I393" i="11"/>
  <c r="G393" i="11"/>
  <c r="F393" i="11"/>
  <c r="I392" i="11"/>
  <c r="G392" i="11"/>
  <c r="H392" i="11" s="1"/>
  <c r="F392" i="11"/>
  <c r="I391" i="11"/>
  <c r="G391" i="11"/>
  <c r="F391" i="11"/>
  <c r="I390" i="11"/>
  <c r="G390" i="11"/>
  <c r="F390" i="11"/>
  <c r="I389" i="11"/>
  <c r="G389" i="11"/>
  <c r="F389" i="11"/>
  <c r="I388" i="11"/>
  <c r="G388" i="11"/>
  <c r="H388" i="11" s="1"/>
  <c r="F388" i="11"/>
  <c r="I387" i="11"/>
  <c r="G387" i="11"/>
  <c r="F387" i="11"/>
  <c r="I386" i="11"/>
  <c r="G386" i="11"/>
  <c r="F386" i="11"/>
  <c r="I385" i="11"/>
  <c r="G385" i="11"/>
  <c r="F385" i="11"/>
  <c r="I384" i="11"/>
  <c r="G384" i="11"/>
  <c r="H384" i="11" s="1"/>
  <c r="F384" i="11"/>
  <c r="I383" i="11"/>
  <c r="G383" i="11"/>
  <c r="F383" i="11"/>
  <c r="I382" i="11"/>
  <c r="G382" i="11"/>
  <c r="F382" i="11"/>
  <c r="I381" i="11"/>
  <c r="G381" i="11"/>
  <c r="F381" i="11"/>
  <c r="I380" i="11"/>
  <c r="G380" i="11"/>
  <c r="H380" i="11" s="1"/>
  <c r="F380" i="11"/>
  <c r="I379" i="11"/>
  <c r="G379" i="11"/>
  <c r="F379" i="11"/>
  <c r="I378" i="11"/>
  <c r="G378" i="11"/>
  <c r="F378" i="11"/>
  <c r="I377" i="11"/>
  <c r="G377" i="11"/>
  <c r="F377" i="11"/>
  <c r="I376" i="11"/>
  <c r="G376" i="11"/>
  <c r="I375" i="11"/>
  <c r="G375" i="11"/>
  <c r="F375" i="11"/>
  <c r="I374" i="11"/>
  <c r="G374" i="11"/>
  <c r="F374" i="11"/>
  <c r="I373" i="11"/>
  <c r="G373" i="11"/>
  <c r="I372" i="11"/>
  <c r="G372" i="11"/>
  <c r="H372" i="11" s="1"/>
  <c r="F372" i="11"/>
  <c r="I371" i="11"/>
  <c r="G371" i="11"/>
  <c r="F371" i="11"/>
  <c r="I370" i="11"/>
  <c r="G370" i="11"/>
  <c r="H370" i="11" s="1"/>
  <c r="F370" i="11"/>
  <c r="I369" i="11"/>
  <c r="G369" i="11"/>
  <c r="F369" i="11"/>
  <c r="I368" i="11"/>
  <c r="G368" i="11"/>
  <c r="H368" i="11" s="1"/>
  <c r="F368" i="11"/>
  <c r="I367" i="11"/>
  <c r="G367" i="11"/>
  <c r="F367" i="11"/>
  <c r="I366" i="11"/>
  <c r="G366" i="11"/>
  <c r="H366" i="11" s="1"/>
  <c r="F366" i="11"/>
  <c r="I365" i="11"/>
  <c r="G365" i="11"/>
  <c r="I364" i="11"/>
  <c r="G364" i="11"/>
  <c r="F364" i="11"/>
  <c r="I363" i="11"/>
  <c r="G363" i="11"/>
  <c r="F363" i="11"/>
  <c r="E363" i="11"/>
  <c r="I362" i="11"/>
  <c r="G362" i="11"/>
  <c r="H362" i="11" s="1"/>
  <c r="F362" i="11"/>
  <c r="E362" i="11"/>
  <c r="I361" i="11"/>
  <c r="G361" i="11"/>
  <c r="H361" i="11" s="1"/>
  <c r="F361" i="11"/>
  <c r="E361" i="11"/>
  <c r="I359" i="11"/>
  <c r="G359" i="11"/>
  <c r="I358" i="11"/>
  <c r="G358" i="11"/>
  <c r="H358" i="11" s="1"/>
  <c r="F358" i="11"/>
  <c r="E358" i="11"/>
  <c r="I357" i="11"/>
  <c r="G357" i="11"/>
  <c r="F357" i="11"/>
  <c r="E357" i="11"/>
  <c r="I356" i="11"/>
  <c r="G356" i="11"/>
  <c r="F356" i="11"/>
  <c r="I355" i="11"/>
  <c r="G355" i="11"/>
  <c r="F355" i="11"/>
  <c r="E355" i="11"/>
  <c r="I354" i="11"/>
  <c r="G354" i="11"/>
  <c r="F354" i="11"/>
  <c r="E354" i="11"/>
  <c r="I353" i="11"/>
  <c r="G353" i="11"/>
  <c r="F353" i="11"/>
  <c r="E353" i="11"/>
  <c r="I352" i="11"/>
  <c r="G352" i="11"/>
  <c r="F352" i="11"/>
  <c r="E352" i="11"/>
  <c r="I351" i="11"/>
  <c r="G351" i="11"/>
  <c r="F351" i="11"/>
  <c r="E351" i="11"/>
  <c r="I350" i="11"/>
  <c r="G350" i="11"/>
  <c r="F350" i="11"/>
  <c r="I348" i="11"/>
  <c r="G348" i="11"/>
  <c r="F348" i="11"/>
  <c r="I347" i="11"/>
  <c r="G347" i="11"/>
  <c r="F347" i="11"/>
  <c r="I346" i="11"/>
  <c r="G346" i="11"/>
  <c r="F346" i="11"/>
  <c r="I345" i="11"/>
  <c r="G345" i="11"/>
  <c r="F345" i="11"/>
  <c r="I344" i="11"/>
  <c r="G344" i="11"/>
  <c r="F344" i="11"/>
  <c r="I343" i="11"/>
  <c r="G343" i="11"/>
  <c r="F343" i="11"/>
  <c r="I342" i="11"/>
  <c r="G342" i="11"/>
  <c r="F342" i="11"/>
  <c r="I341" i="11"/>
  <c r="G341" i="11"/>
  <c r="F341" i="11"/>
  <c r="I340" i="11"/>
  <c r="G340" i="11"/>
  <c r="F340" i="11"/>
  <c r="I339" i="11"/>
  <c r="G339" i="11"/>
  <c r="F339" i="11"/>
  <c r="I338" i="11"/>
  <c r="G338" i="11"/>
  <c r="F338" i="11"/>
  <c r="I336" i="11"/>
  <c r="G336" i="11"/>
  <c r="F336" i="11"/>
  <c r="I335" i="11"/>
  <c r="G335" i="11"/>
  <c r="F335" i="11"/>
  <c r="I333" i="11"/>
  <c r="G333" i="11"/>
  <c r="F333" i="11"/>
  <c r="I332" i="11"/>
  <c r="G332" i="11"/>
  <c r="F332" i="11"/>
  <c r="I331" i="11"/>
  <c r="G331" i="11"/>
  <c r="F331" i="11"/>
  <c r="I330" i="11"/>
  <c r="G330" i="11"/>
  <c r="F330" i="11"/>
  <c r="I329" i="11"/>
  <c r="G329" i="11"/>
  <c r="F329" i="11"/>
  <c r="I328" i="11"/>
  <c r="G328" i="11"/>
  <c r="F328" i="11"/>
  <c r="I327" i="11"/>
  <c r="G327" i="11"/>
  <c r="F327" i="11"/>
  <c r="I325" i="11"/>
  <c r="G325" i="11"/>
  <c r="F325" i="11"/>
  <c r="I324" i="11"/>
  <c r="G324" i="11"/>
  <c r="F324" i="11"/>
  <c r="I323" i="11"/>
  <c r="G323" i="11"/>
  <c r="F323" i="11"/>
  <c r="I322" i="11"/>
  <c r="G322" i="11"/>
  <c r="F322" i="11"/>
  <c r="I321" i="11"/>
  <c r="G321" i="11"/>
  <c r="F321" i="11"/>
  <c r="I320" i="11"/>
  <c r="G320" i="11"/>
  <c r="F320" i="11"/>
  <c r="I319" i="11"/>
  <c r="G319" i="11"/>
  <c r="F319" i="11"/>
  <c r="I318" i="11"/>
  <c r="G318" i="11"/>
  <c r="F318" i="11"/>
  <c r="I317" i="11"/>
  <c r="G317" i="11"/>
  <c r="F317" i="11"/>
  <c r="I316" i="11"/>
  <c r="G316" i="11"/>
  <c r="F316" i="11"/>
  <c r="I315" i="11"/>
  <c r="G315" i="11"/>
  <c r="F315" i="11"/>
  <c r="I314" i="11"/>
  <c r="G314" i="11"/>
  <c r="F314" i="11"/>
  <c r="I313" i="11"/>
  <c r="G313" i="11"/>
  <c r="F313" i="11"/>
  <c r="I312" i="11"/>
  <c r="G312" i="11"/>
  <c r="F312" i="11"/>
  <c r="I309" i="11"/>
  <c r="G309" i="11"/>
  <c r="I308" i="11"/>
  <c r="G308" i="11"/>
  <c r="H308" i="11" s="1"/>
  <c r="J308" i="11" s="1"/>
  <c r="F308" i="11"/>
  <c r="I307" i="11"/>
  <c r="G307" i="11"/>
  <c r="F307" i="11"/>
  <c r="I306" i="11"/>
  <c r="G306" i="11"/>
  <c r="H306" i="11" s="1"/>
  <c r="F306" i="11"/>
  <c r="I305" i="11"/>
  <c r="G305" i="11"/>
  <c r="F305" i="11"/>
  <c r="I304" i="11"/>
  <c r="G304" i="11"/>
  <c r="F304" i="11"/>
  <c r="I301" i="11"/>
  <c r="G301" i="11"/>
  <c r="F301" i="11"/>
  <c r="I300" i="11"/>
  <c r="G300" i="11"/>
  <c r="H300" i="11" s="1"/>
  <c r="F300" i="11"/>
  <c r="I299" i="11"/>
  <c r="G299" i="11"/>
  <c r="F299" i="11"/>
  <c r="I298" i="11"/>
  <c r="G298" i="11"/>
  <c r="H298" i="11" s="1"/>
  <c r="F298" i="11"/>
  <c r="I297" i="11"/>
  <c r="G297" i="11"/>
  <c r="H297" i="11" s="1"/>
  <c r="F297" i="11"/>
  <c r="I296" i="11"/>
  <c r="G296" i="11"/>
  <c r="I295" i="11"/>
  <c r="G295" i="11"/>
  <c r="H295" i="11" s="1"/>
  <c r="F295" i="11"/>
  <c r="E295" i="11"/>
  <c r="I294" i="11"/>
  <c r="G294" i="11"/>
  <c r="H294" i="11" s="1"/>
  <c r="F294" i="11"/>
  <c r="E294" i="11"/>
  <c r="I293" i="11"/>
  <c r="G293" i="11"/>
  <c r="F293" i="11"/>
  <c r="E293" i="11"/>
  <c r="I292" i="11"/>
  <c r="G292" i="11"/>
  <c r="F292" i="11"/>
  <c r="E292" i="11"/>
  <c r="I291" i="11"/>
  <c r="G291" i="11"/>
  <c r="H291" i="11" s="1"/>
  <c r="F291" i="11"/>
  <c r="I290" i="11"/>
  <c r="G290" i="11"/>
  <c r="F290" i="11"/>
  <c r="E290" i="11"/>
  <c r="I288" i="11"/>
  <c r="G288" i="11"/>
  <c r="F288" i="11"/>
  <c r="I286" i="11"/>
  <c r="G286" i="11"/>
  <c r="F286" i="11"/>
  <c r="I285" i="11"/>
  <c r="G285" i="11"/>
  <c r="F285" i="11"/>
  <c r="I284" i="11"/>
  <c r="G284" i="11"/>
  <c r="F284" i="11"/>
  <c r="E284" i="11"/>
  <c r="I283" i="11"/>
  <c r="G283" i="11"/>
  <c r="F283" i="11"/>
  <c r="I281" i="11"/>
  <c r="G281" i="11"/>
  <c r="F281" i="11"/>
  <c r="E281" i="11"/>
  <c r="I280" i="11"/>
  <c r="G280" i="11"/>
  <c r="F280" i="11"/>
  <c r="E280" i="11"/>
  <c r="I279" i="11"/>
  <c r="G279" i="11"/>
  <c r="F279" i="11"/>
  <c r="I278" i="11"/>
  <c r="G278" i="11"/>
  <c r="F278" i="11"/>
  <c r="E278" i="11"/>
  <c r="I277" i="11"/>
  <c r="G277" i="11"/>
  <c r="F277" i="11"/>
  <c r="E277" i="11"/>
  <c r="I276" i="11"/>
  <c r="G276" i="11"/>
  <c r="F276" i="11"/>
  <c r="E276" i="11"/>
  <c r="I275" i="11"/>
  <c r="G275" i="11"/>
  <c r="F275" i="11"/>
  <c r="E275" i="11"/>
  <c r="I274" i="11"/>
  <c r="G274" i="11"/>
  <c r="F274" i="11"/>
  <c r="E274" i="11"/>
  <c r="I272" i="11"/>
  <c r="G272" i="11"/>
  <c r="I271" i="11"/>
  <c r="G271" i="11"/>
  <c r="F271" i="11"/>
  <c r="E271" i="11"/>
  <c r="I270" i="11"/>
  <c r="G270" i="11"/>
  <c r="F270" i="11"/>
  <c r="E270" i="11"/>
  <c r="I269" i="11"/>
  <c r="G269" i="11"/>
  <c r="F269" i="11"/>
  <c r="I268" i="11"/>
  <c r="G268" i="11"/>
  <c r="F268" i="11"/>
  <c r="I267" i="11"/>
  <c r="G267" i="11"/>
  <c r="F267" i="11"/>
  <c r="I266" i="11"/>
  <c r="G266" i="11"/>
  <c r="F266" i="11"/>
  <c r="I265" i="11"/>
  <c r="G265" i="11"/>
  <c r="H265" i="11" s="1"/>
  <c r="F265" i="11"/>
  <c r="I264" i="11"/>
  <c r="G264" i="11"/>
  <c r="F264" i="11"/>
  <c r="I262" i="11"/>
  <c r="G262" i="11"/>
  <c r="F262" i="11"/>
  <c r="I261" i="11"/>
  <c r="G261" i="11"/>
  <c r="F261" i="11"/>
  <c r="E261" i="11"/>
  <c r="I260" i="11"/>
  <c r="G260" i="11"/>
  <c r="F260" i="11"/>
  <c r="E260" i="11"/>
  <c r="I259" i="11"/>
  <c r="G259" i="11"/>
  <c r="F259" i="11"/>
  <c r="E259" i="11"/>
  <c r="I258" i="11"/>
  <c r="G258" i="11"/>
  <c r="F258" i="11"/>
  <c r="E258" i="11"/>
  <c r="I257" i="11"/>
  <c r="G257" i="11"/>
  <c r="F257" i="11"/>
  <c r="E257" i="11"/>
  <c r="I256" i="11"/>
  <c r="G256" i="11"/>
  <c r="F256" i="11"/>
  <c r="E256" i="11"/>
  <c r="I254" i="11"/>
  <c r="G254" i="11"/>
  <c r="F254" i="11"/>
  <c r="I253" i="11"/>
  <c r="G253" i="11"/>
  <c r="F253" i="11"/>
  <c r="I250" i="11"/>
  <c r="G250" i="11"/>
  <c r="F250" i="11"/>
  <c r="E250" i="11"/>
  <c r="I249" i="11"/>
  <c r="G249" i="11"/>
  <c r="F249" i="11"/>
  <c r="E249" i="11"/>
  <c r="I248" i="11"/>
  <c r="G248" i="11"/>
  <c r="F248" i="11"/>
  <c r="E248" i="11"/>
  <c r="I247" i="11"/>
  <c r="G247" i="11"/>
  <c r="F247" i="11"/>
  <c r="E247" i="11"/>
  <c r="I246" i="11"/>
  <c r="G246" i="11"/>
  <c r="F246" i="11"/>
  <c r="E246" i="11"/>
  <c r="I245" i="11"/>
  <c r="G245" i="11"/>
  <c r="F245" i="11"/>
  <c r="E245" i="11"/>
  <c r="I244" i="11"/>
  <c r="G244" i="11"/>
  <c r="F244" i="11"/>
  <c r="E244" i="11"/>
  <c r="I242" i="11"/>
  <c r="G242" i="11"/>
  <c r="F242" i="11"/>
  <c r="E242" i="11"/>
  <c r="I241" i="11"/>
  <c r="G241" i="11"/>
  <c r="F241" i="11"/>
  <c r="E241" i="11"/>
  <c r="I240" i="11"/>
  <c r="G240" i="11"/>
  <c r="F240" i="11"/>
  <c r="E240" i="11"/>
  <c r="I239" i="11"/>
  <c r="G239" i="11"/>
  <c r="F239" i="11"/>
  <c r="E239" i="11"/>
  <c r="I238" i="11"/>
  <c r="G238" i="11"/>
  <c r="F238" i="11"/>
  <c r="E238" i="11"/>
  <c r="I237" i="11"/>
  <c r="G237" i="11"/>
  <c r="F237" i="11"/>
  <c r="E237" i="11"/>
  <c r="I236" i="11"/>
  <c r="G236" i="11"/>
  <c r="F236" i="11"/>
  <c r="E236" i="11"/>
  <c r="I235" i="11"/>
  <c r="G235" i="11"/>
  <c r="F235" i="11"/>
  <c r="E235" i="11"/>
  <c r="I234" i="11"/>
  <c r="G234" i="11"/>
  <c r="F234" i="11"/>
  <c r="E234" i="11"/>
  <c r="I233" i="11"/>
  <c r="G233" i="11"/>
  <c r="F233" i="11"/>
  <c r="E233" i="11"/>
  <c r="I232" i="11"/>
  <c r="G232" i="11"/>
  <c r="F232" i="11"/>
  <c r="E232" i="11"/>
  <c r="I231" i="11"/>
  <c r="G231" i="11"/>
  <c r="F231" i="11"/>
  <c r="E231" i="11"/>
  <c r="I230" i="11"/>
  <c r="G230" i="11"/>
  <c r="F230" i="11"/>
  <c r="E230" i="11"/>
  <c r="I228" i="11"/>
  <c r="G228" i="11"/>
  <c r="F228" i="11"/>
  <c r="E228" i="11"/>
  <c r="I227" i="11"/>
  <c r="G227" i="11"/>
  <c r="F227" i="11"/>
  <c r="E227" i="11"/>
  <c r="I226" i="11"/>
  <c r="G226" i="11"/>
  <c r="F226" i="11"/>
  <c r="E226" i="11"/>
  <c r="I225" i="11"/>
  <c r="G225" i="11"/>
  <c r="F225" i="11"/>
  <c r="E225" i="11"/>
  <c r="I224" i="11"/>
  <c r="G224" i="11"/>
  <c r="F224" i="11"/>
  <c r="E224" i="11"/>
  <c r="I223" i="11"/>
  <c r="G223" i="11"/>
  <c r="F223" i="11"/>
  <c r="E223" i="11"/>
  <c r="I221" i="11"/>
  <c r="G221" i="11"/>
  <c r="F221" i="11"/>
  <c r="E221" i="11"/>
  <c r="I220" i="11"/>
  <c r="G220" i="11"/>
  <c r="F220" i="11"/>
  <c r="E220" i="11"/>
  <c r="I219" i="11"/>
  <c r="G219" i="11"/>
  <c r="F219" i="11"/>
  <c r="E219" i="11"/>
  <c r="I218" i="11"/>
  <c r="G218" i="11"/>
  <c r="F218" i="11"/>
  <c r="E218" i="11"/>
  <c r="I217" i="11"/>
  <c r="G217" i="11"/>
  <c r="F217" i="11"/>
  <c r="E217" i="11"/>
  <c r="I216" i="11"/>
  <c r="G216" i="11"/>
  <c r="F216" i="11"/>
  <c r="E216" i="11"/>
  <c r="I215" i="11"/>
  <c r="G215" i="11"/>
  <c r="F215" i="11"/>
  <c r="E215" i="11"/>
  <c r="I214" i="11"/>
  <c r="G214" i="11"/>
  <c r="F214" i="11"/>
  <c r="E214" i="11"/>
  <c r="I213" i="11"/>
  <c r="G213" i="11"/>
  <c r="F213" i="11"/>
  <c r="E213" i="11"/>
  <c r="I212" i="11"/>
  <c r="G212" i="11"/>
  <c r="F212" i="11"/>
  <c r="E212" i="11"/>
  <c r="I211" i="11"/>
  <c r="G211" i="11"/>
  <c r="F211" i="11"/>
  <c r="E211" i="11"/>
  <c r="I208" i="11"/>
  <c r="G208" i="11"/>
  <c r="F208" i="11"/>
  <c r="E208" i="11"/>
  <c r="I207" i="11"/>
  <c r="G207" i="11"/>
  <c r="F207" i="11"/>
  <c r="E207" i="11"/>
  <c r="I206" i="11"/>
  <c r="G206" i="11"/>
  <c r="F206" i="11"/>
  <c r="E206" i="11"/>
  <c r="I205" i="11"/>
  <c r="G205" i="11"/>
  <c r="F205" i="11"/>
  <c r="E205" i="11"/>
  <c r="I204" i="11"/>
  <c r="G204" i="11"/>
  <c r="F204" i="11"/>
  <c r="E204" i="11"/>
  <c r="I202" i="11"/>
  <c r="G202" i="11"/>
  <c r="F202" i="11"/>
  <c r="I201" i="11"/>
  <c r="G201" i="11"/>
  <c r="F201" i="11"/>
  <c r="I200" i="11"/>
  <c r="G200" i="11"/>
  <c r="F200" i="11"/>
  <c r="I199" i="11"/>
  <c r="G199" i="11"/>
  <c r="F199" i="11"/>
  <c r="E199" i="11"/>
  <c r="I198" i="11"/>
  <c r="G198" i="11"/>
  <c r="H198" i="11" s="1"/>
  <c r="F198" i="11"/>
  <c r="E198" i="11"/>
  <c r="I197" i="11"/>
  <c r="G197" i="11"/>
  <c r="H197" i="11" s="1"/>
  <c r="F197" i="11"/>
  <c r="E197" i="11"/>
  <c r="I196" i="11"/>
  <c r="G196" i="11"/>
  <c r="F196" i="11"/>
  <c r="I194" i="11"/>
  <c r="G194" i="11"/>
  <c r="F194" i="11"/>
  <c r="E194" i="11"/>
  <c r="I193" i="11"/>
  <c r="G193" i="11"/>
  <c r="H193" i="11" s="1"/>
  <c r="F193" i="11"/>
  <c r="E193" i="11"/>
  <c r="I192" i="11"/>
  <c r="G192" i="11"/>
  <c r="F192" i="11"/>
  <c r="E192" i="11"/>
  <c r="I190" i="11"/>
  <c r="G190" i="11"/>
  <c r="F190" i="11"/>
  <c r="E190" i="11"/>
  <c r="I189" i="11"/>
  <c r="G189" i="11"/>
  <c r="F189" i="11"/>
  <c r="E189" i="11"/>
  <c r="I188" i="11"/>
  <c r="G188" i="11"/>
  <c r="H188" i="11" s="1"/>
  <c r="F188" i="11"/>
  <c r="E188" i="11"/>
  <c r="I185" i="11"/>
  <c r="G185" i="11"/>
  <c r="F185" i="11"/>
  <c r="E185" i="11"/>
  <c r="I184" i="11"/>
  <c r="G184" i="11"/>
  <c r="F184" i="11"/>
  <c r="E184" i="11"/>
  <c r="I183" i="11"/>
  <c r="G183" i="11"/>
  <c r="F183" i="11"/>
  <c r="E183" i="11"/>
  <c r="I182" i="11"/>
  <c r="G182" i="11"/>
  <c r="H182" i="11" s="1"/>
  <c r="F182" i="11"/>
  <c r="I181" i="11"/>
  <c r="G181" i="11"/>
  <c r="F181" i="11"/>
  <c r="I180" i="11"/>
  <c r="G180" i="11"/>
  <c r="F180" i="11"/>
  <c r="I178" i="11"/>
  <c r="G178" i="11"/>
  <c r="F178" i="11"/>
  <c r="I177" i="11"/>
  <c r="G177" i="11"/>
  <c r="H177" i="11" s="1"/>
  <c r="F177" i="11"/>
  <c r="I176" i="11"/>
  <c r="G176" i="11"/>
  <c r="F176" i="11"/>
  <c r="E176" i="11"/>
  <c r="I173" i="11"/>
  <c r="G173" i="11"/>
  <c r="I172" i="11"/>
  <c r="G172" i="11"/>
  <c r="F172" i="11"/>
  <c r="I171" i="11"/>
  <c r="G171" i="11"/>
  <c r="F171" i="11"/>
  <c r="I170" i="11"/>
  <c r="G170" i="11"/>
  <c r="F170" i="11"/>
  <c r="F162" i="11" s="1"/>
  <c r="I169" i="11"/>
  <c r="G169" i="11"/>
  <c r="F169" i="11"/>
  <c r="E169" i="11"/>
  <c r="I168" i="11"/>
  <c r="G168" i="11"/>
  <c r="H168" i="11" s="1"/>
  <c r="F168" i="11"/>
  <c r="I167" i="11"/>
  <c r="G167" i="11"/>
  <c r="F167" i="11"/>
  <c r="I166" i="11"/>
  <c r="G166" i="11"/>
  <c r="H166" i="11" s="1"/>
  <c r="F166" i="11"/>
  <c r="I165" i="11"/>
  <c r="G165" i="11"/>
  <c r="F165" i="11"/>
  <c r="I164" i="11"/>
  <c r="G164" i="11"/>
  <c r="H164" i="11" s="1"/>
  <c r="F164" i="11"/>
  <c r="I163" i="11"/>
  <c r="G163" i="11"/>
  <c r="F163" i="11"/>
  <c r="I160" i="11"/>
  <c r="G160" i="11"/>
  <c r="H160" i="11" s="1"/>
  <c r="F160" i="11"/>
  <c r="I159" i="11"/>
  <c r="G159" i="11"/>
  <c r="F159" i="11"/>
  <c r="I158" i="11"/>
  <c r="G158" i="11"/>
  <c r="F158" i="11"/>
  <c r="I157" i="11"/>
  <c r="G157" i="11"/>
  <c r="F157" i="11"/>
  <c r="J156" i="11"/>
  <c r="J155" i="11"/>
  <c r="I154" i="11"/>
  <c r="G154" i="11"/>
  <c r="F154" i="11"/>
  <c r="I153" i="11"/>
  <c r="G153" i="11"/>
  <c r="H153" i="11" s="1"/>
  <c r="F153" i="11"/>
  <c r="I152" i="11"/>
  <c r="G152" i="11"/>
  <c r="F152" i="11"/>
  <c r="I151" i="11"/>
  <c r="G151" i="11"/>
  <c r="H151" i="11" s="1"/>
  <c r="F151" i="11"/>
  <c r="I150" i="11"/>
  <c r="G150" i="11"/>
  <c r="F150" i="11"/>
  <c r="I149" i="11"/>
  <c r="G149" i="11"/>
  <c r="H149" i="11" s="1"/>
  <c r="F149" i="11"/>
  <c r="E149" i="11"/>
  <c r="I148" i="11"/>
  <c r="J148" i="11" s="1"/>
  <c r="I147" i="11"/>
  <c r="G147" i="11"/>
  <c r="F147" i="11"/>
  <c r="I146" i="11"/>
  <c r="G146" i="11"/>
  <c r="H146" i="11" s="1"/>
  <c r="F146" i="11"/>
  <c r="I145" i="11"/>
  <c r="G145" i="11"/>
  <c r="F145" i="11"/>
  <c r="I144" i="11"/>
  <c r="G144" i="11"/>
  <c r="H144" i="11" s="1"/>
  <c r="F144" i="11"/>
  <c r="I143" i="11"/>
  <c r="G143" i="11"/>
  <c r="F143" i="11"/>
  <c r="I142" i="11"/>
  <c r="G142" i="11"/>
  <c r="F142" i="11"/>
  <c r="I141" i="11"/>
  <c r="G141" i="11"/>
  <c r="F141" i="11"/>
  <c r="I138" i="11"/>
  <c r="G138" i="11"/>
  <c r="H138" i="11" s="1"/>
  <c r="F138" i="11"/>
  <c r="I137" i="11"/>
  <c r="G137" i="11"/>
  <c r="F137" i="11"/>
  <c r="I136" i="11"/>
  <c r="G136" i="11"/>
  <c r="H136" i="11" s="1"/>
  <c r="F136" i="11"/>
  <c r="I135" i="11"/>
  <c r="G135" i="11"/>
  <c r="F135" i="11"/>
  <c r="I134" i="11"/>
  <c r="G134" i="11"/>
  <c r="H134" i="11" s="1"/>
  <c r="F134" i="11"/>
  <c r="I133" i="11"/>
  <c r="G133" i="11"/>
  <c r="F133" i="11"/>
  <c r="I132" i="11"/>
  <c r="G132" i="11"/>
  <c r="H132" i="11" s="1"/>
  <c r="F132" i="11"/>
  <c r="I131" i="11"/>
  <c r="G131" i="11"/>
  <c r="F131" i="11"/>
  <c r="I130" i="11"/>
  <c r="G130" i="11"/>
  <c r="H130" i="11" s="1"/>
  <c r="F130" i="11"/>
  <c r="I129" i="11"/>
  <c r="I128" i="11"/>
  <c r="G128" i="11"/>
  <c r="F128" i="11"/>
  <c r="I127" i="11"/>
  <c r="G127" i="11"/>
  <c r="H127" i="11" s="1"/>
  <c r="F127" i="11"/>
  <c r="I126" i="11"/>
  <c r="G126" i="11"/>
  <c r="F126" i="11"/>
  <c r="I125" i="11"/>
  <c r="G125" i="11"/>
  <c r="H125" i="11" s="1"/>
  <c r="F125" i="11"/>
  <c r="I124" i="11"/>
  <c r="I123" i="11"/>
  <c r="G123" i="11"/>
  <c r="F123" i="11"/>
  <c r="I122" i="11"/>
  <c r="G122" i="11"/>
  <c r="F122" i="11"/>
  <c r="I121" i="11"/>
  <c r="G121" i="11"/>
  <c r="F121" i="11"/>
  <c r="I120" i="11"/>
  <c r="G120" i="11"/>
  <c r="F120" i="11"/>
  <c r="I119" i="11"/>
  <c r="G119" i="11"/>
  <c r="F119" i="11"/>
  <c r="I118" i="11"/>
  <c r="G118" i="11"/>
  <c r="F118" i="11"/>
  <c r="F117" i="11" s="1"/>
  <c r="I117" i="11"/>
  <c r="I116" i="11"/>
  <c r="G116" i="11"/>
  <c r="H116" i="11" s="1"/>
  <c r="F116" i="11"/>
  <c r="I115" i="11"/>
  <c r="G115" i="11"/>
  <c r="H115" i="11" s="1"/>
  <c r="F115" i="11"/>
  <c r="I114" i="11"/>
  <c r="G114" i="11"/>
  <c r="F114" i="11"/>
  <c r="I113" i="11"/>
  <c r="G113" i="11"/>
  <c r="F113" i="11"/>
  <c r="I112" i="11"/>
  <c r="G112" i="11"/>
  <c r="H112" i="11" s="1"/>
  <c r="F112" i="11"/>
  <c r="I111" i="11"/>
  <c r="G111" i="11"/>
  <c r="I110" i="11"/>
  <c r="G110" i="11"/>
  <c r="H110" i="11" s="1"/>
  <c r="F110" i="11"/>
  <c r="I109" i="11"/>
  <c r="G109" i="11"/>
  <c r="F109" i="11"/>
  <c r="I108" i="11"/>
  <c r="G108" i="11"/>
  <c r="F108" i="11"/>
  <c r="I107" i="11"/>
  <c r="J107" i="11" s="1"/>
  <c r="K107" i="11" s="1"/>
  <c r="I106" i="11"/>
  <c r="G106" i="11"/>
  <c r="H106" i="11" s="1"/>
  <c r="F106" i="11"/>
  <c r="I105" i="11"/>
  <c r="G105" i="11"/>
  <c r="F105" i="11"/>
  <c r="I104" i="11"/>
  <c r="G104" i="11"/>
  <c r="H104" i="11" s="1"/>
  <c r="F104" i="11"/>
  <c r="I103" i="11"/>
  <c r="G103" i="11"/>
  <c r="F103" i="11"/>
  <c r="I102" i="11"/>
  <c r="G102" i="11"/>
  <c r="H102" i="11" s="1"/>
  <c r="F102" i="11"/>
  <c r="I101" i="11"/>
  <c r="G101" i="11"/>
  <c r="F101" i="11"/>
  <c r="I100" i="11"/>
  <c r="J100" i="11" s="1"/>
  <c r="I99" i="11"/>
  <c r="G99" i="11"/>
  <c r="I98" i="11"/>
  <c r="G98" i="11"/>
  <c r="F98" i="11"/>
  <c r="I97" i="11"/>
  <c r="G97" i="11"/>
  <c r="H97" i="11" s="1"/>
  <c r="F97" i="11"/>
  <c r="I96" i="11"/>
  <c r="G96" i="11"/>
  <c r="I95" i="11"/>
  <c r="G95" i="11"/>
  <c r="I94" i="11"/>
  <c r="G94" i="11"/>
  <c r="I93" i="11"/>
  <c r="G93" i="11"/>
  <c r="E93" i="11"/>
  <c r="I92" i="11"/>
  <c r="G92" i="11"/>
  <c r="E92" i="11"/>
  <c r="I91" i="11"/>
  <c r="I89" i="11"/>
  <c r="G89" i="11"/>
  <c r="F89" i="11"/>
  <c r="I88" i="11"/>
  <c r="G88" i="11"/>
  <c r="H88" i="11" s="1"/>
  <c r="F88" i="11"/>
  <c r="I87" i="11"/>
  <c r="G87" i="11"/>
  <c r="F87" i="11"/>
  <c r="I86" i="11"/>
  <c r="G86" i="11"/>
  <c r="F86" i="11"/>
  <c r="I85" i="11"/>
  <c r="G85" i="11"/>
  <c r="I84" i="11"/>
  <c r="G84" i="11"/>
  <c r="I83" i="11"/>
  <c r="G83" i="11"/>
  <c r="I82" i="11"/>
  <c r="G82" i="11"/>
  <c r="E82" i="11"/>
  <c r="I81" i="11"/>
  <c r="G81" i="11"/>
  <c r="E81" i="11"/>
  <c r="I80" i="11"/>
  <c r="J80" i="11" s="1"/>
  <c r="K80" i="11" s="1"/>
  <c r="I79" i="11"/>
  <c r="G79" i="11"/>
  <c r="I78" i="11"/>
  <c r="G78" i="11"/>
  <c r="I77" i="11"/>
  <c r="G77" i="11"/>
  <c r="I76" i="11"/>
  <c r="G76" i="11"/>
  <c r="E76" i="11"/>
  <c r="I75" i="11"/>
  <c r="G75" i="11"/>
  <c r="E75" i="11"/>
  <c r="I74" i="11"/>
  <c r="J74" i="11" s="1"/>
  <c r="K74" i="11" s="1"/>
  <c r="I73" i="11"/>
  <c r="G73" i="11"/>
  <c r="I72" i="11"/>
  <c r="G72" i="11"/>
  <c r="I71" i="11"/>
  <c r="G71" i="11"/>
  <c r="I70" i="11"/>
  <c r="G70" i="11"/>
  <c r="E70" i="11"/>
  <c r="I69" i="11"/>
  <c r="G69" i="11"/>
  <c r="E69" i="11"/>
  <c r="I68" i="11"/>
  <c r="J68" i="11" s="1"/>
  <c r="K68" i="11" s="1"/>
  <c r="I67" i="11"/>
  <c r="G67" i="11"/>
  <c r="I66" i="11"/>
  <c r="G66" i="11"/>
  <c r="I65" i="11"/>
  <c r="G65" i="11"/>
  <c r="I64" i="11"/>
  <c r="G64" i="11"/>
  <c r="E64" i="11"/>
  <c r="I63" i="11"/>
  <c r="G63" i="11"/>
  <c r="E63" i="11"/>
  <c r="I62" i="11"/>
  <c r="I61" i="11"/>
  <c r="I59" i="11"/>
  <c r="G59" i="11"/>
  <c r="F59" i="11"/>
  <c r="I58" i="11"/>
  <c r="G58" i="11"/>
  <c r="F58" i="11"/>
  <c r="I57" i="11"/>
  <c r="G57" i="11"/>
  <c r="I56" i="11"/>
  <c r="G56" i="11"/>
  <c r="I55" i="11"/>
  <c r="G55" i="11"/>
  <c r="I54" i="11"/>
  <c r="G54" i="11"/>
  <c r="E54" i="11"/>
  <c r="I53" i="11"/>
  <c r="G53" i="11"/>
  <c r="E53" i="11"/>
  <c r="I52" i="11"/>
  <c r="I51" i="11"/>
  <c r="N48" i="11"/>
  <c r="I48" i="11"/>
  <c r="G48" i="11"/>
  <c r="N47" i="11"/>
  <c r="I47" i="11"/>
  <c r="G47" i="11"/>
  <c r="N46" i="11"/>
  <c r="I46" i="11"/>
  <c r="G46" i="11"/>
  <c r="N45" i="11"/>
  <c r="I45" i="11"/>
  <c r="G45" i="11"/>
  <c r="N44" i="11"/>
  <c r="I44" i="11"/>
  <c r="G44" i="11"/>
  <c r="N43" i="11"/>
  <c r="I43" i="11"/>
  <c r="G43" i="11"/>
  <c r="N42" i="11"/>
  <c r="I42" i="11"/>
  <c r="G42" i="11"/>
  <c r="H42" i="11" s="1"/>
  <c r="F42" i="11"/>
  <c r="N41" i="11"/>
  <c r="I41" i="11"/>
  <c r="G41" i="11"/>
  <c r="N40" i="11"/>
  <c r="I40" i="11"/>
  <c r="G40" i="11"/>
  <c r="N39" i="11"/>
  <c r="I39" i="11"/>
  <c r="G39" i="11"/>
  <c r="I38" i="11"/>
  <c r="J38" i="11" s="1"/>
  <c r="K38" i="11" s="1"/>
  <c r="O37" i="11"/>
  <c r="N37" i="11"/>
  <c r="I37" i="11"/>
  <c r="G37" i="11"/>
  <c r="H37" i="11" s="1"/>
  <c r="F37" i="11"/>
  <c r="O36" i="11"/>
  <c r="N36" i="11"/>
  <c r="I36" i="11"/>
  <c r="G36" i="11"/>
  <c r="H36" i="11" s="1"/>
  <c r="F36" i="11"/>
  <c r="I35" i="11"/>
  <c r="N34" i="11"/>
  <c r="I34" i="11"/>
  <c r="G34" i="11"/>
  <c r="N33" i="11"/>
  <c r="I33" i="11"/>
  <c r="G33" i="11"/>
  <c r="N32" i="11"/>
  <c r="I32" i="11"/>
  <c r="G32" i="11"/>
  <c r="M31" i="11"/>
  <c r="I31" i="11"/>
  <c r="J31" i="11" s="1"/>
  <c r="K31" i="11" s="1"/>
  <c r="O30" i="11"/>
  <c r="N30" i="11"/>
  <c r="I30" i="11"/>
  <c r="G30" i="11"/>
  <c r="F30" i="11"/>
  <c r="O29" i="11"/>
  <c r="N29" i="11"/>
  <c r="I29" i="11"/>
  <c r="G29" i="11"/>
  <c r="F29" i="11"/>
  <c r="N28" i="11"/>
  <c r="I28" i="11"/>
  <c r="G28" i="11"/>
  <c r="F28" i="11"/>
  <c r="H28" i="11" s="1"/>
  <c r="O27" i="11"/>
  <c r="N27" i="11"/>
  <c r="I27" i="11"/>
  <c r="G27" i="11"/>
  <c r="F27" i="11"/>
  <c r="M26" i="11"/>
  <c r="I26" i="11"/>
  <c r="J26" i="11" s="1"/>
  <c r="K26" i="11" s="1"/>
  <c r="O25" i="11"/>
  <c r="N25" i="11"/>
  <c r="I25" i="11"/>
  <c r="G25" i="11"/>
  <c r="F25" i="11"/>
  <c r="O23" i="11"/>
  <c r="N23" i="11"/>
  <c r="I23" i="11"/>
  <c r="G23" i="11"/>
  <c r="F23" i="11"/>
  <c r="O22" i="11"/>
  <c r="N22" i="11"/>
  <c r="I22" i="11"/>
  <c r="G22" i="11"/>
  <c r="F22" i="11"/>
  <c r="I21" i="11"/>
  <c r="G21" i="11"/>
  <c r="F21" i="11"/>
  <c r="I18" i="11"/>
  <c r="G18" i="11"/>
  <c r="I17" i="11"/>
  <c r="G17" i="11"/>
  <c r="C17" i="11"/>
  <c r="Q16" i="11"/>
  <c r="I16" i="11"/>
  <c r="G16" i="11"/>
  <c r="I14" i="11"/>
  <c r="G14" i="11"/>
  <c r="I13" i="11"/>
  <c r="G13" i="11"/>
  <c r="Q12" i="11"/>
  <c r="I12" i="11"/>
  <c r="G12" i="11"/>
  <c r="H597" i="11" l="1"/>
  <c r="H119" i="11"/>
  <c r="J119" i="11" s="1"/>
  <c r="H123" i="11"/>
  <c r="J123" i="11" s="1"/>
  <c r="H200" i="11"/>
  <c r="H254" i="11"/>
  <c r="H314" i="11"/>
  <c r="H318" i="11"/>
  <c r="H322" i="11"/>
  <c r="H327" i="11"/>
  <c r="J327" i="11" s="1"/>
  <c r="K327" i="11" s="1"/>
  <c r="H331" i="11"/>
  <c r="J331" i="11" s="1"/>
  <c r="K331" i="11" s="1"/>
  <c r="H336" i="11"/>
  <c r="J336" i="11" s="1"/>
  <c r="K336" i="11" s="1"/>
  <c r="H341" i="11"/>
  <c r="H345" i="11"/>
  <c r="H350" i="11"/>
  <c r="H364" i="11"/>
  <c r="H213" i="11"/>
  <c r="H249" i="11"/>
  <c r="H630" i="11"/>
  <c r="H262" i="11"/>
  <c r="J262" i="11" s="1"/>
  <c r="K262" i="11" s="1"/>
  <c r="H267" i="11"/>
  <c r="H286" i="11"/>
  <c r="J286" i="11" s="1"/>
  <c r="H315" i="11"/>
  <c r="H319" i="11"/>
  <c r="H323" i="11"/>
  <c r="H328" i="11"/>
  <c r="H332" i="11"/>
  <c r="H338" i="11"/>
  <c r="H357" i="11"/>
  <c r="H378" i="11"/>
  <c r="J378" i="11" s="1"/>
  <c r="K378" i="11" s="1"/>
  <c r="H382" i="11"/>
  <c r="J382" i="11" s="1"/>
  <c r="K382" i="11" s="1"/>
  <c r="H386" i="11"/>
  <c r="J386" i="11" s="1"/>
  <c r="K386" i="11" s="1"/>
  <c r="H390" i="11"/>
  <c r="H394" i="11"/>
  <c r="H398" i="11"/>
  <c r="H402" i="11"/>
  <c r="H406" i="11"/>
  <c r="H410" i="11"/>
  <c r="H475" i="11"/>
  <c r="H479" i="11"/>
  <c r="H484" i="11"/>
  <c r="F489" i="11"/>
  <c r="H518" i="11"/>
  <c r="J518" i="11" s="1"/>
  <c r="K518" i="11" s="1"/>
  <c r="H594" i="11"/>
  <c r="J594" i="11" s="1"/>
  <c r="K594" i="11" s="1"/>
  <c r="H685" i="11"/>
  <c r="H689" i="11"/>
  <c r="H695" i="11"/>
  <c r="H699" i="11"/>
  <c r="H704" i="11"/>
  <c r="H708" i="11"/>
  <c r="H712" i="11"/>
  <c r="H246" i="11"/>
  <c r="H281" i="11"/>
  <c r="H623" i="11"/>
  <c r="J623" i="11" s="1"/>
  <c r="K623" i="11" s="1"/>
  <c r="H677" i="11"/>
  <c r="J677" i="11" s="1"/>
  <c r="K677" i="11" s="1"/>
  <c r="H259" i="11"/>
  <c r="J259" i="11" s="1"/>
  <c r="K259" i="11" s="1"/>
  <c r="H305" i="11"/>
  <c r="J305" i="11" s="1"/>
  <c r="K305" i="11" s="1"/>
  <c r="H351" i="11"/>
  <c r="H354" i="11"/>
  <c r="H374" i="11"/>
  <c r="H440" i="11"/>
  <c r="H465" i="11"/>
  <c r="H502" i="11"/>
  <c r="H507" i="11"/>
  <c r="H554" i="11"/>
  <c r="H650" i="11"/>
  <c r="J650" i="11" s="1"/>
  <c r="K650" i="11" s="1"/>
  <c r="H653" i="11"/>
  <c r="J653" i="11" s="1"/>
  <c r="K653" i="11" s="1"/>
  <c r="H170" i="11"/>
  <c r="J170" i="11" s="1"/>
  <c r="H226" i="11"/>
  <c r="H59" i="11"/>
  <c r="H86" i="11"/>
  <c r="H108" i="11"/>
  <c r="H591" i="11"/>
  <c r="H642" i="11"/>
  <c r="H645" i="11"/>
  <c r="H223" i="11"/>
  <c r="H681" i="11"/>
  <c r="H121" i="11"/>
  <c r="J121" i="11" s="1"/>
  <c r="K121" i="11" s="1"/>
  <c r="H158" i="11"/>
  <c r="J158" i="11" s="1"/>
  <c r="K158" i="11" s="1"/>
  <c r="H194" i="11"/>
  <c r="H202" i="11"/>
  <c r="H214" i="11"/>
  <c r="H217" i="11"/>
  <c r="H227" i="11"/>
  <c r="H231" i="11"/>
  <c r="H247" i="11"/>
  <c r="H250" i="11"/>
  <c r="H279" i="11"/>
  <c r="H339" i="11"/>
  <c r="H343" i="11"/>
  <c r="J343" i="11" s="1"/>
  <c r="K343" i="11" s="1"/>
  <c r="H347" i="11"/>
  <c r="J347" i="11" s="1"/>
  <c r="K347" i="11" s="1"/>
  <c r="H430" i="11"/>
  <c r="J430" i="11" s="1"/>
  <c r="K430" i="11" s="1"/>
  <c r="H548" i="11"/>
  <c r="H663" i="11"/>
  <c r="H672" i="11"/>
  <c r="H615" i="11"/>
  <c r="H717" i="11"/>
  <c r="H619" i="11"/>
  <c r="H172" i="11"/>
  <c r="H355" i="11"/>
  <c r="H417" i="11"/>
  <c r="H441" i="11"/>
  <c r="H462" i="11"/>
  <c r="H492" i="11"/>
  <c r="H508" i="11"/>
  <c r="H511" i="11"/>
  <c r="H543" i="11"/>
  <c r="H585" i="11"/>
  <c r="H599" i="11"/>
  <c r="J599" i="11" s="1"/>
  <c r="K599" i="11" s="1"/>
  <c r="H604" i="11"/>
  <c r="J604" i="11" s="1"/>
  <c r="K604" i="11" s="1"/>
  <c r="H608" i="11"/>
  <c r="H613" i="11"/>
  <c r="H617" i="11"/>
  <c r="H621" i="11"/>
  <c r="H628" i="11"/>
  <c r="H651" i="11"/>
  <c r="H654" i="11"/>
  <c r="H659" i="11"/>
  <c r="H679" i="11"/>
  <c r="H714" i="11"/>
  <c r="J714" i="11" s="1"/>
  <c r="H719" i="11"/>
  <c r="J719" i="11" s="1"/>
  <c r="K719" i="11" s="1"/>
  <c r="H236" i="11"/>
  <c r="J236" i="11" s="1"/>
  <c r="K236" i="11" s="1"/>
  <c r="H514" i="11"/>
  <c r="H602" i="11"/>
  <c r="F99" i="11"/>
  <c r="H269" i="11"/>
  <c r="H284" i="11"/>
  <c r="H293" i="11"/>
  <c r="H438" i="11"/>
  <c r="H454" i="11"/>
  <c r="H468" i="11"/>
  <c r="H472" i="11"/>
  <c r="J472" i="11" s="1"/>
  <c r="K472" i="11" s="1"/>
  <c r="H477" i="11"/>
  <c r="J477" i="11" s="1"/>
  <c r="K477" i="11" s="1"/>
  <c r="H482" i="11"/>
  <c r="J482" i="11" s="1"/>
  <c r="K482" i="11" s="1"/>
  <c r="H487" i="11"/>
  <c r="H552" i="11"/>
  <c r="H573" i="11"/>
  <c r="H579" i="11"/>
  <c r="H592" i="11"/>
  <c r="H635" i="11"/>
  <c r="H683" i="11"/>
  <c r="H687" i="11"/>
  <c r="H693" i="11"/>
  <c r="H697" i="11"/>
  <c r="H701" i="11"/>
  <c r="J701" i="11" s="1"/>
  <c r="K701" i="11" s="1"/>
  <c r="H706" i="11"/>
  <c r="J706" i="11" s="1"/>
  <c r="K706" i="11" s="1"/>
  <c r="H710" i="11"/>
  <c r="H606" i="11"/>
  <c r="H661" i="11"/>
  <c r="H21" i="11"/>
  <c r="H114" i="11"/>
  <c r="H204" i="11"/>
  <c r="H207" i="11"/>
  <c r="H218" i="11"/>
  <c r="H221" i="11"/>
  <c r="H232" i="11"/>
  <c r="J232" i="11" s="1"/>
  <c r="K232" i="11" s="1"/>
  <c r="H235" i="11"/>
  <c r="J235" i="11" s="1"/>
  <c r="K235" i="11" s="1"/>
  <c r="H241" i="11"/>
  <c r="J241" i="11" s="1"/>
  <c r="K241" i="11" s="1"/>
  <c r="H280" i="11"/>
  <c r="J280" i="11" s="1"/>
  <c r="K280" i="11" s="1"/>
  <c r="H432" i="11"/>
  <c r="H435" i="11"/>
  <c r="H500" i="11"/>
  <c r="H549" i="11"/>
  <c r="H740" i="11"/>
  <c r="H208" i="11"/>
  <c r="H610" i="11"/>
  <c r="H142" i="11"/>
  <c r="J142" i="11" s="1"/>
  <c r="K142" i="11" s="1"/>
  <c r="H180" i="11"/>
  <c r="J180" i="11" s="1"/>
  <c r="K180" i="11" s="1"/>
  <c r="H277" i="11"/>
  <c r="H517" i="11"/>
  <c r="J517" i="11" s="1"/>
  <c r="H589" i="11"/>
  <c r="H668" i="11"/>
  <c r="J294" i="11"/>
  <c r="J591" i="11"/>
  <c r="J114" i="11"/>
  <c r="J589" i="11"/>
  <c r="J291" i="11"/>
  <c r="K291" i="11" s="1"/>
  <c r="J573" i="11"/>
  <c r="K573" i="11" s="1"/>
  <c r="J132" i="11"/>
  <c r="J136" i="11"/>
  <c r="K136" i="11" s="1"/>
  <c r="J146" i="11"/>
  <c r="J250" i="11"/>
  <c r="K250" i="11" s="1"/>
  <c r="J297" i="11"/>
  <c r="J134" i="11"/>
  <c r="K134" i="11" s="1"/>
  <c r="J138" i="11"/>
  <c r="K138" i="11" s="1"/>
  <c r="J144" i="11"/>
  <c r="K144" i="11" s="1"/>
  <c r="J172" i="11"/>
  <c r="J314" i="11"/>
  <c r="K314" i="11" s="1"/>
  <c r="J318" i="11"/>
  <c r="K318" i="11" s="1"/>
  <c r="J322" i="11"/>
  <c r="F17" i="13"/>
  <c r="H17" i="13"/>
  <c r="J17" i="13"/>
  <c r="H540" i="11"/>
  <c r="J540" i="11" s="1"/>
  <c r="K540" i="11" s="1"/>
  <c r="H692" i="11"/>
  <c r="J692" i="11" s="1"/>
  <c r="K692" i="11" s="1"/>
  <c r="H700" i="11"/>
  <c r="H330" i="11"/>
  <c r="J330" i="11" s="1"/>
  <c r="H363" i="11"/>
  <c r="H98" i="11"/>
  <c r="J98" i="11" s="1"/>
  <c r="K98" i="11" s="1"/>
  <c r="H131" i="11"/>
  <c r="H135" i="11"/>
  <c r="J135" i="11" s="1"/>
  <c r="K135" i="11" s="1"/>
  <c r="H278" i="11"/>
  <c r="J278" i="11" s="1"/>
  <c r="H422" i="11"/>
  <c r="J422" i="11" s="1"/>
  <c r="K422" i="11" s="1"/>
  <c r="H437" i="11"/>
  <c r="J437" i="11" s="1"/>
  <c r="K437" i="11" s="1"/>
  <c r="H603" i="11"/>
  <c r="J603" i="11" s="1"/>
  <c r="K603" i="11" s="1"/>
  <c r="H612" i="11"/>
  <c r="H620" i="11"/>
  <c r="J620" i="11" s="1"/>
  <c r="K620" i="11" s="1"/>
  <c r="H631" i="11"/>
  <c r="J631" i="11" s="1"/>
  <c r="K631" i="11" s="1"/>
  <c r="H637" i="11"/>
  <c r="J637" i="11" s="1"/>
  <c r="K637" i="11" s="1"/>
  <c r="F44" i="11"/>
  <c r="H44" i="11" s="1"/>
  <c r="H152" i="11"/>
  <c r="J152" i="11" s="1"/>
  <c r="H307" i="11"/>
  <c r="H316" i="11"/>
  <c r="H320" i="11"/>
  <c r="H383" i="11"/>
  <c r="J383" i="11" s="1"/>
  <c r="H391" i="11"/>
  <c r="J391" i="11" s="1"/>
  <c r="H395" i="11"/>
  <c r="J395" i="11" s="1"/>
  <c r="H399" i="11"/>
  <c r="J399" i="11" s="1"/>
  <c r="H407" i="11"/>
  <c r="J407" i="11" s="1"/>
  <c r="H411" i="11"/>
  <c r="J411" i="11" s="1"/>
  <c r="H455" i="11"/>
  <c r="J455" i="11" s="1"/>
  <c r="K455" i="11" s="1"/>
  <c r="H660" i="11"/>
  <c r="J660" i="11" s="1"/>
  <c r="H133" i="11"/>
  <c r="H199" i="11"/>
  <c r="J199" i="11" s="1"/>
  <c r="H225" i="11"/>
  <c r="J225" i="11" s="1"/>
  <c r="H228" i="11"/>
  <c r="J228" i="11" s="1"/>
  <c r="H234" i="11"/>
  <c r="J234" i="11" s="1"/>
  <c r="K234" i="11" s="1"/>
  <c r="H593" i="11"/>
  <c r="J593" i="11" s="1"/>
  <c r="H709" i="11"/>
  <c r="F46" i="11"/>
  <c r="H46" i="11" s="1"/>
  <c r="J46" i="11" s="1"/>
  <c r="K46" i="11" s="1"/>
  <c r="H192" i="11"/>
  <c r="J192" i="11" s="1"/>
  <c r="H478" i="11"/>
  <c r="J478" i="11" s="1"/>
  <c r="F33" i="11"/>
  <c r="F40" i="11"/>
  <c r="H40" i="11" s="1"/>
  <c r="J40" i="11" s="1"/>
  <c r="K40" i="11" s="1"/>
  <c r="H113" i="11"/>
  <c r="H111" i="11" s="1"/>
  <c r="H154" i="11"/>
  <c r="J154" i="11" s="1"/>
  <c r="H206" i="11"/>
  <c r="J206" i="11" s="1"/>
  <c r="H211" i="11"/>
  <c r="J211" i="11" s="1"/>
  <c r="H216" i="11"/>
  <c r="J216" i="11" s="1"/>
  <c r="H369" i="11"/>
  <c r="J369" i="11" s="1"/>
  <c r="K369" i="11" s="1"/>
  <c r="H488" i="11"/>
  <c r="J488" i="11" s="1"/>
  <c r="H499" i="11"/>
  <c r="J499" i="11" s="1"/>
  <c r="H682" i="11"/>
  <c r="J682" i="11" s="1"/>
  <c r="K682" i="11" s="1"/>
  <c r="H23" i="11"/>
  <c r="H27" i="11"/>
  <c r="J27" i="11" s="1"/>
  <c r="K27" i="11" s="1"/>
  <c r="F39" i="11"/>
  <c r="H39" i="11" s="1"/>
  <c r="J39" i="11" s="1"/>
  <c r="K39" i="11" s="1"/>
  <c r="F45" i="11"/>
  <c r="H45" i="11" s="1"/>
  <c r="J45" i="11" s="1"/>
  <c r="K45" i="11" s="1"/>
  <c r="H58" i="11"/>
  <c r="J58" i="11" s="1"/>
  <c r="K58" i="11" s="1"/>
  <c r="H87" i="11"/>
  <c r="J87" i="11" s="1"/>
  <c r="K87" i="11" s="1"/>
  <c r="H105" i="11"/>
  <c r="H118" i="11"/>
  <c r="J118" i="11" s="1"/>
  <c r="K118" i="11" s="1"/>
  <c r="H122" i="11"/>
  <c r="J122" i="11" s="1"/>
  <c r="H141" i="11"/>
  <c r="J141" i="11" s="1"/>
  <c r="H145" i="11"/>
  <c r="J145" i="11" s="1"/>
  <c r="K145" i="11" s="1"/>
  <c r="H157" i="11"/>
  <c r="J157" i="11" s="1"/>
  <c r="H159" i="11"/>
  <c r="J159" i="11" s="1"/>
  <c r="H169" i="11"/>
  <c r="J169" i="11" s="1"/>
  <c r="K169" i="11" s="1"/>
  <c r="H215" i="11"/>
  <c r="J215" i="11" s="1"/>
  <c r="H233" i="11"/>
  <c r="J233" i="11" s="1"/>
  <c r="H245" i="11"/>
  <c r="J245" i="11" s="1"/>
  <c r="K245" i="11" s="1"/>
  <c r="H274" i="11"/>
  <c r="J274" i="11" s="1"/>
  <c r="K274" i="11" s="1"/>
  <c r="H275" i="11"/>
  <c r="J275" i="11" s="1"/>
  <c r="H288" i="11"/>
  <c r="J288" i="11" s="1"/>
  <c r="H290" i="11"/>
  <c r="J290" i="11" s="1"/>
  <c r="H304" i="11"/>
  <c r="J304" i="11" s="1"/>
  <c r="H313" i="11"/>
  <c r="J313" i="11" s="1"/>
  <c r="H321" i="11"/>
  <c r="J321" i="11" s="1"/>
  <c r="K321" i="11" s="1"/>
  <c r="H325" i="11"/>
  <c r="J325" i="11" s="1"/>
  <c r="H329" i="11"/>
  <c r="J329" i="11" s="1"/>
  <c r="K329" i="11" s="1"/>
  <c r="H333" i="11"/>
  <c r="H344" i="11"/>
  <c r="J344" i="11" s="1"/>
  <c r="H375" i="11"/>
  <c r="J375" i="11" s="1"/>
  <c r="K375" i="11" s="1"/>
  <c r="H379" i="11"/>
  <c r="J379" i="11" s="1"/>
  <c r="H460" i="11"/>
  <c r="H494" i="11"/>
  <c r="J494" i="11" s="1"/>
  <c r="H553" i="11"/>
  <c r="H555" i="11"/>
  <c r="J555" i="11" s="1"/>
  <c r="H598" i="11"/>
  <c r="J598" i="11" s="1"/>
  <c r="K598" i="11" s="1"/>
  <c r="H616" i="11"/>
  <c r="J616" i="11" s="1"/>
  <c r="K616" i="11" s="1"/>
  <c r="H647" i="11"/>
  <c r="J647" i="11" s="1"/>
  <c r="K647" i="11" s="1"/>
  <c r="H655" i="11"/>
  <c r="J655" i="11" s="1"/>
  <c r="K655" i="11" s="1"/>
  <c r="H686" i="11"/>
  <c r="H705" i="11"/>
  <c r="J705" i="11" s="1"/>
  <c r="K705" i="11" s="1"/>
  <c r="H715" i="11"/>
  <c r="J715" i="11" s="1"/>
  <c r="K715" i="11" s="1"/>
  <c r="H25" i="11"/>
  <c r="J25" i="11" s="1"/>
  <c r="K25" i="11" s="1"/>
  <c r="H29" i="11"/>
  <c r="J29" i="11" s="1"/>
  <c r="K29" i="11" s="1"/>
  <c r="F32" i="11"/>
  <c r="H32" i="11" s="1"/>
  <c r="J32" i="11" s="1"/>
  <c r="K32" i="11" s="1"/>
  <c r="H558" i="11"/>
  <c r="J558" i="11" s="1"/>
  <c r="J557" i="11" s="1"/>
  <c r="K589" i="11"/>
  <c r="H30" i="11"/>
  <c r="J30" i="11" s="1"/>
  <c r="K30" i="11" s="1"/>
  <c r="F34" i="11"/>
  <c r="F41" i="11"/>
  <c r="H41" i="11" s="1"/>
  <c r="J41" i="11" s="1"/>
  <c r="K41" i="11" s="1"/>
  <c r="H89" i="11"/>
  <c r="J89" i="11" s="1"/>
  <c r="K89" i="11" s="1"/>
  <c r="H109" i="11"/>
  <c r="J109" i="11" s="1"/>
  <c r="K109" i="11" s="1"/>
  <c r="H120" i="11"/>
  <c r="J120" i="11" s="1"/>
  <c r="K120" i="11" s="1"/>
  <c r="H137" i="11"/>
  <c r="J137" i="11" s="1"/>
  <c r="K137" i="11" s="1"/>
  <c r="H183" i="11"/>
  <c r="J183" i="11" s="1"/>
  <c r="K183" i="11" s="1"/>
  <c r="H184" i="11"/>
  <c r="J184" i="11" s="1"/>
  <c r="K184" i="11" s="1"/>
  <c r="H189" i="11"/>
  <c r="H190" i="11"/>
  <c r="J190" i="11" s="1"/>
  <c r="H201" i="11"/>
  <c r="J201" i="11" s="1"/>
  <c r="H219" i="11"/>
  <c r="J219" i="11" s="1"/>
  <c r="H220" i="11"/>
  <c r="J220" i="11" s="1"/>
  <c r="H237" i="11"/>
  <c r="J237" i="11" s="1"/>
  <c r="H238" i="11"/>
  <c r="J238" i="11" s="1"/>
  <c r="K238" i="11" s="1"/>
  <c r="H239" i="11"/>
  <c r="J239" i="11" s="1"/>
  <c r="H256" i="11"/>
  <c r="J256" i="11" s="1"/>
  <c r="K256" i="11" s="1"/>
  <c r="H257" i="11"/>
  <c r="J257" i="11" s="1"/>
  <c r="K257" i="11" s="1"/>
  <c r="H264" i="11"/>
  <c r="J264" i="11" s="1"/>
  <c r="H342" i="11"/>
  <c r="J342" i="11" s="1"/>
  <c r="H387" i="11"/>
  <c r="J387" i="11" s="1"/>
  <c r="H403" i="11"/>
  <c r="J403" i="11" s="1"/>
  <c r="H448" i="11"/>
  <c r="H483" i="11"/>
  <c r="J483" i="11" s="1"/>
  <c r="H509" i="11"/>
  <c r="J509" i="11" s="1"/>
  <c r="K509" i="11" s="1"/>
  <c r="H512" i="11"/>
  <c r="J512" i="11" s="1"/>
  <c r="H584" i="11"/>
  <c r="J584" i="11" s="1"/>
  <c r="K584" i="11" s="1"/>
  <c r="H607" i="11"/>
  <c r="J607" i="11" s="1"/>
  <c r="K607" i="11" s="1"/>
  <c r="H625" i="11"/>
  <c r="J625" i="11" s="1"/>
  <c r="K625" i="11" s="1"/>
  <c r="H674" i="11"/>
  <c r="J674" i="11" s="1"/>
  <c r="H678" i="11"/>
  <c r="J678" i="11" s="1"/>
  <c r="K678" i="11" s="1"/>
  <c r="H696" i="11"/>
  <c r="J696" i="11" s="1"/>
  <c r="K696" i="11" s="1"/>
  <c r="K123" i="11"/>
  <c r="H22" i="11"/>
  <c r="J22" i="11" s="1"/>
  <c r="K22" i="11" s="1"/>
  <c r="H33" i="11"/>
  <c r="J33" i="11" s="1"/>
  <c r="K33" i="11" s="1"/>
  <c r="H103" i="11"/>
  <c r="J103" i="11" s="1"/>
  <c r="K103" i="11" s="1"/>
  <c r="H128" i="11"/>
  <c r="H143" i="11"/>
  <c r="H147" i="11"/>
  <c r="J147" i="11" s="1"/>
  <c r="K147" i="11" s="1"/>
  <c r="H163" i="11"/>
  <c r="J163" i="11" s="1"/>
  <c r="H165" i="11"/>
  <c r="J165" i="11" s="1"/>
  <c r="H167" i="11"/>
  <c r="J167" i="11" s="1"/>
  <c r="H171" i="11"/>
  <c r="J171" i="11" s="1"/>
  <c r="K171" i="11" s="1"/>
  <c r="H178" i="11"/>
  <c r="J178" i="11" s="1"/>
  <c r="H181" i="11"/>
  <c r="J181" i="11" s="1"/>
  <c r="H196" i="11"/>
  <c r="J196" i="11" s="1"/>
  <c r="H205" i="11"/>
  <c r="J205" i="11" s="1"/>
  <c r="H212" i="11"/>
  <c r="J212" i="11" s="1"/>
  <c r="H224" i="11"/>
  <c r="J224" i="11" s="1"/>
  <c r="H230" i="11"/>
  <c r="J230" i="11" s="1"/>
  <c r="H242" i="11"/>
  <c r="J242" i="11" s="1"/>
  <c r="H260" i="11"/>
  <c r="J260" i="11" s="1"/>
  <c r="H268" i="11"/>
  <c r="J268" i="11" s="1"/>
  <c r="H270" i="11"/>
  <c r="J270" i="11" s="1"/>
  <c r="H271" i="11"/>
  <c r="J271" i="11" s="1"/>
  <c r="K286" i="11"/>
  <c r="H301" i="11"/>
  <c r="J301" i="11" s="1"/>
  <c r="K301" i="11" s="1"/>
  <c r="H317" i="11"/>
  <c r="J317" i="11" s="1"/>
  <c r="H346" i="11"/>
  <c r="J346" i="11" s="1"/>
  <c r="J453" i="11"/>
  <c r="K453" i="11" s="1"/>
  <c r="H34" i="11"/>
  <c r="J34" i="11" s="1"/>
  <c r="K34" i="11" s="1"/>
  <c r="K591" i="11"/>
  <c r="K644" i="11"/>
  <c r="H324" i="11"/>
  <c r="J324" i="11" s="1"/>
  <c r="K324" i="11" s="1"/>
  <c r="H335" i="11"/>
  <c r="J335" i="11" s="1"/>
  <c r="H340" i="11"/>
  <c r="J340" i="11" s="1"/>
  <c r="H348" i="11"/>
  <c r="J348" i="11" s="1"/>
  <c r="H352" i="11"/>
  <c r="J352" i="11" s="1"/>
  <c r="K352" i="11" s="1"/>
  <c r="H353" i="11"/>
  <c r="H381" i="11"/>
  <c r="J381" i="11" s="1"/>
  <c r="H389" i="11"/>
  <c r="J389" i="11" s="1"/>
  <c r="H397" i="11"/>
  <c r="J397" i="11" s="1"/>
  <c r="H405" i="11"/>
  <c r="J405" i="11" s="1"/>
  <c r="H413" i="11"/>
  <c r="J413" i="11" s="1"/>
  <c r="H418" i="11"/>
  <c r="J418" i="11" s="1"/>
  <c r="H426" i="11"/>
  <c r="J426" i="11" s="1"/>
  <c r="H436" i="11"/>
  <c r="J436" i="11" s="1"/>
  <c r="H442" i="11"/>
  <c r="J442" i="11" s="1"/>
  <c r="H443" i="11"/>
  <c r="J443" i="11" s="1"/>
  <c r="H446" i="11"/>
  <c r="H457" i="11"/>
  <c r="J457" i="11" s="1"/>
  <c r="H469" i="11"/>
  <c r="H476" i="11"/>
  <c r="J476" i="11" s="1"/>
  <c r="H486" i="11"/>
  <c r="J486" i="11" s="1"/>
  <c r="H515" i="11"/>
  <c r="J515" i="11" s="1"/>
  <c r="H564" i="11"/>
  <c r="J564" i="11" s="1"/>
  <c r="K564" i="11" s="1"/>
  <c r="H580" i="11"/>
  <c r="J580" i="11" s="1"/>
  <c r="H581" i="11"/>
  <c r="J581" i="11" s="1"/>
  <c r="K581" i="11" s="1"/>
  <c r="H582" i="11"/>
  <c r="H587" i="11"/>
  <c r="J587" i="11" s="1"/>
  <c r="K587" i="11" s="1"/>
  <c r="H595" i="11"/>
  <c r="J595" i="11" s="1"/>
  <c r="K595" i="11" s="1"/>
  <c r="H596" i="11"/>
  <c r="J596" i="11" s="1"/>
  <c r="K596" i="11" s="1"/>
  <c r="H605" i="11"/>
  <c r="J605" i="11" s="1"/>
  <c r="H614" i="11"/>
  <c r="H622" i="11"/>
  <c r="H652" i="11"/>
  <c r="H684" i="11"/>
  <c r="J684" i="11" s="1"/>
  <c r="H694" i="11"/>
  <c r="J694" i="11" s="1"/>
  <c r="H703" i="11"/>
  <c r="H711" i="11"/>
  <c r="J711" i="11" s="1"/>
  <c r="K711" i="11" s="1"/>
  <c r="H718" i="11"/>
  <c r="J718" i="11" s="1"/>
  <c r="K718" i="11" s="1"/>
  <c r="H721" i="11"/>
  <c r="H724" i="11"/>
  <c r="H727" i="11"/>
  <c r="H729" i="11"/>
  <c r="H731" i="11"/>
  <c r="H750" i="11"/>
  <c r="H749" i="11" s="1"/>
  <c r="H367" i="11"/>
  <c r="J367" i="11" s="1"/>
  <c r="H385" i="11"/>
  <c r="J385" i="11" s="1"/>
  <c r="H393" i="11"/>
  <c r="J393" i="11" s="1"/>
  <c r="H401" i="11"/>
  <c r="J401" i="11" s="1"/>
  <c r="H409" i="11"/>
  <c r="J409" i="11" s="1"/>
  <c r="H433" i="11"/>
  <c r="J433" i="11" s="1"/>
  <c r="H461" i="11"/>
  <c r="J461" i="11" s="1"/>
  <c r="K461" i="11" s="1"/>
  <c r="H464" i="11"/>
  <c r="H471" i="11"/>
  <c r="J471" i="11" s="1"/>
  <c r="H480" i="11"/>
  <c r="J480" i="11" s="1"/>
  <c r="H495" i="11"/>
  <c r="J495" i="11" s="1"/>
  <c r="H497" i="11"/>
  <c r="J497" i="11" s="1"/>
  <c r="H501" i="11"/>
  <c r="J501" i="11" s="1"/>
  <c r="H503" i="11"/>
  <c r="J503" i="11" s="1"/>
  <c r="H519" i="11"/>
  <c r="J519" i="11" s="1"/>
  <c r="H567" i="11"/>
  <c r="J567" i="11" s="1"/>
  <c r="K567" i="11" s="1"/>
  <c r="H569" i="11"/>
  <c r="J569" i="11" s="1"/>
  <c r="H600" i="11"/>
  <c r="H609" i="11"/>
  <c r="H618" i="11"/>
  <c r="J618" i="11" s="1"/>
  <c r="K618" i="11" s="1"/>
  <c r="H646" i="11"/>
  <c r="J646" i="11" s="1"/>
  <c r="H675" i="11"/>
  <c r="J675" i="11" s="1"/>
  <c r="H680" i="11"/>
  <c r="J680" i="11" s="1"/>
  <c r="K680" i="11" s="1"/>
  <c r="H688" i="11"/>
  <c r="J688" i="11" s="1"/>
  <c r="K688" i="11" s="1"/>
  <c r="H698" i="11"/>
  <c r="J698" i="11" s="1"/>
  <c r="K698" i="11" s="1"/>
  <c r="H707" i="11"/>
  <c r="J707" i="11" s="1"/>
  <c r="K707" i="11" s="1"/>
  <c r="H739" i="11"/>
  <c r="J86" i="11"/>
  <c r="K86" i="11" s="1"/>
  <c r="J105" i="11"/>
  <c r="K105" i="11" s="1"/>
  <c r="J112" i="11"/>
  <c r="K112" i="11" s="1"/>
  <c r="J110" i="11"/>
  <c r="K110" i="11" s="1"/>
  <c r="K100" i="11"/>
  <c r="J108" i="11"/>
  <c r="K108" i="11" s="1"/>
  <c r="J21" i="11"/>
  <c r="K21" i="11" s="1"/>
  <c r="J28" i="11"/>
  <c r="K28" i="11" s="1"/>
  <c r="J23" i="11"/>
  <c r="K23" i="11" s="1"/>
  <c r="J44" i="11"/>
  <c r="K44" i="11" s="1"/>
  <c r="J88" i="11"/>
  <c r="K88" i="11" s="1"/>
  <c r="J97" i="11"/>
  <c r="K97" i="11" s="1"/>
  <c r="J113" i="11"/>
  <c r="K113" i="11" s="1"/>
  <c r="J115" i="11"/>
  <c r="K115" i="11" s="1"/>
  <c r="H126" i="11"/>
  <c r="H124" i="11" s="1"/>
  <c r="F124" i="11"/>
  <c r="J133" i="11"/>
  <c r="K133" i="11" s="1"/>
  <c r="J284" i="11"/>
  <c r="K284" i="11" s="1"/>
  <c r="J355" i="11"/>
  <c r="K355" i="11" s="1"/>
  <c r="F43" i="11"/>
  <c r="H43" i="11" s="1"/>
  <c r="F47" i="11"/>
  <c r="H47" i="11" s="1"/>
  <c r="F111" i="11"/>
  <c r="J131" i="11"/>
  <c r="K131" i="11" s="1"/>
  <c r="H150" i="11"/>
  <c r="F139" i="11"/>
  <c r="K152" i="11"/>
  <c r="J160" i="11"/>
  <c r="K160" i="11" s="1"/>
  <c r="K163" i="11"/>
  <c r="J177" i="11"/>
  <c r="K177" i="11" s="1"/>
  <c r="J182" i="11"/>
  <c r="K182" i="11" s="1"/>
  <c r="H185" i="11"/>
  <c r="J197" i="11"/>
  <c r="K197" i="11" s="1"/>
  <c r="H240" i="11"/>
  <c r="H258" i="11"/>
  <c r="K264" i="11"/>
  <c r="H276" i="11"/>
  <c r="H283" i="11"/>
  <c r="J320" i="11"/>
  <c r="K320" i="11" s="1"/>
  <c r="J328" i="11"/>
  <c r="K328" i="11" s="1"/>
  <c r="F365" i="11"/>
  <c r="F373" i="11"/>
  <c r="J465" i="11"/>
  <c r="K465" i="11" s="1"/>
  <c r="J579" i="11"/>
  <c r="K579" i="11" s="1"/>
  <c r="F48" i="11"/>
  <c r="H48" i="11" s="1"/>
  <c r="J188" i="11"/>
  <c r="K188" i="11" s="1"/>
  <c r="J354" i="11"/>
  <c r="K354" i="11" s="1"/>
  <c r="J36" i="11"/>
  <c r="K36" i="11" s="1"/>
  <c r="J37" i="11"/>
  <c r="K37" i="11" s="1"/>
  <c r="J42" i="11"/>
  <c r="K42" i="11" s="1"/>
  <c r="J59" i="11"/>
  <c r="K59" i="11" s="1"/>
  <c r="H101" i="11"/>
  <c r="J102" i="11"/>
  <c r="K102" i="11" s="1"/>
  <c r="J104" i="11"/>
  <c r="K104" i="11" s="1"/>
  <c r="J106" i="11"/>
  <c r="K106" i="11" s="1"/>
  <c r="J125" i="11"/>
  <c r="J127" i="11"/>
  <c r="K127" i="11" s="1"/>
  <c r="J130" i="11"/>
  <c r="K146" i="11"/>
  <c r="J246" i="11"/>
  <c r="K246" i="11" s="1"/>
  <c r="J267" i="11"/>
  <c r="K267" i="11" s="1"/>
  <c r="J298" i="11"/>
  <c r="J306" i="11"/>
  <c r="K306" i="11" s="1"/>
  <c r="K313" i="11"/>
  <c r="J316" i="11"/>
  <c r="K316" i="11" s="1"/>
  <c r="J323" i="11"/>
  <c r="K323" i="11" s="1"/>
  <c r="J333" i="11"/>
  <c r="K333" i="11" s="1"/>
  <c r="J363" i="11"/>
  <c r="K363" i="11" s="1"/>
  <c r="J417" i="11"/>
  <c r="K417" i="11" s="1"/>
  <c r="J456" i="11"/>
  <c r="K456" i="11" s="1"/>
  <c r="J475" i="11"/>
  <c r="J484" i="11"/>
  <c r="K484" i="11" s="1"/>
  <c r="J507" i="11"/>
  <c r="K507" i="11" s="1"/>
  <c r="K114" i="11"/>
  <c r="J277" i="11"/>
  <c r="K277" i="11" s="1"/>
  <c r="F296" i="11"/>
  <c r="H299" i="11"/>
  <c r="J315" i="11"/>
  <c r="K315" i="11" s="1"/>
  <c r="J332" i="11"/>
  <c r="K332" i="11" s="1"/>
  <c r="J116" i="11"/>
  <c r="K116" i="11" s="1"/>
  <c r="K119" i="11"/>
  <c r="J128" i="11"/>
  <c r="K128" i="11" s="1"/>
  <c r="K132" i="11"/>
  <c r="J149" i="11"/>
  <c r="K149" i="11" s="1"/>
  <c r="J151" i="11"/>
  <c r="K151" i="11" s="1"/>
  <c r="J153" i="11"/>
  <c r="K153" i="11" s="1"/>
  <c r="J164" i="11"/>
  <c r="J166" i="11"/>
  <c r="K166" i="11" s="1"/>
  <c r="J168" i="11"/>
  <c r="K168" i="11" s="1"/>
  <c r="K172" i="11"/>
  <c r="H176" i="11"/>
  <c r="F173" i="11"/>
  <c r="J189" i="11"/>
  <c r="K189" i="11" s="1"/>
  <c r="K192" i="11"/>
  <c r="J193" i="11"/>
  <c r="K193" i="11" s="1"/>
  <c r="J200" i="11"/>
  <c r="K200" i="11" s="1"/>
  <c r="J202" i="11"/>
  <c r="K202" i="11" s="1"/>
  <c r="J207" i="11"/>
  <c r="K207" i="11" s="1"/>
  <c r="K212" i="11"/>
  <c r="J213" i="11"/>
  <c r="K213" i="11" s="1"/>
  <c r="K215" i="11"/>
  <c r="J217" i="11"/>
  <c r="K217" i="11" s="1"/>
  <c r="J221" i="11"/>
  <c r="K221" i="11" s="1"/>
  <c r="K225" i="11"/>
  <c r="J226" i="11"/>
  <c r="K226" i="11" s="1"/>
  <c r="J231" i="11"/>
  <c r="K231" i="11" s="1"/>
  <c r="J247" i="11"/>
  <c r="K247" i="11" s="1"/>
  <c r="H253" i="11"/>
  <c r="F251" i="11"/>
  <c r="K260" i="11"/>
  <c r="K278" i="11"/>
  <c r="J281" i="11"/>
  <c r="K281" i="11" s="1"/>
  <c r="K294" i="11"/>
  <c r="J295" i="11"/>
  <c r="K295" i="11" s="1"/>
  <c r="F302" i="11"/>
  <c r="J307" i="11"/>
  <c r="K307" i="11" s="1"/>
  <c r="F309" i="11"/>
  <c r="J319" i="11"/>
  <c r="K319" i="11" s="1"/>
  <c r="J338" i="11"/>
  <c r="K338" i="11" s="1"/>
  <c r="H470" i="11"/>
  <c r="F466" i="11"/>
  <c r="J194" i="11"/>
  <c r="K194" i="11" s="1"/>
  <c r="J198" i="11"/>
  <c r="K198" i="11" s="1"/>
  <c r="J204" i="11"/>
  <c r="K204" i="11" s="1"/>
  <c r="J208" i="11"/>
  <c r="K208" i="11" s="1"/>
  <c r="J214" i="11"/>
  <c r="K214" i="11" s="1"/>
  <c r="J218" i="11"/>
  <c r="K218" i="11" s="1"/>
  <c r="J223" i="11"/>
  <c r="K223" i="11" s="1"/>
  <c r="J227" i="11"/>
  <c r="K227" i="11" s="1"/>
  <c r="J249" i="11"/>
  <c r="K249" i="11" s="1"/>
  <c r="J279" i="11"/>
  <c r="K279" i="11" s="1"/>
  <c r="J293" i="11"/>
  <c r="K293" i="11" s="1"/>
  <c r="J300" i="11"/>
  <c r="K300" i="11" s="1"/>
  <c r="H312" i="11"/>
  <c r="J339" i="11"/>
  <c r="K339" i="11" s="1"/>
  <c r="J341" i="11"/>
  <c r="K341" i="11" s="1"/>
  <c r="J345" i="11"/>
  <c r="K345" i="11" s="1"/>
  <c r="J350" i="11"/>
  <c r="K350" i="11" s="1"/>
  <c r="J351" i="11"/>
  <c r="K351" i="11" s="1"/>
  <c r="J357" i="11"/>
  <c r="K357" i="11" s="1"/>
  <c r="J358" i="11"/>
  <c r="K358" i="11" s="1"/>
  <c r="J361" i="11"/>
  <c r="K361" i="11" s="1"/>
  <c r="H359" i="11"/>
  <c r="J362" i="11"/>
  <c r="K362" i="11" s="1"/>
  <c r="J380" i="11"/>
  <c r="K380" i="11" s="1"/>
  <c r="J384" i="11"/>
  <c r="K384" i="11" s="1"/>
  <c r="J388" i="11"/>
  <c r="K388" i="11" s="1"/>
  <c r="J390" i="11"/>
  <c r="K390" i="11" s="1"/>
  <c r="J392" i="11"/>
  <c r="K392" i="11" s="1"/>
  <c r="J394" i="11"/>
  <c r="K394" i="11" s="1"/>
  <c r="J396" i="11"/>
  <c r="K396" i="11" s="1"/>
  <c r="J398" i="11"/>
  <c r="K398" i="11" s="1"/>
  <c r="J400" i="11"/>
  <c r="K400" i="11" s="1"/>
  <c r="J402" i="11"/>
  <c r="K402" i="11" s="1"/>
  <c r="J404" i="11"/>
  <c r="K404" i="11" s="1"/>
  <c r="J406" i="11"/>
  <c r="K406" i="11" s="1"/>
  <c r="J408" i="11"/>
  <c r="K408" i="11" s="1"/>
  <c r="J410" i="11"/>
  <c r="K410" i="11" s="1"/>
  <c r="J412" i="11"/>
  <c r="K412" i="11" s="1"/>
  <c r="H420" i="11"/>
  <c r="F419" i="11"/>
  <c r="H429" i="11"/>
  <c r="F428" i="11"/>
  <c r="J460" i="11"/>
  <c r="K460" i="11" s="1"/>
  <c r="J516" i="11"/>
  <c r="K516" i="11" s="1"/>
  <c r="J553" i="11"/>
  <c r="K553" i="11" s="1"/>
  <c r="F129" i="11"/>
  <c r="H244" i="11"/>
  <c r="H261" i="11"/>
  <c r="H266" i="11"/>
  <c r="H356" i="11"/>
  <c r="J364" i="11"/>
  <c r="K364" i="11" s="1"/>
  <c r="J366" i="11"/>
  <c r="K366" i="11" s="1"/>
  <c r="J368" i="11"/>
  <c r="K368" i="11" s="1"/>
  <c r="J370" i="11"/>
  <c r="K370" i="11" s="1"/>
  <c r="J372" i="11"/>
  <c r="J371" i="11" s="1"/>
  <c r="H371" i="11"/>
  <c r="J374" i="11"/>
  <c r="H416" i="11"/>
  <c r="F414" i="11"/>
  <c r="J435" i="11"/>
  <c r="K435" i="11" s="1"/>
  <c r="J438" i="11"/>
  <c r="K438" i="11" s="1"/>
  <c r="J447" i="11"/>
  <c r="K447" i="11" s="1"/>
  <c r="J454" i="11"/>
  <c r="K454" i="11" s="1"/>
  <c r="J462" i="11"/>
  <c r="K462" i="11" s="1"/>
  <c r="J479" i="11"/>
  <c r="K479" i="11" s="1"/>
  <c r="J514" i="11"/>
  <c r="K514" i="11" s="1"/>
  <c r="H550" i="11"/>
  <c r="F545" i="11"/>
  <c r="H248" i="11"/>
  <c r="J254" i="11"/>
  <c r="K254" i="11" s="1"/>
  <c r="J265" i="11"/>
  <c r="K265" i="11" s="1"/>
  <c r="J269" i="11"/>
  <c r="K269" i="11" s="1"/>
  <c r="F272" i="11"/>
  <c r="H285" i="11"/>
  <c r="H292" i="11"/>
  <c r="K297" i="11"/>
  <c r="K308" i="11"/>
  <c r="K322" i="11"/>
  <c r="F359" i="11"/>
  <c r="H377" i="11"/>
  <c r="F376" i="11"/>
  <c r="K399" i="11"/>
  <c r="K401" i="11"/>
  <c r="J421" i="11"/>
  <c r="K421" i="11" s="1"/>
  <c r="J423" i="11"/>
  <c r="K423" i="11" s="1"/>
  <c r="J425" i="11"/>
  <c r="J432" i="11"/>
  <c r="K432" i="11" s="1"/>
  <c r="H434" i="11"/>
  <c r="J439" i="11"/>
  <c r="K439" i="11" s="1"/>
  <c r="J440" i="11"/>
  <c r="K440" i="11" s="1"/>
  <c r="J441" i="11"/>
  <c r="K441" i="11" s="1"/>
  <c r="J444" i="11"/>
  <c r="K444" i="11" s="1"/>
  <c r="J452" i="11"/>
  <c r="K452" i="11" s="1"/>
  <c r="J458" i="11"/>
  <c r="K458" i="11" s="1"/>
  <c r="J468" i="11"/>
  <c r="K468" i="11" s="1"/>
  <c r="J487" i="11"/>
  <c r="K487" i="11" s="1"/>
  <c r="J511" i="11"/>
  <c r="K511" i="11" s="1"/>
  <c r="J535" i="11"/>
  <c r="K535" i="11" s="1"/>
  <c r="J582" i="11"/>
  <c r="K582" i="11" s="1"/>
  <c r="J614" i="11"/>
  <c r="J622" i="11"/>
  <c r="K622" i="11" s="1"/>
  <c r="J448" i="11"/>
  <c r="K448" i="11" s="1"/>
  <c r="F504" i="11"/>
  <c r="H510" i="11"/>
  <c r="H538" i="11"/>
  <c r="J541" i="11"/>
  <c r="K541" i="11" s="1"/>
  <c r="J548" i="11"/>
  <c r="K548" i="11" s="1"/>
  <c r="J549" i="11"/>
  <c r="K549" i="11" s="1"/>
  <c r="H551" i="11"/>
  <c r="J562" i="11"/>
  <c r="K562" i="11" s="1"/>
  <c r="J563" i="11"/>
  <c r="K563" i="11" s="1"/>
  <c r="H565" i="11"/>
  <c r="H578" i="11"/>
  <c r="J592" i="11"/>
  <c r="K592" i="11" s="1"/>
  <c r="J612" i="11"/>
  <c r="K612" i="11" s="1"/>
  <c r="J635" i="11"/>
  <c r="J659" i="11"/>
  <c r="K659" i="11" s="1"/>
  <c r="K517" i="11"/>
  <c r="H536" i="11"/>
  <c r="J539" i="11"/>
  <c r="K539" i="11" s="1"/>
  <c r="J543" i="11"/>
  <c r="K543" i="11" s="1"/>
  <c r="H547" i="11"/>
  <c r="J552" i="11"/>
  <c r="K552" i="11" s="1"/>
  <c r="H556" i="11"/>
  <c r="J566" i="11"/>
  <c r="K566" i="11" s="1"/>
  <c r="H570" i="11"/>
  <c r="H572" i="11"/>
  <c r="J583" i="11"/>
  <c r="K583" i="11" s="1"/>
  <c r="J645" i="11"/>
  <c r="K645" i="11" s="1"/>
  <c r="H451" i="11"/>
  <c r="F449" i="11"/>
  <c r="J492" i="11"/>
  <c r="K492" i="11" s="1"/>
  <c r="J496" i="11"/>
  <c r="K496" i="11" s="1"/>
  <c r="H520" i="11"/>
  <c r="H522" i="11"/>
  <c r="H524" i="11"/>
  <c r="H526" i="11"/>
  <c r="H528" i="11"/>
  <c r="H530" i="11"/>
  <c r="H532" i="11"/>
  <c r="H534" i="11"/>
  <c r="J537" i="11"/>
  <c r="K537" i="11" s="1"/>
  <c r="H542" i="11"/>
  <c r="J554" i="11"/>
  <c r="K554" i="11" s="1"/>
  <c r="F560" i="11"/>
  <c r="F559" i="11" s="1"/>
  <c r="J568" i="11"/>
  <c r="K568" i="11" s="1"/>
  <c r="J585" i="11"/>
  <c r="K585" i="11" s="1"/>
  <c r="J586" i="11"/>
  <c r="K586" i="11" s="1"/>
  <c r="H491" i="11"/>
  <c r="J493" i="11"/>
  <c r="K493" i="11" s="1"/>
  <c r="J500" i="11"/>
  <c r="K500" i="11" s="1"/>
  <c r="J502" i="11"/>
  <c r="K502" i="11" s="1"/>
  <c r="H506" i="11"/>
  <c r="J508" i="11"/>
  <c r="K508" i="11" s="1"/>
  <c r="J521" i="11"/>
  <c r="K521" i="11" s="1"/>
  <c r="J523" i="11"/>
  <c r="K523" i="11" s="1"/>
  <c r="J525" i="11"/>
  <c r="K525" i="11" s="1"/>
  <c r="J527" i="11"/>
  <c r="K527" i="11" s="1"/>
  <c r="J529" i="11"/>
  <c r="K529" i="11" s="1"/>
  <c r="J531" i="11"/>
  <c r="K531" i="11" s="1"/>
  <c r="J533" i="11"/>
  <c r="K533" i="11" s="1"/>
  <c r="F557" i="11"/>
  <c r="F575" i="11"/>
  <c r="H577" i="11"/>
  <c r="H588" i="11"/>
  <c r="H590" i="11"/>
  <c r="H629" i="11"/>
  <c r="H626" i="11" s="1"/>
  <c r="F626" i="11"/>
  <c r="H638" i="11"/>
  <c r="F632" i="11"/>
  <c r="K639" i="11"/>
  <c r="J642" i="11"/>
  <c r="K642" i="11" s="1"/>
  <c r="J700" i="11"/>
  <c r="K700" i="11" s="1"/>
  <c r="J709" i="11"/>
  <c r="K709" i="11" s="1"/>
  <c r="J597" i="11"/>
  <c r="K597" i="11" s="1"/>
  <c r="J602" i="11"/>
  <c r="K602" i="11" s="1"/>
  <c r="J606" i="11"/>
  <c r="K606" i="11" s="1"/>
  <c r="J608" i="11"/>
  <c r="K608" i="11" s="1"/>
  <c r="J610" i="11"/>
  <c r="K610" i="11" s="1"/>
  <c r="J613" i="11"/>
  <c r="K613" i="11" s="1"/>
  <c r="J615" i="11"/>
  <c r="K615" i="11" s="1"/>
  <c r="J617" i="11"/>
  <c r="K617" i="11" s="1"/>
  <c r="J619" i="11"/>
  <c r="K619" i="11" s="1"/>
  <c r="J621" i="11"/>
  <c r="K621" i="11" s="1"/>
  <c r="J636" i="11"/>
  <c r="K636" i="11" s="1"/>
  <c r="J628" i="11"/>
  <c r="K628" i="11" s="1"/>
  <c r="J630" i="11"/>
  <c r="K630" i="11" s="1"/>
  <c r="J651" i="11"/>
  <c r="K651" i="11" s="1"/>
  <c r="J661" i="11"/>
  <c r="K661" i="11" s="1"/>
  <c r="J686" i="11"/>
  <c r="K686" i="11" s="1"/>
  <c r="F713" i="11"/>
  <c r="H643" i="11"/>
  <c r="H658" i="11"/>
  <c r="H669" i="11"/>
  <c r="J672" i="11"/>
  <c r="K672" i="11" s="1"/>
  <c r="J676" i="11"/>
  <c r="K676" i="11" s="1"/>
  <c r="J681" i="11"/>
  <c r="K681" i="11" s="1"/>
  <c r="K660" i="11"/>
  <c r="J667" i="11"/>
  <c r="K667" i="11" s="1"/>
  <c r="J683" i="11"/>
  <c r="K683" i="11" s="1"/>
  <c r="J685" i="11"/>
  <c r="K685" i="11" s="1"/>
  <c r="J687" i="11"/>
  <c r="K687" i="11" s="1"/>
  <c r="J689" i="11"/>
  <c r="K689" i="11" s="1"/>
  <c r="J693" i="11"/>
  <c r="K693" i="11" s="1"/>
  <c r="J695" i="11"/>
  <c r="K695" i="11" s="1"/>
  <c r="J697" i="11"/>
  <c r="K697" i="11" s="1"/>
  <c r="J699" i="11"/>
  <c r="K699" i="11" s="1"/>
  <c r="J704" i="11"/>
  <c r="K704" i="11" s="1"/>
  <c r="J708" i="11"/>
  <c r="K708" i="11" s="1"/>
  <c r="J710" i="11"/>
  <c r="K710" i="11" s="1"/>
  <c r="J712" i="11"/>
  <c r="K712" i="11" s="1"/>
  <c r="J717" i="11"/>
  <c r="K717" i="11" s="1"/>
  <c r="H664" i="11"/>
  <c r="H666" i="11"/>
  <c r="F670" i="11"/>
  <c r="J654" i="11"/>
  <c r="K654" i="11" s="1"/>
  <c r="J663" i="11"/>
  <c r="K663" i="11" s="1"/>
  <c r="J665" i="11"/>
  <c r="K665" i="11" s="1"/>
  <c r="J668" i="11"/>
  <c r="K668" i="11" s="1"/>
  <c r="J673" i="11"/>
  <c r="K673" i="11" s="1"/>
  <c r="J679" i="11"/>
  <c r="K679" i="11" s="1"/>
  <c r="J720" i="11"/>
  <c r="K720" i="11" s="1"/>
  <c r="J723" i="11"/>
  <c r="K723" i="11" s="1"/>
  <c r="J725" i="11"/>
  <c r="K725" i="11" s="1"/>
  <c r="J728" i="11"/>
  <c r="K728" i="11" s="1"/>
  <c r="J730" i="11"/>
  <c r="K730" i="11" s="1"/>
  <c r="J732" i="11"/>
  <c r="K732" i="11" s="1"/>
  <c r="J740" i="11"/>
  <c r="K740" i="11" s="1"/>
  <c r="F749" i="11"/>
  <c r="J751" i="11"/>
  <c r="K751" i="11" s="1"/>
  <c r="K170" i="11" l="1"/>
  <c r="K228" i="11"/>
  <c r="K178" i="11"/>
  <c r="K674" i="11"/>
  <c r="F574" i="11"/>
  <c r="K593" i="11"/>
  <c r="K512" i="11"/>
  <c r="K494" i="11"/>
  <c r="K443" i="11"/>
  <c r="K418" i="11"/>
  <c r="K395" i="11"/>
  <c r="K411" i="11"/>
  <c r="K391" i="11"/>
  <c r="K385" i="11"/>
  <c r="K330" i="11"/>
  <c r="K288" i="11"/>
  <c r="K211" i="11"/>
  <c r="F19" i="13"/>
  <c r="H117" i="11"/>
  <c r="J750" i="11"/>
  <c r="J749" i="11" s="1"/>
  <c r="K486" i="11"/>
  <c r="H557" i="11"/>
  <c r="H424" i="11"/>
  <c r="H129" i="11"/>
  <c r="K478" i="11"/>
  <c r="K407" i="11"/>
  <c r="K397" i="11"/>
  <c r="K383" i="11"/>
  <c r="K344" i="11"/>
  <c r="K268" i="11"/>
  <c r="K233" i="11"/>
  <c r="K190" i="11"/>
  <c r="K403" i="11"/>
  <c r="K426" i="11"/>
  <c r="K237" i="11"/>
  <c r="K157" i="11"/>
  <c r="F20" i="11"/>
  <c r="K165" i="11"/>
  <c r="K154" i="11"/>
  <c r="H365" i="11"/>
  <c r="K199" i="11"/>
  <c r="K122" i="11"/>
  <c r="K117" i="11" s="1"/>
  <c r="K242" i="11"/>
  <c r="K205" i="11"/>
  <c r="K515" i="11"/>
  <c r="K409" i="11"/>
  <c r="K499" i="11"/>
  <c r="J373" i="11"/>
  <c r="K488" i="11"/>
  <c r="K346" i="11"/>
  <c r="K224" i="11"/>
  <c r="K216" i="11"/>
  <c r="K290" i="11"/>
  <c r="K271" i="11"/>
  <c r="K201" i="11"/>
  <c r="H713" i="11"/>
  <c r="H139" i="11"/>
  <c r="K503" i="11"/>
  <c r="K497" i="11"/>
  <c r="J424" i="11"/>
  <c r="K387" i="11"/>
  <c r="H373" i="11"/>
  <c r="K325" i="11"/>
  <c r="K220" i="11"/>
  <c r="K206" i="11"/>
  <c r="K181" i="11"/>
  <c r="K159" i="11"/>
  <c r="H296" i="11"/>
  <c r="K275" i="11"/>
  <c r="K483" i="11"/>
  <c r="K393" i="11"/>
  <c r="K219" i="11"/>
  <c r="K495" i="11"/>
  <c r="K614" i="11"/>
  <c r="K442" i="11"/>
  <c r="F161" i="11"/>
  <c r="J609" i="11"/>
  <c r="K609" i="11" s="1"/>
  <c r="K342" i="11"/>
  <c r="K230" i="11"/>
  <c r="J703" i="11"/>
  <c r="K703" i="11" s="1"/>
  <c r="H302" i="11"/>
  <c r="K684" i="11"/>
  <c r="K270" i="11"/>
  <c r="K555" i="11"/>
  <c r="K580" i="11"/>
  <c r="K519" i="11"/>
  <c r="K476" i="11"/>
  <c r="K389" i="11"/>
  <c r="K379" i="11"/>
  <c r="K348" i="11"/>
  <c r="K304" i="11"/>
  <c r="K302" i="11" s="1"/>
  <c r="K317" i="11"/>
  <c r="K239" i="11"/>
  <c r="J731" i="11"/>
  <c r="K731" i="11" s="1"/>
  <c r="K675" i="11"/>
  <c r="K480" i="11"/>
  <c r="K425" i="11"/>
  <c r="K433" i="11"/>
  <c r="H473" i="11"/>
  <c r="H162" i="11"/>
  <c r="J729" i="11"/>
  <c r="K729" i="11" s="1"/>
  <c r="K646" i="11"/>
  <c r="H670" i="11"/>
  <c r="K569" i="11"/>
  <c r="K501" i="11"/>
  <c r="K605" i="11"/>
  <c r="K340" i="11"/>
  <c r="K374" i="11"/>
  <c r="K373" i="11" s="1"/>
  <c r="K436" i="11"/>
  <c r="J162" i="11"/>
  <c r="K367" i="11"/>
  <c r="K365" i="11" s="1"/>
  <c r="K335" i="11"/>
  <c r="K167" i="11"/>
  <c r="J143" i="11"/>
  <c r="K143" i="11" s="1"/>
  <c r="H20" i="11"/>
  <c r="K694" i="11"/>
  <c r="J739" i="11"/>
  <c r="K739" i="11" s="1"/>
  <c r="J724" i="11"/>
  <c r="K724" i="11" s="1"/>
  <c r="J721" i="11"/>
  <c r="K721" i="11" s="1"/>
  <c r="J600" i="11"/>
  <c r="K600" i="11" s="1"/>
  <c r="J469" i="11"/>
  <c r="K469" i="11" s="1"/>
  <c r="K196" i="11"/>
  <c r="J353" i="11"/>
  <c r="K353" i="11" s="1"/>
  <c r="K471" i="11"/>
  <c r="K558" i="11"/>
  <c r="K557" i="11" s="1"/>
  <c r="H466" i="11"/>
  <c r="K413" i="11"/>
  <c r="K405" i="11"/>
  <c r="K381" i="11"/>
  <c r="K457" i="11"/>
  <c r="J464" i="11"/>
  <c r="K464" i="11" s="1"/>
  <c r="J727" i="11"/>
  <c r="K727" i="11" s="1"/>
  <c r="J652" i="11"/>
  <c r="K652" i="11" s="1"/>
  <c r="J446" i="11"/>
  <c r="K446" i="11" s="1"/>
  <c r="K111" i="11"/>
  <c r="J491" i="11"/>
  <c r="J489" i="11" s="1"/>
  <c r="H489" i="11"/>
  <c r="J522" i="11"/>
  <c r="K522" i="11" s="1"/>
  <c r="J292" i="11"/>
  <c r="K292" i="11" s="1"/>
  <c r="J550" i="11"/>
  <c r="K550" i="11" s="1"/>
  <c r="H173" i="11"/>
  <c r="J176" i="11"/>
  <c r="J664" i="11"/>
  <c r="K664" i="11" s="1"/>
  <c r="J658" i="11"/>
  <c r="K658" i="11" s="1"/>
  <c r="H575" i="11"/>
  <c r="J577" i="11"/>
  <c r="J528" i="11"/>
  <c r="K528" i="11" s="1"/>
  <c r="J520" i="11"/>
  <c r="K520" i="11" s="1"/>
  <c r="J451" i="11"/>
  <c r="H449" i="11"/>
  <c r="J572" i="11"/>
  <c r="J571" i="11" s="1"/>
  <c r="H571" i="11"/>
  <c r="J556" i="11"/>
  <c r="K556" i="11" s="1"/>
  <c r="J536" i="11"/>
  <c r="K536" i="11" s="1"/>
  <c r="J578" i="11"/>
  <c r="K578" i="11" s="1"/>
  <c r="J538" i="11"/>
  <c r="K538" i="11" s="1"/>
  <c r="J510" i="11"/>
  <c r="K510" i="11" s="1"/>
  <c r="J434" i="11"/>
  <c r="K434" i="11" s="1"/>
  <c r="K372" i="11"/>
  <c r="K371" i="11" s="1"/>
  <c r="J261" i="11"/>
  <c r="K261" i="11" s="1"/>
  <c r="J253" i="11"/>
  <c r="K253" i="11" s="1"/>
  <c r="H251" i="11"/>
  <c r="K298" i="11"/>
  <c r="K125" i="11"/>
  <c r="J48" i="11"/>
  <c r="K48" i="11" s="1"/>
  <c r="J276" i="11"/>
  <c r="K276" i="11" s="1"/>
  <c r="J266" i="11"/>
  <c r="K266" i="11" s="1"/>
  <c r="K359" i="11"/>
  <c r="J129" i="11"/>
  <c r="K130" i="11"/>
  <c r="K129" i="11" s="1"/>
  <c r="J240" i="11"/>
  <c r="K240" i="11" s="1"/>
  <c r="J111" i="11"/>
  <c r="J638" i="11"/>
  <c r="J590" i="11"/>
  <c r="K590" i="11" s="1"/>
  <c r="J526" i="11"/>
  <c r="K526" i="11" s="1"/>
  <c r="K635" i="11"/>
  <c r="J551" i="11"/>
  <c r="K551" i="11" s="1"/>
  <c r="J285" i="11"/>
  <c r="K285" i="11" s="1"/>
  <c r="J244" i="11"/>
  <c r="K244" i="11" s="1"/>
  <c r="F427" i="11"/>
  <c r="J299" i="11"/>
  <c r="J296" i="11" s="1"/>
  <c r="J473" i="11"/>
  <c r="J302" i="11"/>
  <c r="J258" i="11"/>
  <c r="K258" i="11" s="1"/>
  <c r="J185" i="11"/>
  <c r="K185" i="11" s="1"/>
  <c r="J150" i="11"/>
  <c r="K150" i="11" s="1"/>
  <c r="J47" i="11"/>
  <c r="J666" i="11"/>
  <c r="K666" i="11" s="1"/>
  <c r="J506" i="11"/>
  <c r="K506" i="11" s="1"/>
  <c r="H504" i="11"/>
  <c r="J530" i="11"/>
  <c r="K530" i="11" s="1"/>
  <c r="J547" i="11"/>
  <c r="K547" i="11" s="1"/>
  <c r="H545" i="11"/>
  <c r="J377" i="11"/>
  <c r="J376" i="11" s="1"/>
  <c r="H376" i="11"/>
  <c r="J470" i="11"/>
  <c r="K470" i="11" s="1"/>
  <c r="J669" i="11"/>
  <c r="K669" i="11" s="1"/>
  <c r="J534" i="11"/>
  <c r="K534" i="11" s="1"/>
  <c r="J570" i="11"/>
  <c r="H560" i="11"/>
  <c r="K714" i="11"/>
  <c r="J643" i="11"/>
  <c r="K643" i="11" s="1"/>
  <c r="J629" i="11"/>
  <c r="J626" i="11" s="1"/>
  <c r="J588" i="11"/>
  <c r="K588" i="11" s="1"/>
  <c r="J542" i="11"/>
  <c r="K542" i="11" s="1"/>
  <c r="J532" i="11"/>
  <c r="K532" i="11" s="1"/>
  <c r="J524" i="11"/>
  <c r="K524" i="11" s="1"/>
  <c r="H632" i="11"/>
  <c r="J565" i="11"/>
  <c r="K565" i="11" s="1"/>
  <c r="J248" i="11"/>
  <c r="K248" i="11" s="1"/>
  <c r="F544" i="11"/>
  <c r="J416" i="11"/>
  <c r="J414" i="11" s="1"/>
  <c r="H414" i="11"/>
  <c r="J365" i="11"/>
  <c r="J356" i="11"/>
  <c r="K356" i="11" s="1"/>
  <c r="H428" i="11"/>
  <c r="J429" i="11"/>
  <c r="K429" i="11" s="1"/>
  <c r="H419" i="11"/>
  <c r="J420" i="11"/>
  <c r="J419" i="11" s="1"/>
  <c r="J359" i="11"/>
  <c r="J312" i="11"/>
  <c r="H309" i="11"/>
  <c r="K164" i="11"/>
  <c r="K475" i="11"/>
  <c r="K141" i="11"/>
  <c r="J101" i="11"/>
  <c r="J99" i="11" s="1"/>
  <c r="H99" i="11"/>
  <c r="H272" i="11"/>
  <c r="J283" i="11"/>
  <c r="K283" i="11" s="1"/>
  <c r="J117" i="11"/>
  <c r="J43" i="11"/>
  <c r="K43" i="11" s="1"/>
  <c r="J126" i="11"/>
  <c r="J124" i="11" s="1"/>
  <c r="H544" i="11" l="1"/>
  <c r="K750" i="11"/>
  <c r="K749" i="11" s="1"/>
  <c r="K424" i="11"/>
  <c r="H19" i="13"/>
  <c r="K299" i="11"/>
  <c r="K296" i="11" s="1"/>
  <c r="H559" i="11"/>
  <c r="J309" i="11"/>
  <c r="K670" i="11"/>
  <c r="H427" i="11"/>
  <c r="K162" i="11"/>
  <c r="J272" i="11"/>
  <c r="K377" i="11"/>
  <c r="K376" i="11" s="1"/>
  <c r="J670" i="11"/>
  <c r="K466" i="11"/>
  <c r="J20" i="11"/>
  <c r="K312" i="11"/>
  <c r="K309" i="11" s="1"/>
  <c r="K420" i="11"/>
  <c r="K419" i="11" s="1"/>
  <c r="J466" i="11"/>
  <c r="K126" i="11"/>
  <c r="K124" i="11" s="1"/>
  <c r="K629" i="11"/>
  <c r="K626" i="11" s="1"/>
  <c r="J713" i="11"/>
  <c r="K572" i="11"/>
  <c r="K571" i="11" s="1"/>
  <c r="J449" i="11"/>
  <c r="H161" i="11"/>
  <c r="J560" i="11"/>
  <c r="J559" i="11" s="1"/>
  <c r="H574" i="11"/>
  <c r="K473" i="11"/>
  <c r="K713" i="11"/>
  <c r="J632" i="11"/>
  <c r="K272" i="11"/>
  <c r="K251" i="11"/>
  <c r="J173" i="11"/>
  <c r="K101" i="11"/>
  <c r="K99" i="11" s="1"/>
  <c r="J428" i="11"/>
  <c r="K416" i="11"/>
  <c r="K414" i="11" s="1"/>
  <c r="K570" i="11"/>
  <c r="K560" i="11" s="1"/>
  <c r="J545" i="11"/>
  <c r="J544" i="11" s="1"/>
  <c r="K47" i="11"/>
  <c r="K20" i="11" s="1"/>
  <c r="K638" i="11"/>
  <c r="J139" i="11"/>
  <c r="K451" i="11"/>
  <c r="K449" i="11" s="1"/>
  <c r="K176" i="11"/>
  <c r="K173" i="11" s="1"/>
  <c r="K491" i="11"/>
  <c r="K489" i="11" s="1"/>
  <c r="K504" i="11"/>
  <c r="J504" i="11"/>
  <c r="J251" i="11"/>
  <c r="J575" i="11"/>
  <c r="K139" i="11"/>
  <c r="K428" i="11"/>
  <c r="K545" i="11"/>
  <c r="K544" i="11" s="1"/>
  <c r="K632" i="11"/>
  <c r="K577" i="11"/>
  <c r="K575" i="11" s="1"/>
  <c r="J19" i="13" l="1"/>
  <c r="H18" i="13"/>
  <c r="H21" i="13" s="1"/>
  <c r="F18" i="13"/>
  <c r="F21" i="13" s="1"/>
  <c r="K574" i="11"/>
  <c r="J574" i="11"/>
  <c r="K559" i="11"/>
  <c r="K427" i="11"/>
  <c r="K161" i="11"/>
  <c r="J427" i="11"/>
  <c r="J161" i="11"/>
  <c r="J18" i="13" l="1"/>
  <c r="J21" i="13" s="1"/>
  <c r="G123" i="6" l="1"/>
  <c r="G111" i="6"/>
  <c r="F738" i="6"/>
  <c r="F786" i="6"/>
  <c r="F531" i="6"/>
  <c r="F529" i="6"/>
  <c r="F258" i="6"/>
  <c r="F249" i="6"/>
  <c r="F73" i="6"/>
  <c r="F64" i="6"/>
  <c r="F63" i="6"/>
  <c r="F238" i="6"/>
  <c r="F493" i="6"/>
  <c r="H772" i="9"/>
  <c r="H765" i="9" s="1"/>
  <c r="J765" i="9"/>
  <c r="J763" i="9"/>
  <c r="J762" i="9"/>
  <c r="J760" i="9"/>
  <c r="J759" i="9"/>
  <c r="J758" i="9"/>
  <c r="H758" i="9"/>
  <c r="J757" i="9"/>
  <c r="G757" i="9"/>
  <c r="J756" i="9"/>
  <c r="G756" i="9"/>
  <c r="G755" i="9" s="1"/>
  <c r="J755" i="9"/>
  <c r="J754" i="9"/>
  <c r="J753" i="9"/>
  <c r="J752" i="9"/>
  <c r="H752" i="9"/>
  <c r="J751" i="9"/>
  <c r="J750" i="9"/>
  <c r="J749" i="9"/>
  <c r="J747" i="9"/>
  <c r="H747" i="9"/>
  <c r="J746" i="9"/>
  <c r="H746" i="9"/>
  <c r="G746" i="9"/>
  <c r="I746" i="9" s="1"/>
  <c r="J745" i="9"/>
  <c r="G745" i="9"/>
  <c r="J743" i="9"/>
  <c r="J742" i="9"/>
  <c r="H742" i="9"/>
  <c r="J740" i="9"/>
  <c r="H740" i="9"/>
  <c r="J739" i="9"/>
  <c r="P738" i="9"/>
  <c r="O738" i="9"/>
  <c r="J738" i="9"/>
  <c r="H738" i="9"/>
  <c r="G738" i="9"/>
  <c r="I738" i="9" s="1"/>
  <c r="P737" i="9"/>
  <c r="O737" i="9"/>
  <c r="J737" i="9"/>
  <c r="H737" i="9"/>
  <c r="G737" i="9"/>
  <c r="J736" i="9"/>
  <c r="H736" i="9"/>
  <c r="J735" i="9"/>
  <c r="H735" i="9"/>
  <c r="G735" i="9"/>
  <c r="I735" i="9" s="1"/>
  <c r="J734" i="9"/>
  <c r="H734" i="9"/>
  <c r="G734" i="9"/>
  <c r="J733" i="9"/>
  <c r="H733" i="9"/>
  <c r="G733" i="9"/>
  <c r="J732" i="9"/>
  <c r="K732" i="9" s="1"/>
  <c r="L732" i="9" s="1"/>
  <c r="J731" i="9"/>
  <c r="H731" i="9"/>
  <c r="I731" i="9" s="1"/>
  <c r="G731" i="9"/>
  <c r="J730" i="9"/>
  <c r="H730" i="9"/>
  <c r="G730" i="9"/>
  <c r="I730" i="9" s="1"/>
  <c r="J729" i="9"/>
  <c r="H729" i="9"/>
  <c r="G729" i="9"/>
  <c r="J728" i="9"/>
  <c r="H728" i="9"/>
  <c r="G728" i="9"/>
  <c r="I728" i="9" s="1"/>
  <c r="J727" i="9"/>
  <c r="H727" i="9"/>
  <c r="I727" i="9" s="1"/>
  <c r="G727" i="9"/>
  <c r="J726" i="9"/>
  <c r="H726" i="9"/>
  <c r="G726" i="9"/>
  <c r="I726" i="9" s="1"/>
  <c r="J725" i="9"/>
  <c r="K725" i="9" s="1"/>
  <c r="L725" i="9" s="1"/>
  <c r="J724" i="9"/>
  <c r="H724" i="9"/>
  <c r="H723" i="9"/>
  <c r="I723" i="9" s="1"/>
  <c r="G723" i="9"/>
  <c r="J722" i="9"/>
  <c r="H722" i="9"/>
  <c r="G722" i="9"/>
  <c r="J721" i="9"/>
  <c r="H721" i="9"/>
  <c r="G721" i="9"/>
  <c r="J720" i="9"/>
  <c r="H720" i="9"/>
  <c r="G720" i="9"/>
  <c r="K719" i="9"/>
  <c r="K718" i="9"/>
  <c r="J717" i="9"/>
  <c r="H717" i="9"/>
  <c r="G717" i="9"/>
  <c r="J716" i="9"/>
  <c r="H716" i="9"/>
  <c r="G716" i="9"/>
  <c r="I716" i="9" s="1"/>
  <c r="J715" i="9"/>
  <c r="H715" i="9"/>
  <c r="G715" i="9"/>
  <c r="I715" i="9" s="1"/>
  <c r="J714" i="9"/>
  <c r="H714" i="9"/>
  <c r="G714" i="9"/>
  <c r="J713" i="9"/>
  <c r="H713" i="9"/>
  <c r="G713" i="9"/>
  <c r="J712" i="9"/>
  <c r="H712" i="9"/>
  <c r="G712" i="9"/>
  <c r="I712" i="9" s="1"/>
  <c r="F712" i="9"/>
  <c r="J711" i="9"/>
  <c r="K711" i="9" s="1"/>
  <c r="J710" i="9"/>
  <c r="H710" i="9"/>
  <c r="G710" i="9"/>
  <c r="I710" i="9" s="1"/>
  <c r="J709" i="9"/>
  <c r="I709" i="9"/>
  <c r="H709" i="9"/>
  <c r="G709" i="9"/>
  <c r="J708" i="9"/>
  <c r="H708" i="9"/>
  <c r="G708" i="9"/>
  <c r="I708" i="9" s="1"/>
  <c r="K708" i="9" s="1"/>
  <c r="J707" i="9"/>
  <c r="H707" i="9"/>
  <c r="G707" i="9"/>
  <c r="J706" i="9"/>
  <c r="H706" i="9"/>
  <c r="G706" i="9"/>
  <c r="I706" i="9" s="1"/>
  <c r="J705" i="9"/>
  <c r="H705" i="9"/>
  <c r="G705" i="9"/>
  <c r="I705" i="9" s="1"/>
  <c r="J704" i="9"/>
  <c r="H704" i="9"/>
  <c r="G704" i="9"/>
  <c r="J701" i="9"/>
  <c r="H701" i="9"/>
  <c r="G701" i="9"/>
  <c r="I701" i="9" s="1"/>
  <c r="J700" i="9"/>
  <c r="H700" i="9"/>
  <c r="G700" i="9"/>
  <c r="I700" i="9" s="1"/>
  <c r="J699" i="9"/>
  <c r="H699" i="9"/>
  <c r="G699" i="9"/>
  <c r="I699" i="9" s="1"/>
  <c r="J698" i="9"/>
  <c r="I698" i="9"/>
  <c r="H698" i="9"/>
  <c r="G698" i="9"/>
  <c r="J696" i="9"/>
  <c r="H696" i="9"/>
  <c r="G696" i="9"/>
  <c r="I696" i="9" s="1"/>
  <c r="J694" i="9"/>
  <c r="H694" i="9"/>
  <c r="G694" i="9"/>
  <c r="I694" i="9" s="1"/>
  <c r="J693" i="9"/>
  <c r="H693" i="9"/>
  <c r="G693" i="9"/>
  <c r="I693" i="9" s="1"/>
  <c r="J692" i="9"/>
  <c r="H692" i="9"/>
  <c r="G692" i="9"/>
  <c r="I692" i="9" s="1"/>
  <c r="J691" i="9"/>
  <c r="H691" i="9"/>
  <c r="G691" i="9"/>
  <c r="I691" i="9" s="1"/>
  <c r="J690" i="9"/>
  <c r="H690" i="9"/>
  <c r="G690" i="9"/>
  <c r="J689" i="9"/>
  <c r="H689" i="9"/>
  <c r="G689" i="9"/>
  <c r="J687" i="9"/>
  <c r="H687" i="9"/>
  <c r="I687" i="9" s="1"/>
  <c r="G687" i="9"/>
  <c r="J686" i="9"/>
  <c r="H686" i="9"/>
  <c r="G686" i="9"/>
  <c r="I686" i="9" s="1"/>
  <c r="J685" i="9"/>
  <c r="H685" i="9"/>
  <c r="G685" i="9"/>
  <c r="J683" i="9"/>
  <c r="H683" i="9"/>
  <c r="G683" i="9"/>
  <c r="J682" i="9"/>
  <c r="H682" i="9"/>
  <c r="G682" i="9"/>
  <c r="I682" i="9" s="1"/>
  <c r="F682" i="9"/>
  <c r="J681" i="9"/>
  <c r="H681" i="9"/>
  <c r="G681" i="9"/>
  <c r="J680" i="9"/>
  <c r="H680" i="9"/>
  <c r="G680" i="9"/>
  <c r="I680" i="9" s="1"/>
  <c r="J679" i="9"/>
  <c r="H679" i="9"/>
  <c r="I679" i="9" s="1"/>
  <c r="G679" i="9"/>
  <c r="J677" i="9"/>
  <c r="H677" i="9"/>
  <c r="G677" i="9"/>
  <c r="I677" i="9" s="1"/>
  <c r="J676" i="9"/>
  <c r="H676" i="9"/>
  <c r="G676" i="9"/>
  <c r="I676" i="9" s="1"/>
  <c r="J675" i="9"/>
  <c r="H675" i="9"/>
  <c r="J674" i="9"/>
  <c r="H674" i="9"/>
  <c r="G674" i="9"/>
  <c r="J673" i="9"/>
  <c r="H673" i="9"/>
  <c r="G673" i="9"/>
  <c r="J672" i="9"/>
  <c r="H672" i="9"/>
  <c r="G672" i="9"/>
  <c r="J671" i="9"/>
  <c r="H671" i="9"/>
  <c r="G671" i="9"/>
  <c r="J670" i="9"/>
  <c r="H670" i="9"/>
  <c r="G670" i="9"/>
  <c r="J669" i="9"/>
  <c r="H669" i="9"/>
  <c r="G669" i="9"/>
  <c r="J668" i="9"/>
  <c r="H668" i="9"/>
  <c r="G668" i="9"/>
  <c r="J667" i="9"/>
  <c r="H667" i="9"/>
  <c r="G667" i="9"/>
  <c r="J666" i="9"/>
  <c r="H666" i="9"/>
  <c r="G666" i="9"/>
  <c r="J665" i="9"/>
  <c r="H665" i="9"/>
  <c r="G665" i="9"/>
  <c r="J663" i="9"/>
  <c r="H663" i="9"/>
  <c r="G663" i="9"/>
  <c r="J662" i="9"/>
  <c r="H662" i="9"/>
  <c r="G662" i="9"/>
  <c r="J661" i="9"/>
  <c r="H661" i="9"/>
  <c r="G661" i="9"/>
  <c r="J660" i="9"/>
  <c r="H660" i="9"/>
  <c r="G660" i="9"/>
  <c r="J659" i="9"/>
  <c r="H659" i="9"/>
  <c r="G659" i="9"/>
  <c r="J658" i="9"/>
  <c r="H658" i="9"/>
  <c r="G658" i="9"/>
  <c r="J657" i="9"/>
  <c r="H657" i="9"/>
  <c r="G657" i="9"/>
  <c r="J656" i="9"/>
  <c r="H656" i="9"/>
  <c r="G656" i="9"/>
  <c r="J655" i="9"/>
  <c r="H655" i="9"/>
  <c r="G655" i="9"/>
  <c r="J654" i="9"/>
  <c r="H654" i="9"/>
  <c r="G654" i="9"/>
  <c r="J651" i="9"/>
  <c r="H651" i="9"/>
  <c r="G651" i="9"/>
  <c r="I651" i="9" s="1"/>
  <c r="J650" i="9"/>
  <c r="H650" i="9"/>
  <c r="G650" i="9"/>
  <c r="J649" i="9"/>
  <c r="H649" i="9"/>
  <c r="I649" i="9" s="1"/>
  <c r="G649" i="9"/>
  <c r="J648" i="9"/>
  <c r="H648" i="9"/>
  <c r="G648" i="9"/>
  <c r="J647" i="9"/>
  <c r="H647" i="9"/>
  <c r="G647" i="9"/>
  <c r="I647" i="9" s="1"/>
  <c r="J646" i="9"/>
  <c r="H646" i="9"/>
  <c r="G646" i="9"/>
  <c r="J645" i="9"/>
  <c r="I645" i="9"/>
  <c r="H645" i="9"/>
  <c r="G645" i="9"/>
  <c r="J644" i="9"/>
  <c r="H644" i="9"/>
  <c r="G644" i="9"/>
  <c r="F644" i="9"/>
  <c r="J643" i="9"/>
  <c r="H643" i="9"/>
  <c r="G643" i="9"/>
  <c r="I643" i="9" s="1"/>
  <c r="J642" i="9"/>
  <c r="I642" i="9"/>
  <c r="H642" i="9"/>
  <c r="G642" i="9"/>
  <c r="J641" i="9"/>
  <c r="H641" i="9"/>
  <c r="G641" i="9"/>
  <c r="I641" i="9" s="1"/>
  <c r="J640" i="9"/>
  <c r="H640" i="9"/>
  <c r="G640" i="9"/>
  <c r="J639" i="9"/>
  <c r="H639" i="9"/>
  <c r="G639" i="9"/>
  <c r="F639" i="9"/>
  <c r="J638" i="9"/>
  <c r="H638" i="9"/>
  <c r="G638" i="9"/>
  <c r="I638" i="9" s="1"/>
  <c r="F638" i="9"/>
  <c r="J637" i="9"/>
  <c r="H637" i="9"/>
  <c r="G637" i="9"/>
  <c r="I637" i="9" s="1"/>
  <c r="F637" i="9"/>
  <c r="J636" i="9"/>
  <c r="H636" i="9"/>
  <c r="G636" i="9"/>
  <c r="F636" i="9"/>
  <c r="J635" i="9"/>
  <c r="H635" i="9"/>
  <c r="G635" i="9"/>
  <c r="I635" i="9" s="1"/>
  <c r="F635" i="9"/>
  <c r="J634" i="9"/>
  <c r="H634" i="9"/>
  <c r="G634" i="9"/>
  <c r="I634" i="9" s="1"/>
  <c r="F634" i="9"/>
  <c r="J631" i="9"/>
  <c r="H631" i="9"/>
  <c r="G631" i="9"/>
  <c r="I631" i="9" s="1"/>
  <c r="J630" i="9"/>
  <c r="H630" i="9"/>
  <c r="G630" i="9"/>
  <c r="F630" i="9"/>
  <c r="J629" i="9"/>
  <c r="H629" i="9"/>
  <c r="G629" i="9"/>
  <c r="I629" i="9" s="1"/>
  <c r="F629" i="9"/>
  <c r="J628" i="9"/>
  <c r="H628" i="9"/>
  <c r="G628" i="9"/>
  <c r="J627" i="9"/>
  <c r="H627" i="9"/>
  <c r="G627" i="9"/>
  <c r="J626" i="9"/>
  <c r="H626" i="9"/>
  <c r="G626" i="9"/>
  <c r="I626" i="9" s="1"/>
  <c r="K626" i="9" s="1"/>
  <c r="J625" i="9"/>
  <c r="H625" i="9"/>
  <c r="G625" i="9"/>
  <c r="F625" i="9"/>
  <c r="J623" i="9"/>
  <c r="H623" i="9"/>
  <c r="G623" i="9"/>
  <c r="I623" i="9" s="1"/>
  <c r="J622" i="9"/>
  <c r="H622" i="9"/>
  <c r="G622" i="9"/>
  <c r="J621" i="9"/>
  <c r="H621" i="9"/>
  <c r="G621" i="9"/>
  <c r="F621" i="9"/>
  <c r="J620" i="9"/>
  <c r="H620" i="9"/>
  <c r="G620" i="9"/>
  <c r="I620" i="9" s="1"/>
  <c r="F620" i="9"/>
  <c r="J617" i="9"/>
  <c r="H617" i="9"/>
  <c r="G617" i="9"/>
  <c r="F617" i="9"/>
  <c r="J616" i="9"/>
  <c r="H616" i="9"/>
  <c r="G616" i="9"/>
  <c r="I616" i="9" s="1"/>
  <c r="F616" i="9"/>
  <c r="J615" i="9"/>
  <c r="H615" i="9"/>
  <c r="G615" i="9"/>
  <c r="F615" i="9"/>
  <c r="J614" i="9"/>
  <c r="H614" i="9"/>
  <c r="G614" i="9"/>
  <c r="I614" i="9" s="1"/>
  <c r="F614" i="9"/>
  <c r="J613" i="9"/>
  <c r="H613" i="9"/>
  <c r="G613" i="9"/>
  <c r="F613" i="9"/>
  <c r="J612" i="9"/>
  <c r="H612" i="9"/>
  <c r="G612" i="9"/>
  <c r="F612" i="9"/>
  <c r="J609" i="9"/>
  <c r="H609" i="9"/>
  <c r="G609" i="9"/>
  <c r="I609" i="9" s="1"/>
  <c r="J608" i="9"/>
  <c r="H608" i="9"/>
  <c r="I608" i="9" s="1"/>
  <c r="G608" i="9"/>
  <c r="F608" i="9"/>
  <c r="J607" i="9"/>
  <c r="H607" i="9"/>
  <c r="G607" i="9"/>
  <c r="I607" i="9" s="1"/>
  <c r="K607" i="9" s="1"/>
  <c r="F607" i="9"/>
  <c r="J606" i="9"/>
  <c r="H606" i="9"/>
  <c r="G606" i="9"/>
  <c r="F606" i="9"/>
  <c r="J605" i="9"/>
  <c r="H605" i="9"/>
  <c r="I605" i="9" s="1"/>
  <c r="G605" i="9"/>
  <c r="F605" i="9"/>
  <c r="J604" i="9"/>
  <c r="H604" i="9"/>
  <c r="G604" i="9"/>
  <c r="F604" i="9"/>
  <c r="J601" i="9"/>
  <c r="H601" i="9"/>
  <c r="G601" i="9"/>
  <c r="I601" i="9" s="1"/>
  <c r="F601" i="9"/>
  <c r="J600" i="9"/>
  <c r="H600" i="9"/>
  <c r="G600" i="9"/>
  <c r="F600" i="9"/>
  <c r="J599" i="9"/>
  <c r="H599" i="9"/>
  <c r="G599" i="9"/>
  <c r="F599" i="9"/>
  <c r="J598" i="9"/>
  <c r="H598" i="9"/>
  <c r="G598" i="9"/>
  <c r="F598" i="9"/>
  <c r="J597" i="9"/>
  <c r="H597" i="9"/>
  <c r="G597" i="9"/>
  <c r="F597" i="9"/>
  <c r="J593" i="9"/>
  <c r="H593" i="9"/>
  <c r="G593" i="9"/>
  <c r="J592" i="9"/>
  <c r="H592" i="9"/>
  <c r="I592" i="9" s="1"/>
  <c r="G592" i="9"/>
  <c r="J591" i="9"/>
  <c r="H591" i="9"/>
  <c r="G591" i="9"/>
  <c r="J590" i="9"/>
  <c r="H590" i="9"/>
  <c r="G590" i="9"/>
  <c r="J587" i="9"/>
  <c r="H587" i="9"/>
  <c r="G587" i="9"/>
  <c r="J585" i="9"/>
  <c r="H585" i="9"/>
  <c r="I585" i="9" s="1"/>
  <c r="K585" i="9" s="1"/>
  <c r="L585" i="9" s="1"/>
  <c r="G585" i="9"/>
  <c r="J584" i="9"/>
  <c r="H584" i="9"/>
  <c r="G584" i="9"/>
  <c r="J583" i="9"/>
  <c r="H583" i="9"/>
  <c r="G583" i="9"/>
  <c r="J582" i="9"/>
  <c r="H582" i="9"/>
  <c r="G582" i="9"/>
  <c r="J581" i="9"/>
  <c r="H581" i="9"/>
  <c r="I581" i="9" s="1"/>
  <c r="G581" i="9"/>
  <c r="J580" i="9"/>
  <c r="H580" i="9"/>
  <c r="G580" i="9"/>
  <c r="J579" i="9"/>
  <c r="H579" i="9"/>
  <c r="G579" i="9"/>
  <c r="J578" i="9"/>
  <c r="H578" i="9"/>
  <c r="G578" i="9"/>
  <c r="J577" i="9"/>
  <c r="H577" i="9"/>
  <c r="I577" i="9" s="1"/>
  <c r="G577" i="9"/>
  <c r="J576" i="9"/>
  <c r="H576" i="9"/>
  <c r="G576" i="9"/>
  <c r="J575" i="9"/>
  <c r="H575" i="9"/>
  <c r="G575" i="9"/>
  <c r="J574" i="9"/>
  <c r="H574" i="9"/>
  <c r="G574" i="9"/>
  <c r="J572" i="9"/>
  <c r="H572" i="9"/>
  <c r="I572" i="9" s="1"/>
  <c r="G572" i="9"/>
  <c r="J571" i="9"/>
  <c r="H571" i="9"/>
  <c r="G571" i="9"/>
  <c r="J570" i="9"/>
  <c r="H570" i="9"/>
  <c r="G570" i="9"/>
  <c r="J569" i="9"/>
  <c r="H569" i="9"/>
  <c r="G569" i="9"/>
  <c r="J568" i="9"/>
  <c r="H568" i="9"/>
  <c r="I568" i="9" s="1"/>
  <c r="G568" i="9"/>
  <c r="J567" i="9"/>
  <c r="H567" i="9"/>
  <c r="G567" i="9"/>
  <c r="J566" i="9"/>
  <c r="H566" i="9"/>
  <c r="G566" i="9"/>
  <c r="J565" i="9"/>
  <c r="H565" i="9"/>
  <c r="G565" i="9"/>
  <c r="J564" i="9"/>
  <c r="H564" i="9"/>
  <c r="I564" i="9" s="1"/>
  <c r="G564" i="9"/>
  <c r="J562" i="9"/>
  <c r="H562" i="9"/>
  <c r="G562" i="9"/>
  <c r="J561" i="9"/>
  <c r="H561" i="9"/>
  <c r="G561" i="9"/>
  <c r="J560" i="9"/>
  <c r="H560" i="9"/>
  <c r="G560" i="9"/>
  <c r="J559" i="9"/>
  <c r="H559" i="9"/>
  <c r="I559" i="9" s="1"/>
  <c r="G559" i="9"/>
  <c r="J558" i="9"/>
  <c r="H558" i="9"/>
  <c r="G558" i="9"/>
  <c r="F558" i="9"/>
  <c r="J557" i="9"/>
  <c r="I557" i="9"/>
  <c r="K557" i="9" s="1"/>
  <c r="H557" i="9"/>
  <c r="G557" i="9"/>
  <c r="F557" i="9"/>
  <c r="J556" i="9"/>
  <c r="H556" i="9"/>
  <c r="I556" i="9" s="1"/>
  <c r="G556" i="9"/>
  <c r="J555" i="9"/>
  <c r="H555" i="9"/>
  <c r="G555" i="9"/>
  <c r="I555" i="9" s="1"/>
  <c r="J554" i="9"/>
  <c r="H554" i="9"/>
  <c r="G554" i="9"/>
  <c r="F554" i="9"/>
  <c r="J553" i="9"/>
  <c r="H553" i="9"/>
  <c r="G553" i="9"/>
  <c r="I553" i="9" s="1"/>
  <c r="J552" i="9"/>
  <c r="H552" i="9"/>
  <c r="G552" i="9"/>
  <c r="I552" i="9" s="1"/>
  <c r="J551" i="9"/>
  <c r="H551" i="9"/>
  <c r="G551" i="9"/>
  <c r="I551" i="9" s="1"/>
  <c r="J550" i="9"/>
  <c r="H550" i="9"/>
  <c r="G550" i="9"/>
  <c r="F550" i="9"/>
  <c r="J549" i="9"/>
  <c r="H549" i="9"/>
  <c r="G549" i="9"/>
  <c r="F549" i="9"/>
  <c r="J548" i="9"/>
  <c r="H548" i="9"/>
  <c r="G548" i="9"/>
  <c r="I548" i="9" s="1"/>
  <c r="F548" i="9"/>
  <c r="J547" i="9"/>
  <c r="H547" i="9"/>
  <c r="G547" i="9"/>
  <c r="F547" i="9"/>
  <c r="J546" i="9"/>
  <c r="H546" i="9"/>
  <c r="G546" i="9"/>
  <c r="I546" i="9" s="1"/>
  <c r="J545" i="9"/>
  <c r="H545" i="9"/>
  <c r="G545" i="9"/>
  <c r="I545" i="9" s="1"/>
  <c r="F545" i="9"/>
  <c r="J544" i="9"/>
  <c r="H544" i="9"/>
  <c r="G544" i="9"/>
  <c r="F544" i="9"/>
  <c r="J543" i="9"/>
  <c r="H543" i="9"/>
  <c r="G543" i="9"/>
  <c r="I543" i="9" s="1"/>
  <c r="F543" i="9"/>
  <c r="J542" i="9"/>
  <c r="H542" i="9"/>
  <c r="G542" i="9"/>
  <c r="F542" i="9"/>
  <c r="J541" i="9"/>
  <c r="H541" i="9"/>
  <c r="G541" i="9"/>
  <c r="I541" i="9" s="1"/>
  <c r="F541" i="9"/>
  <c r="J540" i="9"/>
  <c r="H540" i="9"/>
  <c r="G540" i="9"/>
  <c r="F540" i="9"/>
  <c r="J539" i="9"/>
  <c r="H539" i="9"/>
  <c r="G539" i="9"/>
  <c r="F539" i="9"/>
  <c r="J535" i="9"/>
  <c r="H535" i="9"/>
  <c r="G535" i="9"/>
  <c r="J534" i="9"/>
  <c r="H534" i="9"/>
  <c r="G534" i="9"/>
  <c r="J532" i="9"/>
  <c r="H532" i="9"/>
  <c r="I532" i="9" s="1"/>
  <c r="G532" i="9"/>
  <c r="F532" i="9"/>
  <c r="J531" i="9"/>
  <c r="H531" i="9"/>
  <c r="G531" i="9"/>
  <c r="I531" i="9" s="1"/>
  <c r="J530" i="9"/>
  <c r="H530" i="9"/>
  <c r="G530" i="9"/>
  <c r="I530" i="9" s="1"/>
  <c r="F530" i="9"/>
  <c r="J529" i="9"/>
  <c r="H529" i="9"/>
  <c r="I529" i="9" s="1"/>
  <c r="G529" i="9"/>
  <c r="J528" i="9"/>
  <c r="H528" i="9"/>
  <c r="G528" i="9"/>
  <c r="I528" i="9" s="1"/>
  <c r="J527" i="9"/>
  <c r="H527" i="9"/>
  <c r="G527" i="9"/>
  <c r="F527" i="9"/>
  <c r="J526" i="9"/>
  <c r="H526" i="9"/>
  <c r="G526" i="9"/>
  <c r="F526" i="9"/>
  <c r="J525" i="9"/>
  <c r="H525" i="9"/>
  <c r="G525" i="9"/>
  <c r="F525" i="9"/>
  <c r="J524" i="9"/>
  <c r="H524" i="9"/>
  <c r="G524" i="9"/>
  <c r="I524" i="9" s="1"/>
  <c r="F524" i="9"/>
  <c r="J520" i="9"/>
  <c r="H520" i="9"/>
  <c r="G520" i="9"/>
  <c r="J518" i="9"/>
  <c r="H518" i="9"/>
  <c r="G518" i="9"/>
  <c r="F518" i="9"/>
  <c r="J517" i="9"/>
  <c r="H517" i="9"/>
  <c r="G517" i="9"/>
  <c r="I517" i="9" s="1"/>
  <c r="J516" i="9"/>
  <c r="H516" i="9"/>
  <c r="G516" i="9"/>
  <c r="F516" i="9"/>
  <c r="J515" i="9"/>
  <c r="H515" i="9"/>
  <c r="G515" i="9"/>
  <c r="I515" i="9" s="1"/>
  <c r="J514" i="9"/>
  <c r="H514" i="9"/>
  <c r="G514" i="9"/>
  <c r="J513" i="9"/>
  <c r="H513" i="9"/>
  <c r="G513" i="9"/>
  <c r="F513" i="9"/>
  <c r="J512" i="9"/>
  <c r="H512" i="9"/>
  <c r="G512" i="9"/>
  <c r="F512" i="9"/>
  <c r="J511" i="9"/>
  <c r="H511" i="9"/>
  <c r="G511" i="9"/>
  <c r="F511" i="9"/>
  <c r="J510" i="9"/>
  <c r="H510" i="9"/>
  <c r="G510" i="9"/>
  <c r="I510" i="9" s="1"/>
  <c r="F510" i="9"/>
  <c r="J509" i="9"/>
  <c r="H509" i="9"/>
  <c r="G509" i="9"/>
  <c r="I509" i="9" s="1"/>
  <c r="F509" i="9"/>
  <c r="J505" i="9"/>
  <c r="H505" i="9"/>
  <c r="G505" i="9"/>
  <c r="F505" i="9"/>
  <c r="J504" i="9"/>
  <c r="H504" i="9"/>
  <c r="I504" i="9" s="1"/>
  <c r="G504" i="9"/>
  <c r="J503" i="9"/>
  <c r="H503" i="9"/>
  <c r="G503" i="9"/>
  <c r="J502" i="9"/>
  <c r="H502" i="9"/>
  <c r="G502" i="9"/>
  <c r="J501" i="9"/>
  <c r="H501" i="9"/>
  <c r="G501" i="9"/>
  <c r="J500" i="9"/>
  <c r="H500" i="9"/>
  <c r="I500" i="9" s="1"/>
  <c r="G500" i="9"/>
  <c r="J499" i="9"/>
  <c r="H499" i="9"/>
  <c r="G499" i="9"/>
  <c r="J498" i="9"/>
  <c r="H498" i="9"/>
  <c r="G498" i="9"/>
  <c r="J497" i="9"/>
  <c r="H497" i="9"/>
  <c r="G497" i="9"/>
  <c r="J496" i="9"/>
  <c r="H496" i="9"/>
  <c r="I496" i="9" s="1"/>
  <c r="G496" i="9"/>
  <c r="J495" i="9"/>
  <c r="H495" i="9"/>
  <c r="G495" i="9"/>
  <c r="J494" i="9"/>
  <c r="H494" i="9"/>
  <c r="G494" i="9"/>
  <c r="J493" i="9"/>
  <c r="H493" i="9"/>
  <c r="G493" i="9"/>
  <c r="J492" i="9"/>
  <c r="H492" i="9"/>
  <c r="I492" i="9" s="1"/>
  <c r="G492" i="9"/>
  <c r="J491" i="9"/>
  <c r="H491" i="9"/>
  <c r="G491" i="9"/>
  <c r="J490" i="9"/>
  <c r="H490" i="9"/>
  <c r="G490" i="9"/>
  <c r="J489" i="9"/>
  <c r="H489" i="9"/>
  <c r="G489" i="9"/>
  <c r="J488" i="9"/>
  <c r="H488" i="9"/>
  <c r="I488" i="9" s="1"/>
  <c r="G488" i="9"/>
  <c r="J487" i="9"/>
  <c r="H487" i="9"/>
  <c r="G487" i="9"/>
  <c r="J486" i="9"/>
  <c r="H486" i="9"/>
  <c r="G486" i="9"/>
  <c r="J485" i="9"/>
  <c r="H485" i="9"/>
  <c r="G485" i="9"/>
  <c r="J484" i="9"/>
  <c r="H484" i="9"/>
  <c r="I484" i="9" s="1"/>
  <c r="G484" i="9"/>
  <c r="J483" i="9"/>
  <c r="H483" i="9"/>
  <c r="G483" i="9"/>
  <c r="J482" i="9"/>
  <c r="H482" i="9"/>
  <c r="G482" i="9"/>
  <c r="F482" i="9"/>
  <c r="J481" i="9"/>
  <c r="H481" i="9"/>
  <c r="G481" i="9"/>
  <c r="I481" i="9" s="1"/>
  <c r="K481" i="9" s="1"/>
  <c r="J480" i="9"/>
  <c r="H480" i="9"/>
  <c r="G480" i="9"/>
  <c r="I480" i="9" s="1"/>
  <c r="J479" i="9"/>
  <c r="H479" i="9"/>
  <c r="G479" i="9"/>
  <c r="I479" i="9" s="1"/>
  <c r="J478" i="9"/>
  <c r="H478" i="9"/>
  <c r="G478" i="9"/>
  <c r="I478" i="9" s="1"/>
  <c r="J477" i="9"/>
  <c r="H477" i="9"/>
  <c r="G477" i="9"/>
  <c r="I477" i="9" s="1"/>
  <c r="J476" i="9"/>
  <c r="H476" i="9"/>
  <c r="G476" i="9"/>
  <c r="J474" i="9"/>
  <c r="H474" i="9"/>
  <c r="G474" i="9"/>
  <c r="I474" i="9" s="1"/>
  <c r="J473" i="9"/>
  <c r="H473" i="9"/>
  <c r="G473" i="9"/>
  <c r="I473" i="9" s="1"/>
  <c r="F473" i="9"/>
  <c r="J472" i="9"/>
  <c r="H472" i="9"/>
  <c r="I472" i="9" s="1"/>
  <c r="G472" i="9"/>
  <c r="F472" i="9"/>
  <c r="J471" i="9"/>
  <c r="H471" i="9"/>
  <c r="G471" i="9"/>
  <c r="F471" i="9"/>
  <c r="J470" i="9"/>
  <c r="H470" i="9"/>
  <c r="G470" i="9"/>
  <c r="I470" i="9" s="1"/>
  <c r="F470" i="9"/>
  <c r="J469" i="9"/>
  <c r="H469" i="9"/>
  <c r="G469" i="9"/>
  <c r="F469" i="9"/>
  <c r="J468" i="9"/>
  <c r="H468" i="9"/>
  <c r="I468" i="9" s="1"/>
  <c r="G468" i="9"/>
  <c r="F468" i="9"/>
  <c r="J465" i="9"/>
  <c r="H465" i="9"/>
  <c r="G465" i="9"/>
  <c r="I465" i="9" s="1"/>
  <c r="F465" i="9"/>
  <c r="J464" i="9"/>
  <c r="H464" i="9"/>
  <c r="G464" i="9"/>
  <c r="J463" i="9"/>
  <c r="H463" i="9"/>
  <c r="G463" i="9"/>
  <c r="J462" i="9"/>
  <c r="H462" i="9"/>
  <c r="G462" i="9"/>
  <c r="I462" i="9" s="1"/>
  <c r="J461" i="9"/>
  <c r="H461" i="9"/>
  <c r="I461" i="9" s="1"/>
  <c r="G461" i="9"/>
  <c r="F461" i="9"/>
  <c r="J459" i="9"/>
  <c r="H459" i="9"/>
  <c r="G459" i="9"/>
  <c r="I459" i="9" s="1"/>
  <c r="J458" i="9"/>
  <c r="H458" i="9"/>
  <c r="G458" i="9"/>
  <c r="F458" i="9"/>
  <c r="J457" i="9"/>
  <c r="H457" i="9"/>
  <c r="G457" i="9"/>
  <c r="F457" i="9"/>
  <c r="J456" i="9"/>
  <c r="H456" i="9"/>
  <c r="G456" i="9"/>
  <c r="F456" i="9"/>
  <c r="J455" i="9"/>
  <c r="H455" i="9"/>
  <c r="G455" i="9"/>
  <c r="F455" i="9"/>
  <c r="J454" i="9"/>
  <c r="H454" i="9"/>
  <c r="G454" i="9"/>
  <c r="I454" i="9" s="1"/>
  <c r="F454" i="9"/>
  <c r="J453" i="9"/>
  <c r="H453" i="9"/>
  <c r="G453" i="9"/>
  <c r="F453" i="9"/>
  <c r="J450" i="9"/>
  <c r="H450" i="9"/>
  <c r="G450" i="9"/>
  <c r="I450" i="9" s="1"/>
  <c r="J449" i="9"/>
  <c r="H449" i="9"/>
  <c r="G449" i="9"/>
  <c r="J448" i="9"/>
  <c r="I448" i="9"/>
  <c r="H448" i="9"/>
  <c r="G448" i="9"/>
  <c r="J447" i="9"/>
  <c r="I447" i="9"/>
  <c r="H447" i="9"/>
  <c r="G447" i="9"/>
  <c r="J446" i="9"/>
  <c r="H446" i="9"/>
  <c r="G446" i="9"/>
  <c r="G444" i="9" s="1"/>
  <c r="J444" i="9"/>
  <c r="H444" i="9"/>
  <c r="J443" i="9"/>
  <c r="H443" i="9"/>
  <c r="I443" i="9" s="1"/>
  <c r="G443" i="9"/>
  <c r="F443" i="9"/>
  <c r="J442" i="9"/>
  <c r="H442" i="9"/>
  <c r="G442" i="9"/>
  <c r="F442" i="9"/>
  <c r="J440" i="9"/>
  <c r="H440" i="9"/>
  <c r="G440" i="9"/>
  <c r="J439" i="9"/>
  <c r="H439" i="9"/>
  <c r="G439" i="9"/>
  <c r="I439" i="9" s="1"/>
  <c r="J438" i="9"/>
  <c r="I438" i="9"/>
  <c r="H438" i="9"/>
  <c r="G438" i="9"/>
  <c r="J436" i="9"/>
  <c r="H436" i="9"/>
  <c r="G436" i="9"/>
  <c r="I436" i="9" s="1"/>
  <c r="J435" i="9"/>
  <c r="H435" i="9"/>
  <c r="G435" i="9"/>
  <c r="J434" i="9"/>
  <c r="H434" i="9"/>
  <c r="G434" i="9"/>
  <c r="I434" i="9" s="1"/>
  <c r="F434" i="9"/>
  <c r="J433" i="9"/>
  <c r="H433" i="9"/>
  <c r="G433" i="9"/>
  <c r="F433" i="9"/>
  <c r="J432" i="9"/>
  <c r="H432" i="9"/>
  <c r="G432" i="9"/>
  <c r="F432" i="9"/>
  <c r="J431" i="9"/>
  <c r="H431" i="9"/>
  <c r="I431" i="9" s="1"/>
  <c r="G431" i="9"/>
  <c r="F431" i="9"/>
  <c r="J430" i="9"/>
  <c r="H430" i="9"/>
  <c r="G430" i="9"/>
  <c r="I430" i="9" s="1"/>
  <c r="F430" i="9"/>
  <c r="J429" i="9"/>
  <c r="H429" i="9"/>
  <c r="G429" i="9"/>
  <c r="J427" i="9"/>
  <c r="H427" i="9"/>
  <c r="J426" i="9"/>
  <c r="H426" i="9"/>
  <c r="G426" i="9"/>
  <c r="I426" i="9" s="1"/>
  <c r="J425" i="9"/>
  <c r="H425" i="9"/>
  <c r="G425" i="9"/>
  <c r="G424" i="9" s="1"/>
  <c r="J424" i="9"/>
  <c r="H424" i="9"/>
  <c r="J423" i="9"/>
  <c r="H423" i="9"/>
  <c r="I423" i="9" s="1"/>
  <c r="G423" i="9"/>
  <c r="J422" i="9"/>
  <c r="H422" i="9"/>
  <c r="G422" i="9"/>
  <c r="I422" i="9" s="1"/>
  <c r="J421" i="9"/>
  <c r="H421" i="9"/>
  <c r="G421" i="9"/>
  <c r="G419" i="9" s="1"/>
  <c r="J419" i="9"/>
  <c r="H419" i="9"/>
  <c r="J418" i="9"/>
  <c r="H418" i="9"/>
  <c r="I418" i="9" s="1"/>
  <c r="G418" i="9"/>
  <c r="J417" i="9"/>
  <c r="H417" i="9"/>
  <c r="G417" i="9"/>
  <c r="I417" i="9" s="1"/>
  <c r="J416" i="9"/>
  <c r="H416" i="9"/>
  <c r="G416" i="9"/>
  <c r="J415" i="9"/>
  <c r="H415" i="9"/>
  <c r="G415" i="9"/>
  <c r="I415" i="9" s="1"/>
  <c r="J414" i="9"/>
  <c r="H414" i="9"/>
  <c r="J413" i="9"/>
  <c r="H413" i="9"/>
  <c r="G413" i="9"/>
  <c r="J412" i="9"/>
  <c r="H412" i="9"/>
  <c r="I412" i="9" s="1"/>
  <c r="K412" i="9" s="1"/>
  <c r="L412" i="9" s="1"/>
  <c r="G412" i="9"/>
  <c r="J411" i="9"/>
  <c r="H411" i="9"/>
  <c r="G411" i="9"/>
  <c r="J410" i="9"/>
  <c r="H410" i="9"/>
  <c r="G410" i="9"/>
  <c r="J409" i="9"/>
  <c r="H409" i="9"/>
  <c r="G409" i="9"/>
  <c r="J408" i="9"/>
  <c r="H408" i="9"/>
  <c r="I408" i="9" s="1"/>
  <c r="G408" i="9"/>
  <c r="J407" i="9"/>
  <c r="H407" i="9"/>
  <c r="G407" i="9"/>
  <c r="J406" i="9"/>
  <c r="H406" i="9"/>
  <c r="G406" i="9"/>
  <c r="J405" i="9"/>
  <c r="H405" i="9"/>
  <c r="G405" i="9"/>
  <c r="J404" i="9"/>
  <c r="H404" i="9"/>
  <c r="I404" i="9" s="1"/>
  <c r="G404" i="9"/>
  <c r="J403" i="9"/>
  <c r="H403" i="9"/>
  <c r="G403" i="9"/>
  <c r="J402" i="9"/>
  <c r="H402" i="9"/>
  <c r="G402" i="9"/>
  <c r="J401" i="9"/>
  <c r="H401" i="9"/>
  <c r="G401" i="9"/>
  <c r="J400" i="9"/>
  <c r="H400" i="9"/>
  <c r="I400" i="9" s="1"/>
  <c r="G400" i="9"/>
  <c r="J399" i="9"/>
  <c r="H399" i="9"/>
  <c r="G399" i="9"/>
  <c r="J398" i="9"/>
  <c r="H398" i="9"/>
  <c r="G398" i="9"/>
  <c r="J397" i="9"/>
  <c r="H397" i="9"/>
  <c r="G397" i="9"/>
  <c r="J396" i="9"/>
  <c r="H396" i="9"/>
  <c r="I396" i="9" s="1"/>
  <c r="G396" i="9"/>
  <c r="J395" i="9"/>
  <c r="H395" i="9"/>
  <c r="G395" i="9"/>
  <c r="J394" i="9"/>
  <c r="H394" i="9"/>
  <c r="G394" i="9"/>
  <c r="J393" i="9"/>
  <c r="H393" i="9"/>
  <c r="G393" i="9"/>
  <c r="J392" i="9"/>
  <c r="H392" i="9"/>
  <c r="I392" i="9" s="1"/>
  <c r="K392" i="9" s="1"/>
  <c r="L392" i="9" s="1"/>
  <c r="G392" i="9"/>
  <c r="J391" i="9"/>
  <c r="H391" i="9"/>
  <c r="G391" i="9"/>
  <c r="J390" i="9"/>
  <c r="H390" i="9"/>
  <c r="G390" i="9"/>
  <c r="J389" i="9"/>
  <c r="H389" i="9"/>
  <c r="G389" i="9"/>
  <c r="J388" i="9"/>
  <c r="H388" i="9"/>
  <c r="I388" i="9" s="1"/>
  <c r="K388" i="9" s="1"/>
  <c r="L388" i="9" s="1"/>
  <c r="G388" i="9"/>
  <c r="J387" i="9"/>
  <c r="H387" i="9"/>
  <c r="G387" i="9"/>
  <c r="J386" i="9"/>
  <c r="H386" i="9"/>
  <c r="G386" i="9"/>
  <c r="J385" i="9"/>
  <c r="H385" i="9"/>
  <c r="G385" i="9"/>
  <c r="J384" i="9"/>
  <c r="H384" i="9"/>
  <c r="I384" i="9" s="1"/>
  <c r="G384" i="9"/>
  <c r="J383" i="9"/>
  <c r="H383" i="9"/>
  <c r="G383" i="9"/>
  <c r="J382" i="9"/>
  <c r="H382" i="9"/>
  <c r="G382" i="9"/>
  <c r="J381" i="9"/>
  <c r="H381" i="9"/>
  <c r="G381" i="9"/>
  <c r="J380" i="9"/>
  <c r="H380" i="9"/>
  <c r="I380" i="9" s="1"/>
  <c r="K380" i="9" s="1"/>
  <c r="L380" i="9" s="1"/>
  <c r="G380" i="9"/>
  <c r="J379" i="9"/>
  <c r="H379" i="9"/>
  <c r="G379" i="9"/>
  <c r="J378" i="9"/>
  <c r="H378" i="9"/>
  <c r="G378" i="9"/>
  <c r="J377" i="9"/>
  <c r="H377" i="9"/>
  <c r="G377" i="9"/>
  <c r="J376" i="9"/>
  <c r="H376" i="9"/>
  <c r="J375" i="9"/>
  <c r="H375" i="9"/>
  <c r="G375" i="9"/>
  <c r="J374" i="9"/>
  <c r="H374" i="9"/>
  <c r="I374" i="9" s="1"/>
  <c r="G374" i="9"/>
  <c r="G373" i="9" s="1"/>
  <c r="J373" i="9"/>
  <c r="H373" i="9"/>
  <c r="J372" i="9"/>
  <c r="H372" i="9"/>
  <c r="G372" i="9"/>
  <c r="G371" i="9" s="1"/>
  <c r="J371" i="9"/>
  <c r="H371" i="9"/>
  <c r="J370" i="9"/>
  <c r="H370" i="9"/>
  <c r="I370" i="9" s="1"/>
  <c r="G370" i="9"/>
  <c r="J369" i="9"/>
  <c r="H369" i="9"/>
  <c r="G369" i="9"/>
  <c r="J368" i="9"/>
  <c r="H368" i="9"/>
  <c r="G368" i="9"/>
  <c r="I368" i="9" s="1"/>
  <c r="J367" i="9"/>
  <c r="H367" i="9"/>
  <c r="G367" i="9"/>
  <c r="J366" i="9"/>
  <c r="H366" i="9"/>
  <c r="I366" i="9" s="1"/>
  <c r="G366" i="9"/>
  <c r="J365" i="9"/>
  <c r="H365" i="9"/>
  <c r="J364" i="9"/>
  <c r="H364" i="9"/>
  <c r="G364" i="9"/>
  <c r="I364" i="9" s="1"/>
  <c r="J363" i="9"/>
  <c r="H363" i="9"/>
  <c r="G363" i="9"/>
  <c r="F363" i="9"/>
  <c r="J362" i="9"/>
  <c r="H362" i="9"/>
  <c r="G362" i="9"/>
  <c r="I362" i="9" s="1"/>
  <c r="F362" i="9"/>
  <c r="J361" i="9"/>
  <c r="H361" i="9"/>
  <c r="G361" i="9"/>
  <c r="G359" i="9" s="1"/>
  <c r="F361" i="9"/>
  <c r="J359" i="9"/>
  <c r="H359" i="9"/>
  <c r="J358" i="9"/>
  <c r="H358" i="9"/>
  <c r="G358" i="9"/>
  <c r="I358" i="9" s="1"/>
  <c r="F358" i="9"/>
  <c r="J357" i="9"/>
  <c r="H357" i="9"/>
  <c r="I357" i="9" s="1"/>
  <c r="G357" i="9"/>
  <c r="F357" i="9"/>
  <c r="J356" i="9"/>
  <c r="H356" i="9"/>
  <c r="G356" i="9"/>
  <c r="I356" i="9" s="1"/>
  <c r="J355" i="9"/>
  <c r="H355" i="9"/>
  <c r="G355" i="9"/>
  <c r="I355" i="9" s="1"/>
  <c r="F355" i="9"/>
  <c r="J354" i="9"/>
  <c r="H354" i="9"/>
  <c r="G354" i="9"/>
  <c r="F354" i="9"/>
  <c r="J353" i="9"/>
  <c r="H353" i="9"/>
  <c r="G353" i="9"/>
  <c r="F353" i="9"/>
  <c r="J352" i="9"/>
  <c r="H352" i="9"/>
  <c r="G352" i="9"/>
  <c r="F352" i="9"/>
  <c r="J351" i="9"/>
  <c r="H351" i="9"/>
  <c r="G351" i="9"/>
  <c r="F351" i="9"/>
  <c r="J350" i="9"/>
  <c r="I350" i="9"/>
  <c r="H350" i="9"/>
  <c r="G350" i="9"/>
  <c r="J348" i="9"/>
  <c r="H348" i="9"/>
  <c r="G348" i="9"/>
  <c r="J347" i="9"/>
  <c r="H347" i="9"/>
  <c r="G347" i="9"/>
  <c r="I347" i="9" s="1"/>
  <c r="J346" i="9"/>
  <c r="H346" i="9"/>
  <c r="G346" i="9"/>
  <c r="J345" i="9"/>
  <c r="I345" i="9"/>
  <c r="H345" i="9"/>
  <c r="G345" i="9"/>
  <c r="J344" i="9"/>
  <c r="H344" i="9"/>
  <c r="G344" i="9"/>
  <c r="J343" i="9"/>
  <c r="I343" i="9"/>
  <c r="H343" i="9"/>
  <c r="G343" i="9"/>
  <c r="J342" i="9"/>
  <c r="H342" i="9"/>
  <c r="G342" i="9"/>
  <c r="J341" i="9"/>
  <c r="I341" i="9"/>
  <c r="K341" i="9" s="1"/>
  <c r="H341" i="9"/>
  <c r="G341" i="9"/>
  <c r="J340" i="9"/>
  <c r="H340" i="9"/>
  <c r="G340" i="9"/>
  <c r="J339" i="9"/>
  <c r="H339" i="9"/>
  <c r="G339" i="9"/>
  <c r="I339" i="9" s="1"/>
  <c r="K339" i="9" s="1"/>
  <c r="J338" i="9"/>
  <c r="H338" i="9"/>
  <c r="G338" i="9"/>
  <c r="J336" i="9"/>
  <c r="H336" i="9"/>
  <c r="G336" i="9"/>
  <c r="I336" i="9" s="1"/>
  <c r="J335" i="9"/>
  <c r="H335" i="9"/>
  <c r="G335" i="9"/>
  <c r="J333" i="9"/>
  <c r="H333" i="9"/>
  <c r="I333" i="9" s="1"/>
  <c r="G333" i="9"/>
  <c r="J332" i="9"/>
  <c r="H332" i="9"/>
  <c r="G332" i="9"/>
  <c r="J331" i="9"/>
  <c r="H331" i="9"/>
  <c r="G331" i="9"/>
  <c r="J330" i="9"/>
  <c r="H330" i="9"/>
  <c r="G330" i="9"/>
  <c r="I330" i="9" s="1"/>
  <c r="J329" i="9"/>
  <c r="H329" i="9"/>
  <c r="I329" i="9" s="1"/>
  <c r="G329" i="9"/>
  <c r="J328" i="9"/>
  <c r="H328" i="9"/>
  <c r="G328" i="9"/>
  <c r="I328" i="9" s="1"/>
  <c r="J327" i="9"/>
  <c r="H327" i="9"/>
  <c r="G327" i="9"/>
  <c r="J325" i="9"/>
  <c r="H325" i="9"/>
  <c r="G325" i="9"/>
  <c r="I325" i="9" s="1"/>
  <c r="J324" i="9"/>
  <c r="H324" i="9"/>
  <c r="I324" i="9" s="1"/>
  <c r="G324" i="9"/>
  <c r="J323" i="9"/>
  <c r="H323" i="9"/>
  <c r="G323" i="9"/>
  <c r="I323" i="9" s="1"/>
  <c r="J322" i="9"/>
  <c r="H322" i="9"/>
  <c r="G322" i="9"/>
  <c r="J321" i="9"/>
  <c r="H321" i="9"/>
  <c r="G321" i="9"/>
  <c r="I321" i="9" s="1"/>
  <c r="J320" i="9"/>
  <c r="H320" i="9"/>
  <c r="I320" i="9" s="1"/>
  <c r="G320" i="9"/>
  <c r="J319" i="9"/>
  <c r="H319" i="9"/>
  <c r="G319" i="9"/>
  <c r="I319" i="9" s="1"/>
  <c r="J318" i="9"/>
  <c r="H318" i="9"/>
  <c r="G318" i="9"/>
  <c r="J317" i="9"/>
  <c r="H317" i="9"/>
  <c r="G317" i="9"/>
  <c r="I317" i="9" s="1"/>
  <c r="J316" i="9"/>
  <c r="H316" i="9"/>
  <c r="I316" i="9" s="1"/>
  <c r="G316" i="9"/>
  <c r="J315" i="9"/>
  <c r="H315" i="9"/>
  <c r="G315" i="9"/>
  <c r="I315" i="9" s="1"/>
  <c r="J314" i="9"/>
  <c r="H314" i="9"/>
  <c r="G314" i="9"/>
  <c r="J313" i="9"/>
  <c r="H313" i="9"/>
  <c r="G313" i="9"/>
  <c r="I313" i="9" s="1"/>
  <c r="J312" i="9"/>
  <c r="H312" i="9"/>
  <c r="I312" i="9" s="1"/>
  <c r="G312" i="9"/>
  <c r="J309" i="9"/>
  <c r="H309" i="9"/>
  <c r="J308" i="9"/>
  <c r="H308" i="9"/>
  <c r="I308" i="9" s="1"/>
  <c r="K308" i="9" s="1"/>
  <c r="L308" i="9" s="1"/>
  <c r="G308" i="9"/>
  <c r="J307" i="9"/>
  <c r="H307" i="9"/>
  <c r="G307" i="9"/>
  <c r="J306" i="9"/>
  <c r="H306" i="9"/>
  <c r="G306" i="9"/>
  <c r="J305" i="9"/>
  <c r="H305" i="9"/>
  <c r="G305" i="9"/>
  <c r="J304" i="9"/>
  <c r="H304" i="9"/>
  <c r="I304" i="9" s="1"/>
  <c r="G304" i="9"/>
  <c r="G303" i="9" s="1"/>
  <c r="J303" i="9"/>
  <c r="H303" i="9"/>
  <c r="J302" i="9"/>
  <c r="H302" i="9"/>
  <c r="G302" i="9"/>
  <c r="F302" i="9"/>
  <c r="J301" i="9"/>
  <c r="H301" i="9"/>
  <c r="G301" i="9"/>
  <c r="I301" i="9" s="1"/>
  <c r="F301" i="9"/>
  <c r="J300" i="9"/>
  <c r="H300" i="9"/>
  <c r="G300" i="9"/>
  <c r="I300" i="9" s="1"/>
  <c r="F300" i="9"/>
  <c r="J299" i="9"/>
  <c r="H299" i="9"/>
  <c r="G299" i="9"/>
  <c r="F299" i="9"/>
  <c r="J298" i="9"/>
  <c r="H298" i="9"/>
  <c r="G298" i="9"/>
  <c r="J297" i="9"/>
  <c r="H297" i="9"/>
  <c r="G297" i="9"/>
  <c r="F297" i="9"/>
  <c r="J295" i="9"/>
  <c r="H295" i="9"/>
  <c r="G295" i="9"/>
  <c r="I295" i="9" s="1"/>
  <c r="J293" i="9"/>
  <c r="H293" i="9"/>
  <c r="G293" i="9"/>
  <c r="J292" i="9"/>
  <c r="H292" i="9"/>
  <c r="G292" i="9"/>
  <c r="I292" i="9" s="1"/>
  <c r="J291" i="9"/>
  <c r="H291" i="9"/>
  <c r="G291" i="9"/>
  <c r="I291" i="9" s="1"/>
  <c r="F291" i="9"/>
  <c r="J290" i="9"/>
  <c r="H290" i="9"/>
  <c r="G290" i="9"/>
  <c r="J288" i="9"/>
  <c r="H288" i="9"/>
  <c r="I288" i="9" s="1"/>
  <c r="G288" i="9"/>
  <c r="F288" i="9"/>
  <c r="J287" i="9"/>
  <c r="H287" i="9"/>
  <c r="G287" i="9"/>
  <c r="I287" i="9" s="1"/>
  <c r="F287" i="9"/>
  <c r="J286" i="9"/>
  <c r="H286" i="9"/>
  <c r="G286" i="9"/>
  <c r="J285" i="9"/>
  <c r="H285" i="9"/>
  <c r="I285" i="9" s="1"/>
  <c r="G285" i="9"/>
  <c r="F285" i="9"/>
  <c r="J284" i="9"/>
  <c r="H284" i="9"/>
  <c r="G284" i="9"/>
  <c r="I284" i="9" s="1"/>
  <c r="F284" i="9"/>
  <c r="J283" i="9"/>
  <c r="H283" i="9"/>
  <c r="G283" i="9"/>
  <c r="F283" i="9"/>
  <c r="J282" i="9"/>
  <c r="H282" i="9"/>
  <c r="G282" i="9"/>
  <c r="F282" i="9"/>
  <c r="J281" i="9"/>
  <c r="H281" i="9"/>
  <c r="G281" i="9"/>
  <c r="F281" i="9"/>
  <c r="J279" i="9"/>
  <c r="H279" i="9"/>
  <c r="J278" i="9"/>
  <c r="H278" i="9"/>
  <c r="G278" i="9"/>
  <c r="I278" i="9" s="1"/>
  <c r="F278" i="9"/>
  <c r="J277" i="9"/>
  <c r="H277" i="9"/>
  <c r="I277" i="9" s="1"/>
  <c r="G277" i="9"/>
  <c r="F277" i="9"/>
  <c r="J276" i="9"/>
  <c r="H276" i="9"/>
  <c r="I276" i="9" s="1"/>
  <c r="G276" i="9"/>
  <c r="F276" i="9"/>
  <c r="J275" i="9"/>
  <c r="H275" i="9"/>
  <c r="G275" i="9"/>
  <c r="F275" i="9"/>
  <c r="J274" i="9"/>
  <c r="H274" i="9"/>
  <c r="G274" i="9"/>
  <c r="I274" i="9" s="1"/>
  <c r="F274" i="9"/>
  <c r="J273" i="9"/>
  <c r="H273" i="9"/>
  <c r="G273" i="9"/>
  <c r="F273" i="9"/>
  <c r="J272" i="9"/>
  <c r="H272" i="9"/>
  <c r="G272" i="9"/>
  <c r="F272" i="9"/>
  <c r="J270" i="9"/>
  <c r="H270" i="9"/>
  <c r="G270" i="9"/>
  <c r="F270" i="9"/>
  <c r="J269" i="9"/>
  <c r="H269" i="9"/>
  <c r="G269" i="9"/>
  <c r="I269" i="9" s="1"/>
  <c r="F269" i="9"/>
  <c r="J268" i="9"/>
  <c r="H268" i="9"/>
  <c r="I268" i="9" s="1"/>
  <c r="G268" i="9"/>
  <c r="F268" i="9"/>
  <c r="J267" i="9"/>
  <c r="H267" i="9"/>
  <c r="G267" i="9"/>
  <c r="I267" i="9" s="1"/>
  <c r="F267" i="9"/>
  <c r="J266" i="9"/>
  <c r="H266" i="9"/>
  <c r="G266" i="9"/>
  <c r="F266" i="9"/>
  <c r="J265" i="9"/>
  <c r="H265" i="9"/>
  <c r="G265" i="9"/>
  <c r="I265" i="9" s="1"/>
  <c r="F265" i="9"/>
  <c r="J264" i="9"/>
  <c r="H264" i="9"/>
  <c r="G264" i="9"/>
  <c r="F264" i="9"/>
  <c r="J263" i="9"/>
  <c r="H263" i="9"/>
  <c r="G263" i="9"/>
  <c r="I263" i="9" s="1"/>
  <c r="F263" i="9"/>
  <c r="J262" i="9"/>
  <c r="H262" i="9"/>
  <c r="G262" i="9"/>
  <c r="F262" i="9"/>
  <c r="J261" i="9"/>
  <c r="H261" i="9"/>
  <c r="G261" i="9"/>
  <c r="I261" i="9" s="1"/>
  <c r="F261" i="9"/>
  <c r="J260" i="9"/>
  <c r="H260" i="9"/>
  <c r="G260" i="9"/>
  <c r="F260" i="9"/>
  <c r="J259" i="9"/>
  <c r="I259" i="9"/>
  <c r="H259" i="9"/>
  <c r="G259" i="9"/>
  <c r="F259" i="9"/>
  <c r="J258" i="9"/>
  <c r="H258" i="9"/>
  <c r="G258" i="9"/>
  <c r="F258" i="9"/>
  <c r="J256" i="9"/>
  <c r="H256" i="9"/>
  <c r="G256" i="9"/>
  <c r="I256" i="9" s="1"/>
  <c r="F256" i="9"/>
  <c r="J255" i="9"/>
  <c r="H255" i="9"/>
  <c r="G255" i="9"/>
  <c r="F255" i="9"/>
  <c r="J254" i="9"/>
  <c r="H254" i="9"/>
  <c r="G254" i="9"/>
  <c r="I254" i="9" s="1"/>
  <c r="F254" i="9"/>
  <c r="J253" i="9"/>
  <c r="H253" i="9"/>
  <c r="G253" i="9"/>
  <c r="F253" i="9"/>
  <c r="J252" i="9"/>
  <c r="H252" i="9"/>
  <c r="G252" i="9"/>
  <c r="I252" i="9" s="1"/>
  <c r="F252" i="9"/>
  <c r="J251" i="9"/>
  <c r="H251" i="9"/>
  <c r="G251" i="9"/>
  <c r="F251" i="9"/>
  <c r="J249" i="9"/>
  <c r="H249" i="9"/>
  <c r="G249" i="9"/>
  <c r="I249" i="9" s="1"/>
  <c r="F249" i="9"/>
  <c r="J248" i="9"/>
  <c r="H248" i="9"/>
  <c r="G248" i="9"/>
  <c r="F248" i="9"/>
  <c r="J247" i="9"/>
  <c r="I247" i="9"/>
  <c r="H247" i="9"/>
  <c r="G247" i="9"/>
  <c r="F247" i="9"/>
  <c r="J246" i="9"/>
  <c r="H246" i="9"/>
  <c r="I246" i="9" s="1"/>
  <c r="G246" i="9"/>
  <c r="F246" i="9"/>
  <c r="J245" i="9"/>
  <c r="H245" i="9"/>
  <c r="G245" i="9"/>
  <c r="I245" i="9" s="1"/>
  <c r="F245" i="9"/>
  <c r="J244" i="9"/>
  <c r="H244" i="9"/>
  <c r="G244" i="9"/>
  <c r="F244" i="9"/>
  <c r="J243" i="9"/>
  <c r="H243" i="9"/>
  <c r="G243" i="9"/>
  <c r="F243" i="9"/>
  <c r="J242" i="9"/>
  <c r="H242" i="9"/>
  <c r="G242" i="9"/>
  <c r="F242" i="9"/>
  <c r="J241" i="9"/>
  <c r="H241" i="9"/>
  <c r="G241" i="9"/>
  <c r="I241" i="9" s="1"/>
  <c r="F241" i="9"/>
  <c r="J240" i="9"/>
  <c r="H240" i="9"/>
  <c r="G240" i="9"/>
  <c r="F240" i="9"/>
  <c r="J239" i="9"/>
  <c r="I239" i="9"/>
  <c r="H239" i="9"/>
  <c r="G239" i="9"/>
  <c r="F239" i="9"/>
  <c r="J236" i="9"/>
  <c r="H236" i="9"/>
  <c r="I236" i="9" s="1"/>
  <c r="G236" i="9"/>
  <c r="F236" i="9"/>
  <c r="J235" i="9"/>
  <c r="H235" i="9"/>
  <c r="G235" i="9"/>
  <c r="I235" i="9" s="1"/>
  <c r="F235" i="9"/>
  <c r="J234" i="9"/>
  <c r="H234" i="9"/>
  <c r="G234" i="9"/>
  <c r="F234" i="9"/>
  <c r="J233" i="9"/>
  <c r="H233" i="9"/>
  <c r="G233" i="9"/>
  <c r="F233" i="9"/>
  <c r="J232" i="9"/>
  <c r="H232" i="9"/>
  <c r="G232" i="9"/>
  <c r="F232" i="9"/>
  <c r="J230" i="9"/>
  <c r="H230" i="9"/>
  <c r="G230" i="9"/>
  <c r="I230" i="9" s="1"/>
  <c r="J229" i="9"/>
  <c r="H229" i="9"/>
  <c r="G229" i="9"/>
  <c r="J228" i="9"/>
  <c r="H228" i="9"/>
  <c r="G228" i="9"/>
  <c r="J227" i="9"/>
  <c r="H227" i="9"/>
  <c r="I227" i="9" s="1"/>
  <c r="G227" i="9"/>
  <c r="F227" i="9"/>
  <c r="J226" i="9"/>
  <c r="H226" i="9"/>
  <c r="G226" i="9"/>
  <c r="F226" i="9"/>
  <c r="J225" i="9"/>
  <c r="H225" i="9"/>
  <c r="G225" i="9"/>
  <c r="I225" i="9" s="1"/>
  <c r="F225" i="9"/>
  <c r="J224" i="9"/>
  <c r="H224" i="9"/>
  <c r="G224" i="9"/>
  <c r="J222" i="9"/>
  <c r="H222" i="9"/>
  <c r="G222" i="9"/>
  <c r="F222" i="9"/>
  <c r="J221" i="9"/>
  <c r="H221" i="9"/>
  <c r="G221" i="9"/>
  <c r="F221" i="9"/>
  <c r="J220" i="9"/>
  <c r="H220" i="9"/>
  <c r="G220" i="9"/>
  <c r="I220" i="9" s="1"/>
  <c r="F220" i="9"/>
  <c r="J218" i="9"/>
  <c r="H218" i="9"/>
  <c r="G218" i="9"/>
  <c r="I218" i="9" s="1"/>
  <c r="F218" i="9"/>
  <c r="J217" i="9"/>
  <c r="H217" i="9"/>
  <c r="G217" i="9"/>
  <c r="F217" i="9"/>
  <c r="J216" i="9"/>
  <c r="I216" i="9"/>
  <c r="H216" i="9"/>
  <c r="G216" i="9"/>
  <c r="F216" i="9"/>
  <c r="J213" i="9"/>
  <c r="H213" i="9"/>
  <c r="G213" i="9"/>
  <c r="F213" i="9"/>
  <c r="J212" i="9"/>
  <c r="H212" i="9"/>
  <c r="G212" i="9"/>
  <c r="I212" i="9" s="1"/>
  <c r="F212" i="9"/>
  <c r="J211" i="9"/>
  <c r="H211" i="9"/>
  <c r="G211" i="9"/>
  <c r="F211" i="9"/>
  <c r="J210" i="9"/>
  <c r="H210" i="9"/>
  <c r="G210" i="9"/>
  <c r="J209" i="9"/>
  <c r="H209" i="9"/>
  <c r="G209" i="9"/>
  <c r="I209" i="9" s="1"/>
  <c r="J208" i="9"/>
  <c r="H208" i="9"/>
  <c r="G208" i="9"/>
  <c r="I208" i="9" s="1"/>
  <c r="J206" i="9"/>
  <c r="H206" i="9"/>
  <c r="G206" i="9"/>
  <c r="I206" i="9" s="1"/>
  <c r="J205" i="9"/>
  <c r="H205" i="9"/>
  <c r="G205" i="9"/>
  <c r="J204" i="9"/>
  <c r="H204" i="9"/>
  <c r="G204" i="9"/>
  <c r="F204" i="9"/>
  <c r="J201" i="9"/>
  <c r="H201" i="9"/>
  <c r="J199" i="9"/>
  <c r="H199" i="9"/>
  <c r="G199" i="9"/>
  <c r="I199" i="9" s="1"/>
  <c r="J198" i="9"/>
  <c r="H198" i="9"/>
  <c r="I198" i="9" s="1"/>
  <c r="G198" i="9"/>
  <c r="J197" i="9"/>
  <c r="H197" i="9"/>
  <c r="G197" i="9"/>
  <c r="J196" i="9"/>
  <c r="H196" i="9"/>
  <c r="G196" i="9"/>
  <c r="J195" i="9"/>
  <c r="H195" i="9"/>
  <c r="G195" i="9"/>
  <c r="I195" i="9" s="1"/>
  <c r="J192" i="9"/>
  <c r="H192" i="9"/>
  <c r="I192" i="9" s="1"/>
  <c r="G192" i="9"/>
  <c r="F192" i="9"/>
  <c r="J191" i="9"/>
  <c r="I191" i="9"/>
  <c r="H191" i="9"/>
  <c r="G191" i="9"/>
  <c r="F191" i="9"/>
  <c r="J190" i="9"/>
  <c r="H190" i="9"/>
  <c r="G190" i="9"/>
  <c r="J189" i="9"/>
  <c r="H189" i="9"/>
  <c r="I189" i="9" s="1"/>
  <c r="G189" i="9"/>
  <c r="J188" i="9"/>
  <c r="H188" i="9"/>
  <c r="G188" i="9"/>
  <c r="I188" i="9" s="1"/>
  <c r="J187" i="9"/>
  <c r="H187" i="9"/>
  <c r="I187" i="9" s="1"/>
  <c r="G187" i="9"/>
  <c r="J186" i="9"/>
  <c r="H186" i="9"/>
  <c r="G186" i="9"/>
  <c r="J185" i="9"/>
  <c r="H185" i="9"/>
  <c r="I185" i="9" s="1"/>
  <c r="G185" i="9"/>
  <c r="J183" i="9"/>
  <c r="H183" i="9"/>
  <c r="G183" i="9"/>
  <c r="I183" i="9" s="1"/>
  <c r="J182" i="9"/>
  <c r="H182" i="9"/>
  <c r="I182" i="9" s="1"/>
  <c r="G182" i="9"/>
  <c r="F182" i="9"/>
  <c r="J181" i="9"/>
  <c r="H181" i="9"/>
  <c r="G181" i="9"/>
  <c r="I181" i="9" s="1"/>
  <c r="F181" i="9"/>
  <c r="J180" i="9"/>
  <c r="H180" i="9"/>
  <c r="G180" i="9"/>
  <c r="F180" i="9"/>
  <c r="J179" i="9"/>
  <c r="H179" i="9"/>
  <c r="G179" i="9"/>
  <c r="F179" i="9"/>
  <c r="J178" i="9"/>
  <c r="H178" i="9"/>
  <c r="G178" i="9"/>
  <c r="F178" i="9"/>
  <c r="J177" i="9"/>
  <c r="I177" i="9"/>
  <c r="H177" i="9"/>
  <c r="G177" i="9"/>
  <c r="F177" i="9"/>
  <c r="J175" i="9"/>
  <c r="H175" i="9"/>
  <c r="G175" i="9"/>
  <c r="J174" i="9"/>
  <c r="H174" i="9"/>
  <c r="G174" i="9"/>
  <c r="J171" i="9"/>
  <c r="H171" i="9"/>
  <c r="G171" i="9"/>
  <c r="J170" i="9"/>
  <c r="H170" i="9"/>
  <c r="I170" i="9" s="1"/>
  <c r="G170" i="9"/>
  <c r="J169" i="9"/>
  <c r="H169" i="9"/>
  <c r="G169" i="9"/>
  <c r="J168" i="9"/>
  <c r="H168" i="9"/>
  <c r="G168" i="9"/>
  <c r="F168" i="9"/>
  <c r="J167" i="9"/>
  <c r="H167" i="9"/>
  <c r="G167" i="9"/>
  <c r="J166" i="9"/>
  <c r="H166" i="9"/>
  <c r="G166" i="9"/>
  <c r="I166" i="9" s="1"/>
  <c r="J165" i="9"/>
  <c r="H165" i="9"/>
  <c r="G165" i="9"/>
  <c r="I165" i="9" s="1"/>
  <c r="J164" i="9"/>
  <c r="H164" i="9"/>
  <c r="G164" i="9"/>
  <c r="I164" i="9" s="1"/>
  <c r="J163" i="9"/>
  <c r="H163" i="9"/>
  <c r="G163" i="9"/>
  <c r="J162" i="9"/>
  <c r="H162" i="9"/>
  <c r="G162" i="9"/>
  <c r="J159" i="9"/>
  <c r="H159" i="9"/>
  <c r="G159" i="9"/>
  <c r="I159" i="9" s="1"/>
  <c r="I158" i="9" s="1"/>
  <c r="J158" i="9"/>
  <c r="H158" i="9"/>
  <c r="G158" i="9"/>
  <c r="J157" i="9"/>
  <c r="H157" i="9"/>
  <c r="G157" i="9"/>
  <c r="J156" i="9"/>
  <c r="H156" i="9"/>
  <c r="G156" i="9"/>
  <c r="J155" i="9"/>
  <c r="H155" i="9"/>
  <c r="G155" i="9"/>
  <c r="I155" i="9" s="1"/>
  <c r="J154" i="9"/>
  <c r="K154" i="9" s="1"/>
  <c r="L154" i="9" s="1"/>
  <c r="J153" i="9"/>
  <c r="H153" i="9"/>
  <c r="G153" i="9"/>
  <c r="J152" i="9"/>
  <c r="H152" i="9"/>
  <c r="G152" i="9"/>
  <c r="J151" i="9"/>
  <c r="K151" i="9" s="1"/>
  <c r="L151" i="9" s="1"/>
  <c r="J150" i="9"/>
  <c r="H150" i="9"/>
  <c r="G150" i="9"/>
  <c r="I150" i="9" s="1"/>
  <c r="J149" i="9"/>
  <c r="H149" i="9"/>
  <c r="G149" i="9"/>
  <c r="J148" i="9"/>
  <c r="K148" i="9" s="1"/>
  <c r="L148" i="9" s="1"/>
  <c r="O147" i="9"/>
  <c r="J147" i="9"/>
  <c r="H147" i="9"/>
  <c r="O146" i="9"/>
  <c r="J146" i="9"/>
  <c r="H146" i="9"/>
  <c r="O145" i="9"/>
  <c r="J145" i="9"/>
  <c r="H145" i="9"/>
  <c r="N144" i="9"/>
  <c r="J144" i="9"/>
  <c r="K144" i="9" s="1"/>
  <c r="L144" i="9" s="1"/>
  <c r="P143" i="9"/>
  <c r="O143" i="9"/>
  <c r="J143" i="9"/>
  <c r="H143" i="9"/>
  <c r="G143" i="9"/>
  <c r="P142" i="9"/>
  <c r="O142" i="9"/>
  <c r="J142" i="9"/>
  <c r="I142" i="9"/>
  <c r="H142" i="9"/>
  <c r="G142" i="9"/>
  <c r="O141" i="9"/>
  <c r="J141" i="9"/>
  <c r="H141" i="9"/>
  <c r="I141" i="9" s="1"/>
  <c r="G141" i="9"/>
  <c r="P140" i="9"/>
  <c r="O140" i="9"/>
  <c r="J140" i="9"/>
  <c r="H140" i="9"/>
  <c r="I140" i="9" s="1"/>
  <c r="G140" i="9"/>
  <c r="N139" i="9"/>
  <c r="J139" i="9"/>
  <c r="K139" i="9" s="1"/>
  <c r="L139" i="9" s="1"/>
  <c r="P138" i="9"/>
  <c r="O138" i="9"/>
  <c r="J138" i="9"/>
  <c r="H138" i="9"/>
  <c r="I138" i="9" s="1"/>
  <c r="G138" i="9"/>
  <c r="J137" i="9"/>
  <c r="H137" i="9"/>
  <c r="J136" i="9"/>
  <c r="H136" i="9"/>
  <c r="I136" i="9" s="1"/>
  <c r="G136" i="9"/>
  <c r="J135" i="9"/>
  <c r="H135" i="9"/>
  <c r="G135" i="9"/>
  <c r="J134" i="9"/>
  <c r="H134" i="9"/>
  <c r="I134" i="9" s="1"/>
  <c r="G134" i="9"/>
  <c r="J133" i="9"/>
  <c r="H133" i="9"/>
  <c r="G133" i="9"/>
  <c r="J132" i="9"/>
  <c r="H132" i="9"/>
  <c r="J131" i="9"/>
  <c r="H131" i="9"/>
  <c r="G131" i="9"/>
  <c r="J130" i="9"/>
  <c r="H130" i="9"/>
  <c r="G130" i="9"/>
  <c r="J129" i="9"/>
  <c r="H129" i="9"/>
  <c r="G129" i="9"/>
  <c r="I129" i="9" s="1"/>
  <c r="J127" i="9"/>
  <c r="H127" i="9"/>
  <c r="I127" i="9" s="1"/>
  <c r="G127" i="9"/>
  <c r="J126" i="9"/>
  <c r="H126" i="9"/>
  <c r="G126" i="9"/>
  <c r="J125" i="9"/>
  <c r="H125" i="9"/>
  <c r="G125" i="9"/>
  <c r="J123" i="9"/>
  <c r="H123" i="9"/>
  <c r="G123" i="9"/>
  <c r="I123" i="9" s="1"/>
  <c r="J122" i="9"/>
  <c r="H122" i="9"/>
  <c r="I122" i="9" s="1"/>
  <c r="G122" i="9"/>
  <c r="J121" i="9"/>
  <c r="H121" i="9"/>
  <c r="G121" i="9"/>
  <c r="J120" i="9"/>
  <c r="H120" i="9"/>
  <c r="G120" i="9"/>
  <c r="J119" i="9"/>
  <c r="H119" i="9"/>
  <c r="G119" i="9"/>
  <c r="I119" i="9" s="1"/>
  <c r="J118" i="9"/>
  <c r="H118" i="9"/>
  <c r="I118" i="9" s="1"/>
  <c r="G118" i="9"/>
  <c r="G116" i="9" s="1"/>
  <c r="J116" i="9"/>
  <c r="H116" i="9"/>
  <c r="J115" i="9"/>
  <c r="H115" i="9"/>
  <c r="G115" i="9"/>
  <c r="J114" i="9"/>
  <c r="H114" i="9"/>
  <c r="G114" i="9"/>
  <c r="I114" i="9" s="1"/>
  <c r="J113" i="9"/>
  <c r="H113" i="9"/>
  <c r="I113" i="9" s="1"/>
  <c r="G113" i="9"/>
  <c r="J111" i="9"/>
  <c r="H111" i="9"/>
  <c r="G111" i="9"/>
  <c r="F111" i="9"/>
  <c r="J110" i="9"/>
  <c r="I110" i="9"/>
  <c r="H110" i="9"/>
  <c r="G110" i="9"/>
  <c r="F110" i="9"/>
  <c r="J109" i="9"/>
  <c r="H109" i="9"/>
  <c r="I109" i="9" s="1"/>
  <c r="G109" i="9"/>
  <c r="J108" i="9"/>
  <c r="H108" i="9"/>
  <c r="G108" i="9"/>
  <c r="F108" i="9"/>
  <c r="J107" i="9"/>
  <c r="I107" i="9"/>
  <c r="H107" i="9"/>
  <c r="G107" i="9"/>
  <c r="J106" i="9"/>
  <c r="H106" i="9"/>
  <c r="G106" i="9"/>
  <c r="I106" i="9" s="1"/>
  <c r="F106" i="9"/>
  <c r="J105" i="9"/>
  <c r="H105" i="9"/>
  <c r="G105" i="9"/>
  <c r="J104" i="9"/>
  <c r="H104" i="9"/>
  <c r="I104" i="9" s="1"/>
  <c r="G104" i="9"/>
  <c r="F104" i="9"/>
  <c r="J103" i="9"/>
  <c r="H103" i="9"/>
  <c r="G103" i="9"/>
  <c r="I103" i="9" s="1"/>
  <c r="F103" i="9"/>
  <c r="J102" i="9"/>
  <c r="H102" i="9"/>
  <c r="G102" i="9"/>
  <c r="I102" i="9" s="1"/>
  <c r="F102" i="9"/>
  <c r="J101" i="9"/>
  <c r="K101" i="9" s="1"/>
  <c r="H101" i="9"/>
  <c r="G101" i="9"/>
  <c r="I101" i="9" s="1"/>
  <c r="F101" i="9"/>
  <c r="J100" i="9"/>
  <c r="H100" i="9"/>
  <c r="I100" i="9" s="1"/>
  <c r="G100" i="9"/>
  <c r="F100" i="9"/>
  <c r="J99" i="9"/>
  <c r="H99" i="9"/>
  <c r="G99" i="9"/>
  <c r="F99" i="9"/>
  <c r="J97" i="9"/>
  <c r="H97" i="9"/>
  <c r="G97" i="9"/>
  <c r="I97" i="9" s="1"/>
  <c r="J96" i="9"/>
  <c r="H96" i="9"/>
  <c r="G96" i="9"/>
  <c r="J95" i="9"/>
  <c r="H95" i="9"/>
  <c r="O94" i="9"/>
  <c r="J94" i="9"/>
  <c r="H94" i="9"/>
  <c r="O93" i="9"/>
  <c r="J93" i="9"/>
  <c r="H93" i="9"/>
  <c r="O92" i="9"/>
  <c r="J92" i="9"/>
  <c r="H92" i="9"/>
  <c r="O91" i="9"/>
  <c r="J91" i="9"/>
  <c r="H91" i="9"/>
  <c r="O90" i="9"/>
  <c r="J90" i="9"/>
  <c r="H90" i="9"/>
  <c r="O89" i="9"/>
  <c r="J89" i="9"/>
  <c r="H89" i="9"/>
  <c r="O88" i="9"/>
  <c r="J88" i="9"/>
  <c r="H88" i="9"/>
  <c r="G88" i="9"/>
  <c r="I88" i="9" s="1"/>
  <c r="O87" i="9"/>
  <c r="J87" i="9"/>
  <c r="H87" i="9"/>
  <c r="O86" i="9"/>
  <c r="J86" i="9"/>
  <c r="H86" i="9"/>
  <c r="O85" i="9"/>
  <c r="J85" i="9"/>
  <c r="H85" i="9"/>
  <c r="J84" i="9"/>
  <c r="K84" i="9" s="1"/>
  <c r="L84" i="9" s="1"/>
  <c r="J83" i="9"/>
  <c r="H83" i="9"/>
  <c r="G83" i="9"/>
  <c r="J82" i="9"/>
  <c r="I82" i="9"/>
  <c r="H82" i="9"/>
  <c r="G82" i="9"/>
  <c r="J81" i="9"/>
  <c r="I81" i="9"/>
  <c r="H81" i="9"/>
  <c r="G81" i="9"/>
  <c r="J80" i="9"/>
  <c r="K80" i="9" s="1"/>
  <c r="L80" i="9" s="1"/>
  <c r="J79" i="9"/>
  <c r="H79" i="9"/>
  <c r="G79" i="9"/>
  <c r="J78" i="9"/>
  <c r="H78" i="9"/>
  <c r="I78" i="9" s="1"/>
  <c r="G78" i="9"/>
  <c r="J77" i="9"/>
  <c r="H77" i="9"/>
  <c r="G77" i="9"/>
  <c r="I77" i="9" s="1"/>
  <c r="J76" i="9"/>
  <c r="K76" i="9" s="1"/>
  <c r="L76" i="9" s="1"/>
  <c r="J75" i="9"/>
  <c r="H75" i="9"/>
  <c r="G75" i="9"/>
  <c r="J74" i="9"/>
  <c r="H74" i="9"/>
  <c r="G74" i="9"/>
  <c r="J73" i="9"/>
  <c r="H73" i="9"/>
  <c r="I73" i="9" s="1"/>
  <c r="G73" i="9"/>
  <c r="J72" i="9"/>
  <c r="K72" i="9" s="1"/>
  <c r="L72" i="9" s="1"/>
  <c r="P71" i="9"/>
  <c r="O71" i="9"/>
  <c r="J71" i="9"/>
  <c r="H71" i="9"/>
  <c r="G71" i="9"/>
  <c r="P70" i="9"/>
  <c r="O70" i="9"/>
  <c r="J70" i="9"/>
  <c r="H70" i="9"/>
  <c r="G70" i="9"/>
  <c r="J69" i="9"/>
  <c r="J68" i="9"/>
  <c r="H68" i="9"/>
  <c r="J67" i="9"/>
  <c r="H67" i="9"/>
  <c r="G67" i="9"/>
  <c r="I67" i="9" s="1"/>
  <c r="J66" i="9"/>
  <c r="H66" i="9"/>
  <c r="G66" i="9"/>
  <c r="I66" i="9" s="1"/>
  <c r="J65" i="9"/>
  <c r="H65" i="9"/>
  <c r="J64" i="9"/>
  <c r="H64" i="9"/>
  <c r="J63" i="9"/>
  <c r="H63" i="9"/>
  <c r="J62" i="9"/>
  <c r="H62" i="9"/>
  <c r="F62" i="9"/>
  <c r="J61" i="9"/>
  <c r="H61" i="9"/>
  <c r="F61" i="9"/>
  <c r="J60" i="9"/>
  <c r="J59" i="9"/>
  <c r="H59" i="9"/>
  <c r="J58" i="9"/>
  <c r="H58" i="9"/>
  <c r="G58" i="9"/>
  <c r="I58" i="9" s="1"/>
  <c r="J57" i="9"/>
  <c r="H57" i="9"/>
  <c r="G57" i="9"/>
  <c r="I57" i="9" s="1"/>
  <c r="J56" i="9"/>
  <c r="H56" i="9"/>
  <c r="G56" i="9"/>
  <c r="I56" i="9" s="1"/>
  <c r="J55" i="9"/>
  <c r="H55" i="9"/>
  <c r="G55" i="9"/>
  <c r="I55" i="9" s="1"/>
  <c r="J54" i="9"/>
  <c r="H54" i="9"/>
  <c r="J53" i="9"/>
  <c r="H53" i="9"/>
  <c r="J52" i="9"/>
  <c r="H52" i="9"/>
  <c r="J51" i="9"/>
  <c r="H51" i="9"/>
  <c r="F51" i="9"/>
  <c r="J50" i="9"/>
  <c r="H50" i="9"/>
  <c r="F50" i="9"/>
  <c r="J49" i="9"/>
  <c r="K49" i="9" s="1"/>
  <c r="L49" i="9" s="1"/>
  <c r="J48" i="9"/>
  <c r="H48" i="9"/>
  <c r="J47" i="9"/>
  <c r="H47" i="9"/>
  <c r="J46" i="9"/>
  <c r="H46" i="9"/>
  <c r="J45" i="9"/>
  <c r="H45" i="9"/>
  <c r="F45" i="9"/>
  <c r="J44" i="9"/>
  <c r="H44" i="9"/>
  <c r="F44" i="9"/>
  <c r="J43" i="9"/>
  <c r="K43" i="9" s="1"/>
  <c r="L43" i="9" s="1"/>
  <c r="J42" i="9"/>
  <c r="H42" i="9"/>
  <c r="J41" i="9"/>
  <c r="H41" i="9"/>
  <c r="J40" i="9"/>
  <c r="H40" i="9"/>
  <c r="J39" i="9"/>
  <c r="H39" i="9"/>
  <c r="F39" i="9"/>
  <c r="J38" i="9"/>
  <c r="H38" i="9"/>
  <c r="F38" i="9"/>
  <c r="J37" i="9"/>
  <c r="K37" i="9" s="1"/>
  <c r="L37" i="9" s="1"/>
  <c r="J36" i="9"/>
  <c r="H36" i="9"/>
  <c r="J35" i="9"/>
  <c r="H35" i="9"/>
  <c r="J34" i="9"/>
  <c r="H34" i="9"/>
  <c r="J33" i="9"/>
  <c r="H33" i="9"/>
  <c r="F33" i="9"/>
  <c r="J32" i="9"/>
  <c r="H32" i="9"/>
  <c r="F32" i="9"/>
  <c r="J31" i="9"/>
  <c r="J30" i="9"/>
  <c r="J29" i="9"/>
  <c r="H29" i="9"/>
  <c r="J28" i="9"/>
  <c r="H28" i="9"/>
  <c r="G28" i="9"/>
  <c r="I28" i="9" s="1"/>
  <c r="J27" i="9"/>
  <c r="H27" i="9"/>
  <c r="I27" i="9" s="1"/>
  <c r="G27" i="9"/>
  <c r="J26" i="9"/>
  <c r="H26" i="9"/>
  <c r="J25" i="9"/>
  <c r="H25" i="9"/>
  <c r="J24" i="9"/>
  <c r="H24" i="9"/>
  <c r="J23" i="9"/>
  <c r="H23" i="9"/>
  <c r="F23" i="9"/>
  <c r="J22" i="9"/>
  <c r="H22" i="9"/>
  <c r="F22" i="9"/>
  <c r="J21" i="9"/>
  <c r="J20" i="9"/>
  <c r="J19" i="9"/>
  <c r="H19" i="9"/>
  <c r="J18" i="9"/>
  <c r="H18" i="9"/>
  <c r="J17" i="9"/>
  <c r="H17" i="9"/>
  <c r="D17" i="9"/>
  <c r="R16" i="9"/>
  <c r="J16" i="9"/>
  <c r="H16" i="9"/>
  <c r="J14" i="9"/>
  <c r="H14" i="9"/>
  <c r="J13" i="9"/>
  <c r="H13" i="9"/>
  <c r="R12" i="9"/>
  <c r="J12" i="9"/>
  <c r="H12" i="9"/>
  <c r="I79" i="9" l="1"/>
  <c r="I83" i="9"/>
  <c r="I205" i="9"/>
  <c r="I217" i="9"/>
  <c r="I221" i="9"/>
  <c r="I243" i="9"/>
  <c r="I375" i="9"/>
  <c r="I449" i="9"/>
  <c r="I516" i="9"/>
  <c r="I534" i="9"/>
  <c r="K534" i="9" s="1"/>
  <c r="L534" i="9" s="1"/>
  <c r="I625" i="9"/>
  <c r="I685" i="9"/>
  <c r="I707" i="9"/>
  <c r="K707" i="9" s="1"/>
  <c r="I714" i="9"/>
  <c r="I75" i="9"/>
  <c r="K83" i="9"/>
  <c r="I96" i="9"/>
  <c r="I143" i="9"/>
  <c r="I156" i="9"/>
  <c r="K156" i="9" s="1"/>
  <c r="L156" i="9" s="1"/>
  <c r="I168" i="9"/>
  <c r="I174" i="9"/>
  <c r="K174" i="9" s="1"/>
  <c r="L174" i="9" s="1"/>
  <c r="I178" i="9"/>
  <c r="I186" i="9"/>
  <c r="I190" i="9"/>
  <c r="G193" i="9"/>
  <c r="I210" i="9"/>
  <c r="I213" i="9"/>
  <c r="I229" i="9"/>
  <c r="I233" i="9"/>
  <c r="I272" i="9"/>
  <c r="I282" i="9"/>
  <c r="I314" i="9"/>
  <c r="I318" i="9"/>
  <c r="K318" i="9" s="1"/>
  <c r="I322" i="9"/>
  <c r="I327" i="9"/>
  <c r="I331" i="9"/>
  <c r="I354" i="9"/>
  <c r="I361" i="9"/>
  <c r="I416" i="9"/>
  <c r="I421" i="9"/>
  <c r="I425" i="9"/>
  <c r="I457" i="9"/>
  <c r="I513" i="9"/>
  <c r="I613" i="9"/>
  <c r="I621" i="9"/>
  <c r="K621" i="9" s="1"/>
  <c r="L621" i="9" s="1"/>
  <c r="I639" i="9"/>
  <c r="K639" i="9" s="1"/>
  <c r="L639" i="9" s="1"/>
  <c r="I681" i="9"/>
  <c r="I690" i="9"/>
  <c r="I729" i="9"/>
  <c r="I734" i="9"/>
  <c r="K734" i="9" s="1"/>
  <c r="L734" i="9" s="1"/>
  <c r="G92" i="9"/>
  <c r="I92" i="9" s="1"/>
  <c r="I226" i="9"/>
  <c r="I298" i="9"/>
  <c r="I372" i="9"/>
  <c r="I505" i="9"/>
  <c r="K505" i="9" s="1"/>
  <c r="L505" i="9" s="1"/>
  <c r="I527" i="9"/>
  <c r="I535" i="9"/>
  <c r="I549" i="9"/>
  <c r="I598" i="9"/>
  <c r="H754" i="9"/>
  <c r="H760" i="9"/>
  <c r="G147" i="9"/>
  <c r="I147" i="9" s="1"/>
  <c r="I157" i="9"/>
  <c r="I179" i="9"/>
  <c r="I222" i="9"/>
  <c r="I260" i="9"/>
  <c r="I286" i="9"/>
  <c r="I293" i="9"/>
  <c r="I352" i="9"/>
  <c r="I458" i="9"/>
  <c r="I471" i="9"/>
  <c r="K643" i="9"/>
  <c r="I511" i="9"/>
  <c r="I514" i="9"/>
  <c r="I622" i="9"/>
  <c r="I640" i="9"/>
  <c r="K640" i="9" s="1"/>
  <c r="L640" i="9" s="1"/>
  <c r="I721" i="9"/>
  <c r="H743" i="9"/>
  <c r="H749" i="9"/>
  <c r="I115" i="9"/>
  <c r="I120" i="9"/>
  <c r="I125" i="9"/>
  <c r="I130" i="9"/>
  <c r="I149" i="9"/>
  <c r="I153" i="9"/>
  <c r="I163" i="9"/>
  <c r="I196" i="9"/>
  <c r="I211" i="9"/>
  <c r="K211" i="9" s="1"/>
  <c r="I251" i="9"/>
  <c r="I273" i="9"/>
  <c r="I299" i="9"/>
  <c r="I463" i="9"/>
  <c r="I476" i="9"/>
  <c r="I482" i="9"/>
  <c r="K482" i="9" s="1"/>
  <c r="I486" i="9"/>
  <c r="K486" i="9" s="1"/>
  <c r="I490" i="9"/>
  <c r="K490" i="9" s="1"/>
  <c r="I494" i="9"/>
  <c r="K494" i="9" s="1"/>
  <c r="I498" i="9"/>
  <c r="K498" i="9" s="1"/>
  <c r="I502" i="9"/>
  <c r="K502" i="9" s="1"/>
  <c r="I518" i="9"/>
  <c r="K518" i="9" s="1"/>
  <c r="L518" i="9" s="1"/>
  <c r="I539" i="9"/>
  <c r="I550" i="9"/>
  <c r="I599" i="9"/>
  <c r="I617" i="9"/>
  <c r="I627" i="9"/>
  <c r="I630" i="9"/>
  <c r="I644" i="9"/>
  <c r="H763" i="9"/>
  <c r="I756" i="9"/>
  <c r="G86" i="9"/>
  <c r="I86" i="9" s="1"/>
  <c r="I111" i="9"/>
  <c r="K111" i="9" s="1"/>
  <c r="L111" i="9" s="1"/>
  <c r="I121" i="9"/>
  <c r="I126" i="9"/>
  <c r="I131" i="9"/>
  <c r="I167" i="9"/>
  <c r="I197" i="9"/>
  <c r="K197" i="9" s="1"/>
  <c r="G201" i="9"/>
  <c r="I242" i="9"/>
  <c r="I264" i="9"/>
  <c r="I302" i="9"/>
  <c r="I306" i="9"/>
  <c r="I353" i="9"/>
  <c r="I378" i="9"/>
  <c r="K378" i="9" s="1"/>
  <c r="L378" i="9" s="1"/>
  <c r="I382" i="9"/>
  <c r="I386" i="9"/>
  <c r="I390" i="9"/>
  <c r="I394" i="9"/>
  <c r="K394" i="9" s="1"/>
  <c r="L394" i="9" s="1"/>
  <c r="I398" i="9"/>
  <c r="I402" i="9"/>
  <c r="K402" i="9" s="1"/>
  <c r="L402" i="9" s="1"/>
  <c r="I406" i="9"/>
  <c r="I410" i="9"/>
  <c r="I432" i="9"/>
  <c r="I435" i="9"/>
  <c r="I453" i="9"/>
  <c r="G451" i="9"/>
  <c r="I464" i="9"/>
  <c r="G466" i="9"/>
  <c r="G506" i="9"/>
  <c r="I542" i="9"/>
  <c r="I604" i="9"/>
  <c r="I612" i="9"/>
  <c r="I615" i="9"/>
  <c r="K627" i="9"/>
  <c r="I648" i="9"/>
  <c r="I683" i="9"/>
  <c r="I713" i="9"/>
  <c r="I717" i="9"/>
  <c r="K717" i="9" s="1"/>
  <c r="L717" i="9" s="1"/>
  <c r="H745" i="9"/>
  <c r="I745" i="9" s="1"/>
  <c r="H750" i="9"/>
  <c r="H756" i="9"/>
  <c r="G94" i="9"/>
  <c r="I94" i="9" s="1"/>
  <c r="K635" i="9"/>
  <c r="K756" i="9"/>
  <c r="I74" i="9"/>
  <c r="I228" i="9"/>
  <c r="I232" i="9"/>
  <c r="I255" i="9"/>
  <c r="I281" i="9"/>
  <c r="K281" i="9" s="1"/>
  <c r="L281" i="9" s="1"/>
  <c r="G365" i="9"/>
  <c r="I440" i="9"/>
  <c r="I512" i="9"/>
  <c r="I520" i="9"/>
  <c r="I526" i="9"/>
  <c r="I554" i="9"/>
  <c r="I561" i="9"/>
  <c r="I566" i="9"/>
  <c r="I570" i="9"/>
  <c r="I575" i="9"/>
  <c r="I579" i="9"/>
  <c r="I583" i="9"/>
  <c r="K583" i="9" s="1"/>
  <c r="L583" i="9" s="1"/>
  <c r="I590" i="9"/>
  <c r="G594" i="9"/>
  <c r="I628" i="9"/>
  <c r="I689" i="9"/>
  <c r="H739" i="9"/>
  <c r="H751" i="9"/>
  <c r="K56" i="9"/>
  <c r="K153" i="9"/>
  <c r="L153" i="9" s="1"/>
  <c r="K220" i="9"/>
  <c r="K336" i="9"/>
  <c r="L336" i="9" s="1"/>
  <c r="K631" i="9"/>
  <c r="L631" i="9" s="1"/>
  <c r="K333" i="9"/>
  <c r="L333" i="9" s="1"/>
  <c r="K386" i="9"/>
  <c r="L386" i="9" s="1"/>
  <c r="K404" i="9"/>
  <c r="L404" i="9" s="1"/>
  <c r="K408" i="9"/>
  <c r="L408" i="9" s="1"/>
  <c r="K438" i="9"/>
  <c r="L438" i="9" s="1"/>
  <c r="K447" i="9"/>
  <c r="L447" i="9" s="1"/>
  <c r="K448" i="9"/>
  <c r="K454" i="9"/>
  <c r="K472" i="9"/>
  <c r="L472" i="9" s="1"/>
  <c r="K510" i="9"/>
  <c r="L510" i="9" s="1"/>
  <c r="K511" i="9"/>
  <c r="L511" i="9" s="1"/>
  <c r="K141" i="9"/>
  <c r="L141" i="9" s="1"/>
  <c r="K170" i="9"/>
  <c r="L170" i="9" s="1"/>
  <c r="K192" i="9"/>
  <c r="L192" i="9" s="1"/>
  <c r="K566" i="9"/>
  <c r="L566" i="9" s="1"/>
  <c r="K298" i="9"/>
  <c r="K477" i="9"/>
  <c r="L477" i="9" s="1"/>
  <c r="K616" i="9"/>
  <c r="K617" i="9"/>
  <c r="K222" i="9"/>
  <c r="L222" i="9" s="1"/>
  <c r="K315" i="9"/>
  <c r="L315" i="9" s="1"/>
  <c r="K319" i="9"/>
  <c r="K323" i="9"/>
  <c r="L323" i="9" s="1"/>
  <c r="K328" i="9"/>
  <c r="K368" i="9"/>
  <c r="K396" i="9"/>
  <c r="L396" i="9" s="1"/>
  <c r="K400" i="9"/>
  <c r="L400" i="9" s="1"/>
  <c r="K410" i="9"/>
  <c r="L410" i="9" s="1"/>
  <c r="K541" i="9"/>
  <c r="L541" i="9" s="1"/>
  <c r="K559" i="9"/>
  <c r="L559" i="9" s="1"/>
  <c r="K568" i="9"/>
  <c r="L568" i="9" s="1"/>
  <c r="K577" i="9"/>
  <c r="L577" i="9" s="1"/>
  <c r="K581" i="9"/>
  <c r="L581" i="9" s="1"/>
  <c r="K543" i="9"/>
  <c r="K575" i="9"/>
  <c r="L575" i="9" s="1"/>
  <c r="K592" i="9"/>
  <c r="L592" i="9" s="1"/>
  <c r="K104" i="9"/>
  <c r="L104" i="9" s="1"/>
  <c r="K109" i="9"/>
  <c r="L109" i="9" s="1"/>
  <c r="K195" i="9"/>
  <c r="K199" i="9"/>
  <c r="K302" i="9"/>
  <c r="L302" i="9" s="1"/>
  <c r="K313" i="9"/>
  <c r="L313" i="9" s="1"/>
  <c r="K317" i="9"/>
  <c r="K321" i="9"/>
  <c r="L321" i="9" s="1"/>
  <c r="K325" i="9"/>
  <c r="L325" i="9" s="1"/>
  <c r="K330" i="9"/>
  <c r="L330" i="9" s="1"/>
  <c r="K350" i="9"/>
  <c r="K384" i="9"/>
  <c r="L384" i="9" s="1"/>
  <c r="K545" i="9"/>
  <c r="K546" i="9"/>
  <c r="L546" i="9" s="1"/>
  <c r="K564" i="9"/>
  <c r="L564" i="9" s="1"/>
  <c r="K572" i="9"/>
  <c r="L572" i="9" s="1"/>
  <c r="K601" i="9"/>
  <c r="K637" i="9"/>
  <c r="L637" i="9" s="1"/>
  <c r="K642" i="9"/>
  <c r="L642" i="9" s="1"/>
  <c r="K168" i="9"/>
  <c r="L168" i="9" s="1"/>
  <c r="K217" i="9"/>
  <c r="L217" i="9" s="1"/>
  <c r="K288" i="9"/>
  <c r="L288" i="9" s="1"/>
  <c r="K306" i="9"/>
  <c r="L306" i="9" s="1"/>
  <c r="K343" i="9"/>
  <c r="L343" i="9" s="1"/>
  <c r="K345" i="9"/>
  <c r="L345" i="9" s="1"/>
  <c r="K347" i="9"/>
  <c r="K355" i="9"/>
  <c r="K364" i="9"/>
  <c r="L364" i="9" s="1"/>
  <c r="K382" i="9"/>
  <c r="L382" i="9" s="1"/>
  <c r="K390" i="9"/>
  <c r="L390" i="9" s="1"/>
  <c r="K398" i="9"/>
  <c r="L398" i="9" s="1"/>
  <c r="K406" i="9"/>
  <c r="L406" i="9" s="1"/>
  <c r="K443" i="9"/>
  <c r="K450" i="9"/>
  <c r="K484" i="9"/>
  <c r="L484" i="9" s="1"/>
  <c r="K488" i="9"/>
  <c r="L488" i="9" s="1"/>
  <c r="K492" i="9"/>
  <c r="K496" i="9"/>
  <c r="K500" i="9"/>
  <c r="K504" i="9"/>
  <c r="L504" i="9" s="1"/>
  <c r="K524" i="9"/>
  <c r="K551" i="9"/>
  <c r="L551" i="9" s="1"/>
  <c r="K552" i="9"/>
  <c r="K561" i="9"/>
  <c r="L561" i="9" s="1"/>
  <c r="K570" i="9"/>
  <c r="L570" i="9" s="1"/>
  <c r="K579" i="9"/>
  <c r="L579" i="9" s="1"/>
  <c r="K605" i="9"/>
  <c r="L605" i="9" s="1"/>
  <c r="K613" i="9"/>
  <c r="L613" i="9" s="1"/>
  <c r="K77" i="9"/>
  <c r="L77" i="9" s="1"/>
  <c r="K167" i="9"/>
  <c r="L167" i="9" s="1"/>
  <c r="K209" i="9"/>
  <c r="L209" i="9" s="1"/>
  <c r="K233" i="9"/>
  <c r="L233" i="9" s="1"/>
  <c r="K235" i="9"/>
  <c r="L235" i="9" s="1"/>
  <c r="K252" i="9"/>
  <c r="L252" i="9" s="1"/>
  <c r="K254" i="9"/>
  <c r="L254" i="9" s="1"/>
  <c r="K269" i="9"/>
  <c r="L269" i="9" s="1"/>
  <c r="K272" i="9"/>
  <c r="L272" i="9" s="1"/>
  <c r="K282" i="9"/>
  <c r="L282" i="9" s="1"/>
  <c r="K284" i="9"/>
  <c r="L284" i="9" s="1"/>
  <c r="K293" i="9"/>
  <c r="L293" i="9" s="1"/>
  <c r="K58" i="9"/>
  <c r="L58" i="9" s="1"/>
  <c r="K67" i="9"/>
  <c r="L67" i="9" s="1"/>
  <c r="K79" i="9"/>
  <c r="L79" i="9" s="1"/>
  <c r="K86" i="9"/>
  <c r="L86" i="9" s="1"/>
  <c r="K88" i="9"/>
  <c r="L88" i="9" s="1"/>
  <c r="K100" i="9"/>
  <c r="L100" i="9" s="1"/>
  <c r="K106" i="9"/>
  <c r="L106" i="9" s="1"/>
  <c r="K136" i="9"/>
  <c r="L136" i="9" s="1"/>
  <c r="K142" i="9"/>
  <c r="L142" i="9" s="1"/>
  <c r="K143" i="9"/>
  <c r="L143" i="9" s="1"/>
  <c r="K163" i="9"/>
  <c r="L163" i="9" s="1"/>
  <c r="K221" i="9"/>
  <c r="L221" i="9" s="1"/>
  <c r="K243" i="9"/>
  <c r="L243" i="9" s="1"/>
  <c r="K245" i="9"/>
  <c r="L245" i="9" s="1"/>
  <c r="K261" i="9"/>
  <c r="L261" i="9" s="1"/>
  <c r="K263" i="9"/>
  <c r="L263" i="9" s="1"/>
  <c r="K278" i="9"/>
  <c r="L278" i="9" s="1"/>
  <c r="K299" i="9"/>
  <c r="L299" i="9" s="1"/>
  <c r="K74" i="9"/>
  <c r="L74" i="9" s="1"/>
  <c r="L83" i="9"/>
  <c r="G90" i="9"/>
  <c r="I90" i="9" s="1"/>
  <c r="K94" i="9"/>
  <c r="L94" i="9" s="1"/>
  <c r="K121" i="9"/>
  <c r="L121" i="9"/>
  <c r="K126" i="9"/>
  <c r="L126" i="9" s="1"/>
  <c r="K131" i="9"/>
  <c r="L131" i="9"/>
  <c r="K140" i="9"/>
  <c r="L140" i="9" s="1"/>
  <c r="G146" i="9"/>
  <c r="I146" i="9" s="1"/>
  <c r="G145" i="9"/>
  <c r="I145" i="9" s="1"/>
  <c r="L157" i="9"/>
  <c r="K157" i="9"/>
  <c r="I162" i="9"/>
  <c r="G161" i="9"/>
  <c r="K210" i="9"/>
  <c r="L210" i="9" s="1"/>
  <c r="K212" i="9"/>
  <c r="L212" i="9" s="1"/>
  <c r="K295" i="9"/>
  <c r="L295" i="9" s="1"/>
  <c r="K353" i="9"/>
  <c r="L353" i="9" s="1"/>
  <c r="K553" i="9"/>
  <c r="L553" i="9" s="1"/>
  <c r="K28" i="9"/>
  <c r="L28" i="9"/>
  <c r="K75" i="9"/>
  <c r="L75" i="9" s="1"/>
  <c r="K110" i="9"/>
  <c r="L110" i="9" s="1"/>
  <c r="K134" i="9"/>
  <c r="L134" i="9" s="1"/>
  <c r="K149" i="9"/>
  <c r="L149" i="9" s="1"/>
  <c r="K229" i="9"/>
  <c r="L229" i="9" s="1"/>
  <c r="L56" i="9"/>
  <c r="K57" i="9"/>
  <c r="L57" i="9" s="1"/>
  <c r="K66" i="9"/>
  <c r="L66" i="9" s="1"/>
  <c r="K81" i="9"/>
  <c r="L81" i="9" s="1"/>
  <c r="K92" i="9"/>
  <c r="L92" i="9" s="1"/>
  <c r="K97" i="9"/>
  <c r="L97" i="9" s="1"/>
  <c r="L101" i="9"/>
  <c r="K114" i="9"/>
  <c r="L114" i="9" s="1"/>
  <c r="K119" i="9"/>
  <c r="L119" i="9"/>
  <c r="K123" i="9"/>
  <c r="L123" i="9" s="1"/>
  <c r="K129" i="9"/>
  <c r="L129" i="9" s="1"/>
  <c r="K147" i="9"/>
  <c r="L147" i="9" s="1"/>
  <c r="K150" i="9"/>
  <c r="L150" i="9" s="1"/>
  <c r="K166" i="9"/>
  <c r="L166" i="9" s="1"/>
  <c r="K179" i="9"/>
  <c r="L179" i="9" s="1"/>
  <c r="K181" i="9"/>
  <c r="L181" i="9" s="1"/>
  <c r="K205" i="9"/>
  <c r="L205" i="9" s="1"/>
  <c r="K225" i="9"/>
  <c r="L225" i="9" s="1"/>
  <c r="K228" i="9"/>
  <c r="L228" i="9" s="1"/>
  <c r="K430" i="9"/>
  <c r="L430" i="9" s="1"/>
  <c r="K358" i="9"/>
  <c r="L358" i="9" s="1"/>
  <c r="K366" i="9"/>
  <c r="K439" i="9"/>
  <c r="L439" i="9" s="1"/>
  <c r="K468" i="9"/>
  <c r="K476" i="9"/>
  <c r="L476" i="9" s="1"/>
  <c r="K509" i="9"/>
  <c r="L509" i="9" s="1"/>
  <c r="I506" i="9"/>
  <c r="K513" i="9"/>
  <c r="L513" i="9" s="1"/>
  <c r="K528" i="9"/>
  <c r="L528" i="9" s="1"/>
  <c r="K609" i="9"/>
  <c r="L609" i="9"/>
  <c r="K612" i="9"/>
  <c r="L612" i="9" s="1"/>
  <c r="K614" i="9"/>
  <c r="L614" i="9" s="1"/>
  <c r="K628" i="9"/>
  <c r="L628" i="9" s="1"/>
  <c r="K630" i="9"/>
  <c r="L630" i="9" s="1"/>
  <c r="K634" i="9"/>
  <c r="I636" i="9"/>
  <c r="G632" i="9"/>
  <c r="K648" i="9"/>
  <c r="L648" i="9" s="1"/>
  <c r="K651" i="9"/>
  <c r="L651" i="9" s="1"/>
  <c r="K682" i="9"/>
  <c r="L682" i="9" s="1"/>
  <c r="K689" i="9"/>
  <c r="L689" i="9" s="1"/>
  <c r="K738" i="9"/>
  <c r="L738" i="9" s="1"/>
  <c r="K27" i="9"/>
  <c r="L27" i="9" s="1"/>
  <c r="I70" i="9"/>
  <c r="K78" i="9"/>
  <c r="L78" i="9" s="1"/>
  <c r="K96" i="9"/>
  <c r="L96" i="9" s="1"/>
  <c r="G95" i="9"/>
  <c r="I105" i="9"/>
  <c r="I108" i="9"/>
  <c r="K113" i="9"/>
  <c r="K115" i="9"/>
  <c r="L115" i="9" s="1"/>
  <c r="K118" i="9"/>
  <c r="L118" i="9" s="1"/>
  <c r="I116" i="9"/>
  <c r="K120" i="9"/>
  <c r="L120" i="9" s="1"/>
  <c r="K122" i="9"/>
  <c r="K125" i="9"/>
  <c r="L125" i="9" s="1"/>
  <c r="K127" i="9"/>
  <c r="K130" i="9"/>
  <c r="L130" i="9" s="1"/>
  <c r="I152" i="9"/>
  <c r="I175" i="9"/>
  <c r="K178" i="9"/>
  <c r="K196" i="9"/>
  <c r="K198" i="9"/>
  <c r="K232" i="9"/>
  <c r="L232" i="9" s="1"/>
  <c r="I240" i="9"/>
  <c r="K242" i="9"/>
  <c r="L242" i="9" s="1"/>
  <c r="I248" i="9"/>
  <c r="K251" i="9"/>
  <c r="L251" i="9" s="1"/>
  <c r="I258" i="9"/>
  <c r="K260" i="9"/>
  <c r="L260" i="9" s="1"/>
  <c r="I266" i="9"/>
  <c r="K268" i="9"/>
  <c r="L268" i="9" s="1"/>
  <c r="I275" i="9"/>
  <c r="K277" i="9"/>
  <c r="L277" i="9" s="1"/>
  <c r="I290" i="9"/>
  <c r="I305" i="9"/>
  <c r="I307" i="9"/>
  <c r="K312" i="9"/>
  <c r="L312" i="9" s="1"/>
  <c r="K314" i="9"/>
  <c r="L314" i="9" s="1"/>
  <c r="K316" i="9"/>
  <c r="K320" i="9"/>
  <c r="L320" i="9" s="1"/>
  <c r="K322" i="9"/>
  <c r="L322" i="9" s="1"/>
  <c r="K324" i="9"/>
  <c r="K327" i="9"/>
  <c r="K329" i="9"/>
  <c r="L329" i="9" s="1"/>
  <c r="K331" i="9"/>
  <c r="L331" i="9" s="1"/>
  <c r="G309" i="9"/>
  <c r="K357" i="9"/>
  <c r="L357" i="9" s="1"/>
  <c r="K417" i="9"/>
  <c r="L417" i="9" s="1"/>
  <c r="K422" i="9"/>
  <c r="L422" i="9" s="1"/>
  <c r="K426" i="9"/>
  <c r="L426" i="9" s="1"/>
  <c r="K462" i="9"/>
  <c r="L462" i="9" s="1"/>
  <c r="K474" i="9"/>
  <c r="L474" i="9" s="1"/>
  <c r="K517" i="9"/>
  <c r="L517" i="9" s="1"/>
  <c r="K526" i="9"/>
  <c r="L526" i="9" s="1"/>
  <c r="K550" i="9"/>
  <c r="L550" i="9" s="1"/>
  <c r="K620" i="9"/>
  <c r="L620" i="9" s="1"/>
  <c r="G87" i="9"/>
  <c r="I87" i="9" s="1"/>
  <c r="G89" i="9"/>
  <c r="I89" i="9" s="1"/>
  <c r="G91" i="9"/>
  <c r="I91" i="9" s="1"/>
  <c r="G93" i="9"/>
  <c r="I93" i="9" s="1"/>
  <c r="K102" i="9"/>
  <c r="L102" i="9" s="1"/>
  <c r="K164" i="9"/>
  <c r="L164" i="9" s="1"/>
  <c r="K177" i="9"/>
  <c r="L177" i="9" s="1"/>
  <c r="K183" i="9"/>
  <c r="L183" i="9" s="1"/>
  <c r="K186" i="9"/>
  <c r="L186" i="9" s="1"/>
  <c r="K188" i="9"/>
  <c r="L188" i="9" s="1"/>
  <c r="K190" i="9"/>
  <c r="L190" i="9" s="1"/>
  <c r="I193" i="9"/>
  <c r="I204" i="9"/>
  <c r="K206" i="9"/>
  <c r="L206" i="9" s="1"/>
  <c r="K213" i="9"/>
  <c r="L213" i="9" s="1"/>
  <c r="K218" i="9"/>
  <c r="L218" i="9" s="1"/>
  <c r="K230" i="9"/>
  <c r="L230" i="9" s="1"/>
  <c r="K241" i="9"/>
  <c r="L241" i="9" s="1"/>
  <c r="K249" i="9"/>
  <c r="L249" i="9" s="1"/>
  <c r="K259" i="9"/>
  <c r="L259" i="9" s="1"/>
  <c r="K267" i="9"/>
  <c r="L267" i="9" s="1"/>
  <c r="K276" i="9"/>
  <c r="L276" i="9" s="1"/>
  <c r="G279" i="9"/>
  <c r="K286" i="9"/>
  <c r="L286" i="9" s="1"/>
  <c r="K291" i="9"/>
  <c r="L291" i="9" s="1"/>
  <c r="L298" i="9"/>
  <c r="K300" i="9"/>
  <c r="L300" i="9" s="1"/>
  <c r="K304" i="9"/>
  <c r="L339" i="9"/>
  <c r="L347" i="9"/>
  <c r="K356" i="9"/>
  <c r="L356" i="9" s="1"/>
  <c r="K361" i="9"/>
  <c r="L361" i="9" s="1"/>
  <c r="L366" i="9"/>
  <c r="K432" i="9"/>
  <c r="L432" i="9" s="1"/>
  <c r="K449" i="9"/>
  <c r="L449" i="9" s="1"/>
  <c r="K459" i="9"/>
  <c r="L459" i="9" s="1"/>
  <c r="I469" i="9"/>
  <c r="K470" i="9"/>
  <c r="L470" i="9" s="1"/>
  <c r="K471" i="9"/>
  <c r="L471" i="9" s="1"/>
  <c r="K473" i="9"/>
  <c r="L473" i="9" s="1"/>
  <c r="K512" i="9"/>
  <c r="L512" i="9" s="1"/>
  <c r="K515" i="9"/>
  <c r="L515" i="9" s="1"/>
  <c r="K516" i="9"/>
  <c r="L516" i="9" s="1"/>
  <c r="K531" i="9"/>
  <c r="L531" i="9" s="1"/>
  <c r="I597" i="9"/>
  <c r="K599" i="9"/>
  <c r="L599" i="9" s="1"/>
  <c r="L626" i="9"/>
  <c r="K644" i="9"/>
  <c r="L644" i="9" s="1"/>
  <c r="K647" i="9"/>
  <c r="L647" i="9" s="1"/>
  <c r="K683" i="9"/>
  <c r="L683" i="9" s="1"/>
  <c r="K686" i="9"/>
  <c r="L686" i="9" s="1"/>
  <c r="K687" i="9"/>
  <c r="L687" i="9" s="1"/>
  <c r="K693" i="9"/>
  <c r="L693" i="9" s="1"/>
  <c r="K696" i="9"/>
  <c r="L696" i="9" s="1"/>
  <c r="K698" i="9"/>
  <c r="L698" i="9" s="1"/>
  <c r="K55" i="9"/>
  <c r="L55" i="9" s="1"/>
  <c r="I71" i="9"/>
  <c r="K73" i="9"/>
  <c r="L73" i="9" s="1"/>
  <c r="K82" i="9"/>
  <c r="L82" i="9" s="1"/>
  <c r="I99" i="9"/>
  <c r="I95" i="9" s="1"/>
  <c r="K103" i="9"/>
  <c r="L103" i="9" s="1"/>
  <c r="K107" i="9"/>
  <c r="L107" i="9" s="1"/>
  <c r="L113" i="9"/>
  <c r="L122" i="9"/>
  <c r="L127" i="9"/>
  <c r="I133" i="9"/>
  <c r="I135" i="9"/>
  <c r="K138" i="9"/>
  <c r="K155" i="9"/>
  <c r="L155" i="9" s="1"/>
  <c r="K159" i="9"/>
  <c r="K158" i="9" s="1"/>
  <c r="K165" i="9"/>
  <c r="L165" i="9" s="1"/>
  <c r="I169" i="9"/>
  <c r="I171" i="9"/>
  <c r="I172" i="9"/>
  <c r="L178" i="9"/>
  <c r="I180" i="9"/>
  <c r="K182" i="9"/>
  <c r="L182" i="9" s="1"/>
  <c r="K185" i="9"/>
  <c r="L185" i="9" s="1"/>
  <c r="K187" i="9"/>
  <c r="L187" i="9" s="1"/>
  <c r="K189" i="9"/>
  <c r="L189" i="9" s="1"/>
  <c r="K191" i="9"/>
  <c r="L191" i="9" s="1"/>
  <c r="L195" i="9"/>
  <c r="L196" i="9"/>
  <c r="L197" i="9"/>
  <c r="L199" i="9"/>
  <c r="K208" i="9"/>
  <c r="L208" i="9" s="1"/>
  <c r="K216" i="9"/>
  <c r="L216" i="9" s="1"/>
  <c r="L220" i="9"/>
  <c r="I224" i="9"/>
  <c r="K226" i="9"/>
  <c r="L226" i="9" s="1"/>
  <c r="K227" i="9"/>
  <c r="L227" i="9" s="1"/>
  <c r="I234" i="9"/>
  <c r="K236" i="9"/>
  <c r="L236" i="9" s="1"/>
  <c r="K239" i="9"/>
  <c r="L239" i="9" s="1"/>
  <c r="I244" i="9"/>
  <c r="K246" i="9"/>
  <c r="L246" i="9" s="1"/>
  <c r="K247" i="9"/>
  <c r="L247" i="9" s="1"/>
  <c r="I253" i="9"/>
  <c r="K255" i="9"/>
  <c r="L255" i="9" s="1"/>
  <c r="K256" i="9"/>
  <c r="L256" i="9" s="1"/>
  <c r="I262" i="9"/>
  <c r="K264" i="9"/>
  <c r="L264" i="9" s="1"/>
  <c r="K265" i="9"/>
  <c r="L265" i="9" s="1"/>
  <c r="I270" i="9"/>
  <c r="K273" i="9"/>
  <c r="L273" i="9" s="1"/>
  <c r="K274" i="9"/>
  <c r="L274" i="9" s="1"/>
  <c r="I283" i="9"/>
  <c r="K285" i="9"/>
  <c r="L285" i="9" s="1"/>
  <c r="K287" i="9"/>
  <c r="L287" i="9" s="1"/>
  <c r="K292" i="9"/>
  <c r="L292" i="9" s="1"/>
  <c r="I297" i="9"/>
  <c r="K301" i="9"/>
  <c r="L301" i="9" s="1"/>
  <c r="L316" i="9"/>
  <c r="L317" i="9"/>
  <c r="L319" i="9"/>
  <c r="L324" i="9"/>
  <c r="L327" i="9"/>
  <c r="L328" i="9"/>
  <c r="L341" i="9"/>
  <c r="L350" i="9"/>
  <c r="I351" i="9"/>
  <c r="K352" i="9"/>
  <c r="L352" i="9" s="1"/>
  <c r="K354" i="9"/>
  <c r="L354" i="9" s="1"/>
  <c r="K362" i="9"/>
  <c r="L362" i="9" s="1"/>
  <c r="L368" i="9"/>
  <c r="K375" i="9"/>
  <c r="L375" i="9" s="1"/>
  <c r="K415" i="9"/>
  <c r="I414" i="9"/>
  <c r="K434" i="9"/>
  <c r="L434" i="9" s="1"/>
  <c r="K436" i="9"/>
  <c r="L436" i="9" s="1"/>
  <c r="K440" i="9"/>
  <c r="L440" i="9" s="1"/>
  <c r="I446" i="9"/>
  <c r="I456" i="9"/>
  <c r="K458" i="9"/>
  <c r="L458" i="9" s="1"/>
  <c r="K464" i="9"/>
  <c r="L464" i="9" s="1"/>
  <c r="K465" i="9"/>
  <c r="L465" i="9" s="1"/>
  <c r="K478" i="9"/>
  <c r="L478" i="9" s="1"/>
  <c r="K480" i="9"/>
  <c r="L480" i="9" s="1"/>
  <c r="K539" i="9"/>
  <c r="K548" i="9"/>
  <c r="L548" i="9" s="1"/>
  <c r="K691" i="9"/>
  <c r="L691" i="9" s="1"/>
  <c r="K692" i="9"/>
  <c r="L692" i="9" s="1"/>
  <c r="K699" i="9"/>
  <c r="L699" i="9" s="1"/>
  <c r="K701" i="9"/>
  <c r="L701" i="9" s="1"/>
  <c r="G85" i="9"/>
  <c r="I85" i="9" s="1"/>
  <c r="G132" i="9"/>
  <c r="G172" i="9"/>
  <c r="I335" i="9"/>
  <c r="I340" i="9"/>
  <c r="I344" i="9"/>
  <c r="I348" i="9"/>
  <c r="I369" i="9"/>
  <c r="I377" i="9"/>
  <c r="I379" i="9"/>
  <c r="I381" i="9"/>
  <c r="I383" i="9"/>
  <c r="I385" i="9"/>
  <c r="I387" i="9"/>
  <c r="I389" i="9"/>
  <c r="I391" i="9"/>
  <c r="I393" i="9"/>
  <c r="I395" i="9"/>
  <c r="I397" i="9"/>
  <c r="I399" i="9"/>
  <c r="I401" i="9"/>
  <c r="I403" i="9"/>
  <c r="I405" i="9"/>
  <c r="I407" i="9"/>
  <c r="I409" i="9"/>
  <c r="I411" i="9"/>
  <c r="I413" i="9"/>
  <c r="K416" i="9"/>
  <c r="L416" i="9" s="1"/>
  <c r="K418" i="9"/>
  <c r="L418" i="9" s="1"/>
  <c r="K421" i="9"/>
  <c r="I419" i="9"/>
  <c r="K423" i="9"/>
  <c r="L423" i="9" s="1"/>
  <c r="K425" i="9"/>
  <c r="I424" i="9"/>
  <c r="I433" i="9"/>
  <c r="K479" i="9"/>
  <c r="L479" i="9" s="1"/>
  <c r="L482" i="9"/>
  <c r="L486" i="9"/>
  <c r="L490" i="9"/>
  <c r="L492" i="9"/>
  <c r="L494" i="9"/>
  <c r="L496" i="9"/>
  <c r="L498" i="9"/>
  <c r="L500" i="9"/>
  <c r="L502" i="9"/>
  <c r="K590" i="9"/>
  <c r="K615" i="9"/>
  <c r="L615" i="9" s="1"/>
  <c r="L617" i="9"/>
  <c r="I332" i="9"/>
  <c r="I338" i="9"/>
  <c r="I342" i="9"/>
  <c r="I346" i="9"/>
  <c r="L355" i="9"/>
  <c r="I363" i="9"/>
  <c r="I359" i="9" s="1"/>
  <c r="I367" i="9"/>
  <c r="K370" i="9"/>
  <c r="L370" i="9" s="1"/>
  <c r="K372" i="9"/>
  <c r="K371" i="9" s="1"/>
  <c r="I371" i="9"/>
  <c r="K374" i="9"/>
  <c r="I373" i="9"/>
  <c r="I429" i="9"/>
  <c r="K431" i="9"/>
  <c r="L431" i="9" s="1"/>
  <c r="K435" i="9"/>
  <c r="L435" i="9" s="1"/>
  <c r="L443" i="9"/>
  <c r="L448" i="9"/>
  <c r="L450" i="9"/>
  <c r="K530" i="9"/>
  <c r="L530" i="9" s="1"/>
  <c r="L545" i="9"/>
  <c r="K555" i="9"/>
  <c r="L555" i="9" s="1"/>
  <c r="L601" i="9"/>
  <c r="L607" i="9"/>
  <c r="K623" i="9"/>
  <c r="L623" i="9" s="1"/>
  <c r="G376" i="9"/>
  <c r="G414" i="9"/>
  <c r="G427" i="9"/>
  <c r="I442" i="9"/>
  <c r="K453" i="9"/>
  <c r="G521" i="9"/>
  <c r="I540" i="9"/>
  <c r="K542" i="9"/>
  <c r="L542" i="9" s="1"/>
  <c r="K554" i="9"/>
  <c r="L554" i="9" s="1"/>
  <c r="K556" i="9"/>
  <c r="L556" i="9" s="1"/>
  <c r="I591" i="9"/>
  <c r="I593" i="9"/>
  <c r="I600" i="9"/>
  <c r="K604" i="9"/>
  <c r="L604" i="9" s="1"/>
  <c r="K638" i="9"/>
  <c r="L638" i="9" s="1"/>
  <c r="K690" i="9"/>
  <c r="L690" i="9" s="1"/>
  <c r="K700" i="9"/>
  <c r="L700" i="9" s="1"/>
  <c r="G736" i="9"/>
  <c r="I737" i="9"/>
  <c r="K745" i="9"/>
  <c r="L745" i="9" s="1"/>
  <c r="K746" i="9"/>
  <c r="L746" i="9" s="1"/>
  <c r="L454" i="9"/>
  <c r="I455" i="9"/>
  <c r="K457" i="9"/>
  <c r="L457" i="9" s="1"/>
  <c r="K461" i="9"/>
  <c r="L461" i="9" s="1"/>
  <c r="K463" i="9"/>
  <c r="L463" i="9" s="1"/>
  <c r="L481" i="9"/>
  <c r="I483" i="9"/>
  <c r="I485" i="9"/>
  <c r="I487" i="9"/>
  <c r="I489" i="9"/>
  <c r="I491" i="9"/>
  <c r="I493" i="9"/>
  <c r="I495" i="9"/>
  <c r="I497" i="9"/>
  <c r="I499" i="9"/>
  <c r="I501" i="9"/>
  <c r="I503" i="9"/>
  <c r="K514" i="9"/>
  <c r="L514" i="9" s="1"/>
  <c r="K520" i="9"/>
  <c r="L520" i="9" s="1"/>
  <c r="L524" i="9"/>
  <c r="I525" i="9"/>
  <c r="K527" i="9"/>
  <c r="L527" i="9" s="1"/>
  <c r="K529" i="9"/>
  <c r="L529" i="9" s="1"/>
  <c r="K532" i="9"/>
  <c r="L532" i="9" s="1"/>
  <c r="K535" i="9"/>
  <c r="L535" i="9" s="1"/>
  <c r="G537" i="9"/>
  <c r="L543" i="9"/>
  <c r="I544" i="9"/>
  <c r="I547" i="9"/>
  <c r="K549" i="9"/>
  <c r="L549" i="9" s="1"/>
  <c r="L552" i="9"/>
  <c r="L557" i="9"/>
  <c r="I558" i="9"/>
  <c r="I560" i="9"/>
  <c r="I562" i="9"/>
  <c r="I565" i="9"/>
  <c r="I567" i="9"/>
  <c r="I569" i="9"/>
  <c r="I571" i="9"/>
  <c r="I574" i="9"/>
  <c r="I576" i="9"/>
  <c r="I578" i="9"/>
  <c r="I580" i="9"/>
  <c r="I582" i="9"/>
  <c r="I584" i="9"/>
  <c r="I587" i="9"/>
  <c r="K598" i="9"/>
  <c r="L598" i="9" s="1"/>
  <c r="I606" i="9"/>
  <c r="K608" i="9"/>
  <c r="L608" i="9" s="1"/>
  <c r="L616" i="9"/>
  <c r="K622" i="9"/>
  <c r="L622" i="9" s="1"/>
  <c r="K625" i="9"/>
  <c r="L625" i="9" s="1"/>
  <c r="K641" i="9"/>
  <c r="L641" i="9" s="1"/>
  <c r="K685" i="9"/>
  <c r="L685" i="9" s="1"/>
  <c r="K694" i="9"/>
  <c r="L694" i="9" s="1"/>
  <c r="G588" i="9"/>
  <c r="I646" i="9"/>
  <c r="K649" i="9"/>
  <c r="L649" i="9" s="1"/>
  <c r="I704" i="9"/>
  <c r="G702" i="9"/>
  <c r="L707" i="9"/>
  <c r="L708" i="9"/>
  <c r="I720" i="9"/>
  <c r="K721" i="9"/>
  <c r="L721" i="9" s="1"/>
  <c r="K735" i="9"/>
  <c r="L735" i="9" s="1"/>
  <c r="L756" i="9"/>
  <c r="I757" i="9"/>
  <c r="L627" i="9"/>
  <c r="K629" i="9"/>
  <c r="L629" i="9" s="1"/>
  <c r="L635" i="9"/>
  <c r="L643" i="9"/>
  <c r="K645" i="9"/>
  <c r="L645" i="9" s="1"/>
  <c r="I650" i="9"/>
  <c r="K705" i="9"/>
  <c r="L705" i="9" s="1"/>
  <c r="K706" i="9"/>
  <c r="L706" i="9" s="1"/>
  <c r="K709" i="9"/>
  <c r="L709" i="9" s="1"/>
  <c r="K710" i="9"/>
  <c r="L710" i="9" s="1"/>
  <c r="I722" i="9"/>
  <c r="L723" i="9"/>
  <c r="K723" i="9"/>
  <c r="G724" i="9"/>
  <c r="I733" i="9"/>
  <c r="K676" i="9"/>
  <c r="I675" i="9"/>
  <c r="K677" i="9"/>
  <c r="L677" i="9" s="1"/>
  <c r="K680" i="9"/>
  <c r="L680" i="9" s="1"/>
  <c r="K712" i="9"/>
  <c r="L712" i="9" s="1"/>
  <c r="K713" i="9"/>
  <c r="L713" i="9" s="1"/>
  <c r="K714" i="9"/>
  <c r="L714" i="9" s="1"/>
  <c r="K715" i="9"/>
  <c r="L715" i="9" s="1"/>
  <c r="K716" i="9"/>
  <c r="L716" i="9" s="1"/>
  <c r="K726" i="9"/>
  <c r="L726" i="9" s="1"/>
  <c r="K728" i="9"/>
  <c r="L728" i="9" s="1"/>
  <c r="K730" i="9"/>
  <c r="L730" i="9" s="1"/>
  <c r="I654" i="9"/>
  <c r="I655" i="9"/>
  <c r="I656" i="9"/>
  <c r="I657" i="9"/>
  <c r="I658" i="9"/>
  <c r="I659" i="9"/>
  <c r="I660" i="9"/>
  <c r="I661" i="9"/>
  <c r="I662" i="9"/>
  <c r="I663" i="9"/>
  <c r="I665" i="9"/>
  <c r="I666" i="9"/>
  <c r="I667" i="9"/>
  <c r="I668" i="9"/>
  <c r="I669" i="9"/>
  <c r="I670" i="9"/>
  <c r="I671" i="9"/>
  <c r="I672" i="9"/>
  <c r="I673" i="9"/>
  <c r="I674" i="9"/>
  <c r="K679" i="9"/>
  <c r="L679" i="9" s="1"/>
  <c r="K681" i="9"/>
  <c r="L681" i="9" s="1"/>
  <c r="G675" i="9"/>
  <c r="K727" i="9"/>
  <c r="L727" i="9" s="1"/>
  <c r="K729" i="9"/>
  <c r="L729" i="9" s="1"/>
  <c r="K731" i="9"/>
  <c r="L731" i="9" s="1"/>
  <c r="H753" i="9"/>
  <c r="H755" i="9"/>
  <c r="H757" i="9"/>
  <c r="H759" i="9"/>
  <c r="H762" i="9"/>
  <c r="I466" i="9" l="1"/>
  <c r="L211" i="9"/>
  <c r="I309" i="9"/>
  <c r="L318" i="9"/>
  <c r="G160" i="9"/>
  <c r="K193" i="9"/>
  <c r="L198" i="9"/>
  <c r="K414" i="9"/>
  <c r="K667" i="9"/>
  <c r="L667" i="9" s="1"/>
  <c r="K650" i="9"/>
  <c r="L650" i="9" s="1"/>
  <c r="I702" i="9"/>
  <c r="K704" i="9"/>
  <c r="L704" i="9" s="1"/>
  <c r="K587" i="9"/>
  <c r="L587" i="9" s="1"/>
  <c r="K569" i="9"/>
  <c r="L569" i="9" s="1"/>
  <c r="K493" i="9"/>
  <c r="L493" i="9" s="1"/>
  <c r="K593" i="9"/>
  <c r="L593" i="9" s="1"/>
  <c r="K411" i="9"/>
  <c r="L411" i="9" s="1"/>
  <c r="K395" i="9"/>
  <c r="L395" i="9" s="1"/>
  <c r="K379" i="9"/>
  <c r="L379" i="9" s="1"/>
  <c r="I444" i="9"/>
  <c r="K446" i="9"/>
  <c r="K444" i="9" s="1"/>
  <c r="K297" i="9"/>
  <c r="L297" i="9" s="1"/>
  <c r="K283" i="9"/>
  <c r="L283" i="9" s="1"/>
  <c r="L138" i="9"/>
  <c r="L116" i="9"/>
  <c r="I594" i="9"/>
  <c r="K597" i="9"/>
  <c r="L597" i="9" s="1"/>
  <c r="K93" i="9"/>
  <c r="L93" i="9" s="1"/>
  <c r="K305" i="9"/>
  <c r="L305" i="9" s="1"/>
  <c r="K248" i="9"/>
  <c r="L248" i="9" s="1"/>
  <c r="K116" i="9"/>
  <c r="L506" i="9"/>
  <c r="K90" i="9"/>
  <c r="L90" i="9" s="1"/>
  <c r="K674" i="9"/>
  <c r="L674" i="9" s="1"/>
  <c r="K670" i="9"/>
  <c r="L670" i="9" s="1"/>
  <c r="K666" i="9"/>
  <c r="L666" i="9" s="1"/>
  <c r="K661" i="9"/>
  <c r="L661" i="9"/>
  <c r="K657" i="9"/>
  <c r="L657" i="9" s="1"/>
  <c r="K606" i="9"/>
  <c r="L606" i="9" s="1"/>
  <c r="K584" i="9"/>
  <c r="L584" i="9" s="1"/>
  <c r="K576" i="9"/>
  <c r="L576" i="9" s="1"/>
  <c r="K567" i="9"/>
  <c r="L567" i="9" s="1"/>
  <c r="K558" i="9"/>
  <c r="L558" i="9" s="1"/>
  <c r="K547" i="9"/>
  <c r="L547" i="9" s="1"/>
  <c r="G536" i="9"/>
  <c r="G137" i="9" s="1"/>
  <c r="K499" i="9"/>
  <c r="L499" i="9" s="1"/>
  <c r="K491" i="9"/>
  <c r="L491" i="9" s="1"/>
  <c r="K483" i="9"/>
  <c r="L483" i="9" s="1"/>
  <c r="K591" i="9"/>
  <c r="L591" i="9" s="1"/>
  <c r="K540" i="9"/>
  <c r="I537" i="9"/>
  <c r="K442" i="9"/>
  <c r="L442" i="9" s="1"/>
  <c r="K373" i="9"/>
  <c r="K367" i="9"/>
  <c r="L367" i="9" s="1"/>
  <c r="K346" i="9"/>
  <c r="L346" i="9" s="1"/>
  <c r="I588" i="9"/>
  <c r="K424" i="9"/>
  <c r="L425" i="9"/>
  <c r="L424" i="9" s="1"/>
  <c r="K409" i="9"/>
  <c r="L409" i="9" s="1"/>
  <c r="K401" i="9"/>
  <c r="L401" i="9" s="1"/>
  <c r="K393" i="9"/>
  <c r="L393" i="9"/>
  <c r="K385" i="9"/>
  <c r="L385" i="9" s="1"/>
  <c r="K377" i="9"/>
  <c r="L377" i="9" s="1"/>
  <c r="I376" i="9"/>
  <c r="K340" i="9"/>
  <c r="L340" i="9" s="1"/>
  <c r="K85" i="9"/>
  <c r="L85" i="9" s="1"/>
  <c r="K351" i="9"/>
  <c r="L351" i="9" s="1"/>
  <c r="K270" i="9"/>
  <c r="L270" i="9" s="1"/>
  <c r="K262" i="9"/>
  <c r="L262" i="9" s="1"/>
  <c r="K253" i="9"/>
  <c r="L253" i="9" s="1"/>
  <c r="K244" i="9"/>
  <c r="L244" i="9" s="1"/>
  <c r="K234" i="9"/>
  <c r="L234" i="9" s="1"/>
  <c r="K224" i="9"/>
  <c r="L224" i="9" s="1"/>
  <c r="L193" i="9"/>
  <c r="K135" i="9"/>
  <c r="L135" i="9" s="1"/>
  <c r="K99" i="9"/>
  <c r="L99" i="9" s="1"/>
  <c r="I303" i="9"/>
  <c r="K91" i="9"/>
  <c r="L91" i="9" s="1"/>
  <c r="K258" i="9"/>
  <c r="L258" i="9"/>
  <c r="K175" i="9"/>
  <c r="L175" i="9" s="1"/>
  <c r="K152" i="9"/>
  <c r="L152" i="9" s="1"/>
  <c r="K105" i="9"/>
  <c r="L105" i="9" s="1"/>
  <c r="K70" i="9"/>
  <c r="L70" i="9" s="1"/>
  <c r="L634" i="9"/>
  <c r="I365" i="9"/>
  <c r="I279" i="9"/>
  <c r="K671" i="9"/>
  <c r="L671" i="9" s="1"/>
  <c r="K662" i="9"/>
  <c r="L662" i="9"/>
  <c r="K658" i="9"/>
  <c r="L658" i="9" s="1"/>
  <c r="K654" i="9"/>
  <c r="L654" i="9" s="1"/>
  <c r="K720" i="9"/>
  <c r="L720" i="9" s="1"/>
  <c r="K578" i="9"/>
  <c r="L578" i="9" s="1"/>
  <c r="K560" i="9"/>
  <c r="L560" i="9" s="1"/>
  <c r="K501" i="9"/>
  <c r="L501" i="9" s="1"/>
  <c r="K485" i="9"/>
  <c r="L485" i="9" s="1"/>
  <c r="L453" i="9"/>
  <c r="K332" i="9"/>
  <c r="L332" i="9" s="1"/>
  <c r="K419" i="9"/>
  <c r="L421" i="9"/>
  <c r="L419" i="9" s="1"/>
  <c r="K403" i="9"/>
  <c r="L403" i="9" s="1"/>
  <c r="K387" i="9"/>
  <c r="L387" i="9" s="1"/>
  <c r="K344" i="9"/>
  <c r="L344" i="9" s="1"/>
  <c r="K673" i="9"/>
  <c r="L673" i="9" s="1"/>
  <c r="K669" i="9"/>
  <c r="L669" i="9" s="1"/>
  <c r="K665" i="9"/>
  <c r="L665" i="9" s="1"/>
  <c r="K660" i="9"/>
  <c r="L660" i="9" s="1"/>
  <c r="K656" i="9"/>
  <c r="L656" i="9" s="1"/>
  <c r="K675" i="9"/>
  <c r="L676" i="9"/>
  <c r="L675" i="9" s="1"/>
  <c r="I724" i="9"/>
  <c r="K733" i="9"/>
  <c r="K724" i="9" s="1"/>
  <c r="K757" i="9"/>
  <c r="K755" i="9" s="1"/>
  <c r="I755" i="9"/>
  <c r="K582" i="9"/>
  <c r="L582" i="9" s="1"/>
  <c r="K574" i="9"/>
  <c r="L574" i="9" s="1"/>
  <c r="K565" i="9"/>
  <c r="L565" i="9" s="1"/>
  <c r="K525" i="9"/>
  <c r="K521" i="9" s="1"/>
  <c r="I521" i="9"/>
  <c r="K497" i="9"/>
  <c r="L497" i="9" s="1"/>
  <c r="K489" i="9"/>
  <c r="L489" i="9" s="1"/>
  <c r="K363" i="9"/>
  <c r="L363" i="9" s="1"/>
  <c r="L359" i="9" s="1"/>
  <c r="K342" i="9"/>
  <c r="L342" i="9" s="1"/>
  <c r="L590" i="9"/>
  <c r="K407" i="9"/>
  <c r="L407" i="9" s="1"/>
  <c r="K399" i="9"/>
  <c r="L399" i="9" s="1"/>
  <c r="K391" i="9"/>
  <c r="L391" i="9"/>
  <c r="K383" i="9"/>
  <c r="L383" i="9" s="1"/>
  <c r="K369" i="9"/>
  <c r="L369" i="9" s="1"/>
  <c r="K335" i="9"/>
  <c r="L335" i="9" s="1"/>
  <c r="L415" i="9"/>
  <c r="L414" i="9" s="1"/>
  <c r="K171" i="9"/>
  <c r="L171" i="9" s="1"/>
  <c r="K133" i="9"/>
  <c r="I132" i="9"/>
  <c r="I68" i="9" s="1"/>
  <c r="K71" i="9"/>
  <c r="L71" i="9" s="1"/>
  <c r="K469" i="9"/>
  <c r="L469" i="9" s="1"/>
  <c r="L304" i="9"/>
  <c r="K89" i="9"/>
  <c r="L89" i="9" s="1"/>
  <c r="K266" i="9"/>
  <c r="L266" i="9" s="1"/>
  <c r="K636" i="9"/>
  <c r="L636" i="9" s="1"/>
  <c r="K506" i="9"/>
  <c r="I161" i="9"/>
  <c r="I160" i="9" s="1"/>
  <c r="K162" i="9"/>
  <c r="L162" i="9" s="1"/>
  <c r="K145" i="9"/>
  <c r="L145" i="9" s="1"/>
  <c r="K672" i="9"/>
  <c r="L672" i="9" s="1"/>
  <c r="K668" i="9"/>
  <c r="L668" i="9" s="1"/>
  <c r="K663" i="9"/>
  <c r="L663" i="9" s="1"/>
  <c r="K659" i="9"/>
  <c r="L659" i="9" s="1"/>
  <c r="K655" i="9"/>
  <c r="L655" i="9" s="1"/>
  <c r="K722" i="9"/>
  <c r="L722" i="9" s="1"/>
  <c r="K646" i="9"/>
  <c r="L646" i="9" s="1"/>
  <c r="K580" i="9"/>
  <c r="L580" i="9" s="1"/>
  <c r="K571" i="9"/>
  <c r="L571" i="9"/>
  <c r="K562" i="9"/>
  <c r="L562" i="9" s="1"/>
  <c r="K544" i="9"/>
  <c r="L544" i="9" s="1"/>
  <c r="K503" i="9"/>
  <c r="L503" i="9" s="1"/>
  <c r="K495" i="9"/>
  <c r="L495" i="9" s="1"/>
  <c r="K487" i="9"/>
  <c r="L487" i="9" s="1"/>
  <c r="K455" i="9"/>
  <c r="K737" i="9"/>
  <c r="K736" i="9" s="1"/>
  <c r="I736" i="9"/>
  <c r="K600" i="9"/>
  <c r="L600" i="9" s="1"/>
  <c r="I451" i="9"/>
  <c r="K429" i="9"/>
  <c r="L429" i="9" s="1"/>
  <c r="I427" i="9"/>
  <c r="K338" i="9"/>
  <c r="L338" i="9" s="1"/>
  <c r="K433" i="9"/>
  <c r="L433" i="9" s="1"/>
  <c r="K413" i="9"/>
  <c r="L413" i="9" s="1"/>
  <c r="K405" i="9"/>
  <c r="L405" i="9" s="1"/>
  <c r="K397" i="9"/>
  <c r="L397" i="9" s="1"/>
  <c r="K389" i="9"/>
  <c r="L389" i="9" s="1"/>
  <c r="K381" i="9"/>
  <c r="L381" i="9" s="1"/>
  <c r="K348" i="9"/>
  <c r="L348" i="9" s="1"/>
  <c r="L539" i="9"/>
  <c r="K456" i="9"/>
  <c r="L456" i="9" s="1"/>
  <c r="L372" i="9"/>
  <c r="L371" i="9" s="1"/>
  <c r="K180" i="9"/>
  <c r="L180" i="9" s="1"/>
  <c r="K169" i="9"/>
  <c r="L169" i="9" s="1"/>
  <c r="L468" i="9"/>
  <c r="I201" i="9"/>
  <c r="K204" i="9"/>
  <c r="K87" i="9"/>
  <c r="L87" i="9" s="1"/>
  <c r="L374" i="9"/>
  <c r="L373" i="9" s="1"/>
  <c r="K307" i="9"/>
  <c r="L307" i="9" s="1"/>
  <c r="K290" i="9"/>
  <c r="L290" i="9" s="1"/>
  <c r="K275" i="9"/>
  <c r="L275" i="9" s="1"/>
  <c r="K240" i="9"/>
  <c r="L240" i="9"/>
  <c r="L159" i="9"/>
  <c r="L158" i="9" s="1"/>
  <c r="K108" i="9"/>
  <c r="L108" i="9" s="1"/>
  <c r="G68" i="9"/>
  <c r="I632" i="9"/>
  <c r="K146" i="9"/>
  <c r="L146" i="9" s="1"/>
  <c r="L525" i="9" l="1"/>
  <c r="L521" i="9" s="1"/>
  <c r="L446" i="9"/>
  <c r="L444" i="9" s="1"/>
  <c r="L737" i="9"/>
  <c r="L736" i="9" s="1"/>
  <c r="K451" i="9"/>
  <c r="L365" i="9"/>
  <c r="K303" i="9"/>
  <c r="K132" i="9"/>
  <c r="K359" i="9"/>
  <c r="K537" i="9"/>
  <c r="L594" i="9"/>
  <c r="K279" i="9"/>
  <c r="K95" i="9"/>
  <c r="K201" i="9"/>
  <c r="L733" i="9"/>
  <c r="L724" i="9" s="1"/>
  <c r="L95" i="9"/>
  <c r="L309" i="9"/>
  <c r="L702" i="9"/>
  <c r="L279" i="9"/>
  <c r="L161" i="9"/>
  <c r="K161" i="9"/>
  <c r="K365" i="9"/>
  <c r="K309" i="9"/>
  <c r="L133" i="9"/>
  <c r="L132" i="9" s="1"/>
  <c r="L68" i="9" s="1"/>
  <c r="L588" i="9"/>
  <c r="I536" i="9"/>
  <c r="I137" i="9" s="1"/>
  <c r="L466" i="9"/>
  <c r="K427" i="9"/>
  <c r="K466" i="9"/>
  <c r="K588" i="9"/>
  <c r="K376" i="9"/>
  <c r="L540" i="9"/>
  <c r="L537" i="9" s="1"/>
  <c r="K632" i="9"/>
  <c r="L632" i="9"/>
  <c r="L172" i="9"/>
  <c r="K702" i="9"/>
  <c r="L204" i="9"/>
  <c r="L201" i="9" s="1"/>
  <c r="L427" i="9"/>
  <c r="L455" i="9"/>
  <c r="L451" i="9" s="1"/>
  <c r="L303" i="9"/>
  <c r="L757" i="9"/>
  <c r="L755" i="9" s="1"/>
  <c r="K172" i="9"/>
  <c r="L376" i="9"/>
  <c r="K594" i="9"/>
  <c r="K68" i="9" l="1"/>
  <c r="K536" i="9"/>
  <c r="K160" i="9"/>
  <c r="K137" i="9"/>
  <c r="L160" i="9"/>
  <c r="L536" i="9"/>
  <c r="L137" i="9" l="1"/>
  <c r="F814" i="6"/>
  <c r="F813" i="6"/>
  <c r="F479" i="6"/>
  <c r="F299" i="6"/>
  <c r="F298" i="6"/>
  <c r="F297" i="6"/>
  <c r="F296" i="6"/>
  <c r="F295" i="6"/>
  <c r="F294" i="6"/>
  <c r="F279" i="6"/>
  <c r="F278" i="6"/>
  <c r="F277" i="6"/>
  <c r="F483" i="6"/>
  <c r="F482" i="6"/>
  <c r="E482" i="6"/>
  <c r="F480" i="6"/>
  <c r="F481" i="6"/>
  <c r="F53" i="6"/>
  <c r="F52" i="6"/>
  <c r="F430" i="6"/>
  <c r="F336" i="6"/>
  <c r="F335" i="6"/>
  <c r="F334" i="6"/>
  <c r="F333" i="6"/>
  <c r="F332" i="6"/>
  <c r="F331" i="6"/>
  <c r="F330" i="6"/>
  <c r="F329" i="6"/>
  <c r="F328" i="6"/>
  <c r="F461" i="6"/>
  <c r="F459" i="6"/>
  <c r="F458" i="6"/>
  <c r="F457" i="6"/>
  <c r="F456" i="6"/>
  <c r="F455" i="6"/>
  <c r="F454" i="6"/>
  <c r="F453" i="6"/>
  <c r="F452" i="6"/>
  <c r="F451" i="6"/>
  <c r="F450" i="6"/>
  <c r="F447" i="6"/>
  <c r="F446" i="6"/>
  <c r="F445" i="6"/>
  <c r="F444" i="6"/>
  <c r="F443" i="6"/>
  <c r="F442" i="6"/>
  <c r="F441" i="6"/>
  <c r="F440" i="6"/>
  <c r="E440" i="6"/>
  <c r="F439" i="6"/>
  <c r="F438" i="6"/>
  <c r="F437" i="6"/>
  <c r="F436" i="6"/>
  <c r="F435" i="6"/>
  <c r="E435" i="6"/>
  <c r="F434" i="6"/>
  <c r="E434" i="6"/>
  <c r="F433" i="6"/>
  <c r="E433" i="6"/>
  <c r="F432" i="6"/>
  <c r="E432" i="6"/>
  <c r="F431" i="6"/>
  <c r="E431" i="6"/>
  <c r="E430" i="6"/>
  <c r="F323" i="6"/>
  <c r="F274" i="6"/>
  <c r="F273" i="6"/>
  <c r="E273" i="6"/>
  <c r="F272" i="6"/>
  <c r="E272" i="6"/>
  <c r="F271" i="6"/>
  <c r="F270" i="6"/>
  <c r="F269" i="6"/>
  <c r="F268" i="6"/>
  <c r="E268" i="6"/>
  <c r="F266" i="6"/>
  <c r="F265" i="6"/>
  <c r="F264" i="6"/>
  <c r="E264" i="6"/>
  <c r="F263" i="6"/>
  <c r="E263" i="6"/>
  <c r="F312" i="6"/>
  <c r="E312" i="6"/>
  <c r="F311" i="6"/>
  <c r="E311" i="6"/>
  <c r="F310" i="6"/>
  <c r="E310" i="6"/>
  <c r="F309" i="6"/>
  <c r="E309" i="6"/>
  <c r="F308" i="6"/>
  <c r="E308" i="6"/>
  <c r="F307" i="6"/>
  <c r="E307" i="6"/>
  <c r="F291" i="6"/>
  <c r="F290" i="6"/>
  <c r="E290" i="6"/>
  <c r="F289" i="6"/>
  <c r="E289" i="6"/>
  <c r="F288" i="6"/>
  <c r="E288" i="6"/>
  <c r="F287" i="6"/>
  <c r="E287" i="6"/>
  <c r="F286" i="6"/>
  <c r="E286" i="6"/>
  <c r="F327" i="6"/>
  <c r="E327" i="6"/>
  <c r="F326" i="6"/>
  <c r="E326" i="6"/>
  <c r="F325" i="6"/>
  <c r="E325" i="6"/>
  <c r="F324" i="6"/>
  <c r="E324" i="6"/>
  <c r="E323" i="6"/>
  <c r="F292" i="6"/>
  <c r="F275" i="6"/>
  <c r="F315" i="6"/>
  <c r="F379" i="6"/>
  <c r="F427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2" i="6"/>
  <c r="F411" i="6"/>
  <c r="F410" i="6"/>
  <c r="F409" i="6"/>
  <c r="F408" i="6"/>
  <c r="F407" i="6"/>
  <c r="F406" i="6"/>
  <c r="F405" i="6"/>
  <c r="F404" i="6"/>
  <c r="F402" i="6"/>
  <c r="F401" i="6"/>
  <c r="F400" i="6"/>
  <c r="F399" i="6"/>
  <c r="F398" i="6"/>
  <c r="E398" i="6"/>
  <c r="F397" i="6"/>
  <c r="E397" i="6"/>
  <c r="F396" i="6"/>
  <c r="F395" i="6"/>
  <c r="F394" i="6"/>
  <c r="E394" i="6"/>
  <c r="F393" i="6"/>
  <c r="F392" i="6"/>
  <c r="F391" i="6"/>
  <c r="F390" i="6"/>
  <c r="E390" i="6"/>
  <c r="F389" i="6"/>
  <c r="E389" i="6"/>
  <c r="F388" i="6"/>
  <c r="E388" i="6"/>
  <c r="F387" i="6"/>
  <c r="E387" i="6"/>
  <c r="F386" i="6"/>
  <c r="F385" i="6"/>
  <c r="E385" i="6"/>
  <c r="F384" i="6"/>
  <c r="E384" i="6"/>
  <c r="F383" i="6"/>
  <c r="E383" i="6"/>
  <c r="F382" i="6"/>
  <c r="E382" i="6"/>
  <c r="E381" i="6"/>
  <c r="F381" i="6"/>
  <c r="F380" i="6"/>
  <c r="E380" i="6"/>
  <c r="E379" i="6"/>
  <c r="F462" i="6"/>
  <c r="F568" i="6"/>
  <c r="F567" i="6" s="1"/>
  <c r="F558" i="6"/>
  <c r="F566" i="6"/>
  <c r="E566" i="6"/>
  <c r="F565" i="6"/>
  <c r="F564" i="6"/>
  <c r="E564" i="6"/>
  <c r="F563" i="6"/>
  <c r="F562" i="6"/>
  <c r="F561" i="6"/>
  <c r="E561" i="6"/>
  <c r="F560" i="6"/>
  <c r="E560" i="6"/>
  <c r="F559" i="6"/>
  <c r="E559" i="6"/>
  <c r="E558" i="6"/>
  <c r="F124" i="6"/>
  <c r="F123" i="6" s="1"/>
  <c r="F113" i="6"/>
  <c r="F122" i="6"/>
  <c r="E122" i="6"/>
  <c r="F121" i="6"/>
  <c r="F120" i="6"/>
  <c r="E120" i="6"/>
  <c r="F119" i="6"/>
  <c r="F118" i="6"/>
  <c r="F117" i="6"/>
  <c r="E117" i="6"/>
  <c r="F116" i="6"/>
  <c r="E116" i="6"/>
  <c r="F115" i="6"/>
  <c r="E115" i="6"/>
  <c r="F114" i="6"/>
  <c r="E114" i="6"/>
  <c r="E113" i="6"/>
  <c r="F339" i="6"/>
  <c r="F375" i="6"/>
  <c r="F376" i="6"/>
  <c r="E376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Q33" i="4"/>
  <c r="R33" i="4" s="1"/>
  <c r="Q67" i="4"/>
  <c r="R67" i="4" s="1"/>
  <c r="Q77" i="4"/>
  <c r="R77" i="4" s="1"/>
  <c r="Q80" i="4"/>
  <c r="R80" i="4" s="1"/>
  <c r="Q87" i="4"/>
  <c r="R87" i="4" s="1"/>
  <c r="Q91" i="4"/>
  <c r="R91" i="4" s="1"/>
  <c r="Q92" i="4"/>
  <c r="R92" i="4" s="1"/>
  <c r="Q93" i="4"/>
  <c r="R93" i="4" s="1"/>
  <c r="Q94" i="4"/>
  <c r="R94" i="4" s="1"/>
  <c r="Q95" i="4"/>
  <c r="R95" i="4" s="1"/>
  <c r="Q113" i="4"/>
  <c r="R113" i="4" s="1"/>
  <c r="Q116" i="4"/>
  <c r="R116" i="4" s="1"/>
  <c r="Q124" i="4"/>
  <c r="R124" i="4" s="1"/>
  <c r="Q146" i="4"/>
  <c r="R146" i="4" s="1"/>
  <c r="F361" i="6"/>
  <c r="F478" i="6" l="1"/>
  <c r="F320" i="6"/>
  <c r="F260" i="6"/>
  <c r="F283" i="6"/>
  <c r="F51" i="6"/>
  <c r="F111" i="6"/>
  <c r="F110" i="6" s="1"/>
  <c r="F556" i="6"/>
  <c r="F555" i="6" s="1"/>
  <c r="F377" i="6"/>
  <c r="F428" i="6"/>
  <c r="F812" i="6"/>
  <c r="F360" i="6" l="1"/>
  <c r="F359" i="6"/>
  <c r="F358" i="6"/>
  <c r="F357" i="6"/>
  <c r="F356" i="6"/>
  <c r="F355" i="6"/>
  <c r="F354" i="6"/>
  <c r="F353" i="6"/>
  <c r="E353" i="6"/>
  <c r="F352" i="6" l="1"/>
  <c r="F351" i="6"/>
  <c r="F349" i="6"/>
  <c r="F348" i="6"/>
  <c r="F347" i="6"/>
  <c r="F345" i="6"/>
  <c r="F344" i="6"/>
  <c r="E344" i="6"/>
  <c r="F343" i="6"/>
  <c r="E343" i="6"/>
  <c r="F342" i="6"/>
  <c r="E342" i="6"/>
  <c r="F341" i="6"/>
  <c r="E341" i="6"/>
  <c r="F340" i="6"/>
  <c r="E340" i="6"/>
  <c r="E339" i="6"/>
  <c r="F465" i="6"/>
  <c r="F477" i="6"/>
  <c r="E477" i="6"/>
  <c r="F476" i="6"/>
  <c r="F337" i="6" l="1"/>
  <c r="F475" i="6"/>
  <c r="F474" i="6"/>
  <c r="F473" i="6"/>
  <c r="E473" i="6"/>
  <c r="F471" i="6"/>
  <c r="F470" i="6"/>
  <c r="E470" i="6"/>
  <c r="F469" i="6"/>
  <c r="E469" i="6"/>
  <c r="F468" i="6"/>
  <c r="E468" i="6"/>
  <c r="F467" i="6"/>
  <c r="E467" i="6"/>
  <c r="F466" i="6"/>
  <c r="E466" i="6"/>
  <c r="E465" i="6"/>
  <c r="F109" i="6"/>
  <c r="F108" i="6"/>
  <c r="F107" i="6"/>
  <c r="F105" i="6"/>
  <c r="F104" i="6"/>
  <c r="F103" i="6"/>
  <c r="F100" i="6"/>
  <c r="F99" i="6"/>
  <c r="F98" i="6"/>
  <c r="F97" i="6"/>
  <c r="F96" i="6"/>
  <c r="F95" i="6"/>
  <c r="F59" i="6"/>
  <c r="F61" i="6"/>
  <c r="F60" i="6"/>
  <c r="F58" i="6"/>
  <c r="F57" i="6"/>
  <c r="F106" i="6" l="1"/>
  <c r="F55" i="6"/>
  <c r="F463" i="6"/>
  <c r="F46" i="6"/>
  <c r="F50" i="6"/>
  <c r="E50" i="6"/>
  <c r="F49" i="6"/>
  <c r="E49" i="6"/>
  <c r="F47" i="6"/>
  <c r="F45" i="6"/>
  <c r="F38" i="6"/>
  <c r="F37" i="6"/>
  <c r="F36" i="6"/>
  <c r="E36" i="6"/>
  <c r="F35" i="6"/>
  <c r="E35" i="6"/>
  <c r="F34" i="6"/>
  <c r="E34" i="6"/>
  <c r="F33" i="6"/>
  <c r="E33" i="6"/>
  <c r="F32" i="6"/>
  <c r="E32" i="6"/>
  <c r="F31" i="6"/>
  <c r="F84" i="6"/>
  <c r="F92" i="6"/>
  <c r="F91" i="6" s="1"/>
  <c r="F94" i="6"/>
  <c r="F102" i="6"/>
  <c r="F101" i="6" s="1"/>
  <c r="F90" i="6"/>
  <c r="E90" i="6"/>
  <c r="F89" i="6"/>
  <c r="E89" i="6"/>
  <c r="F88" i="6"/>
  <c r="F87" i="6"/>
  <c r="E87" i="6"/>
  <c r="F86" i="6"/>
  <c r="F85" i="6"/>
  <c r="E85" i="6"/>
  <c r="F83" i="6"/>
  <c r="E83" i="6"/>
  <c r="F82" i="6"/>
  <c r="E82" i="6"/>
  <c r="F81" i="6"/>
  <c r="E81" i="6"/>
  <c r="F80" i="6"/>
  <c r="E80" i="6"/>
  <c r="F79" i="6"/>
  <c r="E79" i="6"/>
  <c r="F78" i="6"/>
  <c r="E78" i="6"/>
  <c r="F76" i="6"/>
  <c r="F75" i="6"/>
  <c r="F704" i="6"/>
  <c r="F706" i="6"/>
  <c r="F705" i="6"/>
  <c r="F703" i="6"/>
  <c r="F550" i="6"/>
  <c r="F552" i="6"/>
  <c r="F551" i="6"/>
  <c r="F701" i="6"/>
  <c r="F700" i="6"/>
  <c r="F699" i="6"/>
  <c r="F698" i="6"/>
  <c r="F697" i="6"/>
  <c r="F696" i="6"/>
  <c r="F695" i="6"/>
  <c r="F694" i="6"/>
  <c r="F693" i="6"/>
  <c r="F692" i="6"/>
  <c r="F691" i="6"/>
  <c r="F690" i="6"/>
  <c r="F689" i="6"/>
  <c r="F688" i="6"/>
  <c r="F687" i="6"/>
  <c r="F686" i="6"/>
  <c r="F685" i="6"/>
  <c r="F684" i="6"/>
  <c r="F683" i="6"/>
  <c r="F682" i="6"/>
  <c r="F681" i="6"/>
  <c r="F680" i="6"/>
  <c r="F679" i="6"/>
  <c r="F678" i="6"/>
  <c r="F677" i="6"/>
  <c r="F676" i="6"/>
  <c r="F675" i="6"/>
  <c r="F674" i="6"/>
  <c r="F673" i="6"/>
  <c r="F672" i="6"/>
  <c r="F671" i="6"/>
  <c r="F670" i="6"/>
  <c r="F669" i="6"/>
  <c r="F668" i="6"/>
  <c r="F667" i="6"/>
  <c r="F666" i="6"/>
  <c r="F665" i="6"/>
  <c r="F662" i="6"/>
  <c r="F663" i="6"/>
  <c r="F660" i="6"/>
  <c r="F659" i="6" s="1"/>
  <c r="F655" i="6"/>
  <c r="F658" i="6"/>
  <c r="F657" i="6"/>
  <c r="F656" i="6"/>
  <c r="F654" i="6"/>
  <c r="F789" i="6"/>
  <c r="F792" i="6"/>
  <c r="F791" i="6"/>
  <c r="F790" i="6"/>
  <c r="E791" i="6"/>
  <c r="E790" i="6"/>
  <c r="E789" i="6"/>
  <c r="F629" i="6"/>
  <c r="F652" i="6"/>
  <c r="F651" i="6"/>
  <c r="F650" i="6"/>
  <c r="F649" i="6"/>
  <c r="F648" i="6"/>
  <c r="F647" i="6"/>
  <c r="F646" i="6"/>
  <c r="F645" i="6"/>
  <c r="F644" i="6"/>
  <c r="F642" i="6"/>
  <c r="F641" i="6"/>
  <c r="F640" i="6"/>
  <c r="F639" i="6"/>
  <c r="F638" i="6"/>
  <c r="F637" i="6"/>
  <c r="F636" i="6"/>
  <c r="F635" i="6"/>
  <c r="F634" i="6"/>
  <c r="F633" i="6"/>
  <c r="F632" i="6"/>
  <c r="F630" i="6"/>
  <c r="F627" i="6"/>
  <c r="F626" i="6"/>
  <c r="F625" i="6"/>
  <c r="F624" i="6"/>
  <c r="F623" i="6"/>
  <c r="F622" i="6"/>
  <c r="F621" i="6"/>
  <c r="F619" i="6"/>
  <c r="F618" i="6"/>
  <c r="F616" i="6"/>
  <c r="F617" i="6"/>
  <c r="F615" i="6"/>
  <c r="F614" i="6"/>
  <c r="F613" i="6"/>
  <c r="F612" i="6"/>
  <c r="F611" i="6"/>
  <c r="F610" i="6"/>
  <c r="F609" i="6"/>
  <c r="F608" i="6"/>
  <c r="F607" i="6"/>
  <c r="F606" i="6"/>
  <c r="E652" i="6"/>
  <c r="E651" i="6"/>
  <c r="F93" i="6" l="1"/>
  <c r="F74" i="6"/>
  <c r="F30" i="6"/>
  <c r="F43" i="6"/>
  <c r="F317" i="6"/>
  <c r="F304" i="6" s="1"/>
  <c r="F259" i="6" s="1"/>
  <c r="F653" i="6"/>
  <c r="F702" i="6"/>
  <c r="F787" i="6"/>
  <c r="F661" i="6"/>
  <c r="F603" i="6"/>
  <c r="F664" i="6"/>
  <c r="E647" i="6" l="1"/>
  <c r="E649" i="6"/>
  <c r="E648" i="6"/>
  <c r="E646" i="6"/>
  <c r="E645" i="6"/>
  <c r="F543" i="6"/>
  <c r="L34" i="7"/>
  <c r="F545" i="6"/>
  <c r="F544" i="6"/>
  <c r="F542" i="6"/>
  <c r="F541" i="6"/>
  <c r="F598" i="6"/>
  <c r="F602" i="6"/>
  <c r="F601" i="6"/>
  <c r="F600" i="6"/>
  <c r="F599" i="6"/>
  <c r="F572" i="6"/>
  <c r="E581" i="6"/>
  <c r="E576" i="6"/>
  <c r="E580" i="6"/>
  <c r="F594" i="6"/>
  <c r="E594" i="6"/>
  <c r="F593" i="6"/>
  <c r="E593" i="6"/>
  <c r="F592" i="6"/>
  <c r="E592" i="6"/>
  <c r="F591" i="6"/>
  <c r="E591" i="6"/>
  <c r="F590" i="6"/>
  <c r="F589" i="6"/>
  <c r="E589" i="6"/>
  <c r="F587" i="6"/>
  <c r="F577" i="6"/>
  <c r="F585" i="6"/>
  <c r="F584" i="6"/>
  <c r="E584" i="6"/>
  <c r="F583" i="6"/>
  <c r="F581" i="6"/>
  <c r="F580" i="6"/>
  <c r="F579" i="6"/>
  <c r="F576" i="6"/>
  <c r="F575" i="6"/>
  <c r="F574" i="6"/>
  <c r="F573" i="6"/>
  <c r="E575" i="6"/>
  <c r="E574" i="6"/>
  <c r="E573" i="6"/>
  <c r="E572" i="6"/>
  <c r="F523" i="6"/>
  <c r="F527" i="6"/>
  <c r="E527" i="6"/>
  <c r="F526" i="6"/>
  <c r="E526" i="6"/>
  <c r="F525" i="6"/>
  <c r="F524" i="6"/>
  <c r="F522" i="6"/>
  <c r="F520" i="6"/>
  <c r="F521" i="6"/>
  <c r="F505" i="6"/>
  <c r="F504" i="6"/>
  <c r="E504" i="6"/>
  <c r="F503" i="6"/>
  <c r="E503" i="6"/>
  <c r="E502" i="6"/>
  <c r="F502" i="6"/>
  <c r="F501" i="6"/>
  <c r="E501" i="6"/>
  <c r="F500" i="6"/>
  <c r="E500" i="6"/>
  <c r="F499" i="6"/>
  <c r="E499" i="6"/>
  <c r="F497" i="6"/>
  <c r="F496" i="6"/>
  <c r="E786" i="6"/>
  <c r="E785" i="6"/>
  <c r="F785" i="6"/>
  <c r="E784" i="6"/>
  <c r="F784" i="6"/>
  <c r="F783" i="6"/>
  <c r="E783" i="6"/>
  <c r="F782" i="6"/>
  <c r="E782" i="6"/>
  <c r="F781" i="6"/>
  <c r="E781" i="6"/>
  <c r="F780" i="6"/>
  <c r="E780" i="6"/>
  <c r="F778" i="6"/>
  <c r="E778" i="6"/>
  <c r="F777" i="6"/>
  <c r="E777" i="6"/>
  <c r="E776" i="6"/>
  <c r="F776" i="6"/>
  <c r="F775" i="6"/>
  <c r="E775" i="6"/>
  <c r="F774" i="6"/>
  <c r="E774" i="6"/>
  <c r="F773" i="6"/>
  <c r="E773" i="6"/>
  <c r="F772" i="6"/>
  <c r="E772" i="6"/>
  <c r="F771" i="6"/>
  <c r="E771" i="6"/>
  <c r="F770" i="6"/>
  <c r="E770" i="6"/>
  <c r="E769" i="6"/>
  <c r="F769" i="6"/>
  <c r="F768" i="6"/>
  <c r="E768" i="6"/>
  <c r="F767" i="6"/>
  <c r="E767" i="6"/>
  <c r="F766" i="6"/>
  <c r="E766" i="6"/>
  <c r="F764" i="6"/>
  <c r="E764" i="6"/>
  <c r="E763" i="6"/>
  <c r="F763" i="6"/>
  <c r="E762" i="6"/>
  <c r="F762" i="6"/>
  <c r="E761" i="6"/>
  <c r="F761" i="6"/>
  <c r="F760" i="6"/>
  <c r="E760" i="6"/>
  <c r="F759" i="6"/>
  <c r="E759" i="6"/>
  <c r="F757" i="6"/>
  <c r="E757" i="6"/>
  <c r="F756" i="6"/>
  <c r="E756" i="6"/>
  <c r="F755" i="6"/>
  <c r="E755" i="6"/>
  <c r="F754" i="6"/>
  <c r="E754" i="6"/>
  <c r="F753" i="6"/>
  <c r="E753" i="6"/>
  <c r="F752" i="6"/>
  <c r="E752" i="6"/>
  <c r="F751" i="6"/>
  <c r="E751" i="6"/>
  <c r="F750" i="6"/>
  <c r="E750" i="6"/>
  <c r="F749" i="6"/>
  <c r="E749" i="6"/>
  <c r="F748" i="6"/>
  <c r="E748" i="6"/>
  <c r="F747" i="6"/>
  <c r="E747" i="6"/>
  <c r="E744" i="6"/>
  <c r="F744" i="6"/>
  <c r="F740" i="6"/>
  <c r="E740" i="6"/>
  <c r="F743" i="6"/>
  <c r="E743" i="6"/>
  <c r="F739" i="6"/>
  <c r="E739" i="6"/>
  <c r="E738" i="6"/>
  <c r="F736" i="6"/>
  <c r="F735" i="6"/>
  <c r="F734" i="6"/>
  <c r="F733" i="6"/>
  <c r="E733" i="6"/>
  <c r="F732" i="6"/>
  <c r="F731" i="6"/>
  <c r="E732" i="6"/>
  <c r="E731" i="6"/>
  <c r="F730" i="6"/>
  <c r="F728" i="6"/>
  <c r="E728" i="6"/>
  <c r="F727" i="6"/>
  <c r="E727" i="6"/>
  <c r="F726" i="6"/>
  <c r="E726" i="6"/>
  <c r="F724" i="6"/>
  <c r="E724" i="6"/>
  <c r="F723" i="6"/>
  <c r="E723" i="6"/>
  <c r="F722" i="6"/>
  <c r="E722" i="6"/>
  <c r="F719" i="6"/>
  <c r="E719" i="6"/>
  <c r="F718" i="6"/>
  <c r="E718" i="6"/>
  <c r="F717" i="6"/>
  <c r="E717" i="6"/>
  <c r="F716" i="6"/>
  <c r="F715" i="6"/>
  <c r="F714" i="6"/>
  <c r="F712" i="6"/>
  <c r="F711" i="6"/>
  <c r="F710" i="6"/>
  <c r="E710" i="6"/>
  <c r="F536" i="6"/>
  <c r="F554" i="6"/>
  <c r="F553" i="6" s="1"/>
  <c r="F548" i="6"/>
  <c r="F537" i="6"/>
  <c r="E537" i="6"/>
  <c r="F535" i="6"/>
  <c r="F534" i="6"/>
  <c r="F533" i="6"/>
  <c r="F530" i="6"/>
  <c r="F528" i="6" s="1"/>
  <c r="F213" i="6"/>
  <c r="F231" i="6"/>
  <c r="F230" i="6"/>
  <c r="F229" i="6"/>
  <c r="F226" i="6"/>
  <c r="F225" i="6"/>
  <c r="F224" i="6"/>
  <c r="F223" i="6"/>
  <c r="F222" i="6"/>
  <c r="F221" i="6"/>
  <c r="F219" i="6"/>
  <c r="F218" i="6"/>
  <c r="F217" i="6"/>
  <c r="F216" i="6"/>
  <c r="F215" i="6"/>
  <c r="F214" i="6"/>
  <c r="E221" i="6"/>
  <c r="F257" i="6"/>
  <c r="F256" i="6"/>
  <c r="F255" i="6"/>
  <c r="F254" i="6"/>
  <c r="F253" i="6"/>
  <c r="F252" i="6"/>
  <c r="F251" i="6"/>
  <c r="F250" i="6"/>
  <c r="F72" i="6"/>
  <c r="F71" i="6" s="1"/>
  <c r="F795" i="6"/>
  <c r="F794" i="6"/>
  <c r="F69" i="6"/>
  <c r="F68" i="6"/>
  <c r="F546" i="6"/>
  <c r="F596" i="6"/>
  <c r="F66" i="6"/>
  <c r="F65" i="6"/>
  <c r="F549" i="6"/>
  <c r="F247" i="6"/>
  <c r="F246" i="6"/>
  <c r="F245" i="6"/>
  <c r="F243" i="6"/>
  <c r="F242" i="6"/>
  <c r="F241" i="6"/>
  <c r="F240" i="6"/>
  <c r="F239" i="6"/>
  <c r="S25" i="7"/>
  <c r="R25" i="7"/>
  <c r="Q25" i="7"/>
  <c r="L31" i="7"/>
  <c r="L25" i="7"/>
  <c r="P25" i="7"/>
  <c r="O25" i="7"/>
  <c r="N25" i="7"/>
  <c r="N29" i="7" s="1"/>
  <c r="E162" i="6"/>
  <c r="E161" i="6"/>
  <c r="E154" i="6"/>
  <c r="E153" i="6"/>
  <c r="E146" i="6"/>
  <c r="E145" i="6"/>
  <c r="E138" i="6"/>
  <c r="E137" i="6"/>
  <c r="F174" i="6"/>
  <c r="F166" i="6"/>
  <c r="F158" i="6"/>
  <c r="F150" i="6"/>
  <c r="F142" i="6"/>
  <c r="F133" i="6"/>
  <c r="F29" i="6"/>
  <c r="E165" i="6"/>
  <c r="N17" i="7" s="1"/>
  <c r="M19" i="7"/>
  <c r="J160" i="6"/>
  <c r="E162" i="22" l="1"/>
  <c r="E129" i="22"/>
  <c r="E138" i="22"/>
  <c r="E489" i="22"/>
  <c r="E146" i="22"/>
  <c r="E154" i="22"/>
  <c r="E25" i="22"/>
  <c r="E170" i="22"/>
  <c r="E140" i="19"/>
  <c r="E27" i="19"/>
  <c r="E156" i="19"/>
  <c r="E172" i="19"/>
  <c r="E131" i="19"/>
  <c r="E148" i="19"/>
  <c r="E164" i="19"/>
  <c r="E491" i="19"/>
  <c r="E492" i="6"/>
  <c r="N18" i="7" s="1"/>
  <c r="E173" i="6"/>
  <c r="E132" i="6"/>
  <c r="E28" i="6"/>
  <c r="N13" i="7" s="1"/>
  <c r="E67" i="17"/>
  <c r="E85" i="17"/>
  <c r="E96" i="17"/>
  <c r="E79" i="17"/>
  <c r="E57" i="17"/>
  <c r="E73" i="17"/>
  <c r="E57" i="11"/>
  <c r="E96" i="11"/>
  <c r="E73" i="11"/>
  <c r="E79" i="11"/>
  <c r="E67" i="11"/>
  <c r="E85" i="11"/>
  <c r="F48" i="9"/>
  <c r="F26" i="9"/>
  <c r="F65" i="9"/>
  <c r="F54" i="9"/>
  <c r="F36" i="9"/>
  <c r="F42" i="9"/>
  <c r="E157" i="6"/>
  <c r="N16" i="7" s="1"/>
  <c r="E141" i="6"/>
  <c r="N14" i="7" s="1"/>
  <c r="E149" i="6"/>
  <c r="N15" i="7" s="1"/>
  <c r="F707" i="6"/>
  <c r="F741" i="6"/>
  <c r="F578" i="6"/>
  <c r="F570" i="6"/>
  <c r="F248" i="6"/>
  <c r="F547" i="6"/>
  <c r="F793" i="6"/>
  <c r="F532" i="6"/>
  <c r="F518" i="6"/>
  <c r="F494" i="6"/>
  <c r="F211" i="6"/>
  <c r="K160" i="6"/>
  <c r="G157" i="22" s="1"/>
  <c r="F157" i="22" s="1"/>
  <c r="F62" i="6"/>
  <c r="F67" i="6"/>
  <c r="F539" i="6"/>
  <c r="F538" i="6" s="1"/>
  <c r="F236" i="6"/>
  <c r="F597" i="6"/>
  <c r="F595" i="6" s="1"/>
  <c r="N19" i="7"/>
  <c r="F28" i="6" s="1"/>
  <c r="F569" i="6" l="1"/>
  <c r="F54" i="6"/>
  <c r="F173" i="6"/>
  <c r="F492" i="6"/>
  <c r="F132" i="6"/>
  <c r="F157" i="6"/>
  <c r="F85" i="17"/>
  <c r="H85" i="17" s="1"/>
  <c r="J85" i="17" s="1"/>
  <c r="K85" i="17" s="1"/>
  <c r="F85" i="11"/>
  <c r="H85" i="11" s="1"/>
  <c r="J85" i="11" s="1"/>
  <c r="K85" i="11" s="1"/>
  <c r="F67" i="11"/>
  <c r="H67" i="11" s="1"/>
  <c r="J67" i="11" s="1"/>
  <c r="K67" i="11" s="1"/>
  <c r="F96" i="11"/>
  <c r="H96" i="11" s="1"/>
  <c r="J96" i="11" s="1"/>
  <c r="K96" i="11" s="1"/>
  <c r="F96" i="17"/>
  <c r="H96" i="17" s="1"/>
  <c r="J96" i="17" s="1"/>
  <c r="K96" i="17" s="1"/>
  <c r="F57" i="11"/>
  <c r="F73" i="11"/>
  <c r="H73" i="11" s="1"/>
  <c r="J73" i="11" s="1"/>
  <c r="K73" i="11" s="1"/>
  <c r="F79" i="11"/>
  <c r="H79" i="11" s="1"/>
  <c r="J79" i="11" s="1"/>
  <c r="K79" i="11" s="1"/>
  <c r="F67" i="17"/>
  <c r="H67" i="17" s="1"/>
  <c r="F57" i="17"/>
  <c r="F73" i="17"/>
  <c r="H73" i="17" s="1"/>
  <c r="J73" i="17" s="1"/>
  <c r="K73" i="17" s="1"/>
  <c r="F79" i="17"/>
  <c r="H79" i="17" s="1"/>
  <c r="G54" i="9"/>
  <c r="I54" i="9" s="1"/>
  <c r="G48" i="9"/>
  <c r="I48" i="9" s="1"/>
  <c r="G36" i="9"/>
  <c r="G26" i="9"/>
  <c r="G65" i="9"/>
  <c r="G42" i="9"/>
  <c r="I42" i="9" s="1"/>
  <c r="K42" i="9" s="1"/>
  <c r="L42" i="9" s="1"/>
  <c r="F165" i="6"/>
  <c r="F149" i="6"/>
  <c r="F141" i="6"/>
  <c r="H173" i="6" l="1"/>
  <c r="J173" i="6" s="1"/>
  <c r="H132" i="6"/>
  <c r="J132" i="6" s="1"/>
  <c r="J67" i="17"/>
  <c r="K67" i="17" s="1"/>
  <c r="H57" i="17"/>
  <c r="J79" i="17"/>
  <c r="K79" i="17" s="1"/>
  <c r="H57" i="11"/>
  <c r="I26" i="9"/>
  <c r="I36" i="9"/>
  <c r="K48" i="9"/>
  <c r="L48" i="9" s="1"/>
  <c r="I65" i="9"/>
  <c r="K54" i="9"/>
  <c r="L54" i="9" s="1"/>
  <c r="K173" i="6" l="1"/>
  <c r="G170" i="22" s="1"/>
  <c r="F170" i="22" s="1"/>
  <c r="K132" i="6"/>
  <c r="G129" i="22" s="1"/>
  <c r="F129" i="22" s="1"/>
  <c r="J57" i="11"/>
  <c r="J57" i="17"/>
  <c r="K65" i="9"/>
  <c r="K36" i="9"/>
  <c r="K26" i="9"/>
  <c r="K57" i="11" l="1"/>
  <c r="K57" i="17"/>
  <c r="L65" i="9"/>
  <c r="L26" i="9"/>
  <c r="L36" i="9"/>
  <c r="K13" i="7"/>
  <c r="K14" i="7"/>
  <c r="K19" i="7"/>
  <c r="I19" i="7"/>
  <c r="J19" i="7"/>
  <c r="H19" i="7"/>
  <c r="F194" i="6"/>
  <c r="F193" i="6" s="1"/>
  <c r="N206" i="6"/>
  <c r="N200" i="6"/>
  <c r="E127" i="22" l="1"/>
  <c r="E23" i="22"/>
  <c r="E25" i="19"/>
  <c r="F26" i="6"/>
  <c r="E129" i="19"/>
  <c r="E130" i="6"/>
  <c r="F130" i="6"/>
  <c r="H130" i="6" s="1"/>
  <c r="J130" i="6" s="1"/>
  <c r="K130" i="6" s="1"/>
  <c r="G127" i="22" s="1"/>
  <c r="F127" i="22" s="1"/>
  <c r="E26" i="6"/>
  <c r="F55" i="17"/>
  <c r="H55" i="17" s="1"/>
  <c r="J55" i="17" s="1"/>
  <c r="K55" i="17" s="1"/>
  <c r="E55" i="17"/>
  <c r="E55" i="11"/>
  <c r="F55" i="11"/>
  <c r="H55" i="11" s="1"/>
  <c r="J55" i="11" s="1"/>
  <c r="K55" i="11" s="1"/>
  <c r="G24" i="9"/>
  <c r="I24" i="9" s="1"/>
  <c r="K24" i="9" s="1"/>
  <c r="L24" i="9" s="1"/>
  <c r="F24" i="9"/>
  <c r="L13" i="7"/>
  <c r="E136" i="22"/>
  <c r="E138" i="19"/>
  <c r="F65" i="17"/>
  <c r="H65" i="17" s="1"/>
  <c r="J65" i="17" s="1"/>
  <c r="K65" i="17" s="1"/>
  <c r="E65" i="17"/>
  <c r="F65" i="11"/>
  <c r="H65" i="11" s="1"/>
  <c r="J65" i="11" s="1"/>
  <c r="K65" i="11" s="1"/>
  <c r="E65" i="11"/>
  <c r="G34" i="9"/>
  <c r="I34" i="9" s="1"/>
  <c r="K34" i="9" s="1"/>
  <c r="L34" i="9" s="1"/>
  <c r="F34" i="9"/>
  <c r="F139" i="6"/>
  <c r="L14" i="7"/>
  <c r="E139" i="6"/>
  <c r="F488" i="6"/>
  <c r="F489" i="6"/>
  <c r="F25" i="6"/>
  <c r="F170" i="6"/>
  <c r="H170" i="6" s="1"/>
  <c r="J170" i="6" s="1"/>
  <c r="K170" i="6" s="1"/>
  <c r="G167" i="22" s="1"/>
  <c r="F167" i="22" s="1"/>
  <c r="F169" i="6"/>
  <c r="F129" i="6"/>
  <c r="H129" i="6" s="1"/>
  <c r="J129" i="6" s="1"/>
  <c r="K129" i="6" s="1"/>
  <c r="G126" i="22" s="1"/>
  <c r="F126" i="22" s="1"/>
  <c r="F128" i="6"/>
  <c r="F24" i="6"/>
  <c r="F93" i="17"/>
  <c r="H93" i="17" s="1"/>
  <c r="J93" i="17" s="1"/>
  <c r="K93" i="17" s="1"/>
  <c r="F82" i="17"/>
  <c r="H82" i="17" s="1"/>
  <c r="J82" i="17" s="1"/>
  <c r="K82" i="17" s="1"/>
  <c r="F63" i="17"/>
  <c r="H63" i="17" s="1"/>
  <c r="J63" i="17" s="1"/>
  <c r="K63" i="17" s="1"/>
  <c r="F81" i="17"/>
  <c r="H81" i="17" s="1"/>
  <c r="J81" i="17" s="1"/>
  <c r="K81" i="17" s="1"/>
  <c r="F76" i="17"/>
  <c r="H76" i="17" s="1"/>
  <c r="J76" i="17" s="1"/>
  <c r="K76" i="17" s="1"/>
  <c r="F92" i="17"/>
  <c r="H92" i="17" s="1"/>
  <c r="J92" i="17" s="1"/>
  <c r="K92" i="17" s="1"/>
  <c r="F54" i="17"/>
  <c r="H54" i="17" s="1"/>
  <c r="J54" i="17" s="1"/>
  <c r="K54" i="17" s="1"/>
  <c r="F75" i="17"/>
  <c r="H75" i="17" s="1"/>
  <c r="J75" i="17" s="1"/>
  <c r="K75" i="17" s="1"/>
  <c r="F70" i="17"/>
  <c r="H70" i="17" s="1"/>
  <c r="J70" i="17" s="1"/>
  <c r="K70" i="17" s="1"/>
  <c r="F53" i="17"/>
  <c r="F69" i="17"/>
  <c r="H69" i="17" s="1"/>
  <c r="J69" i="17" s="1"/>
  <c r="K69" i="17" s="1"/>
  <c r="F64" i="17"/>
  <c r="H64" i="17" s="1"/>
  <c r="J64" i="17" s="1"/>
  <c r="K64" i="17" s="1"/>
  <c r="F54" i="11"/>
  <c r="H54" i="11" s="1"/>
  <c r="J54" i="11" s="1"/>
  <c r="K54" i="11" s="1"/>
  <c r="F75" i="11"/>
  <c r="H75" i="11" s="1"/>
  <c r="J75" i="11" s="1"/>
  <c r="K75" i="11" s="1"/>
  <c r="F93" i="11"/>
  <c r="H93" i="11" s="1"/>
  <c r="F81" i="11"/>
  <c r="H81" i="11" s="1"/>
  <c r="J81" i="11" s="1"/>
  <c r="K81" i="11" s="1"/>
  <c r="F70" i="11"/>
  <c r="H70" i="11" s="1"/>
  <c r="J70" i="11" s="1"/>
  <c r="K70" i="11" s="1"/>
  <c r="F63" i="11"/>
  <c r="H63" i="11" s="1"/>
  <c r="J63" i="11" s="1"/>
  <c r="K63" i="11" s="1"/>
  <c r="F82" i="11"/>
  <c r="H82" i="11" s="1"/>
  <c r="J82" i="11" s="1"/>
  <c r="K82" i="11" s="1"/>
  <c r="F64" i="11"/>
  <c r="H64" i="11" s="1"/>
  <c r="J64" i="11" s="1"/>
  <c r="K64" i="11" s="1"/>
  <c r="F53" i="11"/>
  <c r="F92" i="11"/>
  <c r="H92" i="11" s="1"/>
  <c r="J92" i="11" s="1"/>
  <c r="K92" i="11" s="1"/>
  <c r="F76" i="11"/>
  <c r="H76" i="11" s="1"/>
  <c r="J76" i="11" s="1"/>
  <c r="K76" i="11" s="1"/>
  <c r="F69" i="11"/>
  <c r="H69" i="11" s="1"/>
  <c r="J69" i="11" s="1"/>
  <c r="K69" i="11" s="1"/>
  <c r="G32" i="9"/>
  <c r="G45" i="9"/>
  <c r="I45" i="9" s="1"/>
  <c r="G62" i="9"/>
  <c r="I62" i="9" s="1"/>
  <c r="G38" i="9"/>
  <c r="I38" i="9" s="1"/>
  <c r="K38" i="9" s="1"/>
  <c r="L38" i="9" s="1"/>
  <c r="G23" i="9"/>
  <c r="I23" i="9" s="1"/>
  <c r="K23" i="9" s="1"/>
  <c r="L23" i="9" s="1"/>
  <c r="G51" i="9"/>
  <c r="I51" i="9" s="1"/>
  <c r="K51" i="9" s="1"/>
  <c r="L51" i="9" s="1"/>
  <c r="G44" i="9"/>
  <c r="I44" i="9" s="1"/>
  <c r="K44" i="9" s="1"/>
  <c r="L44" i="9" s="1"/>
  <c r="G33" i="9"/>
  <c r="I33" i="9" s="1"/>
  <c r="K33" i="9" s="1"/>
  <c r="L33" i="9" s="1"/>
  <c r="G22" i="9"/>
  <c r="G61" i="9"/>
  <c r="G50" i="9"/>
  <c r="I50" i="9" s="1"/>
  <c r="K50" i="9" s="1"/>
  <c r="L50" i="9" s="1"/>
  <c r="G39" i="9"/>
  <c r="I39" i="9" s="1"/>
  <c r="K39" i="9" s="1"/>
  <c r="L39" i="9" s="1"/>
  <c r="F137" i="6"/>
  <c r="F161" i="6"/>
  <c r="F153" i="6"/>
  <c r="F154" i="6"/>
  <c r="F138" i="6"/>
  <c r="F146" i="6"/>
  <c r="F145" i="6"/>
  <c r="F162" i="6"/>
  <c r="K17" i="7"/>
  <c r="K18" i="7"/>
  <c r="K16" i="7"/>
  <c r="K15" i="7"/>
  <c r="O42" i="6"/>
  <c r="F42" i="6"/>
  <c r="F41" i="6"/>
  <c r="O41" i="6"/>
  <c r="N41" i="6"/>
  <c r="O513" i="6"/>
  <c r="O512" i="6"/>
  <c r="O510" i="6"/>
  <c r="F511" i="6"/>
  <c r="F512" i="6"/>
  <c r="F513" i="6"/>
  <c r="F510" i="6"/>
  <c r="O508" i="6"/>
  <c r="F235" i="6"/>
  <c r="O235" i="6"/>
  <c r="O234" i="6"/>
  <c r="F234" i="6"/>
  <c r="F232" i="6"/>
  <c r="C17" i="6"/>
  <c r="N235" i="6"/>
  <c r="N234" i="6"/>
  <c r="J244" i="6"/>
  <c r="K244" i="6" s="1"/>
  <c r="G241" i="22" s="1"/>
  <c r="F241" i="22" s="1"/>
  <c r="N517" i="6"/>
  <c r="N516" i="6"/>
  <c r="N515" i="6"/>
  <c r="M514" i="6"/>
  <c r="J514" i="6"/>
  <c r="K514" i="6" s="1"/>
  <c r="G511" i="22" s="1"/>
  <c r="F511" i="22" s="1"/>
  <c r="N513" i="6"/>
  <c r="N512" i="6"/>
  <c r="N511" i="6"/>
  <c r="N510" i="6"/>
  <c r="M509" i="6"/>
  <c r="J509" i="6"/>
  <c r="K509" i="6" s="1"/>
  <c r="G506" i="22" s="1"/>
  <c r="F506" i="22" s="1"/>
  <c r="N508" i="6"/>
  <c r="N194" i="6"/>
  <c r="N188" i="6"/>
  <c r="N182" i="6"/>
  <c r="N176" i="6"/>
  <c r="N42" i="6"/>
  <c r="J144" i="6"/>
  <c r="Q16" i="6"/>
  <c r="Q12" i="6"/>
  <c r="E152" i="22" l="1"/>
  <c r="E154" i="19"/>
  <c r="E77" i="17"/>
  <c r="F77" i="17"/>
  <c r="H77" i="17" s="1"/>
  <c r="J77" i="17" s="1"/>
  <c r="K77" i="17" s="1"/>
  <c r="F77" i="11"/>
  <c r="H77" i="11" s="1"/>
  <c r="J77" i="11" s="1"/>
  <c r="K77" i="11" s="1"/>
  <c r="E77" i="11"/>
  <c r="F46" i="9"/>
  <c r="G46" i="9"/>
  <c r="I46" i="9" s="1"/>
  <c r="K46" i="9" s="1"/>
  <c r="L46" i="9" s="1"/>
  <c r="L16" i="7"/>
  <c r="F155" i="6"/>
  <c r="E155" i="6"/>
  <c r="H128" i="6"/>
  <c r="I32" i="9"/>
  <c r="E168" i="22"/>
  <c r="E487" i="22"/>
  <c r="E489" i="19"/>
  <c r="E170" i="19"/>
  <c r="F171" i="6"/>
  <c r="H171" i="6" s="1"/>
  <c r="J171" i="6" s="1"/>
  <c r="K171" i="6" s="1"/>
  <c r="G168" i="22" s="1"/>
  <c r="F168" i="22" s="1"/>
  <c r="E490" i="6"/>
  <c r="F490" i="6"/>
  <c r="E171" i="6"/>
  <c r="F94" i="17"/>
  <c r="H94" i="17" s="1"/>
  <c r="J94" i="17" s="1"/>
  <c r="K94" i="17" s="1"/>
  <c r="E94" i="17"/>
  <c r="F94" i="11"/>
  <c r="H94" i="11" s="1"/>
  <c r="J94" i="11" s="1"/>
  <c r="K94" i="11" s="1"/>
  <c r="E94" i="11"/>
  <c r="F63" i="9"/>
  <c r="G63" i="9"/>
  <c r="I63" i="9" s="1"/>
  <c r="K63" i="9" s="1"/>
  <c r="L63" i="9" s="1"/>
  <c r="L18" i="7"/>
  <c r="I61" i="9"/>
  <c r="H53" i="17"/>
  <c r="E160" i="22"/>
  <c r="E162" i="19"/>
  <c r="F83" i="17"/>
  <c r="H83" i="17" s="1"/>
  <c r="J83" i="17" s="1"/>
  <c r="K83" i="17" s="1"/>
  <c r="E83" i="17"/>
  <c r="F83" i="11"/>
  <c r="H83" i="11" s="1"/>
  <c r="J83" i="11" s="1"/>
  <c r="K83" i="11" s="1"/>
  <c r="E83" i="11"/>
  <c r="F52" i="9"/>
  <c r="G52" i="9"/>
  <c r="I52" i="9" s="1"/>
  <c r="K52" i="9" s="1"/>
  <c r="L52" i="9" s="1"/>
  <c r="L17" i="7"/>
  <c r="F163" i="6"/>
  <c r="E163" i="6"/>
  <c r="I22" i="9"/>
  <c r="H53" i="11"/>
  <c r="H169" i="6"/>
  <c r="J169" i="6" s="1"/>
  <c r="K169" i="6" s="1"/>
  <c r="G166" i="22" s="1"/>
  <c r="F166" i="22" s="1"/>
  <c r="E144" i="22"/>
  <c r="E146" i="19"/>
  <c r="F71" i="17"/>
  <c r="H71" i="17" s="1"/>
  <c r="J71" i="17" s="1"/>
  <c r="K71" i="17" s="1"/>
  <c r="E71" i="17"/>
  <c r="E71" i="11"/>
  <c r="F71" i="11"/>
  <c r="H71" i="11" s="1"/>
  <c r="J71" i="11" s="1"/>
  <c r="K71" i="11" s="1"/>
  <c r="G40" i="9"/>
  <c r="I40" i="9" s="1"/>
  <c r="K40" i="9" s="1"/>
  <c r="L40" i="9" s="1"/>
  <c r="F40" i="9"/>
  <c r="L15" i="7"/>
  <c r="F147" i="6"/>
  <c r="E147" i="6"/>
  <c r="E128" i="22"/>
  <c r="E24" i="22"/>
  <c r="E130" i="19"/>
  <c r="E26" i="19"/>
  <c r="E131" i="6"/>
  <c r="F131" i="6"/>
  <c r="H131" i="6" s="1"/>
  <c r="J131" i="6" s="1"/>
  <c r="K131" i="6" s="1"/>
  <c r="G128" i="22" s="1"/>
  <c r="F128" i="22" s="1"/>
  <c r="F27" i="6"/>
  <c r="F20" i="6" s="1"/>
  <c r="E27" i="6"/>
  <c r="E56" i="17"/>
  <c r="E56" i="11"/>
  <c r="F25" i="9"/>
  <c r="L19" i="7"/>
  <c r="F56" i="17" s="1"/>
  <c r="K62" i="9"/>
  <c r="L62" i="9" s="1"/>
  <c r="J93" i="11"/>
  <c r="K93" i="11" s="1"/>
  <c r="E137" i="22"/>
  <c r="E139" i="19"/>
  <c r="E66" i="17"/>
  <c r="E66" i="11"/>
  <c r="F35" i="9"/>
  <c r="G35" i="9"/>
  <c r="I35" i="9" s="1"/>
  <c r="F140" i="6"/>
  <c r="F134" i="6" s="1"/>
  <c r="E140" i="6"/>
  <c r="K45" i="9"/>
  <c r="L45" i="9"/>
  <c r="F233" i="6"/>
  <c r="K144" i="6"/>
  <c r="G141" i="22" s="1"/>
  <c r="F141" i="22" s="1"/>
  <c r="F39" i="6"/>
  <c r="G819" i="6"/>
  <c r="G820" i="6"/>
  <c r="G801" i="6"/>
  <c r="G800" i="6"/>
  <c r="G549" i="6"/>
  <c r="H549" i="6" s="1"/>
  <c r="G236" i="6"/>
  <c r="G317" i="6"/>
  <c r="G55" i="6"/>
  <c r="G702" i="6"/>
  <c r="G74" i="6"/>
  <c r="G578" i="6"/>
  <c r="G787" i="6"/>
  <c r="G664" i="6"/>
  <c r="G597" i="6"/>
  <c r="G661" i="6"/>
  <c r="G659" i="6"/>
  <c r="G603" i="6"/>
  <c r="G653" i="6"/>
  <c r="G817" i="6"/>
  <c r="G815" i="6"/>
  <c r="G459" i="6"/>
  <c r="H459" i="6" s="1"/>
  <c r="J459" i="6" s="1"/>
  <c r="K459" i="6" s="1"/>
  <c r="G456" i="22" s="1"/>
  <c r="F456" i="22" s="1"/>
  <c r="G458" i="6"/>
  <c r="H458" i="6" s="1"/>
  <c r="J458" i="6" s="1"/>
  <c r="K458" i="6" s="1"/>
  <c r="G455" i="22" s="1"/>
  <c r="F455" i="22" s="1"/>
  <c r="G457" i="6"/>
  <c r="H457" i="6" s="1"/>
  <c r="J457" i="6" s="1"/>
  <c r="K457" i="6" s="1"/>
  <c r="G454" i="22" s="1"/>
  <c r="F454" i="22" s="1"/>
  <c r="G456" i="6"/>
  <c r="H456" i="6" s="1"/>
  <c r="J456" i="6" s="1"/>
  <c r="K456" i="6" s="1"/>
  <c r="G453" i="22" s="1"/>
  <c r="F453" i="22" s="1"/>
  <c r="G455" i="6"/>
  <c r="H455" i="6" s="1"/>
  <c r="J455" i="6" s="1"/>
  <c r="K455" i="6" s="1"/>
  <c r="G452" i="22" s="1"/>
  <c r="F452" i="22" s="1"/>
  <c r="G454" i="6"/>
  <c r="H454" i="6" s="1"/>
  <c r="J454" i="6" s="1"/>
  <c r="K454" i="6" s="1"/>
  <c r="G451" i="22" s="1"/>
  <c r="F451" i="22" s="1"/>
  <c r="G453" i="6"/>
  <c r="H453" i="6" s="1"/>
  <c r="J453" i="6" s="1"/>
  <c r="K453" i="6" s="1"/>
  <c r="G450" i="22" s="1"/>
  <c r="F450" i="22" s="1"/>
  <c r="G452" i="6"/>
  <c r="H452" i="6" s="1"/>
  <c r="J452" i="6" s="1"/>
  <c r="K452" i="6" s="1"/>
  <c r="G449" i="22" s="1"/>
  <c r="F449" i="22" s="1"/>
  <c r="G450" i="6"/>
  <c r="H450" i="6" s="1"/>
  <c r="J450" i="6" s="1"/>
  <c r="K450" i="6" s="1"/>
  <c r="G447" i="22" s="1"/>
  <c r="F447" i="22" s="1"/>
  <c r="G447" i="6"/>
  <c r="H447" i="6" s="1"/>
  <c r="J447" i="6" s="1"/>
  <c r="K447" i="6" s="1"/>
  <c r="G444" i="22" s="1"/>
  <c r="F444" i="22" s="1"/>
  <c r="G446" i="6"/>
  <c r="H446" i="6" s="1"/>
  <c r="J446" i="6" s="1"/>
  <c r="K446" i="6" s="1"/>
  <c r="G443" i="22" s="1"/>
  <c r="F443" i="22" s="1"/>
  <c r="G435" i="6"/>
  <c r="H435" i="6" s="1"/>
  <c r="J435" i="6" s="1"/>
  <c r="K435" i="6" s="1"/>
  <c r="G432" i="22" s="1"/>
  <c r="F432" i="22" s="1"/>
  <c r="G434" i="6"/>
  <c r="H434" i="6" s="1"/>
  <c r="J434" i="6" s="1"/>
  <c r="K434" i="6" s="1"/>
  <c r="G431" i="22" s="1"/>
  <c r="F431" i="22" s="1"/>
  <c r="G433" i="6"/>
  <c r="H433" i="6" s="1"/>
  <c r="J433" i="6" s="1"/>
  <c r="K433" i="6" s="1"/>
  <c r="G430" i="22" s="1"/>
  <c r="F430" i="22" s="1"/>
  <c r="G430" i="6"/>
  <c r="H430" i="6" s="1"/>
  <c r="G271" i="6"/>
  <c r="H271" i="6" s="1"/>
  <c r="J271" i="6" s="1"/>
  <c r="K271" i="6" s="1"/>
  <c r="G268" i="22" s="1"/>
  <c r="F268" i="22" s="1"/>
  <c r="G270" i="6"/>
  <c r="H270" i="6" s="1"/>
  <c r="J270" i="6" s="1"/>
  <c r="K270" i="6" s="1"/>
  <c r="G267" i="22" s="1"/>
  <c r="F267" i="22" s="1"/>
  <c r="G269" i="6"/>
  <c r="H269" i="6" s="1"/>
  <c r="J269" i="6" s="1"/>
  <c r="K269" i="6" s="1"/>
  <c r="G266" i="22" s="1"/>
  <c r="F266" i="22" s="1"/>
  <c r="G268" i="6"/>
  <c r="H268" i="6" s="1"/>
  <c r="J268" i="6" s="1"/>
  <c r="K268" i="6" s="1"/>
  <c r="G265" i="22" s="1"/>
  <c r="F265" i="22" s="1"/>
  <c r="G264" i="6"/>
  <c r="H264" i="6" s="1"/>
  <c r="J264" i="6" s="1"/>
  <c r="K264" i="6" s="1"/>
  <c r="G261" i="22" s="1"/>
  <c r="F261" i="22" s="1"/>
  <c r="G310" i="6"/>
  <c r="H310" i="6" s="1"/>
  <c r="J310" i="6" s="1"/>
  <c r="K310" i="6" s="1"/>
  <c r="G307" i="22" s="1"/>
  <c r="F307" i="22" s="1"/>
  <c r="G291" i="6"/>
  <c r="H291" i="6" s="1"/>
  <c r="J291" i="6" s="1"/>
  <c r="K291" i="6" s="1"/>
  <c r="G288" i="22" s="1"/>
  <c r="F288" i="22" s="1"/>
  <c r="G290" i="6"/>
  <c r="H290" i="6" s="1"/>
  <c r="J290" i="6" s="1"/>
  <c r="K290" i="6" s="1"/>
  <c r="G287" i="22" s="1"/>
  <c r="F287" i="22" s="1"/>
  <c r="G289" i="6"/>
  <c r="H289" i="6" s="1"/>
  <c r="J289" i="6" s="1"/>
  <c r="K289" i="6" s="1"/>
  <c r="G286" i="22" s="1"/>
  <c r="F286" i="22" s="1"/>
  <c r="G327" i="6"/>
  <c r="H327" i="6" s="1"/>
  <c r="J327" i="6" s="1"/>
  <c r="K327" i="6" s="1"/>
  <c r="G324" i="22" s="1"/>
  <c r="F324" i="22" s="1"/>
  <c r="G326" i="6"/>
  <c r="H326" i="6" s="1"/>
  <c r="J326" i="6" s="1"/>
  <c r="K326" i="6" s="1"/>
  <c r="G323" i="22" s="1"/>
  <c r="F323" i="22" s="1"/>
  <c r="G292" i="6"/>
  <c r="H292" i="6" s="1"/>
  <c r="J292" i="6" s="1"/>
  <c r="K292" i="6" s="1"/>
  <c r="G289" i="22" s="1"/>
  <c r="F289" i="22" s="1"/>
  <c r="G315" i="6"/>
  <c r="H315" i="6" s="1"/>
  <c r="J315" i="6" s="1"/>
  <c r="K315" i="6" s="1"/>
  <c r="G312" i="22" s="1"/>
  <c r="F312" i="22" s="1"/>
  <c r="G427" i="6"/>
  <c r="H427" i="6" s="1"/>
  <c r="J427" i="6" s="1"/>
  <c r="K427" i="6" s="1"/>
  <c r="G424" i="22" s="1"/>
  <c r="F424" i="22" s="1"/>
  <c r="G425" i="6"/>
  <c r="H425" i="6" s="1"/>
  <c r="J425" i="6" s="1"/>
  <c r="K425" i="6" s="1"/>
  <c r="G422" i="22" s="1"/>
  <c r="F422" i="22" s="1"/>
  <c r="G419" i="6"/>
  <c r="H419" i="6" s="1"/>
  <c r="J419" i="6" s="1"/>
  <c r="K419" i="6" s="1"/>
  <c r="G416" i="22" s="1"/>
  <c r="F416" i="22" s="1"/>
  <c r="G414" i="6"/>
  <c r="H414" i="6" s="1"/>
  <c r="J414" i="6" s="1"/>
  <c r="K414" i="6" s="1"/>
  <c r="G411" i="22" s="1"/>
  <c r="F411" i="22" s="1"/>
  <c r="G412" i="6"/>
  <c r="H412" i="6" s="1"/>
  <c r="J412" i="6" s="1"/>
  <c r="K412" i="6" s="1"/>
  <c r="G409" i="22" s="1"/>
  <c r="F409" i="22" s="1"/>
  <c r="G411" i="6"/>
  <c r="H411" i="6" s="1"/>
  <c r="J411" i="6" s="1"/>
  <c r="K411" i="6" s="1"/>
  <c r="G408" i="22" s="1"/>
  <c r="F408" i="22" s="1"/>
  <c r="G388" i="6"/>
  <c r="H388" i="6" s="1"/>
  <c r="J388" i="6" s="1"/>
  <c r="K388" i="6" s="1"/>
  <c r="G385" i="22" s="1"/>
  <c r="F385" i="22" s="1"/>
  <c r="G382" i="6"/>
  <c r="H382" i="6" s="1"/>
  <c r="J382" i="6" s="1"/>
  <c r="K382" i="6" s="1"/>
  <c r="G379" i="22" s="1"/>
  <c r="F379" i="22" s="1"/>
  <c r="G335" i="6"/>
  <c r="H335" i="6" s="1"/>
  <c r="J335" i="6" s="1"/>
  <c r="K335" i="6" s="1"/>
  <c r="G332" i="22" s="1"/>
  <c r="F332" i="22" s="1"/>
  <c r="G333" i="6"/>
  <c r="H333" i="6" s="1"/>
  <c r="J333" i="6" s="1"/>
  <c r="K333" i="6" s="1"/>
  <c r="G330" i="22" s="1"/>
  <c r="F330" i="22" s="1"/>
  <c r="G330" i="6"/>
  <c r="H330" i="6" s="1"/>
  <c r="J330" i="6" s="1"/>
  <c r="K330" i="6" s="1"/>
  <c r="G327" i="22" s="1"/>
  <c r="F327" i="22" s="1"/>
  <c r="G451" i="6"/>
  <c r="H451" i="6" s="1"/>
  <c r="J451" i="6" s="1"/>
  <c r="K451" i="6" s="1"/>
  <c r="G448" i="22" s="1"/>
  <c r="F448" i="22" s="1"/>
  <c r="G297" i="6"/>
  <c r="H297" i="6" s="1"/>
  <c r="J297" i="6" s="1"/>
  <c r="K297" i="6" s="1"/>
  <c r="G294" i="22" s="1"/>
  <c r="F294" i="22" s="1"/>
  <c r="G295" i="6"/>
  <c r="H295" i="6" s="1"/>
  <c r="J295" i="6" s="1"/>
  <c r="K295" i="6" s="1"/>
  <c r="G292" i="22" s="1"/>
  <c r="F292" i="22" s="1"/>
  <c r="G279" i="6"/>
  <c r="H279" i="6" s="1"/>
  <c r="J279" i="6" s="1"/>
  <c r="K279" i="6" s="1"/>
  <c r="G276" i="22" s="1"/>
  <c r="F276" i="22" s="1"/>
  <c r="G480" i="6"/>
  <c r="H480" i="6" s="1"/>
  <c r="J480" i="6" s="1"/>
  <c r="K480" i="6" s="1"/>
  <c r="G477" i="22" s="1"/>
  <c r="F477" i="22" s="1"/>
  <c r="G481" i="6"/>
  <c r="H481" i="6" s="1"/>
  <c r="J481" i="6" s="1"/>
  <c r="K481" i="6" s="1"/>
  <c r="G478" i="22" s="1"/>
  <c r="F478" i="22" s="1"/>
  <c r="G445" i="6"/>
  <c r="H445" i="6" s="1"/>
  <c r="J445" i="6" s="1"/>
  <c r="K445" i="6" s="1"/>
  <c r="G442" i="22" s="1"/>
  <c r="F442" i="22" s="1"/>
  <c r="G439" i="6"/>
  <c r="H439" i="6" s="1"/>
  <c r="J439" i="6" s="1"/>
  <c r="K439" i="6" s="1"/>
  <c r="G436" i="22" s="1"/>
  <c r="F436" i="22" s="1"/>
  <c r="G438" i="6"/>
  <c r="H438" i="6" s="1"/>
  <c r="J438" i="6" s="1"/>
  <c r="K438" i="6" s="1"/>
  <c r="G435" i="22" s="1"/>
  <c r="F435" i="22" s="1"/>
  <c r="G437" i="6"/>
  <c r="H437" i="6" s="1"/>
  <c r="J437" i="6" s="1"/>
  <c r="K437" i="6" s="1"/>
  <c r="G434" i="22" s="1"/>
  <c r="F434" i="22" s="1"/>
  <c r="G436" i="6"/>
  <c r="H436" i="6" s="1"/>
  <c r="J436" i="6" s="1"/>
  <c r="K436" i="6" s="1"/>
  <c r="G433" i="22" s="1"/>
  <c r="F433" i="22" s="1"/>
  <c r="G431" i="6"/>
  <c r="H431" i="6" s="1"/>
  <c r="J431" i="6" s="1"/>
  <c r="K431" i="6" s="1"/>
  <c r="G428" i="22" s="1"/>
  <c r="F428" i="22" s="1"/>
  <c r="G272" i="6"/>
  <c r="H272" i="6" s="1"/>
  <c r="J272" i="6" s="1"/>
  <c r="K272" i="6" s="1"/>
  <c r="G269" i="22" s="1"/>
  <c r="F269" i="22" s="1"/>
  <c r="G311" i="6"/>
  <c r="H311" i="6" s="1"/>
  <c r="J311" i="6" s="1"/>
  <c r="K311" i="6" s="1"/>
  <c r="G308" i="22" s="1"/>
  <c r="F308" i="22" s="1"/>
  <c r="G307" i="6"/>
  <c r="H307" i="6" s="1"/>
  <c r="G314" i="6"/>
  <c r="H314" i="6" s="1"/>
  <c r="G424" i="6"/>
  <c r="H424" i="6" s="1"/>
  <c r="J424" i="6" s="1"/>
  <c r="K424" i="6" s="1"/>
  <c r="G421" i="22" s="1"/>
  <c r="F421" i="22" s="1"/>
  <c r="G423" i="6"/>
  <c r="H423" i="6" s="1"/>
  <c r="J423" i="6" s="1"/>
  <c r="K423" i="6" s="1"/>
  <c r="G420" i="22" s="1"/>
  <c r="F420" i="22" s="1"/>
  <c r="G422" i="6"/>
  <c r="H422" i="6" s="1"/>
  <c r="J422" i="6" s="1"/>
  <c r="K422" i="6" s="1"/>
  <c r="G419" i="22" s="1"/>
  <c r="F419" i="22" s="1"/>
  <c r="G416" i="6"/>
  <c r="H416" i="6" s="1"/>
  <c r="J416" i="6" s="1"/>
  <c r="K416" i="6" s="1"/>
  <c r="G413" i="22" s="1"/>
  <c r="F413" i="22" s="1"/>
  <c r="G410" i="6"/>
  <c r="H410" i="6" s="1"/>
  <c r="J410" i="6" s="1"/>
  <c r="K410" i="6" s="1"/>
  <c r="G407" i="22" s="1"/>
  <c r="F407" i="22" s="1"/>
  <c r="G409" i="6"/>
  <c r="H409" i="6" s="1"/>
  <c r="J409" i="6" s="1"/>
  <c r="K409" i="6" s="1"/>
  <c r="G406" i="22" s="1"/>
  <c r="F406" i="22" s="1"/>
  <c r="G408" i="6"/>
  <c r="H408" i="6" s="1"/>
  <c r="J408" i="6" s="1"/>
  <c r="K408" i="6" s="1"/>
  <c r="G405" i="22" s="1"/>
  <c r="F405" i="22" s="1"/>
  <c r="G389" i="6"/>
  <c r="H389" i="6" s="1"/>
  <c r="J389" i="6" s="1"/>
  <c r="K389" i="6" s="1"/>
  <c r="G386" i="22" s="1"/>
  <c r="F386" i="22" s="1"/>
  <c r="G383" i="6"/>
  <c r="H383" i="6" s="1"/>
  <c r="J383" i="6" s="1"/>
  <c r="K383" i="6" s="1"/>
  <c r="G380" i="22" s="1"/>
  <c r="F380" i="22" s="1"/>
  <c r="G380" i="6"/>
  <c r="H380" i="6" s="1"/>
  <c r="J380" i="6" s="1"/>
  <c r="K380" i="6" s="1"/>
  <c r="G377" i="22" s="1"/>
  <c r="F377" i="22" s="1"/>
  <c r="G562" i="6"/>
  <c r="H562" i="6" s="1"/>
  <c r="J562" i="6" s="1"/>
  <c r="K562" i="6" s="1"/>
  <c r="G559" i="22" s="1"/>
  <c r="F559" i="22" s="1"/>
  <c r="G277" i="6"/>
  <c r="H277" i="6" s="1"/>
  <c r="J277" i="6" s="1"/>
  <c r="K277" i="6" s="1"/>
  <c r="G274" i="22" s="1"/>
  <c r="F274" i="22" s="1"/>
  <c r="G483" i="6"/>
  <c r="H483" i="6" s="1"/>
  <c r="J483" i="6" s="1"/>
  <c r="K483" i="6" s="1"/>
  <c r="G480" i="22" s="1"/>
  <c r="F480" i="22" s="1"/>
  <c r="G482" i="6"/>
  <c r="H482" i="6" s="1"/>
  <c r="J482" i="6" s="1"/>
  <c r="K482" i="6" s="1"/>
  <c r="G479" i="22" s="1"/>
  <c r="F479" i="22" s="1"/>
  <c r="G479" i="6"/>
  <c r="H479" i="6" s="1"/>
  <c r="G53" i="6"/>
  <c r="H53" i="6" s="1"/>
  <c r="J53" i="6" s="1"/>
  <c r="K53" i="6" s="1"/>
  <c r="G50" i="22" s="1"/>
  <c r="F50" i="22" s="1"/>
  <c r="G52" i="6"/>
  <c r="H52" i="6" s="1"/>
  <c r="G332" i="6"/>
  <c r="H332" i="6" s="1"/>
  <c r="J332" i="6" s="1"/>
  <c r="K332" i="6" s="1"/>
  <c r="G329" i="22" s="1"/>
  <c r="F329" i="22" s="1"/>
  <c r="G331" i="6"/>
  <c r="H331" i="6" s="1"/>
  <c r="J331" i="6" s="1"/>
  <c r="K331" i="6" s="1"/>
  <c r="G328" i="22" s="1"/>
  <c r="F328" i="22" s="1"/>
  <c r="G329" i="6"/>
  <c r="H329" i="6" s="1"/>
  <c r="J329" i="6" s="1"/>
  <c r="K329" i="6" s="1"/>
  <c r="G326" i="22" s="1"/>
  <c r="F326" i="22" s="1"/>
  <c r="G461" i="6"/>
  <c r="H461" i="6" s="1"/>
  <c r="J461" i="6" s="1"/>
  <c r="K461" i="6" s="1"/>
  <c r="G458" i="22" s="1"/>
  <c r="F458" i="22" s="1"/>
  <c r="G298" i="6"/>
  <c r="H298" i="6" s="1"/>
  <c r="J298" i="6" s="1"/>
  <c r="K298" i="6" s="1"/>
  <c r="G295" i="22" s="1"/>
  <c r="F295" i="22" s="1"/>
  <c r="G294" i="6"/>
  <c r="H294" i="6" s="1"/>
  <c r="J294" i="6" s="1"/>
  <c r="K294" i="6" s="1"/>
  <c r="G291" i="22" s="1"/>
  <c r="F291" i="22" s="1"/>
  <c r="G444" i="6"/>
  <c r="H444" i="6" s="1"/>
  <c r="J444" i="6" s="1"/>
  <c r="K444" i="6" s="1"/>
  <c r="G441" i="22" s="1"/>
  <c r="F441" i="22" s="1"/>
  <c r="G440" i="6"/>
  <c r="H440" i="6" s="1"/>
  <c r="J440" i="6" s="1"/>
  <c r="K440" i="6" s="1"/>
  <c r="G437" i="22" s="1"/>
  <c r="F437" i="22" s="1"/>
  <c r="G273" i="6"/>
  <c r="H273" i="6" s="1"/>
  <c r="J273" i="6" s="1"/>
  <c r="K273" i="6" s="1"/>
  <c r="G270" i="22" s="1"/>
  <c r="F270" i="22" s="1"/>
  <c r="G265" i="6"/>
  <c r="H265" i="6" s="1"/>
  <c r="J265" i="6" s="1"/>
  <c r="K265" i="6" s="1"/>
  <c r="G262" i="22" s="1"/>
  <c r="F262" i="22" s="1"/>
  <c r="G263" i="6"/>
  <c r="H263" i="6" s="1"/>
  <c r="G312" i="6"/>
  <c r="H312" i="6" s="1"/>
  <c r="J312" i="6" s="1"/>
  <c r="K312" i="6" s="1"/>
  <c r="G309" i="22" s="1"/>
  <c r="F309" i="22" s="1"/>
  <c r="G308" i="6"/>
  <c r="H308" i="6" s="1"/>
  <c r="J308" i="6" s="1"/>
  <c r="K308" i="6" s="1"/>
  <c r="G305" i="22" s="1"/>
  <c r="F305" i="22" s="1"/>
  <c r="G288" i="6"/>
  <c r="H288" i="6" s="1"/>
  <c r="J288" i="6" s="1"/>
  <c r="K288" i="6" s="1"/>
  <c r="G285" i="22" s="1"/>
  <c r="F285" i="22" s="1"/>
  <c r="G325" i="6"/>
  <c r="H325" i="6" s="1"/>
  <c r="J325" i="6" s="1"/>
  <c r="K325" i="6" s="1"/>
  <c r="G322" i="22" s="1"/>
  <c r="F322" i="22" s="1"/>
  <c r="G323" i="6"/>
  <c r="H323" i="6" s="1"/>
  <c r="G275" i="6"/>
  <c r="H275" i="6" s="1"/>
  <c r="J275" i="6" s="1"/>
  <c r="K275" i="6" s="1"/>
  <c r="G272" i="22" s="1"/>
  <c r="F272" i="22" s="1"/>
  <c r="G420" i="6"/>
  <c r="H420" i="6" s="1"/>
  <c r="J420" i="6" s="1"/>
  <c r="K420" i="6" s="1"/>
  <c r="G417" i="22" s="1"/>
  <c r="F417" i="22" s="1"/>
  <c r="G415" i="6"/>
  <c r="H415" i="6" s="1"/>
  <c r="J415" i="6" s="1"/>
  <c r="K415" i="6" s="1"/>
  <c r="G412" i="22" s="1"/>
  <c r="F412" i="22" s="1"/>
  <c r="G406" i="6"/>
  <c r="H406" i="6" s="1"/>
  <c r="J406" i="6" s="1"/>
  <c r="K406" i="6" s="1"/>
  <c r="G403" i="22" s="1"/>
  <c r="F403" i="22" s="1"/>
  <c r="G391" i="6"/>
  <c r="H391" i="6" s="1"/>
  <c r="J391" i="6" s="1"/>
  <c r="K391" i="6" s="1"/>
  <c r="G388" i="22" s="1"/>
  <c r="F388" i="22" s="1"/>
  <c r="G810" i="6"/>
  <c r="G296" i="6"/>
  <c r="H296" i="6" s="1"/>
  <c r="J296" i="6" s="1"/>
  <c r="K296" i="6" s="1"/>
  <c r="G293" i="22" s="1"/>
  <c r="F293" i="22" s="1"/>
  <c r="G278" i="6"/>
  <c r="H278" i="6" s="1"/>
  <c r="J278" i="6" s="1"/>
  <c r="K278" i="6" s="1"/>
  <c r="G275" i="22" s="1"/>
  <c r="F275" i="22" s="1"/>
  <c r="G442" i="6"/>
  <c r="H442" i="6" s="1"/>
  <c r="J442" i="6" s="1"/>
  <c r="K442" i="6" s="1"/>
  <c r="G439" i="22" s="1"/>
  <c r="F439" i="22" s="1"/>
  <c r="G432" i="6"/>
  <c r="H432" i="6" s="1"/>
  <c r="J432" i="6" s="1"/>
  <c r="K432" i="6" s="1"/>
  <c r="G429" i="22" s="1"/>
  <c r="F429" i="22" s="1"/>
  <c r="G421" i="6"/>
  <c r="H421" i="6" s="1"/>
  <c r="J421" i="6" s="1"/>
  <c r="K421" i="6" s="1"/>
  <c r="G418" i="22" s="1"/>
  <c r="F418" i="22" s="1"/>
  <c r="G404" i="6"/>
  <c r="H404" i="6" s="1"/>
  <c r="J404" i="6" s="1"/>
  <c r="K404" i="6" s="1"/>
  <c r="G401" i="22" s="1"/>
  <c r="F401" i="22" s="1"/>
  <c r="G399" i="6"/>
  <c r="H399" i="6" s="1"/>
  <c r="J399" i="6" s="1"/>
  <c r="K399" i="6" s="1"/>
  <c r="G396" i="22" s="1"/>
  <c r="F396" i="22" s="1"/>
  <c r="G396" i="6"/>
  <c r="H396" i="6" s="1"/>
  <c r="J396" i="6" s="1"/>
  <c r="K396" i="6" s="1"/>
  <c r="G393" i="22" s="1"/>
  <c r="F393" i="22" s="1"/>
  <c r="G393" i="6"/>
  <c r="H393" i="6" s="1"/>
  <c r="J393" i="6" s="1"/>
  <c r="K393" i="6" s="1"/>
  <c r="G390" i="22" s="1"/>
  <c r="F390" i="22" s="1"/>
  <c r="G386" i="6"/>
  <c r="H386" i="6" s="1"/>
  <c r="J386" i="6" s="1"/>
  <c r="K386" i="6" s="1"/>
  <c r="G383" i="22" s="1"/>
  <c r="F383" i="22" s="1"/>
  <c r="G384" i="6"/>
  <c r="H384" i="6" s="1"/>
  <c r="J384" i="6" s="1"/>
  <c r="K384" i="6" s="1"/>
  <c r="G381" i="22" s="1"/>
  <c r="F381" i="22" s="1"/>
  <c r="G381" i="6"/>
  <c r="H381" i="6" s="1"/>
  <c r="J381" i="6" s="1"/>
  <c r="K381" i="6" s="1"/>
  <c r="G378" i="22" s="1"/>
  <c r="F378" i="22" s="1"/>
  <c r="G568" i="6"/>
  <c r="H568" i="6" s="1"/>
  <c r="G566" i="6"/>
  <c r="H566" i="6" s="1"/>
  <c r="J566" i="6" s="1"/>
  <c r="K566" i="6" s="1"/>
  <c r="G563" i="22" s="1"/>
  <c r="F563" i="22" s="1"/>
  <c r="G564" i="6"/>
  <c r="H564" i="6" s="1"/>
  <c r="J564" i="6" s="1"/>
  <c r="K564" i="6" s="1"/>
  <c r="G561" i="22" s="1"/>
  <c r="F561" i="22" s="1"/>
  <c r="G561" i="6"/>
  <c r="H561" i="6" s="1"/>
  <c r="J561" i="6" s="1"/>
  <c r="K561" i="6" s="1"/>
  <c r="G558" i="22" s="1"/>
  <c r="F558" i="22" s="1"/>
  <c r="G334" i="6"/>
  <c r="H334" i="6" s="1"/>
  <c r="J334" i="6" s="1"/>
  <c r="K334" i="6" s="1"/>
  <c r="G331" i="22" s="1"/>
  <c r="F331" i="22" s="1"/>
  <c r="G443" i="6"/>
  <c r="H443" i="6" s="1"/>
  <c r="J443" i="6" s="1"/>
  <c r="K443" i="6" s="1"/>
  <c r="G440" i="22" s="1"/>
  <c r="F440" i="22" s="1"/>
  <c r="G309" i="6"/>
  <c r="H309" i="6" s="1"/>
  <c r="J309" i="6" s="1"/>
  <c r="K309" i="6" s="1"/>
  <c r="G306" i="22" s="1"/>
  <c r="F306" i="22" s="1"/>
  <c r="G418" i="6"/>
  <c r="H418" i="6" s="1"/>
  <c r="J418" i="6" s="1"/>
  <c r="K418" i="6" s="1"/>
  <c r="G415" i="22" s="1"/>
  <c r="F415" i="22" s="1"/>
  <c r="G405" i="6"/>
  <c r="H405" i="6" s="1"/>
  <c r="J405" i="6" s="1"/>
  <c r="K405" i="6" s="1"/>
  <c r="G402" i="22" s="1"/>
  <c r="F402" i="22" s="1"/>
  <c r="G299" i="6"/>
  <c r="H299" i="6" s="1"/>
  <c r="J299" i="6" s="1"/>
  <c r="K299" i="6" s="1"/>
  <c r="G296" i="22" s="1"/>
  <c r="F296" i="22" s="1"/>
  <c r="G336" i="6"/>
  <c r="H336" i="6" s="1"/>
  <c r="J336" i="6" s="1"/>
  <c r="K336" i="6" s="1"/>
  <c r="G333" i="22" s="1"/>
  <c r="F333" i="22" s="1"/>
  <c r="G266" i="6"/>
  <c r="H266" i="6" s="1"/>
  <c r="J266" i="6" s="1"/>
  <c r="K266" i="6" s="1"/>
  <c r="G263" i="22" s="1"/>
  <c r="F263" i="22" s="1"/>
  <c r="G287" i="6"/>
  <c r="H287" i="6" s="1"/>
  <c r="J287" i="6" s="1"/>
  <c r="K287" i="6" s="1"/>
  <c r="G284" i="22" s="1"/>
  <c r="F284" i="22" s="1"/>
  <c r="G286" i="6"/>
  <c r="H286" i="6" s="1"/>
  <c r="G417" i="6"/>
  <c r="H417" i="6" s="1"/>
  <c r="J417" i="6" s="1"/>
  <c r="K417" i="6" s="1"/>
  <c r="G414" i="22" s="1"/>
  <c r="F414" i="22" s="1"/>
  <c r="G400" i="6"/>
  <c r="H400" i="6" s="1"/>
  <c r="J400" i="6" s="1"/>
  <c r="K400" i="6" s="1"/>
  <c r="G397" i="22" s="1"/>
  <c r="F397" i="22" s="1"/>
  <c r="G395" i="6"/>
  <c r="H395" i="6" s="1"/>
  <c r="J395" i="6" s="1"/>
  <c r="K395" i="6" s="1"/>
  <c r="G392" i="22" s="1"/>
  <c r="F392" i="22" s="1"/>
  <c r="G387" i="6"/>
  <c r="H387" i="6" s="1"/>
  <c r="J387" i="6" s="1"/>
  <c r="K387" i="6" s="1"/>
  <c r="G384" i="22" s="1"/>
  <c r="F384" i="22" s="1"/>
  <c r="G398" i="6"/>
  <c r="H398" i="6" s="1"/>
  <c r="J398" i="6" s="1"/>
  <c r="K398" i="6" s="1"/>
  <c r="G395" i="22" s="1"/>
  <c r="F395" i="22" s="1"/>
  <c r="G462" i="6"/>
  <c r="H462" i="6" s="1"/>
  <c r="J462" i="6" s="1"/>
  <c r="K462" i="6" s="1"/>
  <c r="G459" i="22" s="1"/>
  <c r="F459" i="22" s="1"/>
  <c r="G441" i="6"/>
  <c r="H441" i="6" s="1"/>
  <c r="J441" i="6" s="1"/>
  <c r="K441" i="6" s="1"/>
  <c r="G438" i="22" s="1"/>
  <c r="F438" i="22" s="1"/>
  <c r="G394" i="6"/>
  <c r="H394" i="6" s="1"/>
  <c r="J394" i="6" s="1"/>
  <c r="K394" i="6" s="1"/>
  <c r="G391" i="22" s="1"/>
  <c r="F391" i="22" s="1"/>
  <c r="G385" i="6"/>
  <c r="H385" i="6" s="1"/>
  <c r="J385" i="6" s="1"/>
  <c r="K385" i="6" s="1"/>
  <c r="G382" i="22" s="1"/>
  <c r="F382" i="22" s="1"/>
  <c r="G565" i="6"/>
  <c r="H565" i="6" s="1"/>
  <c r="J565" i="6" s="1"/>
  <c r="K565" i="6" s="1"/>
  <c r="G562" i="22" s="1"/>
  <c r="F562" i="22" s="1"/>
  <c r="G274" i="6"/>
  <c r="H274" i="6" s="1"/>
  <c r="J274" i="6" s="1"/>
  <c r="K274" i="6" s="1"/>
  <c r="G271" i="22" s="1"/>
  <c r="F271" i="22" s="1"/>
  <c r="G407" i="6"/>
  <c r="H407" i="6" s="1"/>
  <c r="J407" i="6" s="1"/>
  <c r="K407" i="6" s="1"/>
  <c r="G404" i="22" s="1"/>
  <c r="F404" i="22" s="1"/>
  <c r="G401" i="6"/>
  <c r="H401" i="6" s="1"/>
  <c r="J401" i="6" s="1"/>
  <c r="K401" i="6" s="1"/>
  <c r="G398" i="22" s="1"/>
  <c r="F398" i="22" s="1"/>
  <c r="G392" i="6"/>
  <c r="H392" i="6" s="1"/>
  <c r="J392" i="6" s="1"/>
  <c r="K392" i="6" s="1"/>
  <c r="G389" i="22" s="1"/>
  <c r="F389" i="22" s="1"/>
  <c r="G563" i="6"/>
  <c r="H563" i="6" s="1"/>
  <c r="J563" i="6" s="1"/>
  <c r="K563" i="6" s="1"/>
  <c r="G560" i="22" s="1"/>
  <c r="F560" i="22" s="1"/>
  <c r="G328" i="6"/>
  <c r="H328" i="6" s="1"/>
  <c r="J328" i="6" s="1"/>
  <c r="K328" i="6" s="1"/>
  <c r="G325" i="22" s="1"/>
  <c r="F325" i="22" s="1"/>
  <c r="G324" i="6"/>
  <c r="H324" i="6" s="1"/>
  <c r="J324" i="6" s="1"/>
  <c r="K324" i="6" s="1"/>
  <c r="G321" i="22" s="1"/>
  <c r="F321" i="22" s="1"/>
  <c r="G402" i="6"/>
  <c r="H402" i="6" s="1"/>
  <c r="J402" i="6" s="1"/>
  <c r="K402" i="6" s="1"/>
  <c r="G399" i="22" s="1"/>
  <c r="F399" i="22" s="1"/>
  <c r="G397" i="6"/>
  <c r="H397" i="6" s="1"/>
  <c r="J397" i="6" s="1"/>
  <c r="K397" i="6" s="1"/>
  <c r="G394" i="22" s="1"/>
  <c r="F394" i="22" s="1"/>
  <c r="G390" i="6"/>
  <c r="H390" i="6" s="1"/>
  <c r="J390" i="6" s="1"/>
  <c r="K390" i="6" s="1"/>
  <c r="G387" i="22" s="1"/>
  <c r="F387" i="22" s="1"/>
  <c r="G379" i="6"/>
  <c r="H379" i="6" s="1"/>
  <c r="G558" i="6"/>
  <c r="H558" i="6" s="1"/>
  <c r="G124" i="6"/>
  <c r="H124" i="6" s="1"/>
  <c r="G375" i="6"/>
  <c r="H375" i="6" s="1"/>
  <c r="J375" i="6" s="1"/>
  <c r="K375" i="6" s="1"/>
  <c r="G372" i="22" s="1"/>
  <c r="F372" i="22" s="1"/>
  <c r="G370" i="6"/>
  <c r="H370" i="6" s="1"/>
  <c r="J370" i="6" s="1"/>
  <c r="K370" i="6" s="1"/>
  <c r="G367" i="22" s="1"/>
  <c r="F367" i="22" s="1"/>
  <c r="G366" i="6"/>
  <c r="H366" i="6" s="1"/>
  <c r="J366" i="6" s="1"/>
  <c r="K366" i="6" s="1"/>
  <c r="G363" i="22" s="1"/>
  <c r="F363" i="22" s="1"/>
  <c r="G362" i="6"/>
  <c r="H362" i="6" s="1"/>
  <c r="J362" i="6" s="1"/>
  <c r="K362" i="6" s="1"/>
  <c r="G359" i="22" s="1"/>
  <c r="F359" i="22" s="1"/>
  <c r="G121" i="6"/>
  <c r="H121" i="6" s="1"/>
  <c r="J121" i="6" s="1"/>
  <c r="K121" i="6" s="1"/>
  <c r="G118" i="22" s="1"/>
  <c r="F118" i="22" s="1"/>
  <c r="G120" i="6"/>
  <c r="H120" i="6" s="1"/>
  <c r="J120" i="6" s="1"/>
  <c r="K120" i="6" s="1"/>
  <c r="G117" i="22" s="1"/>
  <c r="F117" i="22" s="1"/>
  <c r="G364" i="6"/>
  <c r="H364" i="6" s="1"/>
  <c r="J364" i="6" s="1"/>
  <c r="K364" i="6" s="1"/>
  <c r="G361" i="22" s="1"/>
  <c r="F361" i="22" s="1"/>
  <c r="G115" i="6"/>
  <c r="H115" i="6" s="1"/>
  <c r="J115" i="6" s="1"/>
  <c r="K115" i="6" s="1"/>
  <c r="G112" i="22" s="1"/>
  <c r="F112" i="22" s="1"/>
  <c r="G113" i="6"/>
  <c r="H113" i="6" s="1"/>
  <c r="G374" i="6"/>
  <c r="H374" i="6" s="1"/>
  <c r="J374" i="6" s="1"/>
  <c r="K374" i="6" s="1"/>
  <c r="G371" i="22" s="1"/>
  <c r="F371" i="22" s="1"/>
  <c r="G560" i="6"/>
  <c r="H560" i="6" s="1"/>
  <c r="J560" i="6" s="1"/>
  <c r="K560" i="6" s="1"/>
  <c r="G557" i="22" s="1"/>
  <c r="F557" i="22" s="1"/>
  <c r="G122" i="6"/>
  <c r="H122" i="6" s="1"/>
  <c r="J122" i="6" s="1"/>
  <c r="K122" i="6" s="1"/>
  <c r="G119" i="22" s="1"/>
  <c r="F119" i="22" s="1"/>
  <c r="G118" i="6"/>
  <c r="H118" i="6" s="1"/>
  <c r="J118" i="6" s="1"/>
  <c r="K118" i="6" s="1"/>
  <c r="G115" i="22" s="1"/>
  <c r="F115" i="22" s="1"/>
  <c r="G117" i="6"/>
  <c r="H117" i="6" s="1"/>
  <c r="J117" i="6" s="1"/>
  <c r="K117" i="6" s="1"/>
  <c r="G114" i="22" s="1"/>
  <c r="F114" i="22" s="1"/>
  <c r="G376" i="6"/>
  <c r="H376" i="6" s="1"/>
  <c r="J376" i="6" s="1"/>
  <c r="K376" i="6" s="1"/>
  <c r="G373" i="22" s="1"/>
  <c r="F373" i="22" s="1"/>
  <c r="G371" i="6"/>
  <c r="H371" i="6" s="1"/>
  <c r="J371" i="6" s="1"/>
  <c r="K371" i="6" s="1"/>
  <c r="G368" i="22" s="1"/>
  <c r="F368" i="22" s="1"/>
  <c r="G367" i="6"/>
  <c r="H367" i="6" s="1"/>
  <c r="J367" i="6" s="1"/>
  <c r="K367" i="6" s="1"/>
  <c r="G364" i="22" s="1"/>
  <c r="F364" i="22" s="1"/>
  <c r="G363" i="6"/>
  <c r="H363" i="6" s="1"/>
  <c r="J363" i="6" s="1"/>
  <c r="K363" i="6" s="1"/>
  <c r="G360" i="22" s="1"/>
  <c r="F360" i="22" s="1"/>
  <c r="G559" i="6"/>
  <c r="H559" i="6" s="1"/>
  <c r="G119" i="6"/>
  <c r="H119" i="6" s="1"/>
  <c r="J119" i="6" s="1"/>
  <c r="K119" i="6" s="1"/>
  <c r="G116" i="22" s="1"/>
  <c r="F116" i="22" s="1"/>
  <c r="G116" i="6"/>
  <c r="H116" i="6" s="1"/>
  <c r="J116" i="6" s="1"/>
  <c r="K116" i="6" s="1"/>
  <c r="G113" i="22" s="1"/>
  <c r="F113" i="22" s="1"/>
  <c r="G373" i="6"/>
  <c r="H373" i="6" s="1"/>
  <c r="J373" i="6" s="1"/>
  <c r="K373" i="6" s="1"/>
  <c r="G370" i="22" s="1"/>
  <c r="F370" i="22" s="1"/>
  <c r="G372" i="6"/>
  <c r="H372" i="6" s="1"/>
  <c r="J372" i="6" s="1"/>
  <c r="K372" i="6" s="1"/>
  <c r="G369" i="22" s="1"/>
  <c r="F369" i="22" s="1"/>
  <c r="G368" i="6"/>
  <c r="H368" i="6" s="1"/>
  <c r="J368" i="6" s="1"/>
  <c r="K368" i="6" s="1"/>
  <c r="G365" i="22" s="1"/>
  <c r="F365" i="22" s="1"/>
  <c r="G361" i="6"/>
  <c r="H361" i="6" s="1"/>
  <c r="J361" i="6" s="1"/>
  <c r="K361" i="6" s="1"/>
  <c r="G358" i="22" s="1"/>
  <c r="F358" i="22" s="1"/>
  <c r="G114" i="6"/>
  <c r="H114" i="6" s="1"/>
  <c r="J114" i="6" s="1"/>
  <c r="K114" i="6" s="1"/>
  <c r="G111" i="22" s="1"/>
  <c r="F111" i="22" s="1"/>
  <c r="G369" i="6"/>
  <c r="H369" i="6" s="1"/>
  <c r="J369" i="6" s="1"/>
  <c r="K369" i="6" s="1"/>
  <c r="G366" i="22" s="1"/>
  <c r="F366" i="22" s="1"/>
  <c r="G365" i="6"/>
  <c r="H365" i="6" s="1"/>
  <c r="J365" i="6" s="1"/>
  <c r="K365" i="6" s="1"/>
  <c r="G362" i="22" s="1"/>
  <c r="F362" i="22" s="1"/>
  <c r="G357" i="6"/>
  <c r="H357" i="6" s="1"/>
  <c r="J357" i="6" s="1"/>
  <c r="K357" i="6" s="1"/>
  <c r="G354" i="22" s="1"/>
  <c r="F354" i="22" s="1"/>
  <c r="G358" i="6"/>
  <c r="H358" i="6" s="1"/>
  <c r="J358" i="6" s="1"/>
  <c r="K358" i="6" s="1"/>
  <c r="G355" i="22" s="1"/>
  <c r="F355" i="22" s="1"/>
  <c r="G355" i="6"/>
  <c r="H355" i="6" s="1"/>
  <c r="J355" i="6" s="1"/>
  <c r="K355" i="6" s="1"/>
  <c r="G352" i="22" s="1"/>
  <c r="F352" i="22" s="1"/>
  <c r="G360" i="6"/>
  <c r="H360" i="6" s="1"/>
  <c r="J360" i="6" s="1"/>
  <c r="K360" i="6" s="1"/>
  <c r="G357" i="22" s="1"/>
  <c r="F357" i="22" s="1"/>
  <c r="G359" i="6"/>
  <c r="H359" i="6" s="1"/>
  <c r="J359" i="6" s="1"/>
  <c r="K359" i="6" s="1"/>
  <c r="G356" i="22" s="1"/>
  <c r="F356" i="22" s="1"/>
  <c r="G356" i="6"/>
  <c r="H356" i="6" s="1"/>
  <c r="J356" i="6" s="1"/>
  <c r="K356" i="6" s="1"/>
  <c r="G353" i="22" s="1"/>
  <c r="F353" i="22" s="1"/>
  <c r="G353" i="6"/>
  <c r="H353" i="6" s="1"/>
  <c r="J353" i="6" s="1"/>
  <c r="K353" i="6" s="1"/>
  <c r="G350" i="22" s="1"/>
  <c r="F350" i="22" s="1"/>
  <c r="G348" i="6"/>
  <c r="H348" i="6" s="1"/>
  <c r="J348" i="6" s="1"/>
  <c r="K348" i="6" s="1"/>
  <c r="G345" i="22" s="1"/>
  <c r="F345" i="22" s="1"/>
  <c r="G344" i="6"/>
  <c r="H344" i="6" s="1"/>
  <c r="J344" i="6" s="1"/>
  <c r="K344" i="6" s="1"/>
  <c r="G341" i="22" s="1"/>
  <c r="F341" i="22" s="1"/>
  <c r="G342" i="6"/>
  <c r="H342" i="6" s="1"/>
  <c r="J342" i="6" s="1"/>
  <c r="K342" i="6" s="1"/>
  <c r="G339" i="22" s="1"/>
  <c r="F339" i="22" s="1"/>
  <c r="G340" i="6"/>
  <c r="H340" i="6" s="1"/>
  <c r="J340" i="6" s="1"/>
  <c r="K340" i="6" s="1"/>
  <c r="G337" i="22" s="1"/>
  <c r="F337" i="22" s="1"/>
  <c r="G349" i="6"/>
  <c r="H349" i="6" s="1"/>
  <c r="J349" i="6" s="1"/>
  <c r="K349" i="6" s="1"/>
  <c r="G346" i="22" s="1"/>
  <c r="F346" i="22" s="1"/>
  <c r="G350" i="6"/>
  <c r="H350" i="6" s="1"/>
  <c r="J350" i="6" s="1"/>
  <c r="K350" i="6" s="1"/>
  <c r="G347" i="22" s="1"/>
  <c r="F347" i="22" s="1"/>
  <c r="G354" i="6"/>
  <c r="H354" i="6" s="1"/>
  <c r="J354" i="6" s="1"/>
  <c r="K354" i="6" s="1"/>
  <c r="G351" i="22" s="1"/>
  <c r="F351" i="22" s="1"/>
  <c r="G345" i="6"/>
  <c r="H345" i="6" s="1"/>
  <c r="G343" i="6"/>
  <c r="H343" i="6" s="1"/>
  <c r="J343" i="6" s="1"/>
  <c r="K343" i="6" s="1"/>
  <c r="G340" i="22" s="1"/>
  <c r="F340" i="22" s="1"/>
  <c r="G341" i="6"/>
  <c r="H341" i="6" s="1"/>
  <c r="J341" i="6" s="1"/>
  <c r="K341" i="6" s="1"/>
  <c r="G338" i="22" s="1"/>
  <c r="F338" i="22" s="1"/>
  <c r="G351" i="6"/>
  <c r="H351" i="6" s="1"/>
  <c r="J351" i="6" s="1"/>
  <c r="K351" i="6" s="1"/>
  <c r="G348" i="22" s="1"/>
  <c r="F348" i="22" s="1"/>
  <c r="G347" i="6"/>
  <c r="H347" i="6" s="1"/>
  <c r="J347" i="6" s="1"/>
  <c r="K347" i="6" s="1"/>
  <c r="G344" i="22" s="1"/>
  <c r="F344" i="22" s="1"/>
  <c r="G352" i="6"/>
  <c r="H352" i="6" s="1"/>
  <c r="J352" i="6" s="1"/>
  <c r="K352" i="6" s="1"/>
  <c r="G349" i="22" s="1"/>
  <c r="F349" i="22" s="1"/>
  <c r="G339" i="6"/>
  <c r="H339" i="6" s="1"/>
  <c r="G477" i="6"/>
  <c r="H477" i="6" s="1"/>
  <c r="J477" i="6" s="1"/>
  <c r="K477" i="6" s="1"/>
  <c r="G474" i="22" s="1"/>
  <c r="F474" i="22" s="1"/>
  <c r="G476" i="6"/>
  <c r="H476" i="6" s="1"/>
  <c r="J476" i="6" s="1"/>
  <c r="K476" i="6" s="1"/>
  <c r="G473" i="22" s="1"/>
  <c r="F473" i="22" s="1"/>
  <c r="G473" i="6"/>
  <c r="H473" i="6" s="1"/>
  <c r="J473" i="6" s="1"/>
  <c r="K473" i="6" s="1"/>
  <c r="G470" i="22" s="1"/>
  <c r="F470" i="22" s="1"/>
  <c r="G471" i="6"/>
  <c r="H471" i="6" s="1"/>
  <c r="J471" i="6" s="1"/>
  <c r="K471" i="6" s="1"/>
  <c r="G468" i="22" s="1"/>
  <c r="F468" i="22" s="1"/>
  <c r="G104" i="6"/>
  <c r="H104" i="6" s="1"/>
  <c r="J104" i="6" s="1"/>
  <c r="K104" i="6" s="1"/>
  <c r="G101" i="22" s="1"/>
  <c r="F101" i="22" s="1"/>
  <c r="G98" i="6"/>
  <c r="H98" i="6" s="1"/>
  <c r="J98" i="6" s="1"/>
  <c r="K98" i="6" s="1"/>
  <c r="G95" i="22" s="1"/>
  <c r="F95" i="22" s="1"/>
  <c r="G96" i="6"/>
  <c r="H96" i="6" s="1"/>
  <c r="J96" i="6" s="1"/>
  <c r="K96" i="6" s="1"/>
  <c r="G93" i="22" s="1"/>
  <c r="F93" i="22" s="1"/>
  <c r="G95" i="6"/>
  <c r="H95" i="6" s="1"/>
  <c r="G60" i="6"/>
  <c r="H60" i="6" s="1"/>
  <c r="J60" i="6" s="1"/>
  <c r="K60" i="6" s="1"/>
  <c r="G57" i="22" s="1"/>
  <c r="F57" i="22" s="1"/>
  <c r="G57" i="6"/>
  <c r="H57" i="6" s="1"/>
  <c r="G97" i="6"/>
  <c r="H97" i="6" s="1"/>
  <c r="J97" i="6" s="1"/>
  <c r="K97" i="6" s="1"/>
  <c r="G94" i="22" s="1"/>
  <c r="F94" i="22" s="1"/>
  <c r="G58" i="6"/>
  <c r="H58" i="6" s="1"/>
  <c r="J58" i="6" s="1"/>
  <c r="K58" i="6" s="1"/>
  <c r="G55" i="22" s="1"/>
  <c r="F55" i="22" s="1"/>
  <c r="G475" i="6"/>
  <c r="H475" i="6" s="1"/>
  <c r="J475" i="6" s="1"/>
  <c r="K475" i="6" s="1"/>
  <c r="G472" i="22" s="1"/>
  <c r="F472" i="22" s="1"/>
  <c r="G108" i="6"/>
  <c r="H108" i="6" s="1"/>
  <c r="J108" i="6" s="1"/>
  <c r="K108" i="6" s="1"/>
  <c r="G105" i="22" s="1"/>
  <c r="F105" i="22" s="1"/>
  <c r="G100" i="6"/>
  <c r="H100" i="6" s="1"/>
  <c r="J100" i="6" s="1"/>
  <c r="K100" i="6" s="1"/>
  <c r="G97" i="22" s="1"/>
  <c r="F97" i="22" s="1"/>
  <c r="G59" i="6"/>
  <c r="H59" i="6" s="1"/>
  <c r="J59" i="6" s="1"/>
  <c r="K59" i="6" s="1"/>
  <c r="G56" i="22" s="1"/>
  <c r="F56" i="22" s="1"/>
  <c r="G468" i="6"/>
  <c r="H468" i="6" s="1"/>
  <c r="J468" i="6" s="1"/>
  <c r="K468" i="6" s="1"/>
  <c r="G465" i="22" s="1"/>
  <c r="F465" i="22" s="1"/>
  <c r="G466" i="6"/>
  <c r="H466" i="6" s="1"/>
  <c r="J466" i="6" s="1"/>
  <c r="K466" i="6" s="1"/>
  <c r="G463" i="22" s="1"/>
  <c r="F463" i="22" s="1"/>
  <c r="G109" i="6"/>
  <c r="H109" i="6" s="1"/>
  <c r="J109" i="6" s="1"/>
  <c r="K109" i="6" s="1"/>
  <c r="G106" i="22" s="1"/>
  <c r="F106" i="22" s="1"/>
  <c r="G103" i="6"/>
  <c r="H103" i="6" s="1"/>
  <c r="J103" i="6" s="1"/>
  <c r="K103" i="6" s="1"/>
  <c r="G100" i="22" s="1"/>
  <c r="F100" i="22" s="1"/>
  <c r="G474" i="6"/>
  <c r="H474" i="6" s="1"/>
  <c r="J474" i="6" s="1"/>
  <c r="K474" i="6" s="1"/>
  <c r="G471" i="22" s="1"/>
  <c r="F471" i="22" s="1"/>
  <c r="G107" i="6"/>
  <c r="H107" i="6" s="1"/>
  <c r="G105" i="6"/>
  <c r="H105" i="6" s="1"/>
  <c r="J105" i="6" s="1"/>
  <c r="K105" i="6" s="1"/>
  <c r="G102" i="22" s="1"/>
  <c r="F102" i="22" s="1"/>
  <c r="G99" i="6"/>
  <c r="H99" i="6" s="1"/>
  <c r="J99" i="6" s="1"/>
  <c r="K99" i="6" s="1"/>
  <c r="G96" i="22" s="1"/>
  <c r="F96" i="22" s="1"/>
  <c r="G61" i="6"/>
  <c r="H61" i="6" s="1"/>
  <c r="J61" i="6" s="1"/>
  <c r="K61" i="6" s="1"/>
  <c r="G58" i="22" s="1"/>
  <c r="F58" i="22" s="1"/>
  <c r="G470" i="6"/>
  <c r="H470" i="6" s="1"/>
  <c r="J470" i="6" s="1"/>
  <c r="K470" i="6" s="1"/>
  <c r="G467" i="22" s="1"/>
  <c r="F467" i="22" s="1"/>
  <c r="G469" i="6"/>
  <c r="H469" i="6" s="1"/>
  <c r="J469" i="6" s="1"/>
  <c r="K469" i="6" s="1"/>
  <c r="G466" i="22" s="1"/>
  <c r="F466" i="22" s="1"/>
  <c r="G467" i="6"/>
  <c r="H467" i="6" s="1"/>
  <c r="J467" i="6" s="1"/>
  <c r="K467" i="6" s="1"/>
  <c r="G464" i="22" s="1"/>
  <c r="F464" i="22" s="1"/>
  <c r="G465" i="6"/>
  <c r="H465" i="6" s="1"/>
  <c r="G50" i="6"/>
  <c r="H50" i="6" s="1"/>
  <c r="J50" i="6" s="1"/>
  <c r="K50" i="6" s="1"/>
  <c r="G47" i="22" s="1"/>
  <c r="F47" i="22" s="1"/>
  <c r="G38" i="6"/>
  <c r="H38" i="6" s="1"/>
  <c r="J38" i="6" s="1"/>
  <c r="K38" i="6" s="1"/>
  <c r="G35" i="22" s="1"/>
  <c r="F35" i="22" s="1"/>
  <c r="G33" i="6"/>
  <c r="H33" i="6" s="1"/>
  <c r="J33" i="6" s="1"/>
  <c r="K33" i="6" s="1"/>
  <c r="G30" i="22" s="1"/>
  <c r="F30" i="22" s="1"/>
  <c r="G80" i="6"/>
  <c r="H80" i="6" s="1"/>
  <c r="J80" i="6" s="1"/>
  <c r="K80" i="6" s="1"/>
  <c r="G77" i="22" s="1"/>
  <c r="F77" i="22" s="1"/>
  <c r="G78" i="6"/>
  <c r="H78" i="6" s="1"/>
  <c r="J78" i="6" s="1"/>
  <c r="K78" i="6" s="1"/>
  <c r="G75" i="22" s="1"/>
  <c r="F75" i="22" s="1"/>
  <c r="G319" i="6"/>
  <c r="H319" i="6" s="1"/>
  <c r="J319" i="6" s="1"/>
  <c r="K319" i="6" s="1"/>
  <c r="G316" i="22" s="1"/>
  <c r="F316" i="22" s="1"/>
  <c r="G706" i="6"/>
  <c r="H706" i="6" s="1"/>
  <c r="J706" i="6" s="1"/>
  <c r="K706" i="6" s="1"/>
  <c r="G703" i="22" s="1"/>
  <c r="F703" i="22" s="1"/>
  <c r="G550" i="6"/>
  <c r="H550" i="6" s="1"/>
  <c r="G691" i="6"/>
  <c r="H691" i="6" s="1"/>
  <c r="J691" i="6" s="1"/>
  <c r="K691" i="6" s="1"/>
  <c r="G688" i="22" s="1"/>
  <c r="F688" i="22" s="1"/>
  <c r="G690" i="6"/>
  <c r="H690" i="6" s="1"/>
  <c r="J690" i="6" s="1"/>
  <c r="K690" i="6" s="1"/>
  <c r="G687" i="22" s="1"/>
  <c r="F687" i="22" s="1"/>
  <c r="G689" i="6"/>
  <c r="H689" i="6" s="1"/>
  <c r="J689" i="6" s="1"/>
  <c r="K689" i="6" s="1"/>
  <c r="G686" i="22" s="1"/>
  <c r="F686" i="22" s="1"/>
  <c r="G688" i="6"/>
  <c r="H688" i="6" s="1"/>
  <c r="J688" i="6" s="1"/>
  <c r="K688" i="6" s="1"/>
  <c r="G685" i="22" s="1"/>
  <c r="F685" i="22" s="1"/>
  <c r="G686" i="6"/>
  <c r="H686" i="6" s="1"/>
  <c r="J686" i="6" s="1"/>
  <c r="K686" i="6" s="1"/>
  <c r="G683" i="22" s="1"/>
  <c r="F683" i="22" s="1"/>
  <c r="G684" i="6"/>
  <c r="H684" i="6" s="1"/>
  <c r="J684" i="6" s="1"/>
  <c r="K684" i="6" s="1"/>
  <c r="G681" i="22" s="1"/>
  <c r="F681" i="22" s="1"/>
  <c r="G677" i="6"/>
  <c r="H677" i="6" s="1"/>
  <c r="J677" i="6" s="1"/>
  <c r="K677" i="6" s="1"/>
  <c r="G674" i="22" s="1"/>
  <c r="F674" i="22" s="1"/>
  <c r="G662" i="6"/>
  <c r="H662" i="6" s="1"/>
  <c r="G791" i="6"/>
  <c r="H791" i="6" s="1"/>
  <c r="J791" i="6" s="1"/>
  <c r="K791" i="6" s="1"/>
  <c r="G788" i="22" s="1"/>
  <c r="F788" i="22" s="1"/>
  <c r="G49" i="6"/>
  <c r="H49" i="6" s="1"/>
  <c r="J49" i="6" s="1"/>
  <c r="K49" i="6" s="1"/>
  <c r="G46" i="22" s="1"/>
  <c r="F46" i="22" s="1"/>
  <c r="G46" i="6"/>
  <c r="H46" i="6" s="1"/>
  <c r="J46" i="6" s="1"/>
  <c r="K46" i="6" s="1"/>
  <c r="G43" i="22" s="1"/>
  <c r="F43" i="22" s="1"/>
  <c r="G45" i="6"/>
  <c r="H45" i="6" s="1"/>
  <c r="G32" i="6"/>
  <c r="H32" i="6" s="1"/>
  <c r="J32" i="6" s="1"/>
  <c r="K32" i="6" s="1"/>
  <c r="G29" i="22" s="1"/>
  <c r="F29" i="22" s="1"/>
  <c r="G90" i="6"/>
  <c r="H90" i="6" s="1"/>
  <c r="J90" i="6" s="1"/>
  <c r="K90" i="6" s="1"/>
  <c r="G87" i="22" s="1"/>
  <c r="F87" i="22" s="1"/>
  <c r="G89" i="6"/>
  <c r="H89" i="6" s="1"/>
  <c r="J89" i="6" s="1"/>
  <c r="K89" i="6" s="1"/>
  <c r="G86" i="22" s="1"/>
  <c r="F86" i="22" s="1"/>
  <c r="G85" i="6"/>
  <c r="H85" i="6" s="1"/>
  <c r="J85" i="6" s="1"/>
  <c r="K85" i="6" s="1"/>
  <c r="G82" i="22" s="1"/>
  <c r="F82" i="22" s="1"/>
  <c r="G84" i="6"/>
  <c r="H84" i="6" s="1"/>
  <c r="J84" i="6" s="1"/>
  <c r="K84" i="6" s="1"/>
  <c r="G81" i="22" s="1"/>
  <c r="F81" i="22" s="1"/>
  <c r="G83" i="6"/>
  <c r="H83" i="6" s="1"/>
  <c r="J83" i="6" s="1"/>
  <c r="K83" i="6" s="1"/>
  <c r="G80" i="22" s="1"/>
  <c r="F80" i="22" s="1"/>
  <c r="G36" i="6"/>
  <c r="H36" i="6" s="1"/>
  <c r="J36" i="6" s="1"/>
  <c r="K36" i="6" s="1"/>
  <c r="G33" i="22" s="1"/>
  <c r="F33" i="22" s="1"/>
  <c r="G35" i="6"/>
  <c r="H35" i="6" s="1"/>
  <c r="J35" i="6" s="1"/>
  <c r="K35" i="6" s="1"/>
  <c r="G32" i="22" s="1"/>
  <c r="F32" i="22" s="1"/>
  <c r="G31" i="6"/>
  <c r="H31" i="6" s="1"/>
  <c r="G92" i="6"/>
  <c r="H92" i="6" s="1"/>
  <c r="G94" i="6"/>
  <c r="H94" i="6" s="1"/>
  <c r="G102" i="6"/>
  <c r="H102" i="6" s="1"/>
  <c r="G88" i="6"/>
  <c r="H88" i="6" s="1"/>
  <c r="J88" i="6" s="1"/>
  <c r="K88" i="6" s="1"/>
  <c r="G85" i="22" s="1"/>
  <c r="F85" i="22" s="1"/>
  <c r="G87" i="6"/>
  <c r="H87" i="6" s="1"/>
  <c r="J87" i="6" s="1"/>
  <c r="K87" i="6" s="1"/>
  <c r="G84" i="22" s="1"/>
  <c r="F84" i="22" s="1"/>
  <c r="G86" i="6"/>
  <c r="H86" i="6" s="1"/>
  <c r="J86" i="6" s="1"/>
  <c r="K86" i="6" s="1"/>
  <c r="G83" i="22" s="1"/>
  <c r="F83" i="22" s="1"/>
  <c r="G79" i="6"/>
  <c r="H79" i="6" s="1"/>
  <c r="J79" i="6" s="1"/>
  <c r="K79" i="6" s="1"/>
  <c r="G76" i="22" s="1"/>
  <c r="F76" i="22" s="1"/>
  <c r="G704" i="6"/>
  <c r="H704" i="6" s="1"/>
  <c r="J704" i="6" s="1"/>
  <c r="K704" i="6" s="1"/>
  <c r="G701" i="22" s="1"/>
  <c r="F701" i="22" s="1"/>
  <c r="G703" i="6"/>
  <c r="H703" i="6" s="1"/>
  <c r="G551" i="6"/>
  <c r="H551" i="6" s="1"/>
  <c r="J551" i="6" s="1"/>
  <c r="K551" i="6" s="1"/>
  <c r="G548" i="22" s="1"/>
  <c r="F548" i="22" s="1"/>
  <c r="G699" i="6"/>
  <c r="H699" i="6" s="1"/>
  <c r="J699" i="6" s="1"/>
  <c r="K699" i="6" s="1"/>
  <c r="G696" i="22" s="1"/>
  <c r="F696" i="22" s="1"/>
  <c r="G698" i="6"/>
  <c r="H698" i="6" s="1"/>
  <c r="J698" i="6" s="1"/>
  <c r="K698" i="6" s="1"/>
  <c r="G695" i="22" s="1"/>
  <c r="F695" i="22" s="1"/>
  <c r="G697" i="6"/>
  <c r="H697" i="6" s="1"/>
  <c r="J697" i="6" s="1"/>
  <c r="K697" i="6" s="1"/>
  <c r="G694" i="22" s="1"/>
  <c r="F694" i="22" s="1"/>
  <c r="G674" i="6"/>
  <c r="H674" i="6" s="1"/>
  <c r="J674" i="6" s="1"/>
  <c r="K674" i="6" s="1"/>
  <c r="G671" i="22" s="1"/>
  <c r="F671" i="22" s="1"/>
  <c r="G673" i="6"/>
  <c r="H673" i="6" s="1"/>
  <c r="J673" i="6" s="1"/>
  <c r="K673" i="6" s="1"/>
  <c r="G670" i="22" s="1"/>
  <c r="F670" i="22" s="1"/>
  <c r="G672" i="6"/>
  <c r="H672" i="6" s="1"/>
  <c r="J672" i="6" s="1"/>
  <c r="K672" i="6" s="1"/>
  <c r="G669" i="22" s="1"/>
  <c r="F669" i="22" s="1"/>
  <c r="G668" i="6"/>
  <c r="H668" i="6" s="1"/>
  <c r="J668" i="6" s="1"/>
  <c r="K668" i="6" s="1"/>
  <c r="G665" i="22" s="1"/>
  <c r="F665" i="22" s="1"/>
  <c r="G655" i="6"/>
  <c r="H655" i="6" s="1"/>
  <c r="J655" i="6" s="1"/>
  <c r="K655" i="6" s="1"/>
  <c r="G652" i="22" s="1"/>
  <c r="F652" i="22" s="1"/>
  <c r="G47" i="6"/>
  <c r="H47" i="6" s="1"/>
  <c r="J47" i="6" s="1"/>
  <c r="K47" i="6" s="1"/>
  <c r="G44" i="22" s="1"/>
  <c r="F44" i="22" s="1"/>
  <c r="G37" i="6"/>
  <c r="H37" i="6" s="1"/>
  <c r="J37" i="6" s="1"/>
  <c r="K37" i="6" s="1"/>
  <c r="G34" i="22" s="1"/>
  <c r="F34" i="22" s="1"/>
  <c r="G34" i="6"/>
  <c r="H34" i="6" s="1"/>
  <c r="J34" i="6" s="1"/>
  <c r="K34" i="6" s="1"/>
  <c r="G31" i="22" s="1"/>
  <c r="F31" i="22" s="1"/>
  <c r="G82" i="6"/>
  <c r="H82" i="6" s="1"/>
  <c r="J82" i="6" s="1"/>
  <c r="K82" i="6" s="1"/>
  <c r="G79" i="22" s="1"/>
  <c r="F79" i="22" s="1"/>
  <c r="G81" i="6"/>
  <c r="H81" i="6" s="1"/>
  <c r="J81" i="6" s="1"/>
  <c r="K81" i="6" s="1"/>
  <c r="G78" i="22" s="1"/>
  <c r="F78" i="22" s="1"/>
  <c r="G76" i="6"/>
  <c r="H76" i="6" s="1"/>
  <c r="J76" i="6" s="1"/>
  <c r="K76" i="6" s="1"/>
  <c r="G73" i="22" s="1"/>
  <c r="F73" i="22" s="1"/>
  <c r="G552" i="6"/>
  <c r="H552" i="6" s="1"/>
  <c r="J552" i="6" s="1"/>
  <c r="K552" i="6" s="1"/>
  <c r="G549" i="22" s="1"/>
  <c r="F549" i="22" s="1"/>
  <c r="G695" i="6"/>
  <c r="H695" i="6" s="1"/>
  <c r="J695" i="6" s="1"/>
  <c r="K695" i="6" s="1"/>
  <c r="G692" i="22" s="1"/>
  <c r="F692" i="22" s="1"/>
  <c r="G687" i="6"/>
  <c r="H687" i="6" s="1"/>
  <c r="J687" i="6" s="1"/>
  <c r="K687" i="6" s="1"/>
  <c r="G684" i="22" s="1"/>
  <c r="F684" i="22" s="1"/>
  <c r="G680" i="6"/>
  <c r="H680" i="6" s="1"/>
  <c r="J680" i="6" s="1"/>
  <c r="K680" i="6" s="1"/>
  <c r="G677" i="22" s="1"/>
  <c r="F677" i="22" s="1"/>
  <c r="G676" i="6"/>
  <c r="H676" i="6" s="1"/>
  <c r="J676" i="6" s="1"/>
  <c r="K676" i="6" s="1"/>
  <c r="G673" i="22" s="1"/>
  <c r="F673" i="22" s="1"/>
  <c r="G669" i="6"/>
  <c r="H669" i="6" s="1"/>
  <c r="J669" i="6" s="1"/>
  <c r="K669" i="6" s="1"/>
  <c r="G666" i="22" s="1"/>
  <c r="F666" i="22" s="1"/>
  <c r="G665" i="6"/>
  <c r="H665" i="6" s="1"/>
  <c r="G663" i="6"/>
  <c r="H663" i="6" s="1"/>
  <c r="J663" i="6" s="1"/>
  <c r="K663" i="6" s="1"/>
  <c r="G660" i="22" s="1"/>
  <c r="F660" i="22" s="1"/>
  <c r="G660" i="6"/>
  <c r="H660" i="6" s="1"/>
  <c r="G658" i="6"/>
  <c r="H658" i="6" s="1"/>
  <c r="J658" i="6" s="1"/>
  <c r="K658" i="6" s="1"/>
  <c r="G655" i="22" s="1"/>
  <c r="F655" i="22" s="1"/>
  <c r="G318" i="6"/>
  <c r="H318" i="6" s="1"/>
  <c r="G685" i="6"/>
  <c r="H685" i="6" s="1"/>
  <c r="J685" i="6" s="1"/>
  <c r="K685" i="6" s="1"/>
  <c r="G682" i="22" s="1"/>
  <c r="F682" i="22" s="1"/>
  <c r="G666" i="6"/>
  <c r="H666" i="6" s="1"/>
  <c r="J666" i="6" s="1"/>
  <c r="K666" i="6" s="1"/>
  <c r="G663" i="22" s="1"/>
  <c r="F663" i="22" s="1"/>
  <c r="G701" i="6"/>
  <c r="H701" i="6" s="1"/>
  <c r="J701" i="6" s="1"/>
  <c r="K701" i="6" s="1"/>
  <c r="G698" i="22" s="1"/>
  <c r="F698" i="22" s="1"/>
  <c r="G700" i="6"/>
  <c r="H700" i="6" s="1"/>
  <c r="J700" i="6" s="1"/>
  <c r="K700" i="6" s="1"/>
  <c r="G697" i="22" s="1"/>
  <c r="F697" i="22" s="1"/>
  <c r="G693" i="6"/>
  <c r="H693" i="6" s="1"/>
  <c r="J693" i="6" s="1"/>
  <c r="K693" i="6" s="1"/>
  <c r="G690" i="22" s="1"/>
  <c r="F690" i="22" s="1"/>
  <c r="G682" i="6"/>
  <c r="H682" i="6" s="1"/>
  <c r="J682" i="6" s="1"/>
  <c r="K682" i="6" s="1"/>
  <c r="G679" i="22" s="1"/>
  <c r="F679" i="22" s="1"/>
  <c r="G678" i="6"/>
  <c r="H678" i="6" s="1"/>
  <c r="J678" i="6" s="1"/>
  <c r="K678" i="6" s="1"/>
  <c r="G675" i="22" s="1"/>
  <c r="F675" i="22" s="1"/>
  <c r="G671" i="6"/>
  <c r="H671" i="6" s="1"/>
  <c r="J671" i="6" s="1"/>
  <c r="K671" i="6" s="1"/>
  <c r="G668" i="22" s="1"/>
  <c r="F668" i="22" s="1"/>
  <c r="G667" i="6"/>
  <c r="H667" i="6" s="1"/>
  <c r="J667" i="6" s="1"/>
  <c r="K667" i="6" s="1"/>
  <c r="G664" i="22" s="1"/>
  <c r="F664" i="22" s="1"/>
  <c r="G656" i="6"/>
  <c r="H656" i="6" s="1"/>
  <c r="J656" i="6" s="1"/>
  <c r="K656" i="6" s="1"/>
  <c r="G653" i="22" s="1"/>
  <c r="F653" i="22" s="1"/>
  <c r="G654" i="6"/>
  <c r="H654" i="6" s="1"/>
  <c r="G792" i="6"/>
  <c r="H792" i="6" s="1"/>
  <c r="J792" i="6" s="1"/>
  <c r="K792" i="6" s="1"/>
  <c r="G789" i="22" s="1"/>
  <c r="F789" i="22" s="1"/>
  <c r="G75" i="6"/>
  <c r="H75" i="6" s="1"/>
  <c r="G705" i="6"/>
  <c r="H705" i="6" s="1"/>
  <c r="J705" i="6" s="1"/>
  <c r="K705" i="6" s="1"/>
  <c r="G702" i="22" s="1"/>
  <c r="F702" i="22" s="1"/>
  <c r="G694" i="6"/>
  <c r="H694" i="6" s="1"/>
  <c r="J694" i="6" s="1"/>
  <c r="K694" i="6" s="1"/>
  <c r="G691" i="22" s="1"/>
  <c r="F691" i="22" s="1"/>
  <c r="G683" i="6"/>
  <c r="H683" i="6" s="1"/>
  <c r="J683" i="6" s="1"/>
  <c r="K683" i="6" s="1"/>
  <c r="G680" i="22" s="1"/>
  <c r="F680" i="22" s="1"/>
  <c r="G679" i="6"/>
  <c r="H679" i="6" s="1"/>
  <c r="J679" i="6" s="1"/>
  <c r="K679" i="6" s="1"/>
  <c r="G676" i="22" s="1"/>
  <c r="F676" i="22" s="1"/>
  <c r="G675" i="6"/>
  <c r="H675" i="6" s="1"/>
  <c r="J675" i="6" s="1"/>
  <c r="K675" i="6" s="1"/>
  <c r="G672" i="22" s="1"/>
  <c r="F672" i="22" s="1"/>
  <c r="G657" i="6"/>
  <c r="H657" i="6" s="1"/>
  <c r="J657" i="6" s="1"/>
  <c r="K657" i="6" s="1"/>
  <c r="G654" i="22" s="1"/>
  <c r="F654" i="22" s="1"/>
  <c r="G790" i="6"/>
  <c r="H790" i="6" s="1"/>
  <c r="J790" i="6" s="1"/>
  <c r="K790" i="6" s="1"/>
  <c r="G787" i="22" s="1"/>
  <c r="F787" i="22" s="1"/>
  <c r="G696" i="6"/>
  <c r="H696" i="6" s="1"/>
  <c r="J696" i="6" s="1"/>
  <c r="K696" i="6" s="1"/>
  <c r="G693" i="22" s="1"/>
  <c r="F693" i="22" s="1"/>
  <c r="G692" i="6"/>
  <c r="H692" i="6" s="1"/>
  <c r="J692" i="6" s="1"/>
  <c r="K692" i="6" s="1"/>
  <c r="G689" i="22" s="1"/>
  <c r="F689" i="22" s="1"/>
  <c r="G681" i="6"/>
  <c r="H681" i="6" s="1"/>
  <c r="J681" i="6" s="1"/>
  <c r="K681" i="6" s="1"/>
  <c r="G678" i="22" s="1"/>
  <c r="F678" i="22" s="1"/>
  <c r="G670" i="6"/>
  <c r="H670" i="6" s="1"/>
  <c r="J670" i="6" s="1"/>
  <c r="K670" i="6" s="1"/>
  <c r="G667" i="22" s="1"/>
  <c r="F667" i="22" s="1"/>
  <c r="G789" i="6"/>
  <c r="H789" i="6" s="1"/>
  <c r="G640" i="6"/>
  <c r="H640" i="6" s="1"/>
  <c r="J640" i="6" s="1"/>
  <c r="K640" i="6" s="1"/>
  <c r="G637" i="22" s="1"/>
  <c r="F637" i="22" s="1"/>
  <c r="G642" i="6"/>
  <c r="H642" i="6" s="1"/>
  <c r="J642" i="6" s="1"/>
  <c r="K642" i="6" s="1"/>
  <c r="G639" i="22" s="1"/>
  <c r="F639" i="22" s="1"/>
  <c r="G645" i="6"/>
  <c r="H645" i="6" s="1"/>
  <c r="G647" i="6"/>
  <c r="H647" i="6" s="1"/>
  <c r="G652" i="6"/>
  <c r="H652" i="6" s="1"/>
  <c r="J652" i="6" s="1"/>
  <c r="K652" i="6" s="1"/>
  <c r="G649" i="22" s="1"/>
  <c r="F649" i="22" s="1"/>
  <c r="G637" i="6"/>
  <c r="H637" i="6" s="1"/>
  <c r="J637" i="6" s="1"/>
  <c r="K637" i="6" s="1"/>
  <c r="G634" i="22" s="1"/>
  <c r="F634" i="22" s="1"/>
  <c r="G632" i="6"/>
  <c r="H632" i="6" s="1"/>
  <c r="J632" i="6" s="1"/>
  <c r="K632" i="6" s="1"/>
  <c r="G629" i="22" s="1"/>
  <c r="F629" i="22" s="1"/>
  <c r="G627" i="6"/>
  <c r="H627" i="6" s="1"/>
  <c r="J627" i="6" s="1"/>
  <c r="K627" i="6" s="1"/>
  <c r="G624" i="22" s="1"/>
  <c r="F624" i="22" s="1"/>
  <c r="G623" i="6"/>
  <c r="H623" i="6" s="1"/>
  <c r="J623" i="6" s="1"/>
  <c r="K623" i="6" s="1"/>
  <c r="G620" i="22" s="1"/>
  <c r="F620" i="22" s="1"/>
  <c r="G619" i="6"/>
  <c r="H619" i="6" s="1"/>
  <c r="J619" i="6" s="1"/>
  <c r="K619" i="6" s="1"/>
  <c r="G616" i="22" s="1"/>
  <c r="F616" i="22" s="1"/>
  <c r="G618" i="6"/>
  <c r="H618" i="6" s="1"/>
  <c r="J618" i="6" s="1"/>
  <c r="K618" i="6" s="1"/>
  <c r="G615" i="22" s="1"/>
  <c r="F615" i="22" s="1"/>
  <c r="G615" i="6"/>
  <c r="H615" i="6" s="1"/>
  <c r="J615" i="6" s="1"/>
  <c r="K615" i="6" s="1"/>
  <c r="G612" i="22" s="1"/>
  <c r="F612" i="22" s="1"/>
  <c r="G606" i="6"/>
  <c r="H606" i="6" s="1"/>
  <c r="G626" i="6"/>
  <c r="H626" i="6" s="1"/>
  <c r="J626" i="6" s="1"/>
  <c r="K626" i="6" s="1"/>
  <c r="G623" i="22" s="1"/>
  <c r="F623" i="22" s="1"/>
  <c r="G649" i="6"/>
  <c r="H649" i="6" s="1"/>
  <c r="G651" i="6"/>
  <c r="H651" i="6" s="1"/>
  <c r="G638" i="6"/>
  <c r="H638" i="6" s="1"/>
  <c r="J638" i="6" s="1"/>
  <c r="K638" i="6" s="1"/>
  <c r="G635" i="22" s="1"/>
  <c r="F635" i="22" s="1"/>
  <c r="G633" i="6"/>
  <c r="H633" i="6" s="1"/>
  <c r="J633" i="6" s="1"/>
  <c r="K633" i="6" s="1"/>
  <c r="G630" i="22" s="1"/>
  <c r="F630" i="22" s="1"/>
  <c r="G629" i="6"/>
  <c r="H629" i="6" s="1"/>
  <c r="J629" i="6" s="1"/>
  <c r="K629" i="6" s="1"/>
  <c r="G626" i="22" s="1"/>
  <c r="F626" i="22" s="1"/>
  <c r="G624" i="6"/>
  <c r="H624" i="6" s="1"/>
  <c r="J624" i="6" s="1"/>
  <c r="K624" i="6" s="1"/>
  <c r="G621" i="22" s="1"/>
  <c r="F621" i="22" s="1"/>
  <c r="G617" i="6"/>
  <c r="H617" i="6" s="1"/>
  <c r="J617" i="6" s="1"/>
  <c r="K617" i="6" s="1"/>
  <c r="G614" i="22" s="1"/>
  <c r="F614" i="22" s="1"/>
  <c r="G650" i="6"/>
  <c r="H650" i="6" s="1"/>
  <c r="J650" i="6" s="1"/>
  <c r="K650" i="6" s="1"/>
  <c r="G647" i="22" s="1"/>
  <c r="F647" i="22" s="1"/>
  <c r="G630" i="6"/>
  <c r="H630" i="6" s="1"/>
  <c r="J630" i="6" s="1"/>
  <c r="K630" i="6" s="1"/>
  <c r="G627" i="22" s="1"/>
  <c r="F627" i="22" s="1"/>
  <c r="G622" i="6"/>
  <c r="H622" i="6" s="1"/>
  <c r="J622" i="6" s="1"/>
  <c r="K622" i="6" s="1"/>
  <c r="G619" i="22" s="1"/>
  <c r="F619" i="22" s="1"/>
  <c r="G616" i="6"/>
  <c r="H616" i="6" s="1"/>
  <c r="J616" i="6" s="1"/>
  <c r="K616" i="6" s="1"/>
  <c r="G613" i="22" s="1"/>
  <c r="F613" i="22" s="1"/>
  <c r="G613" i="6"/>
  <c r="H613" i="6" s="1"/>
  <c r="J613" i="6" s="1"/>
  <c r="K613" i="6" s="1"/>
  <c r="G610" i="22" s="1"/>
  <c r="F610" i="22" s="1"/>
  <c r="G611" i="6"/>
  <c r="H611" i="6" s="1"/>
  <c r="J611" i="6" s="1"/>
  <c r="K611" i="6" s="1"/>
  <c r="G608" i="22" s="1"/>
  <c r="F608" i="22" s="1"/>
  <c r="G639" i="6"/>
  <c r="H639" i="6" s="1"/>
  <c r="G641" i="6"/>
  <c r="H641" i="6" s="1"/>
  <c r="G644" i="6"/>
  <c r="H644" i="6" s="1"/>
  <c r="J644" i="6" s="1"/>
  <c r="K644" i="6" s="1"/>
  <c r="G641" i="22" s="1"/>
  <c r="F641" i="22" s="1"/>
  <c r="G646" i="6"/>
  <c r="H646" i="6" s="1"/>
  <c r="J646" i="6" s="1"/>
  <c r="K646" i="6" s="1"/>
  <c r="G643" i="22" s="1"/>
  <c r="F643" i="22" s="1"/>
  <c r="G634" i="6"/>
  <c r="H634" i="6" s="1"/>
  <c r="J634" i="6" s="1"/>
  <c r="K634" i="6" s="1"/>
  <c r="G631" i="22" s="1"/>
  <c r="F631" i="22" s="1"/>
  <c r="G625" i="6"/>
  <c r="H625" i="6" s="1"/>
  <c r="J625" i="6" s="1"/>
  <c r="K625" i="6" s="1"/>
  <c r="G622" i="22" s="1"/>
  <c r="F622" i="22" s="1"/>
  <c r="G621" i="6"/>
  <c r="H621" i="6" s="1"/>
  <c r="J621" i="6" s="1"/>
  <c r="K621" i="6" s="1"/>
  <c r="G618" i="22" s="1"/>
  <c r="F618" i="22" s="1"/>
  <c r="G609" i="6"/>
  <c r="H609" i="6" s="1"/>
  <c r="J609" i="6" s="1"/>
  <c r="K609" i="6" s="1"/>
  <c r="G606" i="22" s="1"/>
  <c r="F606" i="22" s="1"/>
  <c r="G607" i="6"/>
  <c r="H607" i="6" s="1"/>
  <c r="J607" i="6" s="1"/>
  <c r="K607" i="6" s="1"/>
  <c r="G604" i="22" s="1"/>
  <c r="F604" i="22" s="1"/>
  <c r="G648" i="6"/>
  <c r="H648" i="6" s="1"/>
  <c r="J648" i="6" s="1"/>
  <c r="K648" i="6" s="1"/>
  <c r="G645" i="22" s="1"/>
  <c r="F645" i="22" s="1"/>
  <c r="G636" i="6"/>
  <c r="H636" i="6" s="1"/>
  <c r="J636" i="6" s="1"/>
  <c r="K636" i="6" s="1"/>
  <c r="G633" i="22" s="1"/>
  <c r="F633" i="22" s="1"/>
  <c r="G635" i="6"/>
  <c r="H635" i="6" s="1"/>
  <c r="J635" i="6" s="1"/>
  <c r="K635" i="6" s="1"/>
  <c r="G632" i="22" s="1"/>
  <c r="F632" i="22" s="1"/>
  <c r="G614" i="6"/>
  <c r="H614" i="6" s="1"/>
  <c r="J614" i="6" s="1"/>
  <c r="K614" i="6" s="1"/>
  <c r="G611" i="22" s="1"/>
  <c r="F611" i="22" s="1"/>
  <c r="G612" i="6"/>
  <c r="H612" i="6" s="1"/>
  <c r="J612" i="6" s="1"/>
  <c r="K612" i="6" s="1"/>
  <c r="G609" i="22" s="1"/>
  <c r="F609" i="22" s="1"/>
  <c r="G610" i="6"/>
  <c r="H610" i="6" s="1"/>
  <c r="J610" i="6" s="1"/>
  <c r="K610" i="6" s="1"/>
  <c r="G607" i="22" s="1"/>
  <c r="F607" i="22" s="1"/>
  <c r="G608" i="6"/>
  <c r="H608" i="6" s="1"/>
  <c r="J608" i="6" s="1"/>
  <c r="K608" i="6" s="1"/>
  <c r="G605" i="22" s="1"/>
  <c r="F605" i="22" s="1"/>
  <c r="G575" i="6"/>
  <c r="H575" i="6" s="1"/>
  <c r="J575" i="6" s="1"/>
  <c r="K575" i="6" s="1"/>
  <c r="G572" i="22" s="1"/>
  <c r="F572" i="22" s="1"/>
  <c r="G573" i="6"/>
  <c r="H573" i="6" s="1"/>
  <c r="J573" i="6" s="1"/>
  <c r="K573" i="6" s="1"/>
  <c r="G570" i="22" s="1"/>
  <c r="F570" i="22" s="1"/>
  <c r="G601" i="6"/>
  <c r="H601" i="6" s="1"/>
  <c r="J601" i="6" s="1"/>
  <c r="K601" i="6" s="1"/>
  <c r="G598" i="22" s="1"/>
  <c r="F598" i="22" s="1"/>
  <c r="G591" i="6"/>
  <c r="H591" i="6" s="1"/>
  <c r="J591" i="6" s="1"/>
  <c r="K591" i="6" s="1"/>
  <c r="G588" i="22" s="1"/>
  <c r="F588" i="22" s="1"/>
  <c r="G590" i="6"/>
  <c r="H590" i="6" s="1"/>
  <c r="J590" i="6" s="1"/>
  <c r="K590" i="6" s="1"/>
  <c r="G587" i="22" s="1"/>
  <c r="F587" i="22" s="1"/>
  <c r="G587" i="6"/>
  <c r="H587" i="6" s="1"/>
  <c r="J587" i="6" s="1"/>
  <c r="K587" i="6" s="1"/>
  <c r="G584" i="22" s="1"/>
  <c r="F584" i="22" s="1"/>
  <c r="G585" i="6"/>
  <c r="H585" i="6" s="1"/>
  <c r="J585" i="6" s="1"/>
  <c r="K585" i="6" s="1"/>
  <c r="G582" i="22" s="1"/>
  <c r="F582" i="22" s="1"/>
  <c r="G543" i="6"/>
  <c r="H543" i="6" s="1"/>
  <c r="J543" i="6" s="1"/>
  <c r="K543" i="6" s="1"/>
  <c r="G540" i="22" s="1"/>
  <c r="F540" i="22" s="1"/>
  <c r="G542" i="6"/>
  <c r="H542" i="6" s="1"/>
  <c r="J542" i="6" s="1"/>
  <c r="K542" i="6" s="1"/>
  <c r="G539" i="22" s="1"/>
  <c r="F539" i="22" s="1"/>
  <c r="G541" i="6"/>
  <c r="H541" i="6" s="1"/>
  <c r="G594" i="6"/>
  <c r="H594" i="6" s="1"/>
  <c r="J594" i="6" s="1"/>
  <c r="K594" i="6" s="1"/>
  <c r="G591" i="22" s="1"/>
  <c r="F591" i="22" s="1"/>
  <c r="G593" i="6"/>
  <c r="H593" i="6" s="1"/>
  <c r="J593" i="6" s="1"/>
  <c r="K593" i="6" s="1"/>
  <c r="G590" i="22" s="1"/>
  <c r="F590" i="22" s="1"/>
  <c r="G576" i="6"/>
  <c r="H576" i="6" s="1"/>
  <c r="J576" i="6" s="1"/>
  <c r="K576" i="6" s="1"/>
  <c r="G573" i="22" s="1"/>
  <c r="F573" i="22" s="1"/>
  <c r="G545" i="6"/>
  <c r="H545" i="6" s="1"/>
  <c r="J545" i="6" s="1"/>
  <c r="K545" i="6" s="1"/>
  <c r="G542" i="22" s="1"/>
  <c r="F542" i="22" s="1"/>
  <c r="G589" i="6"/>
  <c r="H589" i="6" s="1"/>
  <c r="J589" i="6" s="1"/>
  <c r="K589" i="6" s="1"/>
  <c r="G586" i="22" s="1"/>
  <c r="F586" i="22" s="1"/>
  <c r="G574" i="6"/>
  <c r="H574" i="6" s="1"/>
  <c r="J574" i="6" s="1"/>
  <c r="K574" i="6" s="1"/>
  <c r="G571" i="22" s="1"/>
  <c r="F571" i="22" s="1"/>
  <c r="G544" i="6"/>
  <c r="H544" i="6" s="1"/>
  <c r="J544" i="6" s="1"/>
  <c r="K544" i="6" s="1"/>
  <c r="G541" i="22" s="1"/>
  <c r="F541" i="22" s="1"/>
  <c r="G602" i="6"/>
  <c r="H602" i="6" s="1"/>
  <c r="J602" i="6" s="1"/>
  <c r="K602" i="6" s="1"/>
  <c r="G599" i="22" s="1"/>
  <c r="F599" i="22" s="1"/>
  <c r="G600" i="6"/>
  <c r="H600" i="6" s="1"/>
  <c r="J600" i="6" s="1"/>
  <c r="K600" i="6" s="1"/>
  <c r="G597" i="22" s="1"/>
  <c r="F597" i="22" s="1"/>
  <c r="G599" i="6"/>
  <c r="H599" i="6" s="1"/>
  <c r="J599" i="6" s="1"/>
  <c r="K599" i="6" s="1"/>
  <c r="G596" i="22" s="1"/>
  <c r="F596" i="22" s="1"/>
  <c r="G598" i="6"/>
  <c r="H598" i="6" s="1"/>
  <c r="G592" i="6"/>
  <c r="H592" i="6" s="1"/>
  <c r="J592" i="6" s="1"/>
  <c r="K592" i="6" s="1"/>
  <c r="G589" i="22" s="1"/>
  <c r="F589" i="22" s="1"/>
  <c r="G584" i="6"/>
  <c r="H584" i="6" s="1"/>
  <c r="J584" i="6" s="1"/>
  <c r="K584" i="6" s="1"/>
  <c r="G581" i="22" s="1"/>
  <c r="F581" i="22" s="1"/>
  <c r="G583" i="6"/>
  <c r="H583" i="6" s="1"/>
  <c r="J583" i="6" s="1"/>
  <c r="K583" i="6" s="1"/>
  <c r="G580" i="22" s="1"/>
  <c r="F580" i="22" s="1"/>
  <c r="G581" i="6"/>
  <c r="H581" i="6" s="1"/>
  <c r="J581" i="6" s="1"/>
  <c r="K581" i="6" s="1"/>
  <c r="G578" i="22" s="1"/>
  <c r="F578" i="22" s="1"/>
  <c r="G580" i="6"/>
  <c r="H580" i="6" s="1"/>
  <c r="J580" i="6" s="1"/>
  <c r="K580" i="6" s="1"/>
  <c r="G577" i="22" s="1"/>
  <c r="F577" i="22" s="1"/>
  <c r="G579" i="6"/>
  <c r="H579" i="6" s="1"/>
  <c r="G577" i="6"/>
  <c r="H577" i="6" s="1"/>
  <c r="J577" i="6" s="1"/>
  <c r="K577" i="6" s="1"/>
  <c r="G574" i="22" s="1"/>
  <c r="F574" i="22" s="1"/>
  <c r="G526" i="6"/>
  <c r="H526" i="6" s="1"/>
  <c r="J526" i="6" s="1"/>
  <c r="K526" i="6" s="1"/>
  <c r="G523" i="22" s="1"/>
  <c r="F523" i="22" s="1"/>
  <c r="G523" i="6"/>
  <c r="H523" i="6" s="1"/>
  <c r="J523" i="6" s="1"/>
  <c r="K523" i="6" s="1"/>
  <c r="G520" i="22" s="1"/>
  <c r="F520" i="22" s="1"/>
  <c r="G572" i="6"/>
  <c r="H572" i="6" s="1"/>
  <c r="G525" i="6"/>
  <c r="H525" i="6" s="1"/>
  <c r="J525" i="6" s="1"/>
  <c r="K525" i="6" s="1"/>
  <c r="G522" i="22" s="1"/>
  <c r="F522" i="22" s="1"/>
  <c r="G522" i="6"/>
  <c r="H522" i="6" s="1"/>
  <c r="J522" i="6" s="1"/>
  <c r="K522" i="6" s="1"/>
  <c r="G519" i="22" s="1"/>
  <c r="F519" i="22" s="1"/>
  <c r="G527" i="6"/>
  <c r="H527" i="6" s="1"/>
  <c r="J527" i="6" s="1"/>
  <c r="K527" i="6" s="1"/>
  <c r="G524" i="22" s="1"/>
  <c r="F524" i="22" s="1"/>
  <c r="G520" i="6"/>
  <c r="H520" i="6" s="1"/>
  <c r="G521" i="6"/>
  <c r="H521" i="6" s="1"/>
  <c r="J521" i="6" s="1"/>
  <c r="K521" i="6" s="1"/>
  <c r="G518" i="22" s="1"/>
  <c r="F518" i="22" s="1"/>
  <c r="G496" i="6"/>
  <c r="H496" i="6" s="1"/>
  <c r="G524" i="6"/>
  <c r="H524" i="6" s="1"/>
  <c r="J524" i="6" s="1"/>
  <c r="K524" i="6" s="1"/>
  <c r="G521" i="22" s="1"/>
  <c r="F521" i="22" s="1"/>
  <c r="G505" i="6"/>
  <c r="H505" i="6" s="1"/>
  <c r="J505" i="6" s="1"/>
  <c r="K505" i="6" s="1"/>
  <c r="G502" i="22" s="1"/>
  <c r="F502" i="22" s="1"/>
  <c r="G504" i="6"/>
  <c r="H504" i="6" s="1"/>
  <c r="J504" i="6" s="1"/>
  <c r="K504" i="6" s="1"/>
  <c r="G501" i="22" s="1"/>
  <c r="F501" i="22" s="1"/>
  <c r="G503" i="6"/>
  <c r="H503" i="6" s="1"/>
  <c r="J503" i="6" s="1"/>
  <c r="K503" i="6" s="1"/>
  <c r="G500" i="22" s="1"/>
  <c r="F500" i="22" s="1"/>
  <c r="G501" i="6"/>
  <c r="H501" i="6" s="1"/>
  <c r="J501" i="6" s="1"/>
  <c r="K501" i="6" s="1"/>
  <c r="G498" i="22" s="1"/>
  <c r="F498" i="22" s="1"/>
  <c r="G500" i="6"/>
  <c r="H500" i="6" s="1"/>
  <c r="J500" i="6" s="1"/>
  <c r="K500" i="6" s="1"/>
  <c r="G497" i="22" s="1"/>
  <c r="F497" i="22" s="1"/>
  <c r="G502" i="6"/>
  <c r="H502" i="6" s="1"/>
  <c r="J502" i="6" s="1"/>
  <c r="K502" i="6" s="1"/>
  <c r="G499" i="22" s="1"/>
  <c r="F499" i="22" s="1"/>
  <c r="G499" i="6"/>
  <c r="H499" i="6" s="1"/>
  <c r="J499" i="6" s="1"/>
  <c r="K499" i="6" s="1"/>
  <c r="G496" i="22" s="1"/>
  <c r="F496" i="22" s="1"/>
  <c r="G497" i="6"/>
  <c r="H497" i="6" s="1"/>
  <c r="J497" i="6" s="1"/>
  <c r="K497" i="6" s="1"/>
  <c r="G494" i="22" s="1"/>
  <c r="F494" i="22" s="1"/>
  <c r="G784" i="6"/>
  <c r="H784" i="6" s="1"/>
  <c r="J784" i="6" s="1"/>
  <c r="K784" i="6" s="1"/>
  <c r="G781" i="22" s="1"/>
  <c r="F781" i="22" s="1"/>
  <c r="G783" i="6"/>
  <c r="H783" i="6" s="1"/>
  <c r="J783" i="6" s="1"/>
  <c r="K783" i="6" s="1"/>
  <c r="G780" i="22" s="1"/>
  <c r="F780" i="22" s="1"/>
  <c r="G782" i="6"/>
  <c r="H782" i="6" s="1"/>
  <c r="J782" i="6" s="1"/>
  <c r="K782" i="6" s="1"/>
  <c r="G779" i="22" s="1"/>
  <c r="F779" i="22" s="1"/>
  <c r="G781" i="6"/>
  <c r="H781" i="6" s="1"/>
  <c r="J781" i="6" s="1"/>
  <c r="K781" i="6" s="1"/>
  <c r="G778" i="22" s="1"/>
  <c r="F778" i="22" s="1"/>
  <c r="G763" i="6"/>
  <c r="H763" i="6" s="1"/>
  <c r="J763" i="6" s="1"/>
  <c r="K763" i="6" s="1"/>
  <c r="G760" i="22" s="1"/>
  <c r="F760" i="22" s="1"/>
  <c r="G762" i="6"/>
  <c r="H762" i="6" s="1"/>
  <c r="J762" i="6" s="1"/>
  <c r="K762" i="6" s="1"/>
  <c r="G759" i="22" s="1"/>
  <c r="F759" i="22" s="1"/>
  <c r="G751" i="6"/>
  <c r="H751" i="6" s="1"/>
  <c r="J751" i="6" s="1"/>
  <c r="K751" i="6" s="1"/>
  <c r="G748" i="22" s="1"/>
  <c r="F748" i="22" s="1"/>
  <c r="G744" i="6"/>
  <c r="H744" i="6" s="1"/>
  <c r="J744" i="6" s="1"/>
  <c r="K744" i="6" s="1"/>
  <c r="G741" i="22" s="1"/>
  <c r="F741" i="22" s="1"/>
  <c r="G736" i="6"/>
  <c r="H736" i="6" s="1"/>
  <c r="J736" i="6" s="1"/>
  <c r="K736" i="6" s="1"/>
  <c r="G733" i="22" s="1"/>
  <c r="F733" i="22" s="1"/>
  <c r="G730" i="6"/>
  <c r="H730" i="6" s="1"/>
  <c r="J730" i="6" s="1"/>
  <c r="K730" i="6" s="1"/>
  <c r="G727" i="22" s="1"/>
  <c r="F727" i="22" s="1"/>
  <c r="G726" i="6"/>
  <c r="H726" i="6" s="1"/>
  <c r="J726" i="6" s="1"/>
  <c r="K726" i="6" s="1"/>
  <c r="G723" i="22" s="1"/>
  <c r="F723" i="22" s="1"/>
  <c r="G717" i="6"/>
  <c r="H717" i="6" s="1"/>
  <c r="J717" i="6" s="1"/>
  <c r="K717" i="6" s="1"/>
  <c r="G714" i="22" s="1"/>
  <c r="F714" i="22" s="1"/>
  <c r="G716" i="6"/>
  <c r="H716" i="6" s="1"/>
  <c r="J716" i="6" s="1"/>
  <c r="K716" i="6" s="1"/>
  <c r="G713" i="22" s="1"/>
  <c r="F713" i="22" s="1"/>
  <c r="G774" i="6"/>
  <c r="H774" i="6" s="1"/>
  <c r="J774" i="6" s="1"/>
  <c r="K774" i="6" s="1"/>
  <c r="G771" i="22" s="1"/>
  <c r="F771" i="22" s="1"/>
  <c r="G743" i="6"/>
  <c r="H743" i="6" s="1"/>
  <c r="G735" i="6"/>
  <c r="H735" i="6" s="1"/>
  <c r="J735" i="6" s="1"/>
  <c r="K735" i="6" s="1"/>
  <c r="G732" i="22" s="1"/>
  <c r="F732" i="22" s="1"/>
  <c r="G780" i="6"/>
  <c r="H780" i="6" s="1"/>
  <c r="J780" i="6" s="1"/>
  <c r="K780" i="6" s="1"/>
  <c r="G777" i="22" s="1"/>
  <c r="F777" i="22" s="1"/>
  <c r="G776" i="6"/>
  <c r="H776" i="6" s="1"/>
  <c r="J776" i="6" s="1"/>
  <c r="K776" i="6" s="1"/>
  <c r="G773" i="22" s="1"/>
  <c r="F773" i="22" s="1"/>
  <c r="G775" i="6"/>
  <c r="H775" i="6" s="1"/>
  <c r="J775" i="6" s="1"/>
  <c r="K775" i="6" s="1"/>
  <c r="G772" i="22" s="1"/>
  <c r="F772" i="22" s="1"/>
  <c r="G772" i="6"/>
  <c r="H772" i="6" s="1"/>
  <c r="G771" i="6"/>
  <c r="H771" i="6" s="1"/>
  <c r="J771" i="6" s="1"/>
  <c r="K771" i="6" s="1"/>
  <c r="G768" i="22" s="1"/>
  <c r="F768" i="22" s="1"/>
  <c r="G769" i="6"/>
  <c r="H769" i="6" s="1"/>
  <c r="J769" i="6" s="1"/>
  <c r="K769" i="6" s="1"/>
  <c r="G766" i="22" s="1"/>
  <c r="F766" i="22" s="1"/>
  <c r="G767" i="6"/>
  <c r="H767" i="6" s="1"/>
  <c r="J767" i="6" s="1"/>
  <c r="K767" i="6" s="1"/>
  <c r="G764" i="22" s="1"/>
  <c r="F764" i="22" s="1"/>
  <c r="G755" i="6"/>
  <c r="H755" i="6" s="1"/>
  <c r="J755" i="6" s="1"/>
  <c r="K755" i="6" s="1"/>
  <c r="G752" i="22" s="1"/>
  <c r="F752" i="22" s="1"/>
  <c r="G750" i="6"/>
  <c r="H750" i="6" s="1"/>
  <c r="J750" i="6" s="1"/>
  <c r="K750" i="6" s="1"/>
  <c r="G747" i="22" s="1"/>
  <c r="F747" i="22" s="1"/>
  <c r="G749" i="6"/>
  <c r="H749" i="6" s="1"/>
  <c r="J749" i="6" s="1"/>
  <c r="K749" i="6" s="1"/>
  <c r="G746" i="22" s="1"/>
  <c r="F746" i="22" s="1"/>
  <c r="G731" i="6"/>
  <c r="H731" i="6" s="1"/>
  <c r="J731" i="6" s="1"/>
  <c r="K731" i="6" s="1"/>
  <c r="G728" i="22" s="1"/>
  <c r="F728" i="22" s="1"/>
  <c r="G734" i="6"/>
  <c r="H734" i="6" s="1"/>
  <c r="J734" i="6" s="1"/>
  <c r="K734" i="6" s="1"/>
  <c r="G731" i="22" s="1"/>
  <c r="F731" i="22" s="1"/>
  <c r="G732" i="6"/>
  <c r="H732" i="6" s="1"/>
  <c r="J732" i="6" s="1"/>
  <c r="K732" i="6" s="1"/>
  <c r="G729" i="22" s="1"/>
  <c r="F729" i="22" s="1"/>
  <c r="G728" i="6"/>
  <c r="H728" i="6" s="1"/>
  <c r="J728" i="6" s="1"/>
  <c r="K728" i="6" s="1"/>
  <c r="G725" i="22" s="1"/>
  <c r="F725" i="22" s="1"/>
  <c r="G723" i="6"/>
  <c r="H723" i="6" s="1"/>
  <c r="J723" i="6" s="1"/>
  <c r="K723" i="6" s="1"/>
  <c r="G720" i="22" s="1"/>
  <c r="F720" i="22" s="1"/>
  <c r="G719" i="6"/>
  <c r="H719" i="6" s="1"/>
  <c r="J719" i="6" s="1"/>
  <c r="K719" i="6" s="1"/>
  <c r="G716" i="22" s="1"/>
  <c r="F716" i="22" s="1"/>
  <c r="G715" i="6"/>
  <c r="H715" i="6" s="1"/>
  <c r="J715" i="6" s="1"/>
  <c r="K715" i="6" s="1"/>
  <c r="G712" i="22" s="1"/>
  <c r="F712" i="22" s="1"/>
  <c r="G714" i="6"/>
  <c r="H714" i="6" s="1"/>
  <c r="J714" i="6" s="1"/>
  <c r="K714" i="6" s="1"/>
  <c r="G711" i="22" s="1"/>
  <c r="F711" i="22" s="1"/>
  <c r="G786" i="6"/>
  <c r="H786" i="6" s="1"/>
  <c r="J786" i="6" s="1"/>
  <c r="K786" i="6" s="1"/>
  <c r="G783" i="22" s="1"/>
  <c r="F783" i="22" s="1"/>
  <c r="G778" i="6"/>
  <c r="H778" i="6" s="1"/>
  <c r="J778" i="6" s="1"/>
  <c r="K778" i="6" s="1"/>
  <c r="G775" i="22" s="1"/>
  <c r="F775" i="22" s="1"/>
  <c r="G770" i="6"/>
  <c r="H770" i="6" s="1"/>
  <c r="J770" i="6" s="1"/>
  <c r="K770" i="6" s="1"/>
  <c r="G767" i="22" s="1"/>
  <c r="F767" i="22" s="1"/>
  <c r="G768" i="6"/>
  <c r="H768" i="6" s="1"/>
  <c r="G766" i="6"/>
  <c r="H766" i="6" s="1"/>
  <c r="J766" i="6" s="1"/>
  <c r="K766" i="6" s="1"/>
  <c r="G763" i="22" s="1"/>
  <c r="F763" i="22" s="1"/>
  <c r="G761" i="6"/>
  <c r="H761" i="6" s="1"/>
  <c r="J761" i="6" s="1"/>
  <c r="K761" i="6" s="1"/>
  <c r="G758" i="22" s="1"/>
  <c r="F758" i="22" s="1"/>
  <c r="G760" i="6"/>
  <c r="H760" i="6" s="1"/>
  <c r="J760" i="6" s="1"/>
  <c r="K760" i="6" s="1"/>
  <c r="G757" i="22" s="1"/>
  <c r="F757" i="22" s="1"/>
  <c r="G759" i="6"/>
  <c r="H759" i="6" s="1"/>
  <c r="J759" i="6" s="1"/>
  <c r="K759" i="6" s="1"/>
  <c r="G756" i="22" s="1"/>
  <c r="F756" i="22" s="1"/>
  <c r="G754" i="6"/>
  <c r="H754" i="6" s="1"/>
  <c r="J754" i="6" s="1"/>
  <c r="K754" i="6" s="1"/>
  <c r="G751" i="22" s="1"/>
  <c r="F751" i="22" s="1"/>
  <c r="G753" i="6"/>
  <c r="H753" i="6" s="1"/>
  <c r="J753" i="6" s="1"/>
  <c r="K753" i="6" s="1"/>
  <c r="G750" i="22" s="1"/>
  <c r="F750" i="22" s="1"/>
  <c r="G752" i="6"/>
  <c r="H752" i="6" s="1"/>
  <c r="J752" i="6" s="1"/>
  <c r="K752" i="6" s="1"/>
  <c r="G749" i="22" s="1"/>
  <c r="F749" i="22" s="1"/>
  <c r="G748" i="6"/>
  <c r="H748" i="6" s="1"/>
  <c r="J748" i="6" s="1"/>
  <c r="K748" i="6" s="1"/>
  <c r="G745" i="22" s="1"/>
  <c r="F745" i="22" s="1"/>
  <c r="G724" i="6"/>
  <c r="H724" i="6" s="1"/>
  <c r="J724" i="6" s="1"/>
  <c r="K724" i="6" s="1"/>
  <c r="G721" i="22" s="1"/>
  <c r="F721" i="22" s="1"/>
  <c r="G711" i="6"/>
  <c r="H711" i="6" s="1"/>
  <c r="J711" i="6" s="1"/>
  <c r="K711" i="6" s="1"/>
  <c r="G708" i="22" s="1"/>
  <c r="F708" i="22" s="1"/>
  <c r="G710" i="6"/>
  <c r="H710" i="6" s="1"/>
  <c r="G785" i="6"/>
  <c r="H785" i="6" s="1"/>
  <c r="J785" i="6" s="1"/>
  <c r="K785" i="6" s="1"/>
  <c r="G782" i="22" s="1"/>
  <c r="F782" i="22" s="1"/>
  <c r="G777" i="6"/>
  <c r="H777" i="6" s="1"/>
  <c r="J777" i="6" s="1"/>
  <c r="K777" i="6" s="1"/>
  <c r="G774" i="22" s="1"/>
  <c r="F774" i="22" s="1"/>
  <c r="G773" i="6"/>
  <c r="H773" i="6" s="1"/>
  <c r="J773" i="6" s="1"/>
  <c r="K773" i="6" s="1"/>
  <c r="G770" i="22" s="1"/>
  <c r="F770" i="22" s="1"/>
  <c r="G764" i="6"/>
  <c r="H764" i="6" s="1"/>
  <c r="J764" i="6" s="1"/>
  <c r="K764" i="6" s="1"/>
  <c r="G761" i="22" s="1"/>
  <c r="F761" i="22" s="1"/>
  <c r="G757" i="6"/>
  <c r="H757" i="6" s="1"/>
  <c r="J757" i="6" s="1"/>
  <c r="K757" i="6" s="1"/>
  <c r="G754" i="22" s="1"/>
  <c r="F754" i="22" s="1"/>
  <c r="G756" i="6"/>
  <c r="H756" i="6" s="1"/>
  <c r="J756" i="6" s="1"/>
  <c r="K756" i="6" s="1"/>
  <c r="G753" i="22" s="1"/>
  <c r="F753" i="22" s="1"/>
  <c r="G747" i="6"/>
  <c r="H747" i="6" s="1"/>
  <c r="J747" i="6" s="1"/>
  <c r="K747" i="6" s="1"/>
  <c r="G744" i="22" s="1"/>
  <c r="F744" i="22" s="1"/>
  <c r="G740" i="6"/>
  <c r="H740" i="6" s="1"/>
  <c r="J740" i="6" s="1"/>
  <c r="K740" i="6" s="1"/>
  <c r="G737" i="22" s="1"/>
  <c r="F737" i="22" s="1"/>
  <c r="G739" i="6"/>
  <c r="H739" i="6" s="1"/>
  <c r="J739" i="6" s="1"/>
  <c r="K739" i="6" s="1"/>
  <c r="G736" i="22" s="1"/>
  <c r="F736" i="22" s="1"/>
  <c r="G738" i="6"/>
  <c r="H738" i="6" s="1"/>
  <c r="J738" i="6" s="1"/>
  <c r="K738" i="6" s="1"/>
  <c r="G735" i="22" s="1"/>
  <c r="F735" i="22" s="1"/>
  <c r="G733" i="6"/>
  <c r="H733" i="6" s="1"/>
  <c r="G727" i="6"/>
  <c r="H727" i="6" s="1"/>
  <c r="J727" i="6" s="1"/>
  <c r="K727" i="6" s="1"/>
  <c r="G724" i="22" s="1"/>
  <c r="F724" i="22" s="1"/>
  <c r="G722" i="6"/>
  <c r="H722" i="6" s="1"/>
  <c r="J722" i="6" s="1"/>
  <c r="K722" i="6" s="1"/>
  <c r="G719" i="22" s="1"/>
  <c r="F719" i="22" s="1"/>
  <c r="G718" i="6"/>
  <c r="H718" i="6" s="1"/>
  <c r="J718" i="6" s="1"/>
  <c r="K718" i="6" s="1"/>
  <c r="G715" i="22" s="1"/>
  <c r="F715" i="22" s="1"/>
  <c r="G712" i="6"/>
  <c r="H712" i="6" s="1"/>
  <c r="G258" i="6"/>
  <c r="H258" i="6" s="1"/>
  <c r="J258" i="6" s="1"/>
  <c r="K258" i="6" s="1"/>
  <c r="G255" i="22" s="1"/>
  <c r="F255" i="22" s="1"/>
  <c r="G215" i="6"/>
  <c r="H215" i="6" s="1"/>
  <c r="J215" i="6" s="1"/>
  <c r="K215" i="6" s="1"/>
  <c r="G212" i="22" s="1"/>
  <c r="F212" i="22" s="1"/>
  <c r="G219" i="6"/>
  <c r="H219" i="6" s="1"/>
  <c r="J219" i="6" s="1"/>
  <c r="K219" i="6" s="1"/>
  <c r="G216" i="22" s="1"/>
  <c r="F216" i="22" s="1"/>
  <c r="G224" i="6"/>
  <c r="H224" i="6" s="1"/>
  <c r="J224" i="6" s="1"/>
  <c r="K224" i="6" s="1"/>
  <c r="G221" i="22" s="1"/>
  <c r="F221" i="22" s="1"/>
  <c r="G230" i="6"/>
  <c r="H230" i="6" s="1"/>
  <c r="J230" i="6" s="1"/>
  <c r="K230" i="6" s="1"/>
  <c r="G227" i="22" s="1"/>
  <c r="F227" i="22" s="1"/>
  <c r="G255" i="6"/>
  <c r="H255" i="6" s="1"/>
  <c r="G253" i="6"/>
  <c r="H253" i="6" s="1"/>
  <c r="J253" i="6" s="1"/>
  <c r="K253" i="6" s="1"/>
  <c r="G250" i="22" s="1"/>
  <c r="F250" i="22" s="1"/>
  <c r="G165" i="6"/>
  <c r="H165" i="6" s="1"/>
  <c r="J165" i="6" s="1"/>
  <c r="K165" i="6" s="1"/>
  <c r="G162" i="22" s="1"/>
  <c r="F162" i="22" s="1"/>
  <c r="G163" i="6"/>
  <c r="H163" i="6" s="1"/>
  <c r="J163" i="6" s="1"/>
  <c r="K163" i="6" s="1"/>
  <c r="G160" i="22" s="1"/>
  <c r="G161" i="6"/>
  <c r="H161" i="6" s="1"/>
  <c r="G157" i="6"/>
  <c r="H157" i="6" s="1"/>
  <c r="J157" i="6" s="1"/>
  <c r="K157" i="6" s="1"/>
  <c r="G154" i="22" s="1"/>
  <c r="F154" i="22" s="1"/>
  <c r="G537" i="6"/>
  <c r="H537" i="6" s="1"/>
  <c r="J537" i="6" s="1"/>
  <c r="K537" i="6" s="1"/>
  <c r="G534" i="22" s="1"/>
  <c r="F534" i="22" s="1"/>
  <c r="G533" i="6"/>
  <c r="H533" i="6" s="1"/>
  <c r="G531" i="6"/>
  <c r="H531" i="6" s="1"/>
  <c r="J531" i="6" s="1"/>
  <c r="K531" i="6" s="1"/>
  <c r="G528" i="22" s="1"/>
  <c r="F528" i="22" s="1"/>
  <c r="G530" i="6"/>
  <c r="H530" i="6" s="1"/>
  <c r="J530" i="6" s="1"/>
  <c r="K530" i="6" s="1"/>
  <c r="G527" i="22" s="1"/>
  <c r="F527" i="22" s="1"/>
  <c r="G216" i="6"/>
  <c r="H216" i="6" s="1"/>
  <c r="J216" i="6" s="1"/>
  <c r="K216" i="6" s="1"/>
  <c r="G213" i="22" s="1"/>
  <c r="F213" i="22" s="1"/>
  <c r="G221" i="6"/>
  <c r="H221" i="6" s="1"/>
  <c r="J221" i="6" s="1"/>
  <c r="K221" i="6" s="1"/>
  <c r="G218" i="22" s="1"/>
  <c r="F218" i="22" s="1"/>
  <c r="G225" i="6"/>
  <c r="H225" i="6" s="1"/>
  <c r="J225" i="6" s="1"/>
  <c r="K225" i="6" s="1"/>
  <c r="G222" i="22" s="1"/>
  <c r="F222" i="22" s="1"/>
  <c r="G231" i="6"/>
  <c r="H231" i="6" s="1"/>
  <c r="J231" i="6" s="1"/>
  <c r="K231" i="6" s="1"/>
  <c r="G228" i="22" s="1"/>
  <c r="F228" i="22" s="1"/>
  <c r="G256" i="6"/>
  <c r="H256" i="6" s="1"/>
  <c r="J256" i="6" s="1"/>
  <c r="K256" i="6" s="1"/>
  <c r="G253" i="22" s="1"/>
  <c r="F253" i="22" s="1"/>
  <c r="G156" i="6"/>
  <c r="G154" i="6"/>
  <c r="H154" i="6" s="1"/>
  <c r="J154" i="6" s="1"/>
  <c r="K154" i="6" s="1"/>
  <c r="G151" i="22" s="1"/>
  <c r="F151" i="22" s="1"/>
  <c r="G155" i="6"/>
  <c r="H155" i="6" s="1"/>
  <c r="J155" i="6" s="1"/>
  <c r="K155" i="6" s="1"/>
  <c r="G152" i="22" s="1"/>
  <c r="F152" i="22" s="1"/>
  <c r="G535" i="6"/>
  <c r="H535" i="6" s="1"/>
  <c r="J535" i="6" s="1"/>
  <c r="K535" i="6" s="1"/>
  <c r="G532" i="22" s="1"/>
  <c r="F532" i="22" s="1"/>
  <c r="G534" i="6"/>
  <c r="H534" i="6" s="1"/>
  <c r="J534" i="6" s="1"/>
  <c r="K534" i="6" s="1"/>
  <c r="G531" i="22" s="1"/>
  <c r="F531" i="22" s="1"/>
  <c r="G217" i="6"/>
  <c r="H217" i="6" s="1"/>
  <c r="J217" i="6" s="1"/>
  <c r="K217" i="6" s="1"/>
  <c r="G214" i="22" s="1"/>
  <c r="F214" i="22" s="1"/>
  <c r="G222" i="6"/>
  <c r="H222" i="6" s="1"/>
  <c r="J222" i="6" s="1"/>
  <c r="K222" i="6" s="1"/>
  <c r="G219" i="22" s="1"/>
  <c r="F219" i="22" s="1"/>
  <c r="G226" i="6"/>
  <c r="H226" i="6" s="1"/>
  <c r="J226" i="6" s="1"/>
  <c r="K226" i="6" s="1"/>
  <c r="G223" i="22" s="1"/>
  <c r="F223" i="22" s="1"/>
  <c r="G213" i="6"/>
  <c r="H213" i="6" s="1"/>
  <c r="G257" i="6"/>
  <c r="H257" i="6" s="1"/>
  <c r="J257" i="6" s="1"/>
  <c r="K257" i="6" s="1"/>
  <c r="G254" i="22" s="1"/>
  <c r="F254" i="22" s="1"/>
  <c r="G280" i="6"/>
  <c r="H280" i="6" s="1"/>
  <c r="J280" i="6" s="1"/>
  <c r="K280" i="6" s="1"/>
  <c r="G277" i="22" s="1"/>
  <c r="F277" i="22" s="1"/>
  <c r="G164" i="6"/>
  <c r="G162" i="6"/>
  <c r="H162" i="6" s="1"/>
  <c r="J162" i="6" s="1"/>
  <c r="K162" i="6" s="1"/>
  <c r="G159" i="22" s="1"/>
  <c r="F159" i="22" s="1"/>
  <c r="G166" i="6"/>
  <c r="H166" i="6" s="1"/>
  <c r="J166" i="6" s="1"/>
  <c r="K166" i="6" s="1"/>
  <c r="G163" i="22" s="1"/>
  <c r="F163" i="22" s="1"/>
  <c r="G529" i="6"/>
  <c r="H529" i="6" s="1"/>
  <c r="G214" i="6"/>
  <c r="H214" i="6" s="1"/>
  <c r="J214" i="6" s="1"/>
  <c r="K214" i="6" s="1"/>
  <c r="G211" i="22" s="1"/>
  <c r="F211" i="22" s="1"/>
  <c r="G218" i="6"/>
  <c r="H218" i="6" s="1"/>
  <c r="J218" i="6" s="1"/>
  <c r="K218" i="6" s="1"/>
  <c r="G215" i="22" s="1"/>
  <c r="F215" i="22" s="1"/>
  <c r="G223" i="6"/>
  <c r="H223" i="6" s="1"/>
  <c r="J223" i="6" s="1"/>
  <c r="K223" i="6" s="1"/>
  <c r="G220" i="22" s="1"/>
  <c r="F220" i="22" s="1"/>
  <c r="G229" i="6"/>
  <c r="H229" i="6" s="1"/>
  <c r="J229" i="6" s="1"/>
  <c r="K229" i="6" s="1"/>
  <c r="G226" i="22" s="1"/>
  <c r="F226" i="22" s="1"/>
  <c r="G254" i="6"/>
  <c r="H254" i="6" s="1"/>
  <c r="J254" i="6" s="1"/>
  <c r="K254" i="6" s="1"/>
  <c r="G251" i="22" s="1"/>
  <c r="F251" i="22" s="1"/>
  <c r="G153" i="6"/>
  <c r="H153" i="6" s="1"/>
  <c r="G42" i="6"/>
  <c r="H42" i="6" s="1"/>
  <c r="J42" i="6" s="1"/>
  <c r="K42" i="6" s="1"/>
  <c r="G39" i="22" s="1"/>
  <c r="F39" i="22" s="1"/>
  <c r="G804" i="6"/>
  <c r="G158" i="6"/>
  <c r="H158" i="6" s="1"/>
  <c r="J158" i="6" s="1"/>
  <c r="K158" i="6" s="1"/>
  <c r="G155" i="22" s="1"/>
  <c r="F155" i="22" s="1"/>
  <c r="G797" i="6"/>
  <c r="G142" i="6"/>
  <c r="H142" i="6" s="1"/>
  <c r="J142" i="6" s="1"/>
  <c r="K142" i="6" s="1"/>
  <c r="G139" i="22" s="1"/>
  <c r="F139" i="22" s="1"/>
  <c r="F515" i="6"/>
  <c r="G12" i="6"/>
  <c r="G194" i="6"/>
  <c r="H194" i="6" s="1"/>
  <c r="G180" i="6"/>
  <c r="G177" i="6"/>
  <c r="G178" i="6"/>
  <c r="G179" i="6"/>
  <c r="G243" i="6"/>
  <c r="H243" i="6" s="1"/>
  <c r="J243" i="6" s="1"/>
  <c r="K243" i="6" s="1"/>
  <c r="G240" i="22" s="1"/>
  <c r="F240" i="22" s="1"/>
  <c r="F517" i="6"/>
  <c r="G137" i="6"/>
  <c r="H137" i="6" s="1"/>
  <c r="G808" i="6"/>
  <c r="G811" i="6"/>
  <c r="G16" i="6"/>
  <c r="G492" i="6"/>
  <c r="H492" i="6" s="1"/>
  <c r="G252" i="6"/>
  <c r="H252" i="6" s="1"/>
  <c r="J252" i="6" s="1"/>
  <c r="K252" i="6" s="1"/>
  <c r="G249" i="22" s="1"/>
  <c r="F249" i="22" s="1"/>
  <c r="G596" i="6"/>
  <c r="H596" i="6" s="1"/>
  <c r="G548" i="6"/>
  <c r="H548" i="6" s="1"/>
  <c r="G17" i="6"/>
  <c r="G149" i="6"/>
  <c r="H149" i="6" s="1"/>
  <c r="G188" i="6"/>
  <c r="G13" i="6"/>
  <c r="G25" i="6"/>
  <c r="H25" i="6" s="1"/>
  <c r="J25" i="6" s="1"/>
  <c r="K25" i="6" s="1"/>
  <c r="G22" i="22" s="1"/>
  <c r="F22" i="22" s="1"/>
  <c r="G26" i="6"/>
  <c r="H26" i="6" s="1"/>
  <c r="J26" i="6" s="1"/>
  <c r="K26" i="6" s="1"/>
  <c r="G23" i="22" s="1"/>
  <c r="F23" i="22" s="1"/>
  <c r="G27" i="6"/>
  <c r="G150" i="6"/>
  <c r="H150" i="6" s="1"/>
  <c r="J150" i="6" s="1"/>
  <c r="K150" i="6" s="1"/>
  <c r="G147" i="22" s="1"/>
  <c r="F147" i="22" s="1"/>
  <c r="G73" i="6"/>
  <c r="H73" i="6" s="1"/>
  <c r="J73" i="6" s="1"/>
  <c r="K73" i="6" s="1"/>
  <c r="G70" i="22" s="1"/>
  <c r="F70" i="22" s="1"/>
  <c r="G63" i="6"/>
  <c r="H63" i="6" s="1"/>
  <c r="F176" i="6"/>
  <c r="F175" i="6" s="1"/>
  <c r="F200" i="6"/>
  <c r="F199" i="6" s="1"/>
  <c r="F206" i="6"/>
  <c r="F205" i="6" s="1"/>
  <c r="F516" i="6"/>
  <c r="G206" i="6"/>
  <c r="G200" i="6"/>
  <c r="G24" i="6"/>
  <c r="H24" i="6" s="1"/>
  <c r="G133" i="6"/>
  <c r="H133" i="6" s="1"/>
  <c r="H126" i="6" s="1"/>
  <c r="G146" i="6"/>
  <c r="H146" i="6" s="1"/>
  <c r="J146" i="6" s="1"/>
  <c r="K146" i="6" s="1"/>
  <c r="G143" i="22" s="1"/>
  <c r="F143" i="22" s="1"/>
  <c r="G147" i="6"/>
  <c r="H147" i="6" s="1"/>
  <c r="G148" i="6"/>
  <c r="G489" i="6"/>
  <c r="H489" i="6" s="1"/>
  <c r="G490" i="6"/>
  <c r="H490" i="6" s="1"/>
  <c r="J490" i="6" s="1"/>
  <c r="K490" i="6" s="1"/>
  <c r="G487" i="22" s="1"/>
  <c r="F487" i="22" s="1"/>
  <c r="G491" i="6"/>
  <c r="G72" i="6"/>
  <c r="H72" i="6" s="1"/>
  <c r="G70" i="6"/>
  <c r="H70" i="6" s="1"/>
  <c r="J70" i="6" s="1"/>
  <c r="K70" i="6" s="1"/>
  <c r="G67" i="22" s="1"/>
  <c r="F67" i="22" s="1"/>
  <c r="G251" i="6"/>
  <c r="H251" i="6" s="1"/>
  <c r="J251" i="6" s="1"/>
  <c r="K251" i="6" s="1"/>
  <c r="G248" i="22" s="1"/>
  <c r="F248" i="22" s="1"/>
  <c r="G182" i="6"/>
  <c r="G232" i="6"/>
  <c r="H232" i="6" s="1"/>
  <c r="G536" i="6"/>
  <c r="H536" i="6" s="1"/>
  <c r="J536" i="6" s="1"/>
  <c r="G66" i="6"/>
  <c r="H66" i="6" s="1"/>
  <c r="J66" i="6" s="1"/>
  <c r="K66" i="6" s="1"/>
  <c r="G63" i="22" s="1"/>
  <c r="F63" i="22" s="1"/>
  <c r="G242" i="6"/>
  <c r="H242" i="6" s="1"/>
  <c r="J242" i="6" s="1"/>
  <c r="K242" i="6" s="1"/>
  <c r="G239" i="22" s="1"/>
  <c r="F239" i="22" s="1"/>
  <c r="G235" i="6"/>
  <c r="H235" i="6" s="1"/>
  <c r="G807" i="6"/>
  <c r="G14" i="6"/>
  <c r="G29" i="6"/>
  <c r="H29" i="6" s="1"/>
  <c r="J29" i="6" s="1"/>
  <c r="K29" i="6" s="1"/>
  <c r="G26" i="22" s="1"/>
  <c r="F26" i="22" s="1"/>
  <c r="G141" i="6"/>
  <c r="H141" i="6" s="1"/>
  <c r="J141" i="6" s="1"/>
  <c r="K141" i="6" s="1"/>
  <c r="G138" i="22" s="1"/>
  <c r="F138" i="22" s="1"/>
  <c r="G145" i="6"/>
  <c r="H145" i="6" s="1"/>
  <c r="G488" i="6"/>
  <c r="H488" i="6" s="1"/>
  <c r="G493" i="6"/>
  <c r="H493" i="6" s="1"/>
  <c r="G41" i="6"/>
  <c r="H41" i="6" s="1"/>
  <c r="G69" i="6"/>
  <c r="H69" i="6" s="1"/>
  <c r="J69" i="6" s="1"/>
  <c r="K69" i="6" s="1"/>
  <c r="G66" i="22" s="1"/>
  <c r="F66" i="22" s="1"/>
  <c r="G176" i="6"/>
  <c r="F188" i="6"/>
  <c r="F187" i="6" s="1"/>
  <c r="G508" i="6"/>
  <c r="H508" i="6" s="1"/>
  <c r="G511" i="6"/>
  <c r="H511" i="6" s="1"/>
  <c r="J511" i="6" s="1"/>
  <c r="K511" i="6" s="1"/>
  <c r="G508" i="22" s="1"/>
  <c r="F508" i="22" s="1"/>
  <c r="G512" i="6"/>
  <c r="H512" i="6" s="1"/>
  <c r="J512" i="6" s="1"/>
  <c r="K512" i="6" s="1"/>
  <c r="G509" i="22" s="1"/>
  <c r="F509" i="22" s="1"/>
  <c r="G513" i="6"/>
  <c r="H513" i="6" s="1"/>
  <c r="J513" i="6" s="1"/>
  <c r="K513" i="6" s="1"/>
  <c r="G510" i="22" s="1"/>
  <c r="F510" i="22" s="1"/>
  <c r="G516" i="6"/>
  <c r="G517" i="6"/>
  <c r="G795" i="6"/>
  <c r="H795" i="6" s="1"/>
  <c r="J795" i="6" s="1"/>
  <c r="K795" i="6" s="1"/>
  <c r="G792" i="22" s="1"/>
  <c r="F792" i="22" s="1"/>
  <c r="G250" i="6"/>
  <c r="H250" i="6" s="1"/>
  <c r="J250" i="6" s="1"/>
  <c r="K250" i="6" s="1"/>
  <c r="G247" i="22" s="1"/>
  <c r="F247" i="22" s="1"/>
  <c r="G65" i="6"/>
  <c r="H65" i="6" s="1"/>
  <c r="J65" i="6" s="1"/>
  <c r="K65" i="6" s="1"/>
  <c r="G62" i="22" s="1"/>
  <c r="F62" i="22" s="1"/>
  <c r="G241" i="6"/>
  <c r="H241" i="6" s="1"/>
  <c r="J241" i="6" s="1"/>
  <c r="K241" i="6" s="1"/>
  <c r="G238" i="22" s="1"/>
  <c r="F238" i="22" s="1"/>
  <c r="G246" i="6"/>
  <c r="H246" i="6" s="1"/>
  <c r="J246" i="6" s="1"/>
  <c r="K246" i="6" s="1"/>
  <c r="G243" i="22" s="1"/>
  <c r="F243" i="22" s="1"/>
  <c r="G234" i="6"/>
  <c r="H234" i="6" s="1"/>
  <c r="G806" i="6"/>
  <c r="G18" i="6"/>
  <c r="G28" i="6"/>
  <c r="H28" i="6" s="1"/>
  <c r="J28" i="6" s="1"/>
  <c r="K28" i="6" s="1"/>
  <c r="G25" i="22" s="1"/>
  <c r="F25" i="22" s="1"/>
  <c r="G138" i="6"/>
  <c r="H138" i="6" s="1"/>
  <c r="J138" i="6" s="1"/>
  <c r="K138" i="6" s="1"/>
  <c r="G135" i="22" s="1"/>
  <c r="F135" i="22" s="1"/>
  <c r="G139" i="6"/>
  <c r="H139" i="6" s="1"/>
  <c r="J139" i="6" s="1"/>
  <c r="K139" i="6" s="1"/>
  <c r="G136" i="22" s="1"/>
  <c r="F136" i="22" s="1"/>
  <c r="G140" i="6"/>
  <c r="H140" i="6" s="1"/>
  <c r="G174" i="6"/>
  <c r="H174" i="6" s="1"/>
  <c r="G68" i="6"/>
  <c r="H68" i="6" s="1"/>
  <c r="F182" i="6"/>
  <c r="F181" i="6" s="1"/>
  <c r="G510" i="6"/>
  <c r="H510" i="6" s="1"/>
  <c r="J510" i="6" s="1"/>
  <c r="K510" i="6" s="1"/>
  <c r="G507" i="22" s="1"/>
  <c r="F507" i="22" s="1"/>
  <c r="G515" i="6"/>
  <c r="G794" i="6"/>
  <c r="H794" i="6" s="1"/>
  <c r="G546" i="6"/>
  <c r="H546" i="6" s="1"/>
  <c r="G249" i="6"/>
  <c r="H249" i="6" s="1"/>
  <c r="G554" i="6"/>
  <c r="H554" i="6" s="1"/>
  <c r="G64" i="6"/>
  <c r="H64" i="6" s="1"/>
  <c r="G238" i="6"/>
  <c r="H238" i="6" s="1"/>
  <c r="G239" i="6"/>
  <c r="H239" i="6" s="1"/>
  <c r="J239" i="6" s="1"/>
  <c r="K239" i="6" s="1"/>
  <c r="G236" i="22" s="1"/>
  <c r="F236" i="22" s="1"/>
  <c r="G798" i="6"/>
  <c r="G813" i="6"/>
  <c r="H813" i="6" s="1"/>
  <c r="J813" i="6" s="1"/>
  <c r="K813" i="6" s="1"/>
  <c r="G810" i="22" s="1"/>
  <c r="F810" i="22" s="1"/>
  <c r="G809" i="6"/>
  <c r="G822" i="6"/>
  <c r="G816" i="6"/>
  <c r="G814" i="6"/>
  <c r="H814" i="6" s="1"/>
  <c r="G812" i="6"/>
  <c r="G247" i="6"/>
  <c r="H247" i="6" s="1"/>
  <c r="G245" i="6"/>
  <c r="H245" i="6" s="1"/>
  <c r="G240" i="6"/>
  <c r="H240" i="6" s="1"/>
  <c r="H56" i="17" l="1"/>
  <c r="J56" i="17" s="1"/>
  <c r="K56" i="17" s="1"/>
  <c r="K22" i="9"/>
  <c r="K35" i="9"/>
  <c r="L35" i="9"/>
  <c r="J53" i="17"/>
  <c r="H148" i="6"/>
  <c r="J148" i="6" s="1"/>
  <c r="K148" i="6" s="1"/>
  <c r="G145" i="22" s="1"/>
  <c r="F145" i="22" s="1"/>
  <c r="E153" i="22"/>
  <c r="E155" i="19"/>
  <c r="F78" i="17"/>
  <c r="H78" i="17" s="1"/>
  <c r="J78" i="17" s="1"/>
  <c r="K78" i="17" s="1"/>
  <c r="E78" i="17"/>
  <c r="E78" i="11"/>
  <c r="F78" i="11"/>
  <c r="H78" i="11" s="1"/>
  <c r="J78" i="11" s="1"/>
  <c r="K78" i="11" s="1"/>
  <c r="G47" i="9"/>
  <c r="I47" i="9" s="1"/>
  <c r="K47" i="9" s="1"/>
  <c r="L47" i="9" s="1"/>
  <c r="F47" i="9"/>
  <c r="F156" i="6"/>
  <c r="F151" i="6" s="1"/>
  <c r="E156" i="6"/>
  <c r="E164" i="6"/>
  <c r="E161" i="22"/>
  <c r="E163" i="19"/>
  <c r="F84" i="17"/>
  <c r="H84" i="17" s="1"/>
  <c r="J84" i="17" s="1"/>
  <c r="K84" i="17" s="1"/>
  <c r="E84" i="17"/>
  <c r="F84" i="11"/>
  <c r="H84" i="11" s="1"/>
  <c r="J84" i="11" s="1"/>
  <c r="K84" i="11" s="1"/>
  <c r="E84" i="11"/>
  <c r="G53" i="9"/>
  <c r="I53" i="9" s="1"/>
  <c r="K53" i="9" s="1"/>
  <c r="L53" i="9" s="1"/>
  <c r="F53" i="9"/>
  <c r="F164" i="6"/>
  <c r="F159" i="6" s="1"/>
  <c r="K61" i="9"/>
  <c r="L61" i="9"/>
  <c r="H27" i="6"/>
  <c r="J27" i="6" s="1"/>
  <c r="K27" i="6" s="1"/>
  <c r="G24" i="22" s="1"/>
  <c r="F24" i="22" s="1"/>
  <c r="F66" i="11"/>
  <c r="H66" i="11" s="1"/>
  <c r="J66" i="11" s="1"/>
  <c r="K66" i="11" s="1"/>
  <c r="E169" i="22"/>
  <c r="E488" i="22"/>
  <c r="E490" i="19"/>
  <c r="E171" i="19"/>
  <c r="F172" i="6"/>
  <c r="E491" i="6"/>
  <c r="E172" i="6"/>
  <c r="F491" i="6"/>
  <c r="F485" i="6" s="1"/>
  <c r="F95" i="17"/>
  <c r="H95" i="17" s="1"/>
  <c r="J95" i="17" s="1"/>
  <c r="K95" i="17" s="1"/>
  <c r="E95" i="17"/>
  <c r="F95" i="11"/>
  <c r="H95" i="11" s="1"/>
  <c r="J95" i="11" s="1"/>
  <c r="K95" i="11" s="1"/>
  <c r="E95" i="11"/>
  <c r="F64" i="9"/>
  <c r="G64" i="9"/>
  <c r="H156" i="6"/>
  <c r="J156" i="6" s="1"/>
  <c r="K156" i="6" s="1"/>
  <c r="G153" i="22" s="1"/>
  <c r="F153" i="22" s="1"/>
  <c r="F160" i="22"/>
  <c r="F66" i="17"/>
  <c r="H66" i="17" s="1"/>
  <c r="J66" i="17" s="1"/>
  <c r="K66" i="17" s="1"/>
  <c r="G25" i="9"/>
  <c r="H164" i="6"/>
  <c r="J164" i="6" s="1"/>
  <c r="K164" i="6" s="1"/>
  <c r="G161" i="22" s="1"/>
  <c r="F161" i="22" s="1"/>
  <c r="F56" i="11"/>
  <c r="G29" i="9"/>
  <c r="E145" i="22"/>
  <c r="E147" i="19"/>
  <c r="F72" i="17"/>
  <c r="H72" i="17" s="1"/>
  <c r="J72" i="17" s="1"/>
  <c r="K72" i="17" s="1"/>
  <c r="E72" i="17"/>
  <c r="F72" i="11"/>
  <c r="H72" i="11" s="1"/>
  <c r="J72" i="11" s="1"/>
  <c r="K72" i="11" s="1"/>
  <c r="E72" i="11"/>
  <c r="G41" i="9"/>
  <c r="I41" i="9" s="1"/>
  <c r="F41" i="9"/>
  <c r="F148" i="6"/>
  <c r="F143" i="6" s="1"/>
  <c r="E148" i="6"/>
  <c r="K32" i="9"/>
  <c r="L32" i="9" s="1"/>
  <c r="F126" i="6"/>
  <c r="J53" i="11"/>
  <c r="J128" i="6"/>
  <c r="K128" i="6" s="1"/>
  <c r="G125" i="22" s="1"/>
  <c r="F125" i="22" s="1"/>
  <c r="J743" i="6"/>
  <c r="H741" i="6"/>
  <c r="H707" i="6"/>
  <c r="J579" i="6"/>
  <c r="H578" i="6"/>
  <c r="H570" i="6"/>
  <c r="H556" i="6"/>
  <c r="H793" i="6"/>
  <c r="J554" i="6"/>
  <c r="H553" i="6"/>
  <c r="J548" i="6"/>
  <c r="H547" i="6"/>
  <c r="F506" i="6"/>
  <c r="H539" i="6"/>
  <c r="H538" i="6" s="1"/>
  <c r="J533" i="6"/>
  <c r="H532" i="6"/>
  <c r="H528" i="6"/>
  <c r="J520" i="6"/>
  <c r="H518" i="6"/>
  <c r="J508" i="6"/>
  <c r="K508" i="6" s="1"/>
  <c r="G505" i="22" s="1"/>
  <c r="F505" i="22" s="1"/>
  <c r="J479" i="6"/>
  <c r="H478" i="6"/>
  <c r="H494" i="6"/>
  <c r="J488" i="6"/>
  <c r="H320" i="6"/>
  <c r="J307" i="6"/>
  <c r="K307" i="6" s="1"/>
  <c r="G304" i="22" s="1"/>
  <c r="F304" i="22" s="1"/>
  <c r="H283" i="6"/>
  <c r="H260" i="6"/>
  <c r="J286" i="6"/>
  <c r="J283" i="6" s="1"/>
  <c r="J263" i="6"/>
  <c r="J260" i="6" s="1"/>
  <c r="H248" i="6"/>
  <c r="F19" i="6"/>
  <c r="J234" i="6"/>
  <c r="H233" i="6"/>
  <c r="H211" i="6"/>
  <c r="J194" i="6"/>
  <c r="H193" i="6"/>
  <c r="J174" i="6"/>
  <c r="J161" i="6"/>
  <c r="J153" i="6"/>
  <c r="H151" i="6"/>
  <c r="J145" i="6"/>
  <c r="H134" i="6"/>
  <c r="H39" i="6"/>
  <c r="J107" i="6"/>
  <c r="H106" i="6"/>
  <c r="J102" i="6"/>
  <c r="H101" i="6"/>
  <c r="J94" i="6"/>
  <c r="H93" i="6"/>
  <c r="J92" i="6"/>
  <c r="H91" i="6"/>
  <c r="H74" i="6"/>
  <c r="J72" i="6"/>
  <c r="H71" i="6"/>
  <c r="J68" i="6"/>
  <c r="J67" i="6" s="1"/>
  <c r="H67" i="6"/>
  <c r="H62" i="6"/>
  <c r="H51" i="6"/>
  <c r="J45" i="6"/>
  <c r="H43" i="6"/>
  <c r="H20" i="6"/>
  <c r="H30" i="6"/>
  <c r="J568" i="6"/>
  <c r="H567" i="6"/>
  <c r="J124" i="6"/>
  <c r="H123" i="6"/>
  <c r="H111" i="6"/>
  <c r="J794" i="6"/>
  <c r="J793" i="6" s="1"/>
  <c r="J596" i="6"/>
  <c r="J24" i="6"/>
  <c r="J232" i="6"/>
  <c r="J41" i="6"/>
  <c r="J541" i="6"/>
  <c r="J539" i="6" s="1"/>
  <c r="J496" i="6"/>
  <c r="J494" i="6" s="1"/>
  <c r="J549" i="6"/>
  <c r="J63" i="6"/>
  <c r="J238" i="6"/>
  <c r="H236" i="6"/>
  <c r="J52" i="6"/>
  <c r="J51" i="6" s="1"/>
  <c r="J57" i="6"/>
  <c r="H55" i="6"/>
  <c r="J31" i="6"/>
  <c r="J30" i="6" s="1"/>
  <c r="J318" i="6"/>
  <c r="H317" i="6"/>
  <c r="H304" i="6" s="1"/>
  <c r="J550" i="6"/>
  <c r="J95" i="6"/>
  <c r="J75" i="6"/>
  <c r="J74" i="6" s="1"/>
  <c r="J703" i="6"/>
  <c r="H702" i="6"/>
  <c r="J710" i="6"/>
  <c r="J572" i="6"/>
  <c r="J570" i="6" s="1"/>
  <c r="J598" i="6"/>
  <c r="H597" i="6"/>
  <c r="J606" i="6"/>
  <c r="H603" i="6"/>
  <c r="J789" i="6"/>
  <c r="H787" i="6"/>
  <c r="J654" i="6"/>
  <c r="H653" i="6"/>
  <c r="J660" i="6"/>
  <c r="H659" i="6"/>
  <c r="J662" i="6"/>
  <c r="H661" i="6"/>
  <c r="J529" i="6"/>
  <c r="J528" i="6" s="1"/>
  <c r="J665" i="6"/>
  <c r="H664" i="6"/>
  <c r="J323" i="6"/>
  <c r="J320" i="6" s="1"/>
  <c r="J430" i="6"/>
  <c r="H428" i="6"/>
  <c r="J314" i="6"/>
  <c r="J379" i="6"/>
  <c r="H377" i="6"/>
  <c r="J558" i="6"/>
  <c r="J113" i="6"/>
  <c r="J111" i="6" s="1"/>
  <c r="J339" i="6"/>
  <c r="H337" i="6"/>
  <c r="J465" i="6"/>
  <c r="H463" i="6"/>
  <c r="J345" i="6"/>
  <c r="K345" i="6" s="1"/>
  <c r="G342" i="22" s="1"/>
  <c r="F342" i="22" s="1"/>
  <c r="J559" i="6"/>
  <c r="K559" i="6" s="1"/>
  <c r="G556" i="22" s="1"/>
  <c r="F556" i="22" s="1"/>
  <c r="J641" i="6"/>
  <c r="K641" i="6" s="1"/>
  <c r="G638" i="22" s="1"/>
  <c r="F638" i="22" s="1"/>
  <c r="J639" i="6"/>
  <c r="K639" i="6" s="1"/>
  <c r="G636" i="22" s="1"/>
  <c r="F636" i="22" s="1"/>
  <c r="J651" i="6"/>
  <c r="K651" i="6" s="1"/>
  <c r="G648" i="22" s="1"/>
  <c r="F648" i="22" s="1"/>
  <c r="J649" i="6"/>
  <c r="K649" i="6" s="1"/>
  <c r="G646" i="22" s="1"/>
  <c r="F646" i="22" s="1"/>
  <c r="J647" i="6"/>
  <c r="K647" i="6" s="1"/>
  <c r="G644" i="22" s="1"/>
  <c r="F644" i="22" s="1"/>
  <c r="J645" i="6"/>
  <c r="K645" i="6" s="1"/>
  <c r="G642" i="22" s="1"/>
  <c r="F642" i="22" s="1"/>
  <c r="H517" i="6"/>
  <c r="J517" i="6" s="1"/>
  <c r="K517" i="6" s="1"/>
  <c r="G514" i="22" s="1"/>
  <c r="F514" i="22" s="1"/>
  <c r="J733" i="6"/>
  <c r="K733" i="6" s="1"/>
  <c r="G730" i="22" s="1"/>
  <c r="F730" i="22" s="1"/>
  <c r="J772" i="6"/>
  <c r="K772" i="6" s="1"/>
  <c r="G769" i="22" s="1"/>
  <c r="F769" i="22" s="1"/>
  <c r="J768" i="6"/>
  <c r="K768" i="6" s="1"/>
  <c r="G765" i="22" s="1"/>
  <c r="F765" i="22" s="1"/>
  <c r="J712" i="6"/>
  <c r="K712" i="6" s="1"/>
  <c r="G709" i="22" s="1"/>
  <c r="F709" i="22" s="1"/>
  <c r="H178" i="6"/>
  <c r="J178" i="6" s="1"/>
  <c r="K178" i="6" s="1"/>
  <c r="G175" i="22" s="1"/>
  <c r="F175" i="22" s="1"/>
  <c r="J255" i="6"/>
  <c r="K255" i="6" s="1"/>
  <c r="G252" i="22" s="1"/>
  <c r="F252" i="22" s="1"/>
  <c r="H177" i="6"/>
  <c r="J177" i="6" s="1"/>
  <c r="K177" i="6" s="1"/>
  <c r="G174" i="22" s="1"/>
  <c r="F174" i="22" s="1"/>
  <c r="J213" i="6"/>
  <c r="H180" i="6"/>
  <c r="J180" i="6" s="1"/>
  <c r="K180" i="6" s="1"/>
  <c r="G177" i="22" s="1"/>
  <c r="F177" i="22" s="1"/>
  <c r="J137" i="6"/>
  <c r="H188" i="6"/>
  <c r="H179" i="6"/>
  <c r="J179" i="6" s="1"/>
  <c r="K179" i="6" s="1"/>
  <c r="G176" i="22" s="1"/>
  <c r="F176" i="22" s="1"/>
  <c r="H200" i="6"/>
  <c r="H182" i="6"/>
  <c r="H515" i="6"/>
  <c r="J149" i="6"/>
  <c r="K149" i="6" s="1"/>
  <c r="G146" i="22" s="1"/>
  <c r="F146" i="22" s="1"/>
  <c r="H516" i="6"/>
  <c r="J516" i="6" s="1"/>
  <c r="K516" i="6" s="1"/>
  <c r="G513" i="22" s="1"/>
  <c r="F513" i="22" s="1"/>
  <c r="J133" i="6"/>
  <c r="J64" i="6"/>
  <c r="K64" i="6" s="1"/>
  <c r="G61" i="22" s="1"/>
  <c r="F61" i="22" s="1"/>
  <c r="J249" i="6"/>
  <c r="H206" i="6"/>
  <c r="H176" i="6"/>
  <c r="K536" i="6"/>
  <c r="G533" i="22" s="1"/>
  <c r="F533" i="22" s="1"/>
  <c r="J247" i="6"/>
  <c r="K247" i="6" s="1"/>
  <c r="G244" i="22" s="1"/>
  <c r="F244" i="22" s="1"/>
  <c r="J245" i="6"/>
  <c r="K245" i="6" s="1"/>
  <c r="G242" i="22" s="1"/>
  <c r="F242" i="22" s="1"/>
  <c r="J814" i="6"/>
  <c r="K814" i="6" s="1"/>
  <c r="H812" i="6"/>
  <c r="J147" i="6"/>
  <c r="K147" i="6" s="1"/>
  <c r="G144" i="22" s="1"/>
  <c r="F144" i="22" s="1"/>
  <c r="J492" i="6"/>
  <c r="K492" i="6" s="1"/>
  <c r="G489" i="22" s="1"/>
  <c r="F489" i="22" s="1"/>
  <c r="J546" i="6"/>
  <c r="J493" i="6"/>
  <c r="K493" i="6" s="1"/>
  <c r="G490" i="22" s="1"/>
  <c r="F490" i="22" s="1"/>
  <c r="J140" i="6"/>
  <c r="K140" i="6" s="1"/>
  <c r="G137" i="22" s="1"/>
  <c r="F137" i="22" s="1"/>
  <c r="J240" i="6"/>
  <c r="K240" i="6" s="1"/>
  <c r="G237" i="22" s="1"/>
  <c r="F237" i="22" s="1"/>
  <c r="J235" i="6"/>
  <c r="J489" i="6"/>
  <c r="K489" i="6" s="1"/>
  <c r="G486" i="22" s="1"/>
  <c r="F486" i="22" s="1"/>
  <c r="K53" i="11" l="1"/>
  <c r="H56" i="11"/>
  <c r="F49" i="11"/>
  <c r="F19" i="11" s="1"/>
  <c r="H49" i="17"/>
  <c r="H19" i="17" s="1"/>
  <c r="K29" i="9"/>
  <c r="F484" i="6"/>
  <c r="K53" i="17"/>
  <c r="K49" i="17" s="1"/>
  <c r="K19" i="17" s="1"/>
  <c r="J49" i="17"/>
  <c r="J19" i="17" s="1"/>
  <c r="I25" i="9"/>
  <c r="G19" i="9"/>
  <c r="K41" i="9"/>
  <c r="L41" i="9"/>
  <c r="L29" i="9" s="1"/>
  <c r="H143" i="6"/>
  <c r="H172" i="6"/>
  <c r="F167" i="6"/>
  <c r="F125" i="6" s="1"/>
  <c r="L22" i="9"/>
  <c r="I64" i="9"/>
  <c r="G59" i="9"/>
  <c r="F49" i="17"/>
  <c r="F19" i="17" s="1"/>
  <c r="H159" i="6"/>
  <c r="H491" i="6"/>
  <c r="I29" i="9"/>
  <c r="K812" i="6"/>
  <c r="G809" i="22" s="1"/>
  <c r="F809" i="22" s="1"/>
  <c r="G811" i="22"/>
  <c r="F811" i="22" s="1"/>
  <c r="H595" i="6"/>
  <c r="H569" i="6" s="1"/>
  <c r="H259" i="6"/>
  <c r="K743" i="6"/>
  <c r="J741" i="6"/>
  <c r="J707" i="6"/>
  <c r="K579" i="6"/>
  <c r="J578" i="6"/>
  <c r="J556" i="6"/>
  <c r="H555" i="6"/>
  <c r="K554" i="6"/>
  <c r="J553" i="6"/>
  <c r="K548" i="6"/>
  <c r="G545" i="22" s="1"/>
  <c r="F545" i="22" s="1"/>
  <c r="J547" i="6"/>
  <c r="J538" i="6"/>
  <c r="K546" i="6"/>
  <c r="G543" i="22" s="1"/>
  <c r="F543" i="22" s="1"/>
  <c r="H506" i="6"/>
  <c r="K533" i="6"/>
  <c r="J532" i="6"/>
  <c r="K520" i="6"/>
  <c r="J518" i="6"/>
  <c r="K479" i="6"/>
  <c r="J478" i="6"/>
  <c r="K488" i="6"/>
  <c r="K286" i="6"/>
  <c r="K263" i="6"/>
  <c r="J248" i="6"/>
  <c r="H110" i="6"/>
  <c r="K234" i="6"/>
  <c r="G231" i="22" s="1"/>
  <c r="F231" i="22" s="1"/>
  <c r="J233" i="6"/>
  <c r="J211" i="6"/>
  <c r="J206" i="6"/>
  <c r="H205" i="6"/>
  <c r="J200" i="6"/>
  <c r="H199" i="6"/>
  <c r="K194" i="6"/>
  <c r="J193" i="6"/>
  <c r="J188" i="6"/>
  <c r="H187" i="6"/>
  <c r="J182" i="6"/>
  <c r="H181" i="6"/>
  <c r="J176" i="6"/>
  <c r="H175" i="6"/>
  <c r="K174" i="6"/>
  <c r="K161" i="6"/>
  <c r="J159" i="6"/>
  <c r="K153" i="6"/>
  <c r="J151" i="6"/>
  <c r="K145" i="6"/>
  <c r="J143" i="6"/>
  <c r="J134" i="6"/>
  <c r="K133" i="6"/>
  <c r="J126" i="6"/>
  <c r="K107" i="6"/>
  <c r="J106" i="6"/>
  <c r="K102" i="6"/>
  <c r="J101" i="6"/>
  <c r="K94" i="6"/>
  <c r="G91" i="22" s="1"/>
  <c r="F91" i="22" s="1"/>
  <c r="J93" i="6"/>
  <c r="K92" i="6"/>
  <c r="J91" i="6"/>
  <c r="H54" i="6"/>
  <c r="K72" i="6"/>
  <c r="J71" i="6"/>
  <c r="K68" i="6"/>
  <c r="J62" i="6"/>
  <c r="K45" i="6"/>
  <c r="J43" i="6"/>
  <c r="K41" i="6"/>
  <c r="J39" i="6"/>
  <c r="K24" i="6"/>
  <c r="J20" i="6"/>
  <c r="K568" i="6"/>
  <c r="J567" i="6"/>
  <c r="K124" i="6"/>
  <c r="J123" i="6"/>
  <c r="J110" i="6" s="1"/>
  <c r="K249" i="6"/>
  <c r="G246" i="22" s="1"/>
  <c r="F246" i="22" s="1"/>
  <c r="K794" i="6"/>
  <c r="G791" i="22" s="1"/>
  <c r="F791" i="22" s="1"/>
  <c r="K596" i="6"/>
  <c r="G593" i="22" s="1"/>
  <c r="F593" i="22" s="1"/>
  <c r="K232" i="6"/>
  <c r="G229" i="22" s="1"/>
  <c r="F229" i="22" s="1"/>
  <c r="K541" i="6"/>
  <c r="K496" i="6"/>
  <c r="K549" i="6"/>
  <c r="G546" i="22" s="1"/>
  <c r="F546" i="22" s="1"/>
  <c r="K63" i="6"/>
  <c r="K238" i="6"/>
  <c r="J236" i="6"/>
  <c r="K52" i="6"/>
  <c r="K57" i="6"/>
  <c r="J55" i="6"/>
  <c r="K31" i="6"/>
  <c r="G28" i="22" s="1"/>
  <c r="F28" i="22" s="1"/>
  <c r="K318" i="6"/>
  <c r="J317" i="6"/>
  <c r="J304" i="6" s="1"/>
  <c r="K550" i="6"/>
  <c r="G547" i="22" s="1"/>
  <c r="F547" i="22" s="1"/>
  <c r="K95" i="6"/>
  <c r="G92" i="22" s="1"/>
  <c r="F92" i="22" s="1"/>
  <c r="K75" i="6"/>
  <c r="K703" i="6"/>
  <c r="J702" i="6"/>
  <c r="K710" i="6"/>
  <c r="K572" i="6"/>
  <c r="K598" i="6"/>
  <c r="J597" i="6"/>
  <c r="K606" i="6"/>
  <c r="J603" i="6"/>
  <c r="K789" i="6"/>
  <c r="J787" i="6"/>
  <c r="K654" i="6"/>
  <c r="J653" i="6"/>
  <c r="K660" i="6"/>
  <c r="J659" i="6"/>
  <c r="K662" i="6"/>
  <c r="J661" i="6"/>
  <c r="K529" i="6"/>
  <c r="K323" i="6"/>
  <c r="K430" i="6"/>
  <c r="J428" i="6"/>
  <c r="K665" i="6"/>
  <c r="J664" i="6"/>
  <c r="K314" i="6"/>
  <c r="G311" i="22" s="1"/>
  <c r="F311" i="22" s="1"/>
  <c r="K379" i="6"/>
  <c r="J377" i="6"/>
  <c r="K558" i="6"/>
  <c r="K113" i="6"/>
  <c r="G110" i="22" s="1"/>
  <c r="F110" i="22" s="1"/>
  <c r="K339" i="6"/>
  <c r="J337" i="6"/>
  <c r="K465" i="6"/>
  <c r="J463" i="6"/>
  <c r="K213" i="6"/>
  <c r="G210" i="22" s="1"/>
  <c r="F210" i="22" s="1"/>
  <c r="K137" i="6"/>
  <c r="J515" i="6"/>
  <c r="J506" i="6" s="1"/>
  <c r="J812" i="6"/>
  <c r="K235" i="6"/>
  <c r="G232" i="22" s="1"/>
  <c r="F232" i="22" s="1"/>
  <c r="J172" i="6" l="1"/>
  <c r="H167" i="6"/>
  <c r="J56" i="11"/>
  <c r="H49" i="11"/>
  <c r="H19" i="11" s="1"/>
  <c r="J491" i="6"/>
  <c r="H485" i="6"/>
  <c r="K64" i="9"/>
  <c r="K59" i="9" s="1"/>
  <c r="L64" i="9"/>
  <c r="L59" i="9" s="1"/>
  <c r="I59" i="9"/>
  <c r="K25" i="9"/>
  <c r="I19" i="9"/>
  <c r="K463" i="6"/>
  <c r="G460" i="22" s="1"/>
  <c r="F460" i="22" s="1"/>
  <c r="G462" i="22"/>
  <c r="F462" i="22" s="1"/>
  <c r="K236" i="6"/>
  <c r="G233" i="22" s="1"/>
  <c r="F233" i="22" s="1"/>
  <c r="G235" i="22"/>
  <c r="F235" i="22" s="1"/>
  <c r="K539" i="6"/>
  <c r="G536" i="22" s="1"/>
  <c r="F536" i="22" s="1"/>
  <c r="G538" i="22"/>
  <c r="F538" i="22" s="1"/>
  <c r="K567" i="6"/>
  <c r="G564" i="22" s="1"/>
  <c r="F564" i="22" s="1"/>
  <c r="G565" i="22"/>
  <c r="F565" i="22" s="1"/>
  <c r="K67" i="6"/>
  <c r="G64" i="22" s="1"/>
  <c r="F64" i="22" s="1"/>
  <c r="G65" i="22"/>
  <c r="F65" i="22" s="1"/>
  <c r="K143" i="6"/>
  <c r="G140" i="22" s="1"/>
  <c r="F140" i="22" s="1"/>
  <c r="G142" i="22"/>
  <c r="F142" i="22" s="1"/>
  <c r="K578" i="6"/>
  <c r="G575" i="22" s="1"/>
  <c r="F575" i="22" s="1"/>
  <c r="G576" i="22"/>
  <c r="F576" i="22" s="1"/>
  <c r="K528" i="6"/>
  <c r="G525" i="22" s="1"/>
  <c r="F525" i="22" s="1"/>
  <c r="G526" i="22"/>
  <c r="F526" i="22" s="1"/>
  <c r="K787" i="6"/>
  <c r="G784" i="22" s="1"/>
  <c r="F784" i="22" s="1"/>
  <c r="G786" i="22"/>
  <c r="F786" i="22" s="1"/>
  <c r="K702" i="6"/>
  <c r="G699" i="22" s="1"/>
  <c r="F699" i="22" s="1"/>
  <c r="G700" i="22"/>
  <c r="F700" i="22" s="1"/>
  <c r="K55" i="6"/>
  <c r="G52" i="22" s="1"/>
  <c r="F52" i="22" s="1"/>
  <c r="G54" i="22"/>
  <c r="F54" i="22" s="1"/>
  <c r="K62" i="6"/>
  <c r="G59" i="22" s="1"/>
  <c r="F59" i="22" s="1"/>
  <c r="G60" i="22"/>
  <c r="F60" i="22" s="1"/>
  <c r="K101" i="6"/>
  <c r="G98" i="22" s="1"/>
  <c r="F98" i="22" s="1"/>
  <c r="G99" i="22"/>
  <c r="F99" i="22" s="1"/>
  <c r="K283" i="6"/>
  <c r="G280" i="22" s="1"/>
  <c r="F280" i="22" s="1"/>
  <c r="G283" i="22"/>
  <c r="F283" i="22" s="1"/>
  <c r="K478" i="6"/>
  <c r="G475" i="22" s="1"/>
  <c r="F475" i="22" s="1"/>
  <c r="G476" i="22"/>
  <c r="F476" i="22" s="1"/>
  <c r="K532" i="6"/>
  <c r="G529" i="22" s="1"/>
  <c r="F529" i="22" s="1"/>
  <c r="G530" i="22"/>
  <c r="F530" i="22" s="1"/>
  <c r="K134" i="6"/>
  <c r="G131" i="22" s="1"/>
  <c r="F131" i="22" s="1"/>
  <c r="G134" i="22"/>
  <c r="F134" i="22" s="1"/>
  <c r="K556" i="6"/>
  <c r="G553" i="22" s="1"/>
  <c r="F553" i="22" s="1"/>
  <c r="G555" i="22"/>
  <c r="F555" i="22" s="1"/>
  <c r="K320" i="6"/>
  <c r="G317" i="22" s="1"/>
  <c r="F317" i="22" s="1"/>
  <c r="G320" i="22"/>
  <c r="F320" i="22" s="1"/>
  <c r="K39" i="6"/>
  <c r="G36" i="22" s="1"/>
  <c r="F36" i="22" s="1"/>
  <c r="G38" i="22"/>
  <c r="F38" i="22" s="1"/>
  <c r="K159" i="6"/>
  <c r="G156" i="22" s="1"/>
  <c r="F156" i="22" s="1"/>
  <c r="G158" i="22"/>
  <c r="F158" i="22" s="1"/>
  <c r="K260" i="6"/>
  <c r="G257" i="22" s="1"/>
  <c r="F257" i="22" s="1"/>
  <c r="G260" i="22"/>
  <c r="F260" i="22" s="1"/>
  <c r="K553" i="6"/>
  <c r="G550" i="22" s="1"/>
  <c r="F550" i="22" s="1"/>
  <c r="G551" i="22"/>
  <c r="F551" i="22" s="1"/>
  <c r="K664" i="6"/>
  <c r="G661" i="22" s="1"/>
  <c r="F661" i="22" s="1"/>
  <c r="G662" i="22"/>
  <c r="F662" i="22" s="1"/>
  <c r="K659" i="6"/>
  <c r="G656" i="22" s="1"/>
  <c r="F656" i="22" s="1"/>
  <c r="G657" i="22"/>
  <c r="F657" i="22" s="1"/>
  <c r="K597" i="6"/>
  <c r="G594" i="22" s="1"/>
  <c r="F594" i="22" s="1"/>
  <c r="G595" i="22"/>
  <c r="F595" i="22" s="1"/>
  <c r="K91" i="6"/>
  <c r="G88" i="22" s="1"/>
  <c r="F88" i="22" s="1"/>
  <c r="G89" i="22"/>
  <c r="F89" i="22" s="1"/>
  <c r="K126" i="6"/>
  <c r="G123" i="22" s="1"/>
  <c r="F123" i="22" s="1"/>
  <c r="G130" i="22"/>
  <c r="F130" i="22" s="1"/>
  <c r="K337" i="6"/>
  <c r="G334" i="22" s="1"/>
  <c r="F334" i="22" s="1"/>
  <c r="G336" i="22"/>
  <c r="F336" i="22" s="1"/>
  <c r="K377" i="6"/>
  <c r="G374" i="22" s="1"/>
  <c r="F374" i="22" s="1"/>
  <c r="G376" i="22"/>
  <c r="F376" i="22" s="1"/>
  <c r="K570" i="6"/>
  <c r="G567" i="22" s="1"/>
  <c r="F567" i="22" s="1"/>
  <c r="G569" i="22"/>
  <c r="F569" i="22" s="1"/>
  <c r="K74" i="6"/>
  <c r="G71" i="22" s="1"/>
  <c r="F71" i="22" s="1"/>
  <c r="G72" i="22"/>
  <c r="F72" i="22" s="1"/>
  <c r="K317" i="6"/>
  <c r="G314" i="22" s="1"/>
  <c r="F314" i="22" s="1"/>
  <c r="G315" i="22"/>
  <c r="F315" i="22" s="1"/>
  <c r="K51" i="6"/>
  <c r="G48" i="22" s="1"/>
  <c r="F48" i="22" s="1"/>
  <c r="G49" i="22"/>
  <c r="F49" i="22" s="1"/>
  <c r="K123" i="6"/>
  <c r="G120" i="22" s="1"/>
  <c r="F120" i="22" s="1"/>
  <c r="G121" i="22"/>
  <c r="F121" i="22" s="1"/>
  <c r="K20" i="6"/>
  <c r="G17" i="22" s="1"/>
  <c r="F17" i="22" s="1"/>
  <c r="G21" i="22"/>
  <c r="F21" i="22" s="1"/>
  <c r="K43" i="6"/>
  <c r="G40" i="22" s="1"/>
  <c r="F40" i="22" s="1"/>
  <c r="G42" i="22"/>
  <c r="F42" i="22" s="1"/>
  <c r="K71" i="6"/>
  <c r="G68" i="22" s="1"/>
  <c r="F68" i="22" s="1"/>
  <c r="G69" i="22"/>
  <c r="F69" i="22" s="1"/>
  <c r="K151" i="6"/>
  <c r="G148" i="22" s="1"/>
  <c r="F148" i="22" s="1"/>
  <c r="G150" i="22"/>
  <c r="F150" i="22" s="1"/>
  <c r="G171" i="22"/>
  <c r="F171" i="22" s="1"/>
  <c r="K193" i="6"/>
  <c r="G190" i="22" s="1"/>
  <c r="F190" i="22" s="1"/>
  <c r="G191" i="22"/>
  <c r="F191" i="22" s="1"/>
  <c r="K428" i="6"/>
  <c r="G425" i="22" s="1"/>
  <c r="F425" i="22" s="1"/>
  <c r="G427" i="22"/>
  <c r="F427" i="22" s="1"/>
  <c r="K661" i="6"/>
  <c r="G658" i="22" s="1"/>
  <c r="F658" i="22" s="1"/>
  <c r="G659" i="22"/>
  <c r="F659" i="22" s="1"/>
  <c r="K653" i="6"/>
  <c r="G650" i="22" s="1"/>
  <c r="F650" i="22" s="1"/>
  <c r="G651" i="22"/>
  <c r="F651" i="22" s="1"/>
  <c r="K603" i="6"/>
  <c r="G600" i="22" s="1"/>
  <c r="F600" i="22" s="1"/>
  <c r="G603" i="22"/>
  <c r="F603" i="22" s="1"/>
  <c r="K707" i="6"/>
  <c r="G704" i="22" s="1"/>
  <c r="F704" i="22" s="1"/>
  <c r="G707" i="22"/>
  <c r="F707" i="22" s="1"/>
  <c r="K494" i="6"/>
  <c r="G491" i="22" s="1"/>
  <c r="F491" i="22" s="1"/>
  <c r="G493" i="22"/>
  <c r="F493" i="22" s="1"/>
  <c r="K106" i="6"/>
  <c r="G103" i="22" s="1"/>
  <c r="F103" i="22" s="1"/>
  <c r="G104" i="22"/>
  <c r="F104" i="22" s="1"/>
  <c r="G485" i="22"/>
  <c r="F485" i="22" s="1"/>
  <c r="K518" i="6"/>
  <c r="G515" i="22" s="1"/>
  <c r="F515" i="22" s="1"/>
  <c r="G517" i="22"/>
  <c r="F517" i="22" s="1"/>
  <c r="K741" i="6"/>
  <c r="G738" i="22" s="1"/>
  <c r="F738" i="22" s="1"/>
  <c r="G740" i="22"/>
  <c r="F740" i="22" s="1"/>
  <c r="H484" i="6"/>
  <c r="H125" i="6"/>
  <c r="J259" i="6"/>
  <c r="J595" i="6"/>
  <c r="J569" i="6" s="1"/>
  <c r="J555" i="6"/>
  <c r="K547" i="6"/>
  <c r="G544" i="22" s="1"/>
  <c r="F544" i="22" s="1"/>
  <c r="H19" i="6"/>
  <c r="K538" i="6"/>
  <c r="G535" i="22" s="1"/>
  <c r="F535" i="22" s="1"/>
  <c r="K793" i="6"/>
  <c r="G790" i="22" s="1"/>
  <c r="F790" i="22" s="1"/>
  <c r="K304" i="6"/>
  <c r="K248" i="6"/>
  <c r="G245" i="22" s="1"/>
  <c r="F245" i="22" s="1"/>
  <c r="K233" i="6"/>
  <c r="G230" i="22" s="1"/>
  <c r="F230" i="22" s="1"/>
  <c r="K211" i="6"/>
  <c r="G208" i="22" s="1"/>
  <c r="F208" i="22" s="1"/>
  <c r="K206" i="6"/>
  <c r="J205" i="6"/>
  <c r="K200" i="6"/>
  <c r="J199" i="6"/>
  <c r="K188" i="6"/>
  <c r="J187" i="6"/>
  <c r="K182" i="6"/>
  <c r="J181" i="6"/>
  <c r="K176" i="6"/>
  <c r="J175" i="6"/>
  <c r="K93" i="6"/>
  <c r="G90" i="22" s="1"/>
  <c r="F90" i="22" s="1"/>
  <c r="J54" i="6"/>
  <c r="J19" i="6" s="1"/>
  <c r="K30" i="6"/>
  <c r="G27" i="22" s="1"/>
  <c r="F27" i="22" s="1"/>
  <c r="K111" i="6"/>
  <c r="K515" i="6"/>
  <c r="G512" i="22" s="1"/>
  <c r="F512" i="22" s="1"/>
  <c r="L25" i="9" l="1"/>
  <c r="L19" i="9" s="1"/>
  <c r="K19" i="9"/>
  <c r="K491" i="6"/>
  <c r="J485" i="6"/>
  <c r="K56" i="11"/>
  <c r="K49" i="11" s="1"/>
  <c r="K19" i="11" s="1"/>
  <c r="J49" i="11"/>
  <c r="J19" i="11" s="1"/>
  <c r="K595" i="6"/>
  <c r="K172" i="6"/>
  <c r="J167" i="6"/>
  <c r="J125" i="6" s="1"/>
  <c r="J484" i="6"/>
  <c r="K555" i="6"/>
  <c r="G552" i="22" s="1"/>
  <c r="F552" i="22" s="1"/>
  <c r="K54" i="6"/>
  <c r="G51" i="22" s="1"/>
  <c r="F51" i="22" s="1"/>
  <c r="K187" i="6"/>
  <c r="G184" i="22" s="1"/>
  <c r="F184" i="22" s="1"/>
  <c r="G185" i="22"/>
  <c r="F185" i="22" s="1"/>
  <c r="K110" i="6"/>
  <c r="G107" i="22" s="1"/>
  <c r="F107" i="22" s="1"/>
  <c r="G108" i="22"/>
  <c r="F108" i="22" s="1"/>
  <c r="K181" i="6"/>
  <c r="G178" i="22" s="1"/>
  <c r="F178" i="22" s="1"/>
  <c r="G179" i="22"/>
  <c r="F179" i="22" s="1"/>
  <c r="K199" i="6"/>
  <c r="G196" i="22" s="1"/>
  <c r="F196" i="22" s="1"/>
  <c r="G197" i="22"/>
  <c r="F197" i="22" s="1"/>
  <c r="K569" i="6"/>
  <c r="G566" i="22" s="1"/>
  <c r="F566" i="22" s="1"/>
  <c r="G592" i="22"/>
  <c r="F592" i="22" s="1"/>
  <c r="K175" i="6"/>
  <c r="G172" i="22" s="1"/>
  <c r="F172" i="22" s="1"/>
  <c r="G173" i="22"/>
  <c r="F173" i="22" s="1"/>
  <c r="K205" i="6"/>
  <c r="G202" i="22" s="1"/>
  <c r="F202" i="22" s="1"/>
  <c r="G203" i="22"/>
  <c r="F203" i="22" s="1"/>
  <c r="K259" i="6"/>
  <c r="G256" i="22" s="1"/>
  <c r="F256" i="22" s="1"/>
  <c r="G301" i="22"/>
  <c r="F301" i="22" s="1"/>
  <c r="K506" i="6"/>
  <c r="G31" i="4"/>
  <c r="G169" i="22" l="1"/>
  <c r="F169" i="22" s="1"/>
  <c r="K167" i="6"/>
  <c r="G164" i="22" s="1"/>
  <c r="F164" i="22" s="1"/>
  <c r="G488" i="22"/>
  <c r="F488" i="22" s="1"/>
  <c r="K485" i="6"/>
  <c r="G482" i="22" s="1"/>
  <c r="F482" i="22" s="1"/>
  <c r="K19" i="6"/>
  <c r="G16" i="22" s="1"/>
  <c r="F16" i="22" s="1"/>
  <c r="K484" i="6"/>
  <c r="G481" i="22" s="1"/>
  <c r="F481" i="22" s="1"/>
  <c r="G503" i="22"/>
  <c r="F503" i="22" s="1"/>
  <c r="K125" i="6"/>
  <c r="G122" i="22" s="1"/>
  <c r="F122" i="22" s="1"/>
  <c r="G120" i="4"/>
  <c r="G119" i="4"/>
  <c r="O119" i="4" s="1"/>
  <c r="P119" i="4" s="1"/>
  <c r="Q119" i="4" s="1"/>
  <c r="R119" i="4" s="1"/>
  <c r="G117" i="4"/>
  <c r="G114" i="4"/>
  <c r="O114" i="4" s="1"/>
  <c r="O115" i="4" s="1"/>
  <c r="G28" i="4"/>
  <c r="O28" i="4" s="1"/>
  <c r="O118" i="4"/>
  <c r="M93" i="4"/>
  <c r="L93" i="4"/>
  <c r="M111" i="4"/>
  <c r="L111" i="4"/>
  <c r="O110" i="4"/>
  <c r="P109" i="4"/>
  <c r="Q109" i="4" s="1"/>
  <c r="R109" i="4" s="1"/>
  <c r="O98" i="4"/>
  <c r="O97" i="4"/>
  <c r="O31" i="4"/>
  <c r="N29" i="4"/>
  <c r="N30" i="4"/>
  <c r="N31" i="4"/>
  <c r="N36" i="4"/>
  <c r="N37" i="4"/>
  <c r="N38" i="4"/>
  <c r="N39" i="4"/>
  <c r="N40" i="4"/>
  <c r="N41" i="4"/>
  <c r="N42" i="4"/>
  <c r="N43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2" i="4"/>
  <c r="N63" i="4"/>
  <c r="N64" i="4"/>
  <c r="N65" i="4"/>
  <c r="N68" i="4"/>
  <c r="N69" i="4"/>
  <c r="N71" i="4"/>
  <c r="N72" i="4"/>
  <c r="N74" i="4"/>
  <c r="N75" i="4"/>
  <c r="N78" i="4"/>
  <c r="N79" i="4" s="1"/>
  <c r="N82" i="4"/>
  <c r="N84" i="4"/>
  <c r="N85" i="4"/>
  <c r="N88" i="4"/>
  <c r="N147" i="4"/>
  <c r="N148" i="4"/>
  <c r="N149" i="4"/>
  <c r="N150" i="4"/>
  <c r="N151" i="4"/>
  <c r="N28" i="4"/>
  <c r="L29" i="4"/>
  <c r="M29" i="4"/>
  <c r="L30" i="4"/>
  <c r="M30" i="4"/>
  <c r="L31" i="4"/>
  <c r="M31" i="4"/>
  <c r="L35" i="4"/>
  <c r="M35" i="4"/>
  <c r="L36" i="4"/>
  <c r="M36" i="4"/>
  <c r="L37" i="4"/>
  <c r="M37" i="4"/>
  <c r="L38" i="4"/>
  <c r="M38" i="4"/>
  <c r="P38" i="4" s="1"/>
  <c r="Q38" i="4" s="1"/>
  <c r="R38" i="4" s="1"/>
  <c r="L39" i="4"/>
  <c r="M39" i="4"/>
  <c r="L40" i="4"/>
  <c r="M40" i="4"/>
  <c r="L41" i="4"/>
  <c r="M41" i="4"/>
  <c r="L42" i="4"/>
  <c r="M42" i="4"/>
  <c r="P42" i="4" s="1"/>
  <c r="Q42" i="4" s="1"/>
  <c r="R42" i="4" s="1"/>
  <c r="L43" i="4"/>
  <c r="M43" i="4"/>
  <c r="L45" i="4"/>
  <c r="M45" i="4"/>
  <c r="L46" i="4"/>
  <c r="M46" i="4"/>
  <c r="L47" i="4"/>
  <c r="M47" i="4"/>
  <c r="L48" i="4"/>
  <c r="M48" i="4"/>
  <c r="L49" i="4"/>
  <c r="M49" i="4"/>
  <c r="L50" i="4"/>
  <c r="M50" i="4"/>
  <c r="L51" i="4"/>
  <c r="M51" i="4"/>
  <c r="L52" i="4"/>
  <c r="M52" i="4"/>
  <c r="L53" i="4"/>
  <c r="M53" i="4"/>
  <c r="L54" i="4"/>
  <c r="M54" i="4"/>
  <c r="L55" i="4"/>
  <c r="M55" i="4"/>
  <c r="L56" i="4"/>
  <c r="M56" i="4"/>
  <c r="L57" i="4"/>
  <c r="M57" i="4"/>
  <c r="L58" i="4"/>
  <c r="M58" i="4"/>
  <c r="L59" i="4"/>
  <c r="M59" i="4"/>
  <c r="L60" i="4"/>
  <c r="M60" i="4"/>
  <c r="L62" i="4"/>
  <c r="M62" i="4"/>
  <c r="L63" i="4"/>
  <c r="M63" i="4"/>
  <c r="L64" i="4"/>
  <c r="M64" i="4"/>
  <c r="L65" i="4"/>
  <c r="M65" i="4"/>
  <c r="L68" i="4"/>
  <c r="M68" i="4"/>
  <c r="L71" i="4"/>
  <c r="M71" i="4"/>
  <c r="L72" i="4"/>
  <c r="M72" i="4"/>
  <c r="L74" i="4"/>
  <c r="M74" i="4"/>
  <c r="L75" i="4"/>
  <c r="M75" i="4"/>
  <c r="L78" i="4"/>
  <c r="L79" i="4" s="1"/>
  <c r="M78" i="4"/>
  <c r="L82" i="4"/>
  <c r="M82" i="4"/>
  <c r="L83" i="4"/>
  <c r="M83" i="4"/>
  <c r="L84" i="4"/>
  <c r="M84" i="4"/>
  <c r="L85" i="4"/>
  <c r="M85" i="4"/>
  <c r="L88" i="4"/>
  <c r="L89" i="4" s="1"/>
  <c r="M88" i="4"/>
  <c r="P98" i="4"/>
  <c r="Q98" i="4" s="1"/>
  <c r="R98" i="4" s="1"/>
  <c r="P110" i="4"/>
  <c r="Q110" i="4" s="1"/>
  <c r="R110" i="4" s="1"/>
  <c r="P134" i="4"/>
  <c r="Q134" i="4" s="1"/>
  <c r="R134" i="4" s="1"/>
  <c r="P135" i="4"/>
  <c r="Q135" i="4" s="1"/>
  <c r="R135" i="4" s="1"/>
  <c r="P138" i="4"/>
  <c r="Q138" i="4" s="1"/>
  <c r="R138" i="4" s="1"/>
  <c r="P139" i="4"/>
  <c r="Q139" i="4" s="1"/>
  <c r="R139" i="4" s="1"/>
  <c r="P141" i="4"/>
  <c r="Q141" i="4" s="1"/>
  <c r="R141" i="4" s="1"/>
  <c r="L149" i="4"/>
  <c r="M149" i="4"/>
  <c r="L150" i="4"/>
  <c r="M150" i="4"/>
  <c r="P50" i="4"/>
  <c r="Q50" i="4" s="1"/>
  <c r="R50" i="4" s="1"/>
  <c r="P130" i="4"/>
  <c r="Q130" i="4" s="1"/>
  <c r="R130" i="4" s="1"/>
  <c r="P136" i="4"/>
  <c r="Q136" i="4" s="1"/>
  <c r="R136" i="4" s="1"/>
  <c r="P140" i="4"/>
  <c r="Q140" i="4" s="1"/>
  <c r="R140" i="4" s="1"/>
  <c r="P151" i="4"/>
  <c r="M28" i="4"/>
  <c r="L28" i="4"/>
  <c r="P97" i="4" l="1"/>
  <c r="Q97" i="4" s="1"/>
  <c r="R97" i="4" s="1"/>
  <c r="F733" i="17"/>
  <c r="H733" i="17" s="1"/>
  <c r="J733" i="17" s="1"/>
  <c r="K733" i="17" s="1"/>
  <c r="F733" i="11"/>
  <c r="H733" i="11" s="1"/>
  <c r="J733" i="11" s="1"/>
  <c r="K733" i="11" s="1"/>
  <c r="G739" i="9"/>
  <c r="I739" i="9" s="1"/>
  <c r="K739" i="9" s="1"/>
  <c r="L739" i="9" s="1"/>
  <c r="F797" i="6"/>
  <c r="H797" i="6" s="1"/>
  <c r="J797" i="6" s="1"/>
  <c r="K797" i="6" s="1"/>
  <c r="G794" i="22" s="1"/>
  <c r="F794" i="22" s="1"/>
  <c r="G140" i="4"/>
  <c r="O117" i="4"/>
  <c r="G122" i="4"/>
  <c r="F734" i="17"/>
  <c r="H734" i="17" s="1"/>
  <c r="J734" i="17" s="1"/>
  <c r="K734" i="17" s="1"/>
  <c r="F734" i="11"/>
  <c r="H734" i="11" s="1"/>
  <c r="J734" i="11" s="1"/>
  <c r="K734" i="11" s="1"/>
  <c r="F798" i="6"/>
  <c r="H798" i="6" s="1"/>
  <c r="J798" i="6" s="1"/>
  <c r="K798" i="6" s="1"/>
  <c r="G795" i="22" s="1"/>
  <c r="F795" i="22" s="1"/>
  <c r="G740" i="9"/>
  <c r="I740" i="9" s="1"/>
  <c r="K740" i="9" s="1"/>
  <c r="L740" i="9" s="1"/>
  <c r="F13" i="6"/>
  <c r="F13" i="17"/>
  <c r="F13" i="11"/>
  <c r="G13" i="9"/>
  <c r="O120" i="4"/>
  <c r="P78" i="4"/>
  <c r="Q78" i="4" s="1"/>
  <c r="R78" i="4" s="1"/>
  <c r="O108" i="4"/>
  <c r="P108" i="4" s="1"/>
  <c r="Q108" i="4" s="1"/>
  <c r="R108" i="4" s="1"/>
  <c r="P69" i="4"/>
  <c r="Q69" i="4" s="1"/>
  <c r="R69" i="4" s="1"/>
  <c r="P63" i="4"/>
  <c r="Q63" i="4" s="1"/>
  <c r="R63" i="4" s="1"/>
  <c r="P37" i="4"/>
  <c r="Q37" i="4" s="1"/>
  <c r="R37" i="4" s="1"/>
  <c r="L34" i="4"/>
  <c r="P30" i="4"/>
  <c r="N73" i="4"/>
  <c r="M70" i="4"/>
  <c r="P29" i="4"/>
  <c r="Q29" i="4" s="1"/>
  <c r="R29" i="4" s="1"/>
  <c r="F18" i="6"/>
  <c r="H18" i="6" s="1"/>
  <c r="J18" i="6" s="1"/>
  <c r="K18" i="6" s="1"/>
  <c r="G15" i="22" s="1"/>
  <c r="F15" i="22" s="1"/>
  <c r="F18" i="17"/>
  <c r="H18" i="17" s="1"/>
  <c r="F18" i="11"/>
  <c r="H18" i="11" s="1"/>
  <c r="J18" i="11" s="1"/>
  <c r="K18" i="11" s="1"/>
  <c r="G18" i="9"/>
  <c r="I18" i="9" s="1"/>
  <c r="K18" i="9" s="1"/>
  <c r="L18" i="9" s="1"/>
  <c r="Q30" i="4"/>
  <c r="R30" i="4" s="1"/>
  <c r="P62" i="4"/>
  <c r="Q62" i="4" s="1"/>
  <c r="R62" i="4" s="1"/>
  <c r="F17" i="6"/>
  <c r="F16" i="6" s="1"/>
  <c r="F17" i="17"/>
  <c r="F17" i="11"/>
  <c r="G17" i="9"/>
  <c r="P85" i="4"/>
  <c r="Q85" i="4" s="1"/>
  <c r="R85" i="4" s="1"/>
  <c r="L73" i="4"/>
  <c r="L70" i="4"/>
  <c r="L76" i="4" s="1"/>
  <c r="P57" i="4"/>
  <c r="Q57" i="4" s="1"/>
  <c r="R57" i="4" s="1"/>
  <c r="P53" i="4"/>
  <c r="Q53" i="4" s="1"/>
  <c r="R53" i="4" s="1"/>
  <c r="L32" i="4"/>
  <c r="P41" i="4"/>
  <c r="Q41" i="4" s="1"/>
  <c r="R41" i="4" s="1"/>
  <c r="L61" i="4"/>
  <c r="N61" i="4"/>
  <c r="L44" i="4"/>
  <c r="P58" i="4"/>
  <c r="Q58" i="4" s="1"/>
  <c r="R58" i="4" s="1"/>
  <c r="P54" i="4"/>
  <c r="Q54" i="4" s="1"/>
  <c r="R54" i="4" s="1"/>
  <c r="P46" i="4"/>
  <c r="Q46" i="4" s="1"/>
  <c r="R46" i="4" s="1"/>
  <c r="P51" i="4"/>
  <c r="Q51" i="4" s="1"/>
  <c r="R51" i="4" s="1"/>
  <c r="P49" i="4"/>
  <c r="Q49" i="4" s="1"/>
  <c r="R49" i="4" s="1"/>
  <c r="P47" i="4"/>
  <c r="Q47" i="4" s="1"/>
  <c r="R47" i="4" s="1"/>
  <c r="M44" i="4"/>
  <c r="N44" i="4"/>
  <c r="M34" i="4"/>
  <c r="L81" i="4"/>
  <c r="L86" i="4" s="1"/>
  <c r="N81" i="4"/>
  <c r="N86" i="4" s="1"/>
  <c r="P74" i="4"/>
  <c r="Q74" i="4" s="1"/>
  <c r="R74" i="4" s="1"/>
  <c r="N70" i="4"/>
  <c r="N76" i="4" s="1"/>
  <c r="M79" i="4"/>
  <c r="F14" i="6"/>
  <c r="H13" i="6"/>
  <c r="P45" i="4"/>
  <c r="Q45" i="4" s="1"/>
  <c r="R45" i="4" s="1"/>
  <c r="P82" i="4"/>
  <c r="Q82" i="4" s="1"/>
  <c r="R82" i="4" s="1"/>
  <c r="P65" i="4"/>
  <c r="Q65" i="4" s="1"/>
  <c r="R65" i="4" s="1"/>
  <c r="M61" i="4"/>
  <c r="G137" i="4"/>
  <c r="M73" i="4"/>
  <c r="P118" i="4"/>
  <c r="Q118" i="4" s="1"/>
  <c r="R118" i="4" s="1"/>
  <c r="M81" i="4"/>
  <c r="M86" i="4" s="1"/>
  <c r="N34" i="4"/>
  <c r="H803" i="6"/>
  <c r="P31" i="4"/>
  <c r="Q31" i="4" s="1"/>
  <c r="R31" i="4" s="1"/>
  <c r="O32" i="4"/>
  <c r="O90" i="4" s="1"/>
  <c r="O94" i="4" s="1"/>
  <c r="P117" i="4"/>
  <c r="Q117" i="4" s="1"/>
  <c r="R117" i="4" s="1"/>
  <c r="P114" i="4"/>
  <c r="Q114" i="4" s="1"/>
  <c r="R114" i="4" s="1"/>
  <c r="P35" i="4"/>
  <c r="Q35" i="4" s="1"/>
  <c r="R35" i="4" s="1"/>
  <c r="P150" i="4"/>
  <c r="P137" i="4"/>
  <c r="Q137" i="4" s="1"/>
  <c r="R137" i="4" s="1"/>
  <c r="P120" i="4"/>
  <c r="Q120" i="4" s="1"/>
  <c r="R120" i="4" s="1"/>
  <c r="P88" i="4"/>
  <c r="Q88" i="4" s="1"/>
  <c r="R88" i="4" s="1"/>
  <c r="P84" i="4"/>
  <c r="Q84" i="4" s="1"/>
  <c r="R84" i="4" s="1"/>
  <c r="P149" i="4"/>
  <c r="P128" i="4"/>
  <c r="Q128" i="4" s="1"/>
  <c r="R128" i="4" s="1"/>
  <c r="P115" i="4"/>
  <c r="Q115" i="4" s="1"/>
  <c r="R115" i="4" s="1"/>
  <c r="P83" i="4"/>
  <c r="Q83" i="4" s="1"/>
  <c r="R83" i="4" s="1"/>
  <c r="P75" i="4"/>
  <c r="Q75" i="4" s="1"/>
  <c r="R75" i="4" s="1"/>
  <c r="P71" i="4"/>
  <c r="Q71" i="4" s="1"/>
  <c r="R71" i="4" s="1"/>
  <c r="P59" i="4"/>
  <c r="Q59" i="4" s="1"/>
  <c r="R59" i="4" s="1"/>
  <c r="P55" i="4"/>
  <c r="Q55" i="4" s="1"/>
  <c r="R55" i="4" s="1"/>
  <c r="P43" i="4"/>
  <c r="Q43" i="4" s="1"/>
  <c r="R43" i="4" s="1"/>
  <c r="P39" i="4"/>
  <c r="Q39" i="4" s="1"/>
  <c r="R39" i="4" s="1"/>
  <c r="P72" i="4"/>
  <c r="Q72" i="4" s="1"/>
  <c r="R72" i="4" s="1"/>
  <c r="P68" i="4"/>
  <c r="Q68" i="4" s="1"/>
  <c r="R68" i="4" s="1"/>
  <c r="P64" i="4"/>
  <c r="Q64" i="4" s="1"/>
  <c r="R64" i="4" s="1"/>
  <c r="P60" i="4"/>
  <c r="Q60" i="4" s="1"/>
  <c r="R60" i="4" s="1"/>
  <c r="P56" i="4"/>
  <c r="Q56" i="4" s="1"/>
  <c r="R56" i="4" s="1"/>
  <c r="P52" i="4"/>
  <c r="Q52" i="4" s="1"/>
  <c r="R52" i="4" s="1"/>
  <c r="P48" i="4"/>
  <c r="Q48" i="4" s="1"/>
  <c r="R48" i="4" s="1"/>
  <c r="P40" i="4"/>
  <c r="Q40" i="4" s="1"/>
  <c r="R40" i="4" s="1"/>
  <c r="P36" i="4"/>
  <c r="Q36" i="4" s="1"/>
  <c r="R36" i="4" s="1"/>
  <c r="P28" i="4"/>
  <c r="Q28" i="4" s="1"/>
  <c r="R28" i="4" s="1"/>
  <c r="O122" i="4" l="1"/>
  <c r="P122" i="4" s="1"/>
  <c r="Q122" i="4" s="1"/>
  <c r="R122" i="4" s="1"/>
  <c r="P32" i="4"/>
  <c r="Q32" i="4" s="1"/>
  <c r="R32" i="4" s="1"/>
  <c r="G14" i="9"/>
  <c r="I14" i="9" s="1"/>
  <c r="K14" i="9" s="1"/>
  <c r="L14" i="9" s="1"/>
  <c r="G12" i="9"/>
  <c r="I13" i="9"/>
  <c r="F14" i="11"/>
  <c r="H13" i="11"/>
  <c r="F14" i="17"/>
  <c r="H14" i="17" s="1"/>
  <c r="J14" i="17" s="1"/>
  <c r="K14" i="17" s="1"/>
  <c r="H13" i="17"/>
  <c r="M76" i="4"/>
  <c r="I17" i="9"/>
  <c r="G16" i="9"/>
  <c r="J18" i="17"/>
  <c r="K18" i="17" s="1"/>
  <c r="M66" i="4"/>
  <c r="M90" i="4" s="1"/>
  <c r="M94" i="4" s="1"/>
  <c r="M112" i="4" s="1"/>
  <c r="M123" i="4" s="1"/>
  <c r="H17" i="6"/>
  <c r="H16" i="6" s="1"/>
  <c r="H17" i="11"/>
  <c r="F16" i="11"/>
  <c r="H17" i="17"/>
  <c r="F16" i="17"/>
  <c r="L66" i="4"/>
  <c r="N66" i="4"/>
  <c r="N90" i="4" s="1"/>
  <c r="N94" i="4" s="1"/>
  <c r="N112" i="4" s="1"/>
  <c r="N123" i="4" s="1"/>
  <c r="N125" i="4" s="1"/>
  <c r="N126" i="4" s="1"/>
  <c r="N127" i="4" s="1"/>
  <c r="N143" i="4" s="1"/>
  <c r="N144" i="4" s="1"/>
  <c r="N145" i="4" s="1"/>
  <c r="L90" i="4"/>
  <c r="L94" i="4" s="1"/>
  <c r="L112" i="4" s="1"/>
  <c r="F12" i="6"/>
  <c r="H14" i="6"/>
  <c r="H12" i="6" s="1"/>
  <c r="J13" i="6"/>
  <c r="K13" i="6" s="1"/>
  <c r="G10" i="22" s="1"/>
  <c r="F10" i="22" s="1"/>
  <c r="J803" i="6"/>
  <c r="F12" i="17" l="1"/>
  <c r="J13" i="11"/>
  <c r="F12" i="11"/>
  <c r="H14" i="11"/>
  <c r="J14" i="11" s="1"/>
  <c r="K14" i="11" s="1"/>
  <c r="H12" i="17"/>
  <c r="J13" i="17"/>
  <c r="J12" i="17" s="1"/>
  <c r="K13" i="17"/>
  <c r="K12" i="17" s="1"/>
  <c r="K13" i="9"/>
  <c r="K12" i="9" s="1"/>
  <c r="I12" i="9"/>
  <c r="L13" i="9"/>
  <c r="L12" i="9" s="1"/>
  <c r="J17" i="6"/>
  <c r="J16" i="6" s="1"/>
  <c r="I16" i="9"/>
  <c r="K17" i="9"/>
  <c r="K16" i="9" s="1"/>
  <c r="J17" i="17"/>
  <c r="K17" i="17" s="1"/>
  <c r="K16" i="17" s="1"/>
  <c r="H16" i="17"/>
  <c r="J17" i="11"/>
  <c r="H16" i="11"/>
  <c r="L123" i="4"/>
  <c r="J14" i="6"/>
  <c r="J12" i="6" s="1"/>
  <c r="K803" i="6"/>
  <c r="G800" i="22" s="1"/>
  <c r="F800" i="22" s="1"/>
  <c r="J149" i="4"/>
  <c r="J146" i="4"/>
  <c r="I143" i="4"/>
  <c r="I145" i="4" s="1"/>
  <c r="K139" i="4"/>
  <c r="G139" i="4"/>
  <c r="H139" i="4" s="1"/>
  <c r="J139" i="4" s="1"/>
  <c r="G135" i="4"/>
  <c r="J130" i="4"/>
  <c r="J128" i="4"/>
  <c r="J124" i="4"/>
  <c r="H120" i="4"/>
  <c r="J120" i="4" s="1"/>
  <c r="H118" i="4"/>
  <c r="J118" i="4" s="1"/>
  <c r="H117" i="4"/>
  <c r="J117" i="4" s="1"/>
  <c r="J116" i="4"/>
  <c r="H114" i="4"/>
  <c r="J114" i="4" s="1"/>
  <c r="G115" i="4"/>
  <c r="H115" i="4" s="1"/>
  <c r="J115" i="4" s="1"/>
  <c r="J113" i="4"/>
  <c r="H110" i="4"/>
  <c r="H109" i="4"/>
  <c r="G108" i="4"/>
  <c r="G136" i="4" s="1"/>
  <c r="G107" i="4"/>
  <c r="G106" i="4"/>
  <c r="G105" i="4"/>
  <c r="G104" i="4"/>
  <c r="G103" i="4"/>
  <c r="G102" i="4"/>
  <c r="G101" i="4"/>
  <c r="G100" i="4"/>
  <c r="H98" i="4"/>
  <c r="J98" i="4" s="1"/>
  <c r="H97" i="4"/>
  <c r="J97" i="4" s="1"/>
  <c r="J95" i="4"/>
  <c r="J91" i="4"/>
  <c r="D89" i="4"/>
  <c r="H88" i="4"/>
  <c r="J88" i="4" s="1"/>
  <c r="J87" i="4"/>
  <c r="H85" i="4"/>
  <c r="J85" i="4" s="1"/>
  <c r="H84" i="4"/>
  <c r="H83" i="4"/>
  <c r="H82" i="4"/>
  <c r="F81" i="4"/>
  <c r="F86" i="4" s="1"/>
  <c r="E81" i="4"/>
  <c r="D81" i="4"/>
  <c r="J80" i="4"/>
  <c r="F79" i="4"/>
  <c r="E79" i="4"/>
  <c r="D79" i="4"/>
  <c r="H78" i="4"/>
  <c r="J78" i="4" s="1"/>
  <c r="J77" i="4"/>
  <c r="H75" i="4"/>
  <c r="H74" i="4"/>
  <c r="F73" i="4"/>
  <c r="E73" i="4"/>
  <c r="D73" i="4"/>
  <c r="H72" i="4"/>
  <c r="H71" i="4"/>
  <c r="F70" i="4"/>
  <c r="E70" i="4"/>
  <c r="D70" i="4"/>
  <c r="H69" i="4"/>
  <c r="J69" i="4" s="1"/>
  <c r="H68" i="4"/>
  <c r="J68" i="4" s="1"/>
  <c r="J67" i="4"/>
  <c r="H65" i="4"/>
  <c r="H64" i="4"/>
  <c r="H63" i="4"/>
  <c r="H62" i="4"/>
  <c r="F61" i="4"/>
  <c r="E61" i="4"/>
  <c r="D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F44" i="4"/>
  <c r="E44" i="4"/>
  <c r="D44" i="4"/>
  <c r="H43" i="4"/>
  <c r="H42" i="4"/>
  <c r="H41" i="4"/>
  <c r="H40" i="4"/>
  <c r="H39" i="4"/>
  <c r="H38" i="4"/>
  <c r="H37" i="4"/>
  <c r="H36" i="4"/>
  <c r="H35" i="4"/>
  <c r="F34" i="4"/>
  <c r="E34" i="4"/>
  <c r="D34" i="4"/>
  <c r="J33" i="4"/>
  <c r="G32" i="4"/>
  <c r="G90" i="4" s="1"/>
  <c r="G94" i="4" s="1"/>
  <c r="D32" i="4"/>
  <c r="H31" i="4"/>
  <c r="J31" i="4" s="1"/>
  <c r="H30" i="4"/>
  <c r="J30" i="4" s="1"/>
  <c r="H29" i="4"/>
  <c r="J29" i="4" s="1"/>
  <c r="H28" i="4"/>
  <c r="J28" i="4" s="1"/>
  <c r="G139" i="3"/>
  <c r="K139" i="3"/>
  <c r="K138" i="3"/>
  <c r="G138" i="3"/>
  <c r="G114" i="3"/>
  <c r="G136" i="3" s="1"/>
  <c r="G134" i="3"/>
  <c r="G120" i="3"/>
  <c r="G119" i="3"/>
  <c r="H105" i="4" l="1"/>
  <c r="O105" i="4"/>
  <c r="H106" i="4"/>
  <c r="O106" i="4"/>
  <c r="H107" i="4"/>
  <c r="O107" i="4"/>
  <c r="H100" i="4"/>
  <c r="O100" i="4"/>
  <c r="K12" i="11"/>
  <c r="H101" i="4"/>
  <c r="O101" i="4"/>
  <c r="H12" i="11"/>
  <c r="H103" i="4"/>
  <c r="O103" i="4"/>
  <c r="K13" i="11"/>
  <c r="J12" i="11"/>
  <c r="H102" i="4"/>
  <c r="O102" i="4"/>
  <c r="H104" i="4"/>
  <c r="O104" i="4"/>
  <c r="P104" i="4" s="1"/>
  <c r="Q104" i="4" s="1"/>
  <c r="R104" i="4" s="1"/>
  <c r="K17" i="6"/>
  <c r="L17" i="9"/>
  <c r="L16" i="9" s="1"/>
  <c r="K17" i="11"/>
  <c r="K16" i="11" s="1"/>
  <c r="J16" i="11"/>
  <c r="J16" i="17"/>
  <c r="H136" i="4"/>
  <c r="J136" i="4" s="1"/>
  <c r="K14" i="6"/>
  <c r="H135" i="4"/>
  <c r="J135" i="4" s="1"/>
  <c r="E66" i="4"/>
  <c r="F76" i="4"/>
  <c r="H61" i="4"/>
  <c r="J61" i="4" s="1"/>
  <c r="P70" i="4"/>
  <c r="Q70" i="4" s="1"/>
  <c r="R70" i="4" s="1"/>
  <c r="H32" i="4"/>
  <c r="J32" i="4" s="1"/>
  <c r="D66" i="4"/>
  <c r="H44" i="4"/>
  <c r="J44" i="4" s="1"/>
  <c r="P44" i="4"/>
  <c r="Q44" i="4" s="1"/>
  <c r="R44" i="4" s="1"/>
  <c r="P61" i="4"/>
  <c r="Q61" i="4" s="1"/>
  <c r="R61" i="4" s="1"/>
  <c r="H73" i="4"/>
  <c r="J73" i="4" s="1"/>
  <c r="P73" i="4"/>
  <c r="Q73" i="4" s="1"/>
  <c r="R73" i="4" s="1"/>
  <c r="P79" i="4"/>
  <c r="Q79" i="4" s="1"/>
  <c r="R79" i="4" s="1"/>
  <c r="E86" i="4"/>
  <c r="P81" i="4"/>
  <c r="Q81" i="4" s="1"/>
  <c r="R81" i="4" s="1"/>
  <c r="H34" i="4"/>
  <c r="J34" i="4" s="1"/>
  <c r="H79" i="4"/>
  <c r="J79" i="4" s="1"/>
  <c r="H89" i="4"/>
  <c r="J89" i="4" s="1"/>
  <c r="P89" i="4"/>
  <c r="Q89" i="4" s="1"/>
  <c r="R89" i="4" s="1"/>
  <c r="H140" i="4"/>
  <c r="J140" i="4" s="1"/>
  <c r="H119" i="4"/>
  <c r="J119" i="4" s="1"/>
  <c r="G141" i="4"/>
  <c r="H141" i="4" s="1"/>
  <c r="J141" i="4" s="1"/>
  <c r="K140" i="4"/>
  <c r="F66" i="4"/>
  <c r="H70" i="4"/>
  <c r="J70" i="4" s="1"/>
  <c r="D76" i="4"/>
  <c r="H81" i="4"/>
  <c r="J81" i="4" s="1"/>
  <c r="D86" i="4"/>
  <c r="G150" i="4"/>
  <c r="H150" i="4" s="1"/>
  <c r="J150" i="4" s="1"/>
  <c r="E76" i="4"/>
  <c r="H122" i="4"/>
  <c r="J122" i="4" s="1"/>
  <c r="G138" i="4"/>
  <c r="G99" i="4"/>
  <c r="H108" i="4"/>
  <c r="J108" i="4" s="1"/>
  <c r="G117" i="3"/>
  <c r="F744" i="17" l="1"/>
  <c r="F744" i="11"/>
  <c r="G750" i="9"/>
  <c r="F807" i="6"/>
  <c r="O99" i="4"/>
  <c r="P100" i="4"/>
  <c r="Q100" i="4" s="1"/>
  <c r="R100" i="4" s="1"/>
  <c r="F745" i="17"/>
  <c r="H745" i="17" s="1"/>
  <c r="J745" i="17" s="1"/>
  <c r="K745" i="17" s="1"/>
  <c r="F745" i="11"/>
  <c r="H745" i="11" s="1"/>
  <c r="P101" i="4"/>
  <c r="Q101" i="4" s="1"/>
  <c r="R101" i="4" s="1"/>
  <c r="G751" i="9"/>
  <c r="I751" i="9" s="1"/>
  <c r="F808" i="6"/>
  <c r="H808" i="6" s="1"/>
  <c r="P102" i="4"/>
  <c r="Q102" i="4" s="1"/>
  <c r="R102" i="4" s="1"/>
  <c r="F746" i="17"/>
  <c r="H746" i="17" s="1"/>
  <c r="F746" i="11"/>
  <c r="H746" i="11" s="1"/>
  <c r="J746" i="11" s="1"/>
  <c r="K746" i="11" s="1"/>
  <c r="G752" i="9"/>
  <c r="I752" i="9" s="1"/>
  <c r="K752" i="9" s="1"/>
  <c r="L752" i="9" s="1"/>
  <c r="F809" i="6"/>
  <c r="H809" i="6" s="1"/>
  <c r="J809" i="6" s="1"/>
  <c r="K809" i="6" s="1"/>
  <c r="G806" i="22" s="1"/>
  <c r="F806" i="22" s="1"/>
  <c r="P107" i="4"/>
  <c r="Q107" i="4" s="1"/>
  <c r="R107" i="4" s="1"/>
  <c r="F754" i="17"/>
  <c r="H754" i="17" s="1"/>
  <c r="J754" i="17" s="1"/>
  <c r="K754" i="17" s="1"/>
  <c r="F754" i="11"/>
  <c r="H754" i="11" s="1"/>
  <c r="J754" i="11" s="1"/>
  <c r="K754" i="11" s="1"/>
  <c r="G760" i="9"/>
  <c r="I760" i="9" s="1"/>
  <c r="K760" i="9" s="1"/>
  <c r="L760" i="9" s="1"/>
  <c r="F817" i="6"/>
  <c r="H817" i="6" s="1"/>
  <c r="J817" i="6" s="1"/>
  <c r="K817" i="6" s="1"/>
  <c r="G814" i="22" s="1"/>
  <c r="F814" i="22" s="1"/>
  <c r="P106" i="4"/>
  <c r="Q106" i="4" s="1"/>
  <c r="R106" i="4" s="1"/>
  <c r="F753" i="17"/>
  <c r="H753" i="17" s="1"/>
  <c r="J753" i="17" s="1"/>
  <c r="K753" i="17" s="1"/>
  <c r="F753" i="11"/>
  <c r="H753" i="11" s="1"/>
  <c r="J753" i="11" s="1"/>
  <c r="K753" i="11" s="1"/>
  <c r="F816" i="6"/>
  <c r="H816" i="6" s="1"/>
  <c r="J816" i="6" s="1"/>
  <c r="K816" i="6" s="1"/>
  <c r="G813" i="22" s="1"/>
  <c r="F813" i="22" s="1"/>
  <c r="G759" i="9"/>
  <c r="I759" i="9" s="1"/>
  <c r="K759" i="9" s="1"/>
  <c r="L759" i="9" s="1"/>
  <c r="F747" i="17"/>
  <c r="H747" i="17" s="1"/>
  <c r="J747" i="17" s="1"/>
  <c r="K747" i="17" s="1"/>
  <c r="F747" i="11"/>
  <c r="H747" i="11" s="1"/>
  <c r="J747" i="11" s="1"/>
  <c r="K747" i="11" s="1"/>
  <c r="G753" i="9"/>
  <c r="I753" i="9" s="1"/>
  <c r="K753" i="9" s="1"/>
  <c r="L753" i="9" s="1"/>
  <c r="F810" i="6"/>
  <c r="H810" i="6" s="1"/>
  <c r="J810" i="6" s="1"/>
  <c r="K810" i="6" s="1"/>
  <c r="G807" i="22" s="1"/>
  <c r="F807" i="22" s="1"/>
  <c r="P103" i="4"/>
  <c r="Q103" i="4" s="1"/>
  <c r="R103" i="4" s="1"/>
  <c r="G148" i="3"/>
  <c r="G137" i="3"/>
  <c r="G149" i="3" s="1"/>
  <c r="G121" i="3"/>
  <c r="G140" i="3"/>
  <c r="F752" i="11"/>
  <c r="G758" i="9"/>
  <c r="F815" i="6"/>
  <c r="F752" i="17"/>
  <c r="P105" i="4"/>
  <c r="Q105" i="4" s="1"/>
  <c r="R105" i="4" s="1"/>
  <c r="K12" i="6"/>
  <c r="G11" i="22"/>
  <c r="F11" i="22" s="1"/>
  <c r="K16" i="6"/>
  <c r="G13" i="22" s="1"/>
  <c r="F13" i="22" s="1"/>
  <c r="G14" i="22"/>
  <c r="F14" i="22" s="1"/>
  <c r="H66" i="4"/>
  <c r="J66" i="4" s="1"/>
  <c r="H137" i="4"/>
  <c r="J137" i="4" s="1"/>
  <c r="P34" i="4"/>
  <c r="Q34" i="4" s="1"/>
  <c r="R34" i="4" s="1"/>
  <c r="E90" i="4"/>
  <c r="E92" i="4" s="1"/>
  <c r="H76" i="4"/>
  <c r="J76" i="4" s="1"/>
  <c r="P76" i="4"/>
  <c r="Q76" i="4" s="1"/>
  <c r="R76" i="4" s="1"/>
  <c r="H86" i="4"/>
  <c r="J86" i="4" s="1"/>
  <c r="P86" i="4"/>
  <c r="Q86" i="4" s="1"/>
  <c r="R86" i="4" s="1"/>
  <c r="F90" i="4"/>
  <c r="P66" i="4"/>
  <c r="Q66" i="4" s="1"/>
  <c r="R66" i="4" s="1"/>
  <c r="G134" i="4"/>
  <c r="G143" i="4" s="1"/>
  <c r="G144" i="4" s="1"/>
  <c r="G111" i="4"/>
  <c r="G112" i="4" s="1"/>
  <c r="G123" i="4" s="1"/>
  <c r="H99" i="4"/>
  <c r="J99" i="4" s="1"/>
  <c r="H138" i="4"/>
  <c r="J138" i="4" s="1"/>
  <c r="G151" i="4"/>
  <c r="H151" i="4" s="1"/>
  <c r="J151" i="4" s="1"/>
  <c r="D90" i="4"/>
  <c r="G115" i="3"/>
  <c r="G108" i="3"/>
  <c r="G135" i="3" s="1"/>
  <c r="H109" i="3"/>
  <c r="H110" i="3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D89" i="3"/>
  <c r="E81" i="3"/>
  <c r="E86" i="3" s="1"/>
  <c r="F81" i="3"/>
  <c r="F86" i="3" s="1"/>
  <c r="D81" i="3"/>
  <c r="D86" i="3" s="1"/>
  <c r="H82" i="3"/>
  <c r="H83" i="3"/>
  <c r="H84" i="3"/>
  <c r="F748" i="11" l="1"/>
  <c r="H752" i="11"/>
  <c r="J808" i="6"/>
  <c r="K808" i="6"/>
  <c r="G805" i="22" s="1"/>
  <c r="F805" i="22" s="1"/>
  <c r="K751" i="9"/>
  <c r="L751" i="9" s="1"/>
  <c r="J745" i="11"/>
  <c r="K745" i="11" s="1"/>
  <c r="P99" i="4"/>
  <c r="Q99" i="4" s="1"/>
  <c r="R99" i="4" s="1"/>
  <c r="O111" i="4"/>
  <c r="O112" i="4" s="1"/>
  <c r="O123" i="4" s="1"/>
  <c r="O125" i="4" s="1"/>
  <c r="O126" i="4" s="1"/>
  <c r="O127" i="4" s="1"/>
  <c r="O143" i="4" s="1"/>
  <c r="O144" i="4" s="1"/>
  <c r="O145" i="4" s="1"/>
  <c r="T99" i="4"/>
  <c r="H807" i="6"/>
  <c r="F806" i="6"/>
  <c r="H752" i="17"/>
  <c r="F748" i="17"/>
  <c r="I750" i="9"/>
  <c r="G749" i="9"/>
  <c r="F811" i="6"/>
  <c r="H815" i="6"/>
  <c r="H744" i="11"/>
  <c r="F743" i="11"/>
  <c r="I758" i="9"/>
  <c r="G754" i="9"/>
  <c r="J746" i="17"/>
  <c r="K746" i="17"/>
  <c r="H744" i="17"/>
  <c r="F743" i="17"/>
  <c r="L17" i="13"/>
  <c r="G9" i="22"/>
  <c r="P90" i="4"/>
  <c r="Q90" i="4" s="1"/>
  <c r="R90" i="4" s="1"/>
  <c r="F94" i="4"/>
  <c r="E93" i="4"/>
  <c r="E129" i="4"/>
  <c r="G125" i="4"/>
  <c r="G126" i="4" s="1"/>
  <c r="G127" i="4" s="1"/>
  <c r="H90" i="4"/>
  <c r="J90" i="4" s="1"/>
  <c r="D92" i="4"/>
  <c r="H134" i="4"/>
  <c r="J134" i="4" s="1"/>
  <c r="G99" i="3"/>
  <c r="E79" i="3"/>
  <c r="F79" i="3"/>
  <c r="D79" i="3"/>
  <c r="E73" i="3"/>
  <c r="F73" i="3"/>
  <c r="D73" i="3"/>
  <c r="H74" i="3"/>
  <c r="H75" i="3"/>
  <c r="K758" i="9" l="1"/>
  <c r="K754" i="9" s="1"/>
  <c r="I754" i="9"/>
  <c r="L758" i="9"/>
  <c r="L754" i="9" s="1"/>
  <c r="J744" i="11"/>
  <c r="J743" i="11" s="1"/>
  <c r="K744" i="11"/>
  <c r="K743" i="11" s="1"/>
  <c r="H743" i="11"/>
  <c r="H811" i="6"/>
  <c r="J815" i="6"/>
  <c r="J811" i="6" s="1"/>
  <c r="F820" i="6"/>
  <c r="G762" i="9"/>
  <c r="F819" i="6"/>
  <c r="F758" i="17"/>
  <c r="G763" i="9"/>
  <c r="F756" i="17"/>
  <c r="F821" i="6"/>
  <c r="G764" i="9"/>
  <c r="F757" i="17"/>
  <c r="F758" i="11"/>
  <c r="F757" i="11"/>
  <c r="F756" i="11"/>
  <c r="G133" i="3"/>
  <c r="G111" i="3"/>
  <c r="K750" i="9"/>
  <c r="I749" i="9"/>
  <c r="J744" i="17"/>
  <c r="H743" i="17"/>
  <c r="J752" i="17"/>
  <c r="J748" i="17" s="1"/>
  <c r="H748" i="17"/>
  <c r="K752" i="17"/>
  <c r="K748" i="17" s="1"/>
  <c r="J806" i="6"/>
  <c r="J752" i="11"/>
  <c r="J748" i="11" s="1"/>
  <c r="H748" i="11"/>
  <c r="J807" i="6"/>
  <c r="K807" i="6"/>
  <c r="H806" i="6"/>
  <c r="F9" i="22"/>
  <c r="M17" i="13"/>
  <c r="N17" i="13" s="1"/>
  <c r="K17" i="13"/>
  <c r="M129" i="4"/>
  <c r="M125" i="4"/>
  <c r="M126" i="4" s="1"/>
  <c r="M127" i="4" s="1"/>
  <c r="M143" i="4" s="1"/>
  <c r="M144" i="4" s="1"/>
  <c r="M145" i="4" s="1"/>
  <c r="E94" i="4"/>
  <c r="E96" i="4" s="1"/>
  <c r="F112" i="4"/>
  <c r="E147" i="4"/>
  <c r="G145" i="4"/>
  <c r="G154" i="4" s="1"/>
  <c r="D129" i="4"/>
  <c r="H92" i="4"/>
  <c r="J92" i="4" s="1"/>
  <c r="D93" i="4"/>
  <c r="E70" i="3"/>
  <c r="E76" i="3" s="1"/>
  <c r="F70" i="3"/>
  <c r="F76" i="3" s="1"/>
  <c r="D70" i="3"/>
  <c r="D76" i="3" s="1"/>
  <c r="H71" i="3"/>
  <c r="H72" i="3"/>
  <c r="I764" i="9" l="1"/>
  <c r="K764" i="9" s="1"/>
  <c r="L764" i="9" s="1"/>
  <c r="G744" i="9"/>
  <c r="I744" i="9" s="1"/>
  <c r="K744" i="9" s="1"/>
  <c r="L744" i="9" s="1"/>
  <c r="F802" i="6"/>
  <c r="H802" i="6" s="1"/>
  <c r="J802" i="6" s="1"/>
  <c r="K802" i="6" s="1"/>
  <c r="G799" i="22" s="1"/>
  <c r="F799" i="22" s="1"/>
  <c r="H821" i="6"/>
  <c r="J821" i="6" s="1"/>
  <c r="K821" i="6" s="1"/>
  <c r="G818" i="22" s="1"/>
  <c r="F818" i="22" s="1"/>
  <c r="H758" i="11"/>
  <c r="J758" i="11" s="1"/>
  <c r="K758" i="11" s="1"/>
  <c r="F738" i="11"/>
  <c r="H738" i="11" s="1"/>
  <c r="J738" i="11" s="1"/>
  <c r="K738" i="11" s="1"/>
  <c r="H756" i="17"/>
  <c r="F736" i="17"/>
  <c r="F755" i="17"/>
  <c r="K744" i="17"/>
  <c r="K743" i="17" s="1"/>
  <c r="J743" i="17"/>
  <c r="G743" i="9"/>
  <c r="I743" i="9" s="1"/>
  <c r="K743" i="9" s="1"/>
  <c r="L743" i="9" s="1"/>
  <c r="I763" i="9"/>
  <c r="K763" i="9" s="1"/>
  <c r="L763" i="9" s="1"/>
  <c r="H758" i="17"/>
  <c r="J758" i="17" s="1"/>
  <c r="K758" i="17" s="1"/>
  <c r="F738" i="17"/>
  <c r="H738" i="17" s="1"/>
  <c r="J738" i="17" s="1"/>
  <c r="K738" i="17" s="1"/>
  <c r="L750" i="9"/>
  <c r="L749" i="9" s="1"/>
  <c r="K749" i="9"/>
  <c r="F800" i="6"/>
  <c r="F818" i="6"/>
  <c r="F822" i="6" s="1"/>
  <c r="H819" i="6"/>
  <c r="G761" i="9"/>
  <c r="G742" i="9"/>
  <c r="I762" i="9"/>
  <c r="F737" i="11"/>
  <c r="H737" i="11" s="1"/>
  <c r="J737" i="11" s="1"/>
  <c r="K737" i="11" s="1"/>
  <c r="H757" i="11"/>
  <c r="J757" i="11" s="1"/>
  <c r="K757" i="11" s="1"/>
  <c r="F737" i="17"/>
  <c r="H737" i="17" s="1"/>
  <c r="J737" i="17" s="1"/>
  <c r="K737" i="17" s="1"/>
  <c r="H757" i="17"/>
  <c r="J757" i="17" s="1"/>
  <c r="K757" i="17" s="1"/>
  <c r="G804" i="22"/>
  <c r="F804" i="22" s="1"/>
  <c r="K806" i="6"/>
  <c r="G803" i="22" s="1"/>
  <c r="F803" i="22" s="1"/>
  <c r="K752" i="11"/>
  <c r="K748" i="11" s="1"/>
  <c r="F801" i="6"/>
  <c r="H801" i="6" s="1"/>
  <c r="J801" i="6" s="1"/>
  <c r="K801" i="6" s="1"/>
  <c r="G798" i="22" s="1"/>
  <c r="F798" i="22" s="1"/>
  <c r="H820" i="6"/>
  <c r="J820" i="6" s="1"/>
  <c r="K820" i="6" s="1"/>
  <c r="G817" i="22" s="1"/>
  <c r="F817" i="22" s="1"/>
  <c r="F736" i="11"/>
  <c r="H756" i="11"/>
  <c r="F755" i="11"/>
  <c r="K815" i="6"/>
  <c r="L129" i="4"/>
  <c r="P129" i="4" s="1"/>
  <c r="Q129" i="4" s="1"/>
  <c r="R129" i="4" s="1"/>
  <c r="L125" i="4"/>
  <c r="L126" i="4" s="1"/>
  <c r="L127" i="4" s="1"/>
  <c r="L143" i="4" s="1"/>
  <c r="L144" i="4" s="1"/>
  <c r="L145" i="4" s="1"/>
  <c r="O154" i="4"/>
  <c r="F123" i="4"/>
  <c r="E111" i="4"/>
  <c r="E148" i="4"/>
  <c r="M148" i="4" s="1"/>
  <c r="M147" i="4"/>
  <c r="H129" i="4"/>
  <c r="J129" i="4" s="1"/>
  <c r="D147" i="4"/>
  <c r="L147" i="4" s="1"/>
  <c r="H93" i="4"/>
  <c r="J93" i="4" s="1"/>
  <c r="D94" i="4"/>
  <c r="E61" i="3"/>
  <c r="F61" i="3"/>
  <c r="D61" i="3"/>
  <c r="H62" i="3"/>
  <c r="H63" i="3"/>
  <c r="H64" i="3"/>
  <c r="H65" i="3"/>
  <c r="H736" i="11" l="1"/>
  <c r="F735" i="11"/>
  <c r="G765" i="9"/>
  <c r="I765" i="9" s="1"/>
  <c r="K765" i="9" s="1"/>
  <c r="L765" i="9" s="1"/>
  <c r="G748" i="9"/>
  <c r="F759" i="17"/>
  <c r="H759" i="17" s="1"/>
  <c r="J759" i="17" s="1"/>
  <c r="K759" i="17" s="1"/>
  <c r="F742" i="17"/>
  <c r="J819" i="6"/>
  <c r="J818" i="6" s="1"/>
  <c r="H818" i="6"/>
  <c r="H805" i="6" s="1"/>
  <c r="K819" i="6"/>
  <c r="H736" i="17"/>
  <c r="F735" i="17"/>
  <c r="F805" i="6"/>
  <c r="H822" i="6"/>
  <c r="H755" i="17"/>
  <c r="J756" i="17"/>
  <c r="J755" i="17" s="1"/>
  <c r="J742" i="17" s="1"/>
  <c r="K756" i="17"/>
  <c r="K755" i="17" s="1"/>
  <c r="K742" i="17" s="1"/>
  <c r="H800" i="6"/>
  <c r="F799" i="6"/>
  <c r="I742" i="9"/>
  <c r="G741" i="9"/>
  <c r="K748" i="9"/>
  <c r="L748" i="9"/>
  <c r="J756" i="11"/>
  <c r="H755" i="11"/>
  <c r="G812" i="22"/>
  <c r="F812" i="22" s="1"/>
  <c r="K811" i="6"/>
  <c r="G808" i="22" s="1"/>
  <c r="F808" i="22" s="1"/>
  <c r="F759" i="11"/>
  <c r="H759" i="11" s="1"/>
  <c r="J759" i="11" s="1"/>
  <c r="K759" i="11" s="1"/>
  <c r="F742" i="11"/>
  <c r="I761" i="9"/>
  <c r="I748" i="9" s="1"/>
  <c r="K762" i="9"/>
  <c r="K761" i="9" s="1"/>
  <c r="L762" i="9"/>
  <c r="L761" i="9" s="1"/>
  <c r="O155" i="4"/>
  <c r="O156" i="4"/>
  <c r="P147" i="4"/>
  <c r="Q147" i="4" s="1"/>
  <c r="R147" i="4" s="1"/>
  <c r="E112" i="4"/>
  <c r="F125" i="4"/>
  <c r="H147" i="4"/>
  <c r="J147" i="4" s="1"/>
  <c r="D148" i="4"/>
  <c r="D96" i="4"/>
  <c r="P96" i="4" s="1"/>
  <c r="Q96" i="4" s="1"/>
  <c r="R96" i="4" s="1"/>
  <c r="H94" i="4"/>
  <c r="J94" i="4" s="1"/>
  <c r="E44" i="3"/>
  <c r="F44" i="3"/>
  <c r="D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735" i="17" l="1"/>
  <c r="J736" i="17"/>
  <c r="J735" i="17" s="1"/>
  <c r="K736" i="17"/>
  <c r="K735" i="17" s="1"/>
  <c r="K818" i="6"/>
  <c r="G816" i="22"/>
  <c r="F816" i="22" s="1"/>
  <c r="I741" i="9"/>
  <c r="K742" i="9"/>
  <c r="K741" i="9" s="1"/>
  <c r="L742" i="9"/>
  <c r="L741" i="9" s="1"/>
  <c r="J800" i="6"/>
  <c r="J799" i="6" s="1"/>
  <c r="H799" i="6"/>
  <c r="K800" i="6"/>
  <c r="H742" i="17"/>
  <c r="J822" i="6"/>
  <c r="J805" i="6" s="1"/>
  <c r="K822" i="6"/>
  <c r="G819" i="22" s="1"/>
  <c r="F819" i="22" s="1"/>
  <c r="H735" i="11"/>
  <c r="J736" i="11"/>
  <c r="J735" i="11" s="1"/>
  <c r="K736" i="11"/>
  <c r="K735" i="11" s="1"/>
  <c r="K756" i="11"/>
  <c r="K755" i="11" s="1"/>
  <c r="K742" i="11" s="1"/>
  <c r="J755" i="11"/>
  <c r="J742" i="11" s="1"/>
  <c r="H742" i="11"/>
  <c r="H148" i="4"/>
  <c r="J148" i="4" s="1"/>
  <c r="L148" i="4"/>
  <c r="P148" i="4" s="1"/>
  <c r="Q148" i="4" s="1"/>
  <c r="R148" i="4" s="1"/>
  <c r="F126" i="4"/>
  <c r="E123" i="4"/>
  <c r="D111" i="4"/>
  <c r="P111" i="4" s="1"/>
  <c r="Q111" i="4" s="1"/>
  <c r="R111" i="4" s="1"/>
  <c r="H96" i="4"/>
  <c r="J96" i="4" s="1"/>
  <c r="E34" i="3"/>
  <c r="E66" i="3" s="1"/>
  <c r="E90" i="3" s="1"/>
  <c r="F34" i="3"/>
  <c r="F66" i="3" s="1"/>
  <c r="F90" i="3" s="1"/>
  <c r="F94" i="3" s="1"/>
  <c r="F112" i="3" s="1"/>
  <c r="F122" i="3" s="1"/>
  <c r="D34" i="3"/>
  <c r="D66" i="3" s="1"/>
  <c r="H35" i="3"/>
  <c r="H36" i="3"/>
  <c r="H37" i="3"/>
  <c r="H38" i="3"/>
  <c r="H39" i="3"/>
  <c r="H40" i="3"/>
  <c r="H41" i="3"/>
  <c r="H42" i="3"/>
  <c r="H43" i="3"/>
  <c r="G797" i="22" l="1"/>
  <c r="F797" i="22" s="1"/>
  <c r="K799" i="6"/>
  <c r="G796" i="22" s="1"/>
  <c r="F796" i="22" s="1"/>
  <c r="F124" i="3"/>
  <c r="F125" i="3" s="1"/>
  <c r="F126" i="3" s="1"/>
  <c r="F132" i="3" s="1"/>
  <c r="G815" i="22"/>
  <c r="F815" i="22" s="1"/>
  <c r="K805" i="6"/>
  <c r="E125" i="4"/>
  <c r="F127" i="4"/>
  <c r="H111" i="4"/>
  <c r="J111" i="4" s="1"/>
  <c r="D112" i="4"/>
  <c r="P112" i="4" s="1"/>
  <c r="Q112" i="4" s="1"/>
  <c r="R112" i="4" s="1"/>
  <c r="E92" i="3"/>
  <c r="G32" i="3"/>
  <c r="G90" i="3" s="1"/>
  <c r="G94" i="3" s="1"/>
  <c r="G112" i="3" s="1"/>
  <c r="G122" i="3" s="1"/>
  <c r="G124" i="3" s="1"/>
  <c r="G125" i="3" s="1"/>
  <c r="G126" i="3" s="1"/>
  <c r="D32" i="3"/>
  <c r="D90" i="3" s="1"/>
  <c r="H29" i="3"/>
  <c r="J29" i="3" s="1"/>
  <c r="H30" i="3"/>
  <c r="J30" i="3" s="1"/>
  <c r="H31" i="3"/>
  <c r="J31" i="3" s="1"/>
  <c r="H34" i="3"/>
  <c r="J34" i="3" s="1"/>
  <c r="H44" i="3"/>
  <c r="J44" i="3" s="1"/>
  <c r="H61" i="3"/>
  <c r="J61" i="3" s="1"/>
  <c r="H66" i="3"/>
  <c r="J66" i="3" s="1"/>
  <c r="J67" i="3"/>
  <c r="H68" i="3"/>
  <c r="J68" i="3" s="1"/>
  <c r="H69" i="3"/>
  <c r="J69" i="3" s="1"/>
  <c r="H70" i="3"/>
  <c r="J70" i="3" s="1"/>
  <c r="H73" i="3"/>
  <c r="J73" i="3" s="1"/>
  <c r="H76" i="3"/>
  <c r="J76" i="3" s="1"/>
  <c r="J77" i="3"/>
  <c r="H78" i="3"/>
  <c r="J78" i="3" s="1"/>
  <c r="H79" i="3"/>
  <c r="J79" i="3" s="1"/>
  <c r="J80" i="3"/>
  <c r="H81" i="3"/>
  <c r="J81" i="3" s="1"/>
  <c r="H85" i="3"/>
  <c r="J85" i="3" s="1"/>
  <c r="H86" i="3"/>
  <c r="J86" i="3" s="1"/>
  <c r="J87" i="3"/>
  <c r="H88" i="3"/>
  <c r="J88" i="3" s="1"/>
  <c r="H89" i="3"/>
  <c r="J89" i="3" s="1"/>
  <c r="H90" i="3"/>
  <c r="J90" i="3" s="1"/>
  <c r="J91" i="3"/>
  <c r="J95" i="3"/>
  <c r="H97" i="3"/>
  <c r="J97" i="3" s="1"/>
  <c r="H98" i="3"/>
  <c r="J98" i="3" s="1"/>
  <c r="H99" i="3"/>
  <c r="J99" i="3" s="1"/>
  <c r="H108" i="3"/>
  <c r="J108" i="3" s="1"/>
  <c r="J113" i="3"/>
  <c r="H114" i="3"/>
  <c r="J114" i="3" s="1"/>
  <c r="H115" i="3"/>
  <c r="J115" i="3" s="1"/>
  <c r="J116" i="3"/>
  <c r="H117" i="3"/>
  <c r="J117" i="3" s="1"/>
  <c r="H118" i="3"/>
  <c r="J118" i="3" s="1"/>
  <c r="H119" i="3"/>
  <c r="J119" i="3" s="1"/>
  <c r="H120" i="3"/>
  <c r="J120" i="3" s="1"/>
  <c r="H121" i="3"/>
  <c r="J121" i="3" s="1"/>
  <c r="J123" i="3"/>
  <c r="J127" i="3"/>
  <c r="J129" i="3"/>
  <c r="H133" i="3"/>
  <c r="J133" i="3" s="1"/>
  <c r="H134" i="3"/>
  <c r="J134" i="3" s="1"/>
  <c r="H135" i="3"/>
  <c r="J135" i="3" s="1"/>
  <c r="H136" i="3"/>
  <c r="J136" i="3" s="1"/>
  <c r="H137" i="3"/>
  <c r="J137" i="3" s="1"/>
  <c r="H138" i="3"/>
  <c r="J138" i="3" s="1"/>
  <c r="H139" i="3"/>
  <c r="J139" i="3" s="1"/>
  <c r="H140" i="3"/>
  <c r="J140" i="3" s="1"/>
  <c r="J147" i="3"/>
  <c r="H148" i="3"/>
  <c r="J148" i="3" s="1"/>
  <c r="H149" i="3"/>
  <c r="J149" i="3" s="1"/>
  <c r="H28" i="3"/>
  <c r="J28" i="3" s="1"/>
  <c r="J33" i="3"/>
  <c r="J144" i="3"/>
  <c r="I141" i="3"/>
  <c r="I143" i="3" s="1"/>
  <c r="G141" i="3"/>
  <c r="F141" i="3" l="1"/>
  <c r="F142" i="3" s="1"/>
  <c r="F143" i="3" s="1"/>
  <c r="H132" i="3"/>
  <c r="J132" i="3" s="1"/>
  <c r="L19" i="13"/>
  <c r="G802" i="22"/>
  <c r="F802" i="22" s="1"/>
  <c r="E93" i="3"/>
  <c r="E94" i="3" s="1"/>
  <c r="E128" i="3"/>
  <c r="E145" i="3" s="1"/>
  <c r="E146" i="3" s="1"/>
  <c r="G142" i="3"/>
  <c r="G143" i="3" s="1"/>
  <c r="E126" i="4"/>
  <c r="F133" i="4"/>
  <c r="F143" i="4" s="1"/>
  <c r="P123" i="4"/>
  <c r="Q123" i="4" s="1"/>
  <c r="R123" i="4" s="1"/>
  <c r="D123" i="4"/>
  <c r="H112" i="4"/>
  <c r="D92" i="3"/>
  <c r="D128" i="3" s="1"/>
  <c r="H32" i="3"/>
  <c r="J32" i="3" s="1"/>
  <c r="E96" i="3" l="1"/>
  <c r="E111" i="3" s="1"/>
  <c r="E112" i="3" s="1"/>
  <c r="E122" i="3" s="1"/>
  <c r="M19" i="13"/>
  <c r="N19" i="13" s="1"/>
  <c r="K19" i="13"/>
  <c r="D145" i="3"/>
  <c r="H128" i="3"/>
  <c r="J128" i="3" s="1"/>
  <c r="P133" i="4"/>
  <c r="Q133" i="4" s="1"/>
  <c r="R133" i="4" s="1"/>
  <c r="H133" i="4"/>
  <c r="J133" i="4" s="1"/>
  <c r="E127" i="4"/>
  <c r="J112" i="4"/>
  <c r="K114" i="4"/>
  <c r="K137" i="4" s="1"/>
  <c r="H123" i="4"/>
  <c r="J123" i="4" s="1"/>
  <c r="D125" i="4"/>
  <c r="P125" i="4" s="1"/>
  <c r="D93" i="3"/>
  <c r="H92" i="3"/>
  <c r="J92" i="3" s="1"/>
  <c r="E124" i="3" l="1"/>
  <c r="E125" i="3" s="1"/>
  <c r="E126" i="3" s="1"/>
  <c r="E131" i="3" s="1"/>
  <c r="D146" i="3"/>
  <c r="H146" i="3" s="1"/>
  <c r="J146" i="3" s="1"/>
  <c r="H145" i="3"/>
  <c r="J145" i="3" s="1"/>
  <c r="F804" i="6"/>
  <c r="F15" i="6" s="1"/>
  <c r="F826" i="6" s="1"/>
  <c r="F741" i="17"/>
  <c r="F741" i="11"/>
  <c r="Q125" i="4"/>
  <c r="R125" i="4" s="1"/>
  <c r="G747" i="9"/>
  <c r="E132" i="4"/>
  <c r="E143" i="4" s="1"/>
  <c r="F144" i="4"/>
  <c r="D126" i="4"/>
  <c r="P126" i="4" s="1"/>
  <c r="Q126" i="4" s="1"/>
  <c r="R126" i="4" s="1"/>
  <c r="H125" i="4"/>
  <c r="J125" i="4" s="1"/>
  <c r="H93" i="3"/>
  <c r="J93" i="3" s="1"/>
  <c r="D94" i="3"/>
  <c r="H131" i="3" l="1"/>
  <c r="J131" i="3" s="1"/>
  <c r="E141" i="3"/>
  <c r="E142" i="3" s="1"/>
  <c r="E143" i="3" s="1"/>
  <c r="H741" i="11"/>
  <c r="F15" i="11"/>
  <c r="F760" i="11" s="1"/>
  <c r="F761" i="11" s="1"/>
  <c r="F762" i="11" s="1"/>
  <c r="H741" i="17"/>
  <c r="F15" i="17"/>
  <c r="F760" i="17" s="1"/>
  <c r="F761" i="17" s="1"/>
  <c r="F762" i="17" s="1"/>
  <c r="H804" i="6"/>
  <c r="H15" i="6" s="1"/>
  <c r="H826" i="6" s="1"/>
  <c r="I747" i="9"/>
  <c r="G15" i="9"/>
  <c r="G766" i="9" s="1"/>
  <c r="P132" i="4"/>
  <c r="Q132" i="4" s="1"/>
  <c r="R132" i="4" s="1"/>
  <c r="H132" i="4"/>
  <c r="J132" i="4" s="1"/>
  <c r="F145" i="4"/>
  <c r="F154" i="4" s="1"/>
  <c r="H126" i="4"/>
  <c r="J126" i="4" s="1"/>
  <c r="D127" i="4"/>
  <c r="P127" i="4" s="1"/>
  <c r="Q127" i="4" s="1"/>
  <c r="R127" i="4" s="1"/>
  <c r="D96" i="3"/>
  <c r="H94" i="3"/>
  <c r="J94" i="3" s="1"/>
  <c r="H96" i="3" l="1"/>
  <c r="J96" i="3" s="1"/>
  <c r="D111" i="3"/>
  <c r="J741" i="17"/>
  <c r="H15" i="17"/>
  <c r="H760" i="17" s="1"/>
  <c r="H761" i="17" s="1"/>
  <c r="H762" i="17" s="1"/>
  <c r="J741" i="11"/>
  <c r="H15" i="11"/>
  <c r="H760" i="11" s="1"/>
  <c r="H761" i="11" s="1"/>
  <c r="H762" i="11" s="1"/>
  <c r="J804" i="6"/>
  <c r="J15" i="6" s="1"/>
  <c r="J826" i="6" s="1"/>
  <c r="G769" i="9"/>
  <c r="G767" i="9"/>
  <c r="G768" i="9" s="1"/>
  <c r="K747" i="9"/>
  <c r="K15" i="9" s="1"/>
  <c r="K766" i="9" s="1"/>
  <c r="K767" i="9" s="1"/>
  <c r="K768" i="9" s="1"/>
  <c r="I15" i="9"/>
  <c r="I766" i="9" s="1"/>
  <c r="I767" i="9" s="1"/>
  <c r="I768" i="9" s="1"/>
  <c r="N154" i="4"/>
  <c r="E144" i="4"/>
  <c r="D131" i="4"/>
  <c r="H127" i="4"/>
  <c r="J127" i="4" s="1"/>
  <c r="P131" i="4" l="1"/>
  <c r="Q131" i="4" s="1"/>
  <c r="R131" i="4" s="1"/>
  <c r="D143" i="4"/>
  <c r="H111" i="3"/>
  <c r="J111" i="3" s="1"/>
  <c r="D112" i="3"/>
  <c r="K741" i="11"/>
  <c r="K15" i="11" s="1"/>
  <c r="K760" i="11" s="1"/>
  <c r="K761" i="11" s="1"/>
  <c r="K762" i="11" s="1"/>
  <c r="J15" i="11"/>
  <c r="J760" i="11" s="1"/>
  <c r="J761" i="11" s="1"/>
  <c r="J762" i="11" s="1"/>
  <c r="K741" i="17"/>
  <c r="K15" i="17" s="1"/>
  <c r="K760" i="17" s="1"/>
  <c r="K761" i="17" s="1"/>
  <c r="K762" i="17" s="1"/>
  <c r="J15" i="17"/>
  <c r="J760" i="17" s="1"/>
  <c r="J761" i="17" s="1"/>
  <c r="J762" i="17" s="1"/>
  <c r="L747" i="9"/>
  <c r="L15" i="9" s="1"/>
  <c r="L766" i="9" s="1"/>
  <c r="L767" i="9" s="1"/>
  <c r="L768" i="9" s="1"/>
  <c r="K804" i="6"/>
  <c r="N155" i="4"/>
  <c r="N156" i="4"/>
  <c r="E145" i="4"/>
  <c r="E154" i="4" s="1"/>
  <c r="M154" i="4" s="1"/>
  <c r="H131" i="4"/>
  <c r="J131" i="4" s="1"/>
  <c r="P143" i="4"/>
  <c r="Q143" i="4" s="1"/>
  <c r="R143" i="4" s="1"/>
  <c r="D122" i="3" l="1"/>
  <c r="H112" i="3"/>
  <c r="K15" i="6"/>
  <c r="G801" i="22"/>
  <c r="F801" i="22" s="1"/>
  <c r="M156" i="4"/>
  <c r="M155" i="4"/>
  <c r="D144" i="4"/>
  <c r="H143" i="4"/>
  <c r="J143" i="4" s="1"/>
  <c r="J112" i="3" l="1"/>
  <c r="K114" i="3"/>
  <c r="K136" i="3" s="1"/>
  <c r="D124" i="3"/>
  <c r="H122" i="3"/>
  <c r="J122" i="3" s="1"/>
  <c r="K826" i="6"/>
  <c r="G12" i="22"/>
  <c r="H144" i="4"/>
  <c r="J144" i="4" s="1"/>
  <c r="P144" i="4"/>
  <c r="Q144" i="4" s="1"/>
  <c r="R144" i="4" s="1"/>
  <c r="D145" i="4"/>
  <c r="D154" i="4" s="1"/>
  <c r="D125" i="3" l="1"/>
  <c r="H124" i="3"/>
  <c r="J124" i="3" s="1"/>
  <c r="F12" i="22"/>
  <c r="G823" i="22"/>
  <c r="G824" i="22" s="1"/>
  <c r="G825" i="22" s="1"/>
  <c r="L154" i="4"/>
  <c r="H154" i="4"/>
  <c r="H145" i="4"/>
  <c r="J145" i="4" s="1"/>
  <c r="P145" i="4"/>
  <c r="Q145" i="4" s="1"/>
  <c r="R145" i="4" s="1"/>
  <c r="H125" i="3" l="1"/>
  <c r="J125" i="3" s="1"/>
  <c r="D126" i="3"/>
  <c r="L156" i="4"/>
  <c r="L155" i="4"/>
  <c r="P154" i="4"/>
  <c r="P155" i="4" s="1"/>
  <c r="D130" i="3" l="1"/>
  <c r="H126" i="3"/>
  <c r="J126" i="3" s="1"/>
  <c r="P156" i="4"/>
  <c r="H130" i="3" l="1"/>
  <c r="J130" i="3" s="1"/>
  <c r="D141" i="3"/>
  <c r="I17" i="13"/>
  <c r="D142" i="3" l="1"/>
  <c r="H142" i="3" s="1"/>
  <c r="J142" i="3" s="1"/>
  <c r="H141" i="3"/>
  <c r="J141" i="3" s="1"/>
  <c r="F22" i="13"/>
  <c r="D143" i="3" l="1"/>
  <c r="H143" i="3" s="1"/>
  <c r="J143" i="3" s="1"/>
  <c r="H827" i="6"/>
  <c r="H828" i="6" s="1"/>
  <c r="J827" i="6" l="1"/>
  <c r="J828" i="6" s="1"/>
  <c r="F827" i="6"/>
  <c r="F828" i="6" s="1"/>
  <c r="K827" i="6"/>
  <c r="K828" i="6" s="1"/>
  <c r="L18" i="13"/>
  <c r="L21" i="13" l="1"/>
  <c r="M18" i="13"/>
  <c r="M21" i="13" s="1"/>
  <c r="K18" i="13"/>
  <c r="N18" i="13" l="1"/>
  <c r="N21" i="13" l="1"/>
  <c r="B31" i="14" s="1"/>
  <c r="G6" i="12" l="1"/>
</calcChain>
</file>

<file path=xl/comments1.xml><?xml version="1.0" encoding="utf-8"?>
<comments xmlns="http://schemas.openxmlformats.org/spreadsheetml/2006/main">
  <authors>
    <author>Татаринов Александр Юрьевич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  <charset val="204"/>
          </rPr>
          <t>Татаринов Александр Юрьевич:</t>
        </r>
        <r>
          <rPr>
            <sz val="9"/>
            <color indexed="81"/>
            <rFont val="Tahoma"/>
            <family val="2"/>
            <charset val="204"/>
          </rPr>
          <t xml:space="preserve">
разбить на фундамент НСКД и опору Т01
</t>
        </r>
      </text>
    </comment>
    <comment ref="A426" authorId="0" shapeId="0">
      <text>
        <r>
          <rPr>
            <b/>
            <sz val="9"/>
            <color indexed="81"/>
            <rFont val="Tahoma"/>
            <family val="2"/>
            <charset val="204"/>
          </rPr>
          <t>Татаринов Александр Юрьевич:</t>
        </r>
        <r>
          <rPr>
            <sz val="9"/>
            <color indexed="81"/>
            <rFont val="Tahoma"/>
            <family val="2"/>
            <charset val="204"/>
          </rPr>
          <t xml:space="preserve">
возможно учтены работы под КОС</t>
        </r>
      </text>
    </comment>
    <comment ref="A791" authorId="0" shapeId="0">
      <text>
        <r>
          <rPr>
            <b/>
            <sz val="9"/>
            <color indexed="81"/>
            <rFont val="Tahoma"/>
            <family val="2"/>
            <charset val="204"/>
          </rPr>
          <t>Татаринов Александр Юрьевич:</t>
        </r>
        <r>
          <rPr>
            <sz val="9"/>
            <color indexed="81"/>
            <rFont val="Tahoma"/>
            <family val="2"/>
            <charset val="204"/>
          </rPr>
          <t xml:space="preserve">
разделить на секцию 1 и секцию 2</t>
        </r>
      </text>
    </comment>
  </commentList>
</comments>
</file>

<file path=xl/comments2.xml><?xml version="1.0" encoding="utf-8"?>
<comments xmlns="http://schemas.openxmlformats.org/spreadsheetml/2006/main">
  <authors>
    <author>Татаринов Александр Юрьевич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  <charset val="204"/>
          </rPr>
          <t>Татаринов Александр Юрьевич:</t>
        </r>
        <r>
          <rPr>
            <sz val="9"/>
            <color indexed="81"/>
            <rFont val="Tahoma"/>
            <family val="2"/>
            <charset val="204"/>
          </rPr>
          <t xml:space="preserve">
разбить на фундамент НСКД и опору Т01
</t>
        </r>
      </text>
    </comment>
    <comment ref="A428" authorId="0" shapeId="0">
      <text>
        <r>
          <rPr>
            <b/>
            <sz val="9"/>
            <color indexed="81"/>
            <rFont val="Tahoma"/>
            <family val="2"/>
            <charset val="204"/>
          </rPr>
          <t>Татаринов Александр Юрьевич:</t>
        </r>
        <r>
          <rPr>
            <sz val="9"/>
            <color indexed="81"/>
            <rFont val="Tahoma"/>
            <family val="2"/>
            <charset val="204"/>
          </rPr>
          <t xml:space="preserve">
возможно учтены работы под КОС</t>
        </r>
      </text>
    </comment>
    <comment ref="A793" authorId="0" shapeId="0">
      <text>
        <r>
          <rPr>
            <b/>
            <sz val="9"/>
            <color indexed="81"/>
            <rFont val="Tahoma"/>
            <family val="2"/>
            <charset val="204"/>
          </rPr>
          <t>Татаринов Александр Юрьевич:</t>
        </r>
        <r>
          <rPr>
            <sz val="9"/>
            <color indexed="81"/>
            <rFont val="Tahoma"/>
            <family val="2"/>
            <charset val="204"/>
          </rPr>
          <t xml:space="preserve">
разделить на секцию 1 и секцию 2</t>
        </r>
      </text>
    </comment>
  </commentList>
</comments>
</file>

<file path=xl/comments3.xml><?xml version="1.0" encoding="utf-8"?>
<comments xmlns="http://schemas.openxmlformats.org/spreadsheetml/2006/main">
  <authors>
    <author>Татаринов Александр Юрьевич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  <charset val="204"/>
          </rPr>
          <t>Татаринов Александр Юрьевич:</t>
        </r>
        <r>
          <rPr>
            <sz val="9"/>
            <color indexed="81"/>
            <rFont val="Tahoma"/>
            <family val="2"/>
            <charset val="204"/>
          </rPr>
          <t xml:space="preserve">
разбить на фундамент НСКД и опору Т01
</t>
        </r>
      </text>
    </comment>
    <comment ref="A429" authorId="0" shapeId="0">
      <text>
        <r>
          <rPr>
            <b/>
            <sz val="9"/>
            <color indexed="81"/>
            <rFont val="Tahoma"/>
            <family val="2"/>
            <charset val="204"/>
          </rPr>
          <t>Татаринов Александр Юрьевич:</t>
        </r>
        <r>
          <rPr>
            <sz val="9"/>
            <color indexed="81"/>
            <rFont val="Tahoma"/>
            <family val="2"/>
            <charset val="204"/>
          </rPr>
          <t xml:space="preserve">
возможно учтены работы под КОС</t>
        </r>
      </text>
    </comment>
    <comment ref="A794" authorId="0" shapeId="0">
      <text>
        <r>
          <rPr>
            <b/>
            <sz val="9"/>
            <color indexed="81"/>
            <rFont val="Tahoma"/>
            <family val="2"/>
            <charset val="204"/>
          </rPr>
          <t>Татаринов Александр Юрьевич:</t>
        </r>
        <r>
          <rPr>
            <sz val="9"/>
            <color indexed="81"/>
            <rFont val="Tahoma"/>
            <family val="2"/>
            <charset val="204"/>
          </rPr>
          <t xml:space="preserve">
разделить на секцию 1 и секцию 2</t>
        </r>
      </text>
    </comment>
  </commentList>
</comments>
</file>

<file path=xl/sharedStrings.xml><?xml version="1.0" encoding="utf-8"?>
<sst xmlns="http://schemas.openxmlformats.org/spreadsheetml/2006/main" count="17985" uniqueCount="3024">
  <si>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</si>
  <si>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</si>
  <si>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</si>
  <si>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</si>
  <si>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</si>
  <si>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</si>
  <si>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</si>
  <si>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</si>
  <si>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</si>
  <si>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</si>
  <si>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</si>
  <si>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</si>
  <si>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</si>
  <si>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«Всесезонный туристско-рекреационный комплекс «Эльбрус», Кабардино-Балкарская Республика. Пассажирская подвесная канатная дорога EL6»</t>
  </si>
  <si>
    <t>Сметная стоимость, тыс. руб.</t>
  </si>
  <si>
    <t>Общая сметная стоимость, тыс. руб.</t>
  </si>
  <si>
    <t>Глава 1. Подготовка территории строительства</t>
  </si>
  <si>
    <t>01-01-01</t>
  </si>
  <si>
    <t>Арендная плата за земельные участки</t>
  </si>
  <si>
    <t>01-02-01</t>
  </si>
  <si>
    <t>Затраты на проведение биологических мероприятий по рекультивации</t>
  </si>
  <si>
    <t>01-03-01</t>
  </si>
  <si>
    <t>Техническая рекультивация земель</t>
  </si>
  <si>
    <t>12-01-06</t>
  </si>
  <si>
    <t>Выполнение работ по обследованию территории на наличие ВОП</t>
  </si>
  <si>
    <t>Итого по Главе 1. "Подготовка территории строительства"</t>
  </si>
  <si>
    <t>Глава 2. Основные объекты строительства</t>
  </si>
  <si>
    <t>02-01</t>
  </si>
  <si>
    <t>Пассажирская подвесная канатная дорога EL6</t>
  </si>
  <si>
    <t>02-02</t>
  </si>
  <si>
    <t>Верхняя станция пассажирской подвесной канатной дороги EL6</t>
  </si>
  <si>
    <t>02-03</t>
  </si>
  <si>
    <t>Нижняя станция пассажирской подвесной канатной дороги EL6</t>
  </si>
  <si>
    <t>Итого по Главе 2. "Основные объекты строительства"</t>
  </si>
  <si>
    <t>Глава 4. Объекты энергетического хозяйства</t>
  </si>
  <si>
    <t>04-01-01</t>
  </si>
  <si>
    <t>Система электроснабжения. Внутриплощадочные сети 10 кВ</t>
  </si>
  <si>
    <t>04-02-01</t>
  </si>
  <si>
    <t>Система электроснабжения. Внутриплощадочные сети 0,4 кВ</t>
  </si>
  <si>
    <t>04-03</t>
  </si>
  <si>
    <t>ТП-КД-5</t>
  </si>
  <si>
    <t>04-04</t>
  </si>
  <si>
    <t>ТП-КД-6.1</t>
  </si>
  <si>
    <t>Итого по Главе 4. "Объекты энергетического хозяйства"</t>
  </si>
  <si>
    <t>Глава 5. Объекты транспортного хозяйства и связи</t>
  </si>
  <si>
    <t>05-01-01</t>
  </si>
  <si>
    <t>Внутриплощадочные сети связи</t>
  </si>
  <si>
    <t>Итого по Главе 5. "Объекты транспортного хозяйства и связи"</t>
  </si>
  <si>
    <t>Глава 6. Наружные сети и сооружения водоснабжения, водоотведения, теплоснабжения и газоснабжения</t>
  </si>
  <si>
    <t>06-01</t>
  </si>
  <si>
    <t>Наружные сети водоснабжения</t>
  </si>
  <si>
    <t>06-02-01</t>
  </si>
  <si>
    <t>Итого по Главе 6. "Наружные сети и сооружения водоснабжения, водоотведения, теплоснабжения и газоснабжения"</t>
  </si>
  <si>
    <t>Глава 7. Благоустройство и озеленение территории</t>
  </si>
  <si>
    <t>07-01-01</t>
  </si>
  <si>
    <t>Итого по Главе 7. "Благоустройство и озеленение территории"</t>
  </si>
  <si>
    <t>Итого по Главам 1-7</t>
  </si>
  <si>
    <t>Глава 8. Временные здания и сооружения</t>
  </si>
  <si>
    <t>ГСН-81-05-01-2001 п.4.9</t>
  </si>
  <si>
    <t>Временные здания и сооружения - 2,3%</t>
  </si>
  <si>
    <t>Итого по Главе 8. "Временные здания и сооружения"</t>
  </si>
  <si>
    <t>Итого по Главам 1-8</t>
  </si>
  <si>
    <t>Глава 9. Прочие работы и затраты</t>
  </si>
  <si>
    <t>ГСН-81-05-02-2001</t>
  </si>
  <si>
    <t>Производство работ в зимнее время - 0,5%</t>
  </si>
  <si>
    <t>09-01-01</t>
  </si>
  <si>
    <t>Расчет платы за негативное воздействие</t>
  </si>
  <si>
    <t>09-02-01</t>
  </si>
  <si>
    <t>Экологический мониторинг</t>
  </si>
  <si>
    <t>09-03</t>
  </si>
  <si>
    <t>Пусконаладочные работы</t>
  </si>
  <si>
    <t>09-04</t>
  </si>
  <si>
    <t>Расчет командировочных затрат</t>
  </si>
  <si>
    <t>Итого по Главе 9. "Прочие работы и затраты"</t>
  </si>
  <si>
    <t>Итого по Главам 1-9</t>
  </si>
  <si>
    <t>Глава 10. «Содержание службы заказчика. Строительный контроль»</t>
  </si>
  <si>
    <t>Постановление Правительства РФ от 21.06.10 г. №468</t>
  </si>
  <si>
    <t>Строительный контроль 1,28%</t>
  </si>
  <si>
    <t>Итого по Главе 10. "«Содержание службы заказчика. Строительный контроль»"</t>
  </si>
  <si>
    <t>12-02</t>
  </si>
  <si>
    <t>Проектная документация</t>
  </si>
  <si>
    <t>Рабочая документация</t>
  </si>
  <si>
    <t>12-01</t>
  </si>
  <si>
    <t>Изыскательские работы</t>
  </si>
  <si>
    <t>Расчет 12-03-01</t>
  </si>
  <si>
    <t>Экспертиза проектной документации</t>
  </si>
  <si>
    <t>Итого по Главе 12. "Публичный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работы"</t>
  </si>
  <si>
    <t>Итого по Главам 1-12</t>
  </si>
  <si>
    <t>Непредвиденные затраты</t>
  </si>
  <si>
    <t>МДС81-35.2004 п.4.96</t>
  </si>
  <si>
    <t>Резерв средств на непредвиденные работы 2% от итога глав 1-12</t>
  </si>
  <si>
    <t>Итого "Непредвиденные затраты"</t>
  </si>
  <si>
    <t>Итого по сводному сметному расчету в базисном уровне цен 2001 (на 01.01.2000г.)</t>
  </si>
  <si>
    <t>Приложение № 3 к ЗНП, п.2.1.4</t>
  </si>
  <si>
    <t>В том числе возвратные суммы 15% от разборки временных зданий и сооружений (справочно)</t>
  </si>
  <si>
    <t>Акционерное общество "Курорты Северного кавказа"</t>
  </si>
  <si>
    <t>"Утвержден" «    »________________2019 г.</t>
  </si>
  <si>
    <t>«    »________________2019 г.</t>
  </si>
  <si>
    <t xml:space="preserve">Составлена в ценах по состоянию на 01.01.2001 с индексацией в уровень цен на IV кв. 2019г. </t>
  </si>
  <si>
    <t>Пересчет в текущие цены 4 квартала 2019 г. Письмо Министерства Строительства и Жилищно-Коммунального хозяйства Российской Федерации (Минстрой России) №46999-ДВ/09 от 09.12.2019г. Северо-Кавказский федеральный округ, графа Кабардино-Балкарская Республика, Строка "Объекты спортивного назначения" Индекс изменения стоимости СМР - 6,99. Индекс изменения стоимости ПНР - 12,36. Индекс изменения стоимости на изыскательские работы 4,35. Индекс изменения стоимости на проектные работы 4,27. Письмо Министерства Строительства и Жилищно-Коммунального хозяйства Российской Федерации (Минстрой России) №50583-ДВ/09 от 25.12.2019г. Индекс изменения стоимости прочих затрат по строке 30 "Объекты непроизводственного назначения"(Приложение 2) - 10,79. Индекс изменения стоимости оборудования по строке 30 "Объекты непроизводственного назначения (Приложение 3) - 4,09. Ki - коэффициент, отражающий инфляционные процессы по сравнению с 1 января 2001 г. - 5,29</t>
  </si>
  <si>
    <t xml:space="preserve">Итого по сводному сметному расчету в текущих ценах по состоянию на 4 квартал 2019г. </t>
  </si>
  <si>
    <t>МДС 81-35.2004 п.4.100</t>
  </si>
  <si>
    <t>Налог на добавленную стоимость 20%</t>
  </si>
  <si>
    <t>Всего по сводному сметному расчету в текущих ценах по состоянию на 4 квартал 2019г.</t>
  </si>
  <si>
    <t>в т.ч. справочно
стоимость возвратных сумм:</t>
  </si>
  <si>
    <t>в базисном уровне цен</t>
  </si>
  <si>
    <t>в текущих цена с НДС</t>
  </si>
  <si>
    <t>в т.ч. справочно
стоимость проектно-изыскательских работ:</t>
  </si>
  <si>
    <t>ПИР в базисном уровне цен</t>
  </si>
  <si>
    <t>ПИР в текущих ценах с НДС</t>
  </si>
  <si>
    <t>Генеральный директор ООО "Мегаполис"</t>
  </si>
  <si>
    <t xml:space="preserve">  Е.Н. Плетнев</t>
  </si>
  <si>
    <t>(должность)</t>
  </si>
  <si>
    <t xml:space="preserve">(подпись) </t>
  </si>
  <si>
    <t>(расшифровка)</t>
  </si>
  <si>
    <t>Согласовано:</t>
  </si>
  <si>
    <t>Заказчик</t>
  </si>
  <si>
    <t xml:space="preserve">Директор Департамента развития инфраструктуры АО «КСК»           </t>
  </si>
  <si>
    <t>В.В. Лапухин</t>
  </si>
  <si>
    <t>(по доверенности №1410 от 19.02.2019)</t>
  </si>
  <si>
    <t xml:space="preserve">____________________________________________АО «КСК»           </t>
  </si>
  <si>
    <t>Строки за итогами справочно:</t>
  </si>
  <si>
    <t>Монтажные работы  6631,08*6,99 тыс. руб.</t>
  </si>
  <si>
    <t>Оборудование 219832*4,09 тыс. руб.</t>
  </si>
  <si>
    <t>Пусконаладочные работы 75,98*12,36*1,02</t>
  </si>
  <si>
    <t>В том числе возвратных сумм 297,01 тыс. руб.</t>
  </si>
  <si>
    <t>Строительные работы 83648,11*6,99 тыс.руб.</t>
  </si>
  <si>
    <t>Проектная документация 3906,22*1,19*4,27*1,02 тыс. руб.</t>
  </si>
  <si>
    <t>Рабочая документация 4380,17*1,19*4,27*1,02 тыс. руб.</t>
  </si>
  <si>
    <t>Изыскательские работы 3846,79*1,266*4,35*1,02 тыс. руб.</t>
  </si>
  <si>
    <t>Экспертиза проектной документации (3906,22*1,19+3846,79*1,266)*0,0615*5,29*1,02 тыс. руб.</t>
  </si>
  <si>
    <t>Прочие работы по Гл1 (2,42*10,79*1,02+87,33*1,266*4,35*1,02)</t>
  </si>
  <si>
    <t>Прочие работы по Гл9, кроме ПНР ((96,82+1216,86)*10,79*1,02)+(113,67*1,266*4,35*1,02))</t>
  </si>
  <si>
    <t>Прочие работы по Гл10 4073,46*10,79*1,02</t>
  </si>
  <si>
    <t>Сводный сметный расчет в сумме 328753,18 тыс. руб. на 01.01.2001г.</t>
  </si>
  <si>
    <t>В том числе возвратных сумм 2491,32 тыс. руб.</t>
  </si>
  <si>
    <t>Сводный сметный расчет в сумме 1991139,01 тыс. руб. на IV кв. 2019г</t>
  </si>
  <si>
    <t>Схема планировочной организации земельного участка</t>
  </si>
  <si>
    <t>Наружные сети водоотведения</t>
  </si>
  <si>
    <t>Глава 12. Публичный технологический и ценовой аудит, подготовка обоснования инвестиций, осуществляемых в инвестиционный проект по созданию 
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</t>
  </si>
  <si>
    <t>02-01-01</t>
  </si>
  <si>
    <t>Технологические решения. Пассажирская подвесная канатная дорога EL6</t>
  </si>
  <si>
    <t>02-01-02</t>
  </si>
  <si>
    <t>Конструктивные решения.  Пассажирская подвесная канатная дорога EL6.</t>
  </si>
  <si>
    <t>02-01-03</t>
  </si>
  <si>
    <t>Система электроснабжения. Молниезащита и заземление.Пассажирская подвесная канатная дорога EL6</t>
  </si>
  <si>
    <t>02-01-04</t>
  </si>
  <si>
    <t>Отопление, вентиляция и кондиционирование воздуха. Пассажирская подвесная канатная дорога EL6</t>
  </si>
  <si>
    <t>02-01-05</t>
  </si>
  <si>
    <t>Сети связи. Пассажирская подвесная канатная дорога  EL6</t>
  </si>
  <si>
    <t>02-01-06</t>
  </si>
  <si>
    <t>Система обеспечения пожарной безопасности.Пассажирская подвесная канатная дорога EL6</t>
  </si>
  <si>
    <t>02-01-07</t>
  </si>
  <si>
    <t>Комплексная система безопасности.Пассажирская подвесная канатная дорога EL6</t>
  </si>
  <si>
    <t>02-01-08</t>
  </si>
  <si>
    <t>Инженерная защита территории</t>
  </si>
  <si>
    <t>02-01-09</t>
  </si>
  <si>
    <t>Автоматизация комплексная.Пассажирская подвесная канатная дорога EL 6</t>
  </si>
  <si>
    <t>02-02-01</t>
  </si>
  <si>
    <t>Архитектурные решения. Верхняя станция пассажирской подвесной канатной дороги EL6, секция 1</t>
  </si>
  <si>
    <t>02-02-02</t>
  </si>
  <si>
    <t>Архитектурные решения. Верхняя станция пассажирской подвесной канатной дороги EL6, секция 2</t>
  </si>
  <si>
    <t>02-02-03</t>
  </si>
  <si>
    <t>Конструктивные и объемно-планировочные решения. Верхняя станция пассажирской подвесной канатной дороги EL6, секция 1</t>
  </si>
  <si>
    <t>02-02-04</t>
  </si>
  <si>
    <t>Конструктивные и объемно-планировочные решения. Верхняя станция пассажирской подвесной канатной дороги EL6, секция 2</t>
  </si>
  <si>
    <t>02-02-05</t>
  </si>
  <si>
    <t>Комплексная система безопасности.ВСППКД EL6 секция 2</t>
  </si>
  <si>
    <t>02-02-06</t>
  </si>
  <si>
    <t>Система электроснабжения.Система внутреннего электроснабжения ВСППКД EL6, секция 1</t>
  </si>
  <si>
    <t>02-02-07</t>
  </si>
  <si>
    <t>Система электроснабжения. Система внутреннего электроснабжения ВСППКД EL6, секция 2.</t>
  </si>
  <si>
    <t>02-02-08</t>
  </si>
  <si>
    <t>Система электроснабжения. Молниезащита и заземление. Верхняя станция пассажирской подвесной канатной дороги EL6 секция 2</t>
  </si>
  <si>
    <t>02-02-09</t>
  </si>
  <si>
    <t>Внутренние сети водоснабжения. Верхняя станция пассажирской подвесной канатной дороги EL6, секция 2</t>
  </si>
  <si>
    <t>02-02-10</t>
  </si>
  <si>
    <t>Автоматическое пожаротушение. ВСППКД EL6 секц.2</t>
  </si>
  <si>
    <t>02-02-11</t>
  </si>
  <si>
    <t>Внутренние сети водоотведения. Верхняя станция пассажирской подвесной канатной дороги EL6, секция 2</t>
  </si>
  <si>
    <t>02-02-12</t>
  </si>
  <si>
    <t>Отопление, вентиляция и кондиционирование воздуха. Верхняя станция пассажирской подвесной канатной дороги EL6, секция 2</t>
  </si>
  <si>
    <t>02-02-13</t>
  </si>
  <si>
    <t>Внутренние сети связи. Верхняя станция пассажирской подвесной канатной дороги EL6, секция 2</t>
  </si>
  <si>
    <t>02-02-14</t>
  </si>
  <si>
    <t>Технологические решения (мебель). Верхняя станция пассажирской подвесной канатной дороги EL6</t>
  </si>
  <si>
    <t>02-02-15</t>
  </si>
  <si>
    <t>Система обеспечения пожарной безопасности.Верхняя станция пассажирской подвесной канатной дороги  EL6 секция2</t>
  </si>
  <si>
    <t>02-02-16</t>
  </si>
  <si>
    <t>Система обеспечения пожарной безопасности.Насосная станция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</si>
  <si>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</si>
  <si>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</si>
  <si>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</si>
  <si>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</si>
  <si>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</si>
  <si>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</si>
  <si>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</si>
  <si>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</si>
  <si>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</si>
  <si>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</si>
  <si>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</si>
  <si>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</si>
  <si>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</si>
  <si>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</si>
  <si>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</si>
  <si>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</si>
  <si>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</si>
  <si>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</si>
  <si>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</si>
  <si>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</si>
  <si>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</si>
  <si>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</si>
  <si>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</si>
  <si>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</si>
  <si>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</si>
  <si>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02-03-01</t>
  </si>
  <si>
    <t>Архитектурные решения. Нижняя станция пассажирской подвесной канатной дороги EL6</t>
  </si>
  <si>
    <t>02-03-02</t>
  </si>
  <si>
    <t>Конструктивные и объемно-планировочные решения. Нижняя станция пассажирской подвесной канатной дороги EL6, секция 1.</t>
  </si>
  <si>
    <t>02-03-03</t>
  </si>
  <si>
    <t>Система внутреннего электроснабжения нижней станции пассажирской подвесной_x000D_
канатной дороги EL6.</t>
  </si>
  <si>
    <t>02-03-04</t>
  </si>
  <si>
    <t>Технологические решения (мебель). Нижняя станция пассажирской подвесной канатной дороги EL6</t>
  </si>
  <si>
    <t>7.1</t>
  </si>
  <si>
    <t>7.2</t>
  </si>
  <si>
    <t>7.3</t>
  </si>
  <si>
    <t>7.4</t>
  </si>
  <si>
    <t>04-03-01</t>
  </si>
  <si>
    <t>Конструктивные и объемно-планировочные решения ТП-КД-5.</t>
  </si>
  <si>
    <t>04-03-02</t>
  </si>
  <si>
    <t>Система электроснабжения. Трансформаторная подстанция ТП-КД-5</t>
  </si>
  <si>
    <t>10.1</t>
  </si>
  <si>
    <t>10.2</t>
  </si>
  <si>
    <t>04-04-01</t>
  </si>
  <si>
    <t>Конструктивные и объемно-планировочные решения ТП-КД-6.1.</t>
  </si>
  <si>
    <t>04-04-02</t>
  </si>
  <si>
    <t>Система электроснабжения. Трансформаторная подстанция ТП-КД-6.1</t>
  </si>
  <si>
    <t>11.1</t>
  </si>
  <si>
    <t>11.2</t>
  </si>
  <si>
    <t>06-01-01</t>
  </si>
  <si>
    <t>Наружные сети водоснабжения НВ1</t>
  </si>
  <si>
    <t>06-01-02</t>
  </si>
  <si>
    <t>Наружные сети водоснабжения НВ2</t>
  </si>
  <si>
    <t>06-01-03</t>
  </si>
  <si>
    <t>Резервуары технической воды. Насосные станции. Пассажирская подвесная канатная дорога EL6</t>
  </si>
  <si>
    <t>13.1</t>
  </si>
  <si>
    <t>13.2</t>
  </si>
  <si>
    <t>13.3</t>
  </si>
  <si>
    <t>09-03-01</t>
  </si>
  <si>
    <t>Система электроснабжения. Пусконаладочные работы. Внутриплощадочные сети 10 кВ.</t>
  </si>
  <si>
    <t>09-03-02</t>
  </si>
  <si>
    <t>Система электроснабжения.Пусконаладочные работы.Внутриплощадочные сети 0,4 кВ.</t>
  </si>
  <si>
    <t>09-03-03</t>
  </si>
  <si>
    <t>Система электроснабжения. Пусконаладочные работы.Трансформаторная подстанция ТП-КД-5.</t>
  </si>
  <si>
    <t>09-03-04</t>
  </si>
  <si>
    <t>Система электроснабжения. Пусконаладочные работы. Трансформаторная подстанция ТП-КД-6.</t>
  </si>
  <si>
    <t>09-03-05</t>
  </si>
  <si>
    <t>Автоматическая система пожарной безопасности. Пусконаладочные работы.Пассажирская подвесная канатная дорога.EL6</t>
  </si>
  <si>
    <t>09-03-06</t>
  </si>
  <si>
    <t>Пусконаладочные работы. Автоматическая система пожарной безопасности.ВСППКД EL6 секц.2</t>
  </si>
  <si>
    <t>09-03-07</t>
  </si>
  <si>
    <t>Пусконаладочные работы. Автоматическая система пожарной безопасности. Насосные станции</t>
  </si>
  <si>
    <t>09-03-08</t>
  </si>
  <si>
    <t>Пусконаладочные работы. Автоматическое пожаротушение. ВСППКД EL6 секц.2</t>
  </si>
  <si>
    <t>20.1</t>
  </si>
  <si>
    <t>20.2</t>
  </si>
  <si>
    <t>20.3</t>
  </si>
  <si>
    <t>20.4</t>
  </si>
  <si>
    <t>20.5</t>
  </si>
  <si>
    <t>20.6</t>
  </si>
  <si>
    <t>20.7</t>
  </si>
  <si>
    <t>20.8</t>
  </si>
  <si>
    <t>09-04-01</t>
  </si>
  <si>
    <t>Командирование рабочих</t>
  </si>
  <si>
    <t>09-04-02</t>
  </si>
  <si>
    <t>Перевозка рабочих до места прозводства работ</t>
  </si>
  <si>
    <t>21.1</t>
  </si>
  <si>
    <t>21.2</t>
  </si>
  <si>
    <t>В текущем уровне цен 4 квартала 2019 г., руб. (РД-4,27, ГРО-4,35 СМР-6,99, Оборудование - 4,09, ПНР-12,36, прочие - 10,79 по письмам Минстроя России от 09.12.2019 N 46999-ДВ/09;
от 25.12.2019 № 50583-ДВ/09) с учетом временных зданий и сооружений и удорожания работ в зимнее время.</t>
  </si>
  <si>
    <t>Оборудование</t>
  </si>
  <si>
    <t>Прочие</t>
  </si>
  <si>
    <t>Итого:</t>
  </si>
  <si>
    <t>Всего по ССР с учетом возврата от разборки ВЗиС</t>
  </si>
  <si>
    <t>отклонение (превышение +/
занижение -)</t>
  </si>
  <si>
    <t>Ведомость объемов конструктивных решений (элементов) и комплексов (видов) работ</t>
  </si>
  <si>
    <t>Номера сметных расчетов (смет) и позиций в сметных расчетах (сметах), относящиеся к соответствующим конструктивным решениям (элементам), комплексам (видам) работ</t>
  </si>
  <si>
    <t>Наименование конструктивных решений (элементов), комплексов (видов) работ</t>
  </si>
  <si>
    <t>Единица измерения</t>
  </si>
  <si>
    <t>Количество (объем работ)</t>
  </si>
  <si>
    <t>Примечания</t>
  </si>
  <si>
    <t>Масса единицы, кг</t>
  </si>
  <si>
    <t>Масса всего, кг</t>
  </si>
  <si>
    <t>комплекс</t>
  </si>
  <si>
    <t>1.1</t>
  </si>
  <si>
    <t>Разработка проектной документации (стадия "Рабочая документация")</t>
  </si>
  <si>
    <t>1.2</t>
  </si>
  <si>
    <t>2</t>
  </si>
  <si>
    <t>Строительство (строительно-монтажные работы, оборудование, прочие затраты)</t>
  </si>
  <si>
    <t>2.1</t>
  </si>
  <si>
    <t>2.1.2</t>
  </si>
  <si>
    <t>м3</t>
  </si>
  <si>
    <t>2.2</t>
  </si>
  <si>
    <t>2.2.1</t>
  </si>
  <si>
    <t>2.2.1.1</t>
  </si>
  <si>
    <t>02-01-01 п.1</t>
  </si>
  <si>
    <t>шт.</t>
  </si>
  <si>
    <t>2.2.1.2</t>
  </si>
  <si>
    <t>02-01-01 п.2</t>
  </si>
  <si>
    <t>2.2.1.3</t>
  </si>
  <si>
    <t>Профилактическая подвеска для обслуживания ППКД</t>
  </si>
  <si>
    <t>2.2.1.4</t>
  </si>
  <si>
    <t>02-01-01 п.3</t>
  </si>
  <si>
    <t>Станция верхняя с площадками посадки/высадки</t>
  </si>
  <si>
    <t>Приводная группа в сборе с тележкой, натяжной группой и двигателем, в том числе:</t>
  </si>
  <si>
    <t xml:space="preserve">расценка ФЕРм03-04-005-01 не соответствует монтируемому оборудованию.
</t>
  </si>
  <si>
    <t>2.2.1.5</t>
  </si>
  <si>
    <t>02-01-01 п.4</t>
  </si>
  <si>
    <t>Смещаемая натяжная тележка</t>
  </si>
  <si>
    <t>2.2.1.6</t>
  </si>
  <si>
    <t>Гидравлическое натяжное устройство</t>
  </si>
  <si>
    <t>2.2.1.7</t>
  </si>
  <si>
    <t>Приводной шкив диам. 4900 мм</t>
  </si>
  <si>
    <t>2.2.1.8</t>
  </si>
  <si>
    <t>Двигатель</t>
  </si>
  <si>
    <t>Аварийный привод, в том числе:</t>
  </si>
  <si>
    <t>2.2.1.9</t>
  </si>
  <si>
    <t>02-01-01 п.5</t>
  </si>
  <si>
    <t>Гидравлический тормоз</t>
  </si>
  <si>
    <t>2.2.1.10</t>
  </si>
  <si>
    <t>Аварийный мотор-редуктор</t>
  </si>
  <si>
    <t>2.2.1.11</t>
  </si>
  <si>
    <t>Дизель-генераторная установка</t>
  </si>
  <si>
    <t>Обводная (нижняя) станция</t>
  </si>
  <si>
    <t>2.2.1.12</t>
  </si>
  <si>
    <t>02-01-01 п.6</t>
  </si>
  <si>
    <t>Станция нижняя с площадками посадки/высадки</t>
  </si>
  <si>
    <t>2.2.1.13</t>
  </si>
  <si>
    <t>02-01-01 п.7</t>
  </si>
  <si>
    <t>Обводной шкив диам. 4900 мм</t>
  </si>
  <si>
    <t>Линейные опоры и оборудование</t>
  </si>
  <si>
    <t>2.2.1.14</t>
  </si>
  <si>
    <t>02-01-01 п.9</t>
  </si>
  <si>
    <t>2.2.1.15</t>
  </si>
  <si>
    <t>2.2.1.16</t>
  </si>
  <si>
    <t>2.2.1.17</t>
  </si>
  <si>
    <t>2.2.1.18</t>
  </si>
  <si>
    <t>02-01-01 п.8</t>
  </si>
  <si>
    <t>Балансиры роликовые</t>
  </si>
  <si>
    <t>2.2.1.19</t>
  </si>
  <si>
    <t>2.2.1.20</t>
  </si>
  <si>
    <t>Траверса основная</t>
  </si>
  <si>
    <t>2.2.1.21</t>
  </si>
  <si>
    <t>Траверса технологическая</t>
  </si>
  <si>
    <t>2.2.2</t>
  </si>
  <si>
    <t>2.2.2.1</t>
  </si>
  <si>
    <t>02-01-02 п.1</t>
  </si>
  <si>
    <t>Рыхление гидромолотом на базе экскаватора скального грунта 6 группы</t>
  </si>
  <si>
    <t>2.2.2.2</t>
  </si>
  <si>
    <t>2.2.2.3</t>
  </si>
  <si>
    <t>Обратная засыпка</t>
  </si>
  <si>
    <t>не учтен завоз грунта из временного отвала</t>
  </si>
  <si>
    <t>2.2.2.4</t>
  </si>
  <si>
    <t>02-01-02 п.10-19</t>
  </si>
  <si>
    <t>2.2.2.5</t>
  </si>
  <si>
    <t>2.2.2.6</t>
  </si>
  <si>
    <t>2.2.2.7</t>
  </si>
  <si>
    <t>2.2.3</t>
  </si>
  <si>
    <t>Земляные работы</t>
  </si>
  <si>
    <t>2.2.3.1</t>
  </si>
  <si>
    <t>02-01-03 п.1</t>
  </si>
  <si>
    <t>2.2.3.2</t>
  </si>
  <si>
    <t>2.2.3.3</t>
  </si>
  <si>
    <t>02-01-03 п.3</t>
  </si>
  <si>
    <t>Выемка грунта в отвал</t>
  </si>
  <si>
    <t>2.2.3.4</t>
  </si>
  <si>
    <t>02-01-03 п.6-8</t>
  </si>
  <si>
    <t>2.2.3.5</t>
  </si>
  <si>
    <t>м</t>
  </si>
  <si>
    <t>2.2.3.6</t>
  </si>
  <si>
    <t>Монтажные работы</t>
  </si>
  <si>
    <t>2.2.3.7</t>
  </si>
  <si>
    <t>02-01-03 п.14-15</t>
  </si>
  <si>
    <t>2.2.3.8</t>
  </si>
  <si>
    <t>02-01-03 п.16-17</t>
  </si>
  <si>
    <t>2.2.3.9</t>
  </si>
  <si>
    <t>02-01-03 п.18-19</t>
  </si>
  <si>
    <t>Заземлитель горизонтальный из стали: полосовой оцинкованной сечением 160 мм2</t>
  </si>
  <si>
    <t>2.2.4</t>
  </si>
  <si>
    <t>2.2.4.1</t>
  </si>
  <si>
    <t>2.2.4.2</t>
  </si>
  <si>
    <t>2.2.4.3</t>
  </si>
  <si>
    <t>2.2.4.4</t>
  </si>
  <si>
    <t>2.2.4.5</t>
  </si>
  <si>
    <t>2.3</t>
  </si>
  <si>
    <t>2.3.1</t>
  </si>
  <si>
    <t>2.3.2</t>
  </si>
  <si>
    <t>2.3.2.1</t>
  </si>
  <si>
    <t>2.3.2.2</t>
  </si>
  <si>
    <t>Разработка грунта 6 группы экскаватором в отвал</t>
  </si>
  <si>
    <t>2.3.2.3</t>
  </si>
  <si>
    <t>02-02-02 п.3-5</t>
  </si>
  <si>
    <t>2.3.2.4</t>
  </si>
  <si>
    <t>2.3.2.5</t>
  </si>
  <si>
    <t>2.3.2.6</t>
  </si>
  <si>
    <t>м2</t>
  </si>
  <si>
    <t>2.3.2.7</t>
  </si>
  <si>
    <t>2.3.3</t>
  </si>
  <si>
    <t>2.3.3.1</t>
  </si>
  <si>
    <t>шт</t>
  </si>
  <si>
    <t>2.3.3.2</t>
  </si>
  <si>
    <t>2.3.3.3</t>
  </si>
  <si>
    <t>2.3.3.4</t>
  </si>
  <si>
    <t>2.3.3.5</t>
  </si>
  <si>
    <t>2.3.3.6</t>
  </si>
  <si>
    <t>Кровля</t>
  </si>
  <si>
    <t>2.3.3.7</t>
  </si>
  <si>
    <t>2.3.3.8</t>
  </si>
  <si>
    <t>2.3.3.9</t>
  </si>
  <si>
    <t>2.3.3.10</t>
  </si>
  <si>
    <t>2.3.3.11</t>
  </si>
  <si>
    <t>2.3.3.12</t>
  </si>
  <si>
    <t>2.3.3.13</t>
  </si>
  <si>
    <t>2.3.3.14</t>
  </si>
  <si>
    <t>2.3.4</t>
  </si>
  <si>
    <t>2.3.4.1</t>
  </si>
  <si>
    <t>2.3.5</t>
  </si>
  <si>
    <t>2.3.5.1</t>
  </si>
  <si>
    <t>Вводно-распределительное устройство ~3х380 В, 50 Гц, навесного  исполнения, ВхШхГ 600х600х250 мм, IP31</t>
  </si>
  <si>
    <t>2.3.5.2</t>
  </si>
  <si>
    <t>Распределительный щит ~3х380 В, 50 Гц, навесного исполнения, ВхШхГ 650х500х220 мм, IP54, красный</t>
  </si>
  <si>
    <t>2.3.5.3</t>
  </si>
  <si>
    <t>2.3.5.4</t>
  </si>
  <si>
    <t>2.3.5.5</t>
  </si>
  <si>
    <t>2.3.6</t>
  </si>
  <si>
    <t>2.3.6.1</t>
  </si>
  <si>
    <t>Рабочая станция на металлокаркасе
Габаритные размеры – 2400х600х750 мм
Арт. А4 Б2 003-2 БП
Россия</t>
  </si>
  <si>
    <t>2.3.6.2</t>
  </si>
  <si>
    <t>Шкаф для одежды одностворчатый
Габаритные размеры – 400х500х1860 мм
Арт. 11400
Россия</t>
  </si>
  <si>
    <t>2.3.6.3</t>
  </si>
  <si>
    <t>Кресло
Габаритные размеры – 560х820х1230 мм
Менеджер ТГ
Артикул 3382
Россия</t>
  </si>
  <si>
    <t>2.3.7</t>
  </si>
  <si>
    <t>2.3.7.1</t>
  </si>
  <si>
    <t>2.3.7.2</t>
  </si>
  <si>
    <t>2.3.7.3</t>
  </si>
  <si>
    <t>02-02-07 п.55-81</t>
  </si>
  <si>
    <t>2.3.8</t>
  </si>
  <si>
    <t>2.3.8.1</t>
  </si>
  <si>
    <t>2.3.8.2</t>
  </si>
  <si>
    <t>2.3.8.3</t>
  </si>
  <si>
    <t>2.3.9</t>
  </si>
  <si>
    <t>2.3.9.1</t>
  </si>
  <si>
    <t>2.3.9.2</t>
  </si>
  <si>
    <t>2.4</t>
  </si>
  <si>
    <t>2.4.1</t>
  </si>
  <si>
    <t>2.4.1.1</t>
  </si>
  <si>
    <t>68 м3</t>
  </si>
  <si>
    <t>2.4.2</t>
  </si>
  <si>
    <t>2.4.2.1</t>
  </si>
  <si>
    <t>02-03-02 п.1</t>
  </si>
  <si>
    <t>2.4.2.2</t>
  </si>
  <si>
    <t>Выемка грунта 6 группы в отвал</t>
  </si>
  <si>
    <t>2.4.2.3</t>
  </si>
  <si>
    <t>2.4.2.4</t>
  </si>
  <si>
    <t>2.4.2.5</t>
  </si>
  <si>
    <t>2.4.2.6</t>
  </si>
  <si>
    <t>Отмостка</t>
  </si>
  <si>
    <t>2.4.2.7</t>
  </si>
  <si>
    <t>2.4.2.8</t>
  </si>
  <si>
    <t>2.4.2.9</t>
  </si>
  <si>
    <t>2.4.2.10</t>
  </si>
  <si>
    <t>2.4.3</t>
  </si>
  <si>
    <t>2.4.3.1</t>
  </si>
  <si>
    <t>2.4.3.2</t>
  </si>
  <si>
    <t>2.4.3.3</t>
  </si>
  <si>
    <t>2.4.3.4</t>
  </si>
  <si>
    <t>2.4.3.5</t>
  </si>
  <si>
    <t>2.4.4</t>
  </si>
  <si>
    <t>Система отопления</t>
  </si>
  <si>
    <t>2.4.4.1</t>
  </si>
  <si>
    <t>2.4.4.2</t>
  </si>
  <si>
    <t>2.4.4.3</t>
  </si>
  <si>
    <t>2.4.4.4</t>
  </si>
  <si>
    <t>Система общеобменной вентиляции</t>
  </si>
  <si>
    <t>2.4.5</t>
  </si>
  <si>
    <t>2.4.6</t>
  </si>
  <si>
    <t>2.4.7</t>
  </si>
  <si>
    <t>Автоматическая установка пожарной сигнализации (ВСКД)</t>
  </si>
  <si>
    <t>Система оповещения и управления эвакуацией (ВСКД)</t>
  </si>
  <si>
    <t>ВСКД Структурированная кабельная сеть. Система передачи данных</t>
  </si>
  <si>
    <t>ВСКД Система часофикации</t>
  </si>
  <si>
    <t>2.5</t>
  </si>
  <si>
    <t>2.5.1</t>
  </si>
  <si>
    <t>Фундаментная плита</t>
  </si>
  <si>
    <t>Устройство кабельных вводов</t>
  </si>
  <si>
    <t>Устройство отмостки</t>
  </si>
  <si>
    <t>2.5.2</t>
  </si>
  <si>
    <t>Блочная модульная трансформаторная подстанция 2х1000 кВА в комплекте с 1 силовым тр-орм Trihal-160/10</t>
  </si>
  <si>
    <t>2.6</t>
  </si>
  <si>
    <t>2.6.1</t>
  </si>
  <si>
    <t>04-02-01 п.1</t>
  </si>
  <si>
    <t>2.6.2</t>
  </si>
  <si>
    <t>2.6.3</t>
  </si>
  <si>
    <t>2.6.4</t>
  </si>
  <si>
    <t>2.6.5</t>
  </si>
  <si>
    <t>2.7</t>
  </si>
  <si>
    <t>2.7.1</t>
  </si>
  <si>
    <t>04-03-01 п.1</t>
  </si>
  <si>
    <t>2.7.2</t>
  </si>
  <si>
    <t>2.8</t>
  </si>
  <si>
    <t>2.9</t>
  </si>
  <si>
    <t>Рыхление гидромолотом на базе экскаватора скального грунта 10 группы</t>
  </si>
  <si>
    <t>2.9.10</t>
  </si>
  <si>
    <t>2.10</t>
  </si>
  <si>
    <t>2.10.1</t>
  </si>
  <si>
    <t>2.10.2</t>
  </si>
  <si>
    <t>2.10.3</t>
  </si>
  <si>
    <t>2.11</t>
  </si>
  <si>
    <t>2.12</t>
  </si>
  <si>
    <t>2.13</t>
  </si>
  <si>
    <t>Расчет платы за негативное воздействие на окружающую среду</t>
  </si>
  <si>
    <t>2.14</t>
  </si>
  <si>
    <t>2.15</t>
  </si>
  <si>
    <t>2.16</t>
  </si>
  <si>
    <t>2.17</t>
  </si>
  <si>
    <t>3</t>
  </si>
  <si>
    <t>3.1</t>
  </si>
  <si>
    <t>3.1.1</t>
  </si>
  <si>
    <t>3.1.2</t>
  </si>
  <si>
    <t>3.1.3</t>
  </si>
  <si>
    <t>3.1.4</t>
  </si>
  <si>
    <t>ВСКД</t>
  </si>
  <si>
    <t>НСКД</t>
  </si>
  <si>
    <t>3.2</t>
  </si>
  <si>
    <t>3.3</t>
  </si>
  <si>
    <t>Составил:</t>
  </si>
  <si>
    <t>Проверил:</t>
  </si>
  <si>
    <t>Всесезонный туристско-рекреационный комплекс «Эльбрус», 
Кабардино-Балкарская Республика. Пассажирская подвесная канатная дорога EL6</t>
  </si>
  <si>
    <t>Расчет начальной (максимальной) цены контракта при осуществлении закупки на выполнение подрядных работ по строительству</t>
  </si>
  <si>
    <t>объект:</t>
  </si>
  <si>
    <t>Всесезонный туристско-рекреационный комплекс «Эльбрус», 
Кабардино-Балкарская Республика. Пассажирская подвесная канатная дорога EL3</t>
  </si>
  <si>
    <t>по адресу:</t>
  </si>
  <si>
    <t>гора Эльбрус, Эльбрусский муниципальный район, Кабардино-Балкарская Республика, Российская Федерация</t>
  </si>
  <si>
    <t>Основания для расчета:</t>
  </si>
  <si>
    <r>
      <t>1. Приказ об утверждении проектной документации, включая сводный сметный расчет стоимости строительства от</t>
    </r>
    <r>
      <rPr>
        <sz val="12"/>
        <color rgb="FFFF0000"/>
        <rFont val="Times New Roman"/>
        <family val="1"/>
        <charset val="204"/>
      </rPr>
      <t xml:space="preserve"> __.__.2020 № Пр-20-___.</t>
    </r>
  </si>
  <si>
    <t>2. Заключение Федерального автономного учреждения "Главное управление государственной экспертизы" (ФАУ "ГЛАВГОСЭКСПЕРТИЗА РОССИИ") от 30.03.2020 № в ЕГРЗ 07-1-1-3-009540-2020.</t>
  </si>
  <si>
    <t>3. Утвержденный сводный сметный расчет стоимости строительства "Всесезонный туристско-рекреационный комплекс «Эльбрус», 
Кабардино-Балкарская Республика. Пассажирская подвесная канатная дорога EL3"</t>
  </si>
  <si>
    <t>рублей</t>
  </si>
  <si>
    <t>Стоимость работ в ценах утверждения сметной документации- 4 квартал 2019 г.</t>
  </si>
  <si>
    <t xml:space="preserve">Индекс фактической инфляции* </t>
  </si>
  <si>
    <r>
      <t>Стоимость работ в ценах на дату формирования начальной (максимальной) цены контракта -</t>
    </r>
    <r>
      <rPr>
        <b/>
        <sz val="12"/>
        <color rgb="FFFF0000"/>
        <rFont val="Times New Roman"/>
        <family val="1"/>
        <charset val="204"/>
      </rPr>
      <t xml:space="preserve"> июнь 2020 г.</t>
    </r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</si>
  <si>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</si>
  <si>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</si>
  <si>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30%</t>
  </si>
  <si>
    <t>начало</t>
  </si>
  <si>
    <t>окончание</t>
  </si>
  <si>
    <t>количество дней</t>
  </si>
  <si>
    <t>Непредвиденные работы и затраты</t>
  </si>
  <si>
    <t xml:space="preserve">Подготовительные работы
</t>
  </si>
  <si>
    <t>2.1.1</t>
  </si>
  <si>
    <t>Котлован К1 под НСКД и опору Т01</t>
  </si>
  <si>
    <t>02-01-02 п.2, 5</t>
  </si>
  <si>
    <t>02-01-02 п.3, 4</t>
  </si>
  <si>
    <t>Разработка грунта вручную с погрузкой экскаватором в автосамосвалы</t>
  </si>
  <si>
    <t>нет в проекте.</t>
  </si>
  <si>
    <t>02-01-02 п.6</t>
  </si>
  <si>
    <t>Обратная засыпка вручную</t>
  </si>
  <si>
    <t>2.2.5</t>
  </si>
  <si>
    <t>02-01-02 п.7-9</t>
  </si>
  <si>
    <t>2.2.6</t>
  </si>
  <si>
    <t>2.2.7</t>
  </si>
  <si>
    <t>2.2.8</t>
  </si>
  <si>
    <t>2.2.9</t>
  </si>
  <si>
    <t>2.2.12</t>
  </si>
  <si>
    <t>Фундамент Ф0 НСКД</t>
  </si>
  <si>
    <t>2.2.13</t>
  </si>
  <si>
    <t>Фундамент Ф1 опоры Т01</t>
  </si>
  <si>
    <t>Котлован К2 под опору Т02</t>
  </si>
  <si>
    <t>Котлован К3 под опору Т03</t>
  </si>
  <si>
    <t>2.3.10</t>
  </si>
  <si>
    <t>2.3.11</t>
  </si>
  <si>
    <t>Фундамент Ф2 опоры Т02</t>
  </si>
  <si>
    <t>2.3.12</t>
  </si>
  <si>
    <t>Фундамент Ф3 опоры Т03</t>
  </si>
  <si>
    <t>Фундамент Ф4 опоры Т04</t>
  </si>
  <si>
    <t>Монтаж НСКД (обводной) и линейных опор</t>
  </si>
  <si>
    <t>Система обеспечения пожарной безопасности</t>
  </si>
  <si>
    <t>2.5.3</t>
  </si>
  <si>
    <t>Автоматическая установка пожарной сигнализации</t>
  </si>
  <si>
    <t>2.5.4</t>
  </si>
  <si>
    <t>Система оповещения и управления эвакуацией</t>
  </si>
  <si>
    <t>2.5.5</t>
  </si>
  <si>
    <t>Система оповещения пассажиров канатной дороги</t>
  </si>
  <si>
    <t>Сети связи</t>
  </si>
  <si>
    <t>2.5.6</t>
  </si>
  <si>
    <t>Структурированная кабельная сеть. Система передачи данных</t>
  </si>
  <si>
    <t>2.5.7</t>
  </si>
  <si>
    <t>Система часофикации</t>
  </si>
  <si>
    <t>2.5.8</t>
  </si>
  <si>
    <t>Платежно-пропускная система</t>
  </si>
  <si>
    <t>Комплексная система безопасности</t>
  </si>
  <si>
    <t>2.5.9</t>
  </si>
  <si>
    <t>СОТ</t>
  </si>
  <si>
    <t>2.5.10</t>
  </si>
  <si>
    <t>СОТС</t>
  </si>
  <si>
    <t>2.5.11</t>
  </si>
  <si>
    <t>2.5.12</t>
  </si>
  <si>
    <t>2.5.15</t>
  </si>
  <si>
    <t>2.5.16</t>
  </si>
  <si>
    <t>2.5.17</t>
  </si>
  <si>
    <t>2.5.18</t>
  </si>
  <si>
    <t>2.5.19</t>
  </si>
  <si>
    <t>2.5.20</t>
  </si>
  <si>
    <t>2.5.21</t>
  </si>
  <si>
    <t>2.5.22</t>
  </si>
  <si>
    <t>Монтаж ВСКД (приводной)</t>
  </si>
  <si>
    <t>2.6.6</t>
  </si>
  <si>
    <t>2.6.7</t>
  </si>
  <si>
    <t>2.6.8</t>
  </si>
  <si>
    <t>2.6.9</t>
  </si>
  <si>
    <t>2.6.10</t>
  </si>
  <si>
    <t>2.6.11</t>
  </si>
  <si>
    <t>2.6.12</t>
  </si>
  <si>
    <t>2.6.13</t>
  </si>
  <si>
    <t>2.6.14</t>
  </si>
  <si>
    <t>2.6.15</t>
  </si>
  <si>
    <t>2.6.16</t>
  </si>
  <si>
    <t>2.6.17</t>
  </si>
  <si>
    <t>2.6.18</t>
  </si>
  <si>
    <t>2.6.19</t>
  </si>
  <si>
    <t>2.6.20</t>
  </si>
  <si>
    <t>2.6.21</t>
  </si>
  <si>
    <t>2.6.22</t>
  </si>
  <si>
    <t>2.6.23</t>
  </si>
  <si>
    <t>2.6.24</t>
  </si>
  <si>
    <t>2.8.1</t>
  </si>
  <si>
    <t>2.8.1.1</t>
  </si>
  <si>
    <t>2.8.1.2</t>
  </si>
  <si>
    <t>т</t>
  </si>
  <si>
    <t>Архитектурные решения</t>
  </si>
  <si>
    <t>2.8.1.3</t>
  </si>
  <si>
    <t>2.8.1.4</t>
  </si>
  <si>
    <t>2.8.1.5</t>
  </si>
  <si>
    <t>2.8.1.6</t>
  </si>
  <si>
    <t>2.8.1.7</t>
  </si>
  <si>
    <t>2.8.1.8</t>
  </si>
  <si>
    <t>2.8.1.9</t>
  </si>
  <si>
    <t>Система электроснабжения</t>
  </si>
  <si>
    <t>2.8.2</t>
  </si>
  <si>
    <t>Конструктивные и объемно-планировочные решения</t>
  </si>
  <si>
    <t>2.8.2.1</t>
  </si>
  <si>
    <t>Отопление и вентиляция</t>
  </si>
  <si>
    <t>2.8.2.33</t>
  </si>
  <si>
    <t>2.8.2.34</t>
  </si>
  <si>
    <t>2.8.2.35</t>
  </si>
  <si>
    <t>2.8.2.36</t>
  </si>
  <si>
    <t>2.9.11</t>
  </si>
  <si>
    <t>Выемка грунта 6 группы с вывозом во временный отвал</t>
  </si>
  <si>
    <t>2.9.12</t>
  </si>
  <si>
    <t>2.9.13</t>
  </si>
  <si>
    <t>2.9.14</t>
  </si>
  <si>
    <t>2.9.15</t>
  </si>
  <si>
    <t>2.9.16</t>
  </si>
  <si>
    <t>2.9.17</t>
  </si>
  <si>
    <t>2.9.18</t>
  </si>
  <si>
    <t>2.12.1</t>
  </si>
  <si>
    <t>2.12.2</t>
  </si>
  <si>
    <t>2.12.3</t>
  </si>
  <si>
    <t>2.12.4</t>
  </si>
  <si>
    <t>2.12.5</t>
  </si>
  <si>
    <t>2.12.6</t>
  </si>
  <si>
    <t>2.12.7</t>
  </si>
  <si>
    <t>2.12.8</t>
  </si>
  <si>
    <t>2.12.9</t>
  </si>
  <si>
    <t>2.12.10</t>
  </si>
  <si>
    <t>2.12.11</t>
  </si>
  <si>
    <t>2.12.12</t>
  </si>
  <si>
    <t>2.12.13</t>
  </si>
  <si>
    <t>2.12.14</t>
  </si>
  <si>
    <t>2.12.15</t>
  </si>
  <si>
    <t>2.12.16</t>
  </si>
  <si>
    <t xml:space="preserve">Монтаж кресел </t>
  </si>
  <si>
    <t>2.13.1</t>
  </si>
  <si>
    <t>2.13.2</t>
  </si>
  <si>
    <t>2.17.1</t>
  </si>
  <si>
    <t>2.17.2</t>
  </si>
  <si>
    <t>Проживание и суточные</t>
  </si>
  <si>
    <t>2.18</t>
  </si>
  <si>
    <t>2.20</t>
  </si>
  <si>
    <t>02-01-01 п.10</t>
  </si>
  <si>
    <t>2.21</t>
  </si>
  <si>
    <t>3.2.1</t>
  </si>
  <si>
    <t>3.2.1.1</t>
  </si>
  <si>
    <t>3.2.1.2</t>
  </si>
  <si>
    <t>3.2.2</t>
  </si>
  <si>
    <t>3.2.3</t>
  </si>
  <si>
    <t>3.3.1</t>
  </si>
  <si>
    <t>3.3.2</t>
  </si>
  <si>
    <t>3.4</t>
  </si>
  <si>
    <t>Стоимость без учета НДС</t>
  </si>
  <si>
    <t>НДС-20%</t>
  </si>
  <si>
    <t>Стоимость с учетом НДС</t>
  </si>
  <si>
    <t>проверка</t>
  </si>
  <si>
    <t>*Индекс фактической инфляции по данным Росстата ("Строительство ", Кабардино-Балкарская республика) от цен утверждения сметной документации до даты формирования НМЦК (1,0312*1,0258*1,0358*1,0253*1)=</t>
  </si>
  <si>
    <t xml:space="preserve">Примечания: </t>
  </si>
  <si>
    <t>1) поскольку индекс фактической инфляции за май 2020 отсутствует на момент формирования НМЦК, то он принимается равным 1.</t>
  </si>
  <si>
    <t>2) инфляция для затрат на проживание и суточные не начисляется, поскольку размер суточных и проживания ограничен Постановлением Правительства РФ № 729 от 02.10.2002</t>
  </si>
  <si>
    <t>Смета №12-02</t>
  </si>
  <si>
    <t>Монтаж и счалка каната тягово-несущего кольцевой пассажирской подвесной канатной дороги диам. 46 мм</t>
  </si>
  <si>
    <t>10-местные гондолы ППКД</t>
  </si>
  <si>
    <r>
      <t xml:space="preserve">Расценка не соответствует монтируемому оборудованию. Расценить по ФЕРм03-04-007-01.
</t>
    </r>
    <r>
      <rPr>
        <b/>
        <sz val="10"/>
        <rFont val="Arial Cyr"/>
        <charset val="204"/>
      </rPr>
      <t>Завышение стоимости
(97608-51003)*(1,023*1,005-2,3%*15%)*6,99*1,2=400565 руб.</t>
    </r>
  </si>
  <si>
    <r>
      <t xml:space="preserve">Не учтен коэффициент корректировки по массе оборудования.
</t>
    </r>
    <r>
      <rPr>
        <b/>
        <sz val="10"/>
        <rFont val="Arial Cyr"/>
        <charset val="204"/>
      </rPr>
      <t>Завышение стоимости (1815-1542)**(1,023*1,005-2,3%*15%)*6,99*1,2=2346 руб.</t>
    </r>
  </si>
  <si>
    <r>
      <t xml:space="preserve"> Необоснованно учтен коэффициент "ОП п.1.3.19, Прил.3.1 При уклоне местности более 15 до 30 градусов: оборудование опор и станций ОЗП=1,3; ЭМ=1,3 к расх.; ЗПМ=1,3; ТЗ=1,3; ТЗМ=1,3"
</t>
    </r>
    <r>
      <rPr>
        <b/>
        <sz val="10"/>
        <rFont val="Arial Cyr"/>
        <charset val="204"/>
      </rPr>
      <t>Завышение стоимости составляет (197776-158923)*(1,023*1,005-2,3%*15%)*6,99=278281 руб.</t>
    </r>
  </si>
  <si>
    <r>
      <t>Завышение стоимости монтажа тележка+натяжное устройство= (37340-10755)*(1,023*1,005-2,3%*15%)*6,99*1,2=</t>
    </r>
    <r>
      <rPr>
        <b/>
        <sz val="10"/>
        <rFont val="Arial Cyr"/>
        <charset val="204"/>
      </rPr>
      <t>228495</t>
    </r>
    <r>
      <rPr>
        <sz val="10"/>
        <rFont val="Arial Cyr"/>
        <charset val="204"/>
      </rPr>
      <t xml:space="preserve"> руб.
ФЕРм03-04-022-10</t>
    </r>
  </si>
  <si>
    <r>
      <t>Завышение стоимости монтажа:
шкив =(29556-9449)*(1,023*1,005-2,3%*15%)*6,99*1,2=</t>
    </r>
    <r>
      <rPr>
        <b/>
        <sz val="10"/>
        <rFont val="Arial Cyr"/>
        <charset val="204"/>
      </rPr>
      <t>172817</t>
    </r>
    <r>
      <rPr>
        <sz val="10"/>
        <rFont val="Arial Cyr"/>
        <charset val="204"/>
      </rPr>
      <t xml:space="preserve"> руб. (ФЕРм03-04-022-06)
</t>
    </r>
  </si>
  <si>
    <r>
      <t>Завышение стоимости монтажа:
двигатель =(59468-19945)*(1,023*1,005-2,3%*15%)*6,99*1,2=</t>
    </r>
    <r>
      <rPr>
        <b/>
        <sz val="10"/>
        <rFont val="Arial Cyr"/>
        <charset val="204"/>
      </rPr>
      <t>339696</t>
    </r>
    <r>
      <rPr>
        <sz val="10"/>
        <rFont val="Arial Cyr"/>
        <charset val="204"/>
      </rPr>
      <t xml:space="preserve"> руб. (ФЕРм03-04-022-01)
</t>
    </r>
  </si>
  <si>
    <r>
      <t xml:space="preserve"> Необоснованно учтен коэффициент "ОП п.1.3.19, Прил.3.1 При уклоне местности более 15 до 30 градусов: оборудование опор и станций ОЗП=1,3; ЭМ=1,3 к расх.; ЗПМ=1,3; ТЗ=1,3; ТЗМ=1,3"
</t>
    </r>
    <r>
      <rPr>
        <b/>
        <sz val="10"/>
        <rFont val="Arial Cyr"/>
        <charset val="204"/>
      </rPr>
      <t>Завышение стоимости составляет (98888-79462)*(1,023*1,005-2,3%*15%)*6,99=139137 руб.</t>
    </r>
  </si>
  <si>
    <r>
      <t>учтен вес монтажа 3,7 т
Занижение стоимости =(6985-8033)*(1,023*1,005-2,3%*15%)*6,99*1,2=</t>
    </r>
    <r>
      <rPr>
        <b/>
        <sz val="10"/>
        <rFont val="Arial Cyr"/>
        <charset val="204"/>
      </rPr>
      <t xml:space="preserve">-9007 </t>
    </r>
    <r>
      <rPr>
        <sz val="10"/>
        <rFont val="Arial Cyr"/>
        <charset val="204"/>
      </rPr>
      <t>руб.</t>
    </r>
  </si>
  <si>
    <t>2.5.23</t>
  </si>
  <si>
    <t>2.5.24</t>
  </si>
  <si>
    <t>02-01-01 п.11</t>
  </si>
  <si>
    <t>Опора линейная T01, высота 12,13 м</t>
  </si>
  <si>
    <t>Опора линейная T02, высота 21,35 м</t>
  </si>
  <si>
    <t>Опора линейная T03, высота 19,00 м</t>
  </si>
  <si>
    <t>Опора линейная T04, высота 26,30 м</t>
  </si>
  <si>
    <t>Опора линейная T05, высота 21,50 м</t>
  </si>
  <si>
    <t>Опора линейная T06, высота 10,98 м</t>
  </si>
  <si>
    <t>Рабочая площадка</t>
  </si>
  <si>
    <t>масса балансиров в спецификации и в смете не соответствует проекту. По проекту балансиры разные, соответственно, они должны иметь разную массу.
Расценка ФЕР09-06-010-05 не соответствует монтируемому оборудованию.</t>
  </si>
  <si>
    <t>Шеф-монтаж оборудования ППКД EL6</t>
  </si>
  <si>
    <t>02-01-01 п.12</t>
  </si>
  <si>
    <t>К1</t>
  </si>
  <si>
    <t>выемка</t>
  </si>
  <si>
    <t>обратная засыпка</t>
  </si>
  <si>
    <t>К2</t>
  </si>
  <si>
    <t>К3</t>
  </si>
  <si>
    <t>К4</t>
  </si>
  <si>
    <t>К5</t>
  </si>
  <si>
    <t>К6</t>
  </si>
  <si>
    <t>засыпка щебнем из местных гп</t>
  </si>
  <si>
    <t>Итого</t>
  </si>
  <si>
    <t>разработка грунта вручную с вывозом во временный отвал</t>
  </si>
  <si>
    <t>обратная засыпка вручную</t>
  </si>
  <si>
    <t>нет в проекте</t>
  </si>
  <si>
    <t>Фундаменты опор Т02, Т03, Т04, Т05</t>
  </si>
  <si>
    <t>Земляные работы (Котлован К6 под опору Т06 и ВСКД)</t>
  </si>
  <si>
    <t>Фундамент Ф5 опоры Т05</t>
  </si>
  <si>
    <t>Котлован К4 под опору Т04</t>
  </si>
  <si>
    <t>Котлован К5 под опору Т05</t>
  </si>
  <si>
    <t>Фундамент Ф6 опоры Т06</t>
  </si>
  <si>
    <t>Фундамент Ф7 ВСКД</t>
  </si>
  <si>
    <t>Обратная засыпка бульдозером с уплотнением пневматическими трамбовками</t>
  </si>
  <si>
    <t>по проекту</t>
  </si>
  <si>
    <t>по смете</t>
  </si>
  <si>
    <t>443 м3</t>
  </si>
  <si>
    <t>02-01-02 п.20-30</t>
  </si>
  <si>
    <t>60 м3</t>
  </si>
  <si>
    <t>02-01-02 п.31-41</t>
  </si>
  <si>
    <t>73 м3</t>
  </si>
  <si>
    <t>02-01-02 п.42-52</t>
  </si>
  <si>
    <t>120 м3</t>
  </si>
  <si>
    <t>02-01-02 п.53-63</t>
  </si>
  <si>
    <t>124 м3</t>
  </si>
  <si>
    <t>02-01-02 п.64-74</t>
  </si>
  <si>
    <t>103 м3</t>
  </si>
  <si>
    <t>02-01-02 п.75-85</t>
  </si>
  <si>
    <t>54 м3</t>
  </si>
  <si>
    <t>02-01-02 п.86-96</t>
  </si>
  <si>
    <t>земля</t>
  </si>
  <si>
    <t>гидромолот</t>
  </si>
  <si>
    <t>выемка 6 группы с вывозом в отвал</t>
  </si>
  <si>
    <t>вручную</t>
  </si>
  <si>
    <t>обрат засыпка вручную</t>
  </si>
  <si>
    <t>02-01-03 п.2, 4, 5</t>
  </si>
  <si>
    <t>Прокладка трубопровода из трубы гладкой жесткой ПВХ DKC диам. 50 мм</t>
  </si>
  <si>
    <t>02-01-03 п.9-12</t>
  </si>
  <si>
    <t>Прокладка трубопровода из трубы ПВХ электротехнической тяжелой д.160 мм</t>
  </si>
  <si>
    <t>02-01-03 п.9-11, 13</t>
  </si>
  <si>
    <t>Кабель ВВГнг-LS 1 кВ 4х70 мм2 (в проложенных трубах, блоках и коробах)</t>
  </si>
  <si>
    <t>Кабель ВВГнг-LS 1 кВ 4х240 мм2 (в проложенных трубах, блоках и коробах)</t>
  </si>
  <si>
    <t>Конвектор электрический настенный N=750 Вт,  EPHBMM07PR</t>
  </si>
  <si>
    <t>Конвектор электрический настенный N=1500 Вт, EPHBM15PR</t>
  </si>
  <si>
    <t>Конвектор электрический настенный N=1000 Вт, EPHBMM10PR</t>
  </si>
  <si>
    <t>Конвектор электрический настенный N=500 Вт, EPHBMM05PR</t>
  </si>
  <si>
    <t>02-01-04 п.1, 2</t>
  </si>
  <si>
    <t>02-01-04 п.1, 3</t>
  </si>
  <si>
    <t>02-01-04 п.1, 4</t>
  </si>
  <si>
    <t>02-01-04 п.5, 6</t>
  </si>
  <si>
    <t>02-01-04 п.7-12</t>
  </si>
  <si>
    <t>02-01-05 п.1-51</t>
  </si>
  <si>
    <t>02-01-05 п.52-61</t>
  </si>
  <si>
    <t>02-01-05 п.62-105</t>
  </si>
  <si>
    <t>02-01-05 п.106-115</t>
  </si>
  <si>
    <t>02-01-05 п.116-146</t>
  </si>
  <si>
    <t>02-01-05 п.147-161</t>
  </si>
  <si>
    <t>Сети связи. Насосные станции</t>
  </si>
  <si>
    <t>02-01-06 п.1-50</t>
  </si>
  <si>
    <t>02-01-06 п.51-90</t>
  </si>
  <si>
    <t>02-01-06 п.91-131</t>
  </si>
  <si>
    <t>02-01-06 п.132-171</t>
  </si>
  <si>
    <t>02-01-07 п.1-57</t>
  </si>
  <si>
    <t>02-01-07 п.58-65</t>
  </si>
  <si>
    <t>02-01-07 п.66-104</t>
  </si>
  <si>
    <t>02-01-07 п.105-112</t>
  </si>
  <si>
    <t>Насосные станции 1-го, 2-го подъема воды, пожаротушения</t>
  </si>
  <si>
    <t>02-01-07 п.113-142</t>
  </si>
  <si>
    <t>02-01-07 п.143-148</t>
  </si>
  <si>
    <t>СООКД</t>
  </si>
  <si>
    <t>02-01-07 п.149-198</t>
  </si>
  <si>
    <t>СКУД</t>
  </si>
  <si>
    <t>02-01-07 п.199-221</t>
  </si>
  <si>
    <t>02-01-07 п.222-249</t>
  </si>
  <si>
    <t>Зона защиты опоры Т04</t>
  </si>
  <si>
    <t>Устройство гибких снегоудерживающих барьеров SPIDER Avalanche DK3.5 N 3.2</t>
  </si>
  <si>
    <t>Устройство микросвай ГЕОКРЕП 40/16 L=21м</t>
  </si>
  <si>
    <t>Устройство микросвай ГЕОКРЕП 40/16 L=24 м</t>
  </si>
  <si>
    <t>Устройство микросвай ГЕОКРЕП 40/16 L=27 м</t>
  </si>
  <si>
    <t>Устройство микросвай ГЕОКРЕП 40/16 L=30 м</t>
  </si>
  <si>
    <t>Устройство водоотводной канавы из габионов ГСИ</t>
  </si>
  <si>
    <t>02-01-08 п.1-14</t>
  </si>
  <si>
    <t>02-01-08 п.15-27</t>
  </si>
  <si>
    <t>02-01-08 п.28-40</t>
  </si>
  <si>
    <t>в ВОР 10 шт.</t>
  </si>
  <si>
    <t>02-01-08 п.41-53</t>
  </si>
  <si>
    <t>02-01-08 п.54-66</t>
  </si>
  <si>
    <t>Оборка горных склонов, тип склона: средней крутизны</t>
  </si>
  <si>
    <t>02-01-08 п.67-71</t>
  </si>
  <si>
    <t>02-01-08 п.73</t>
  </si>
  <si>
    <t>Зона защиты опоры Т03</t>
  </si>
  <si>
    <t>Устройство гибких снегоудерживающие барьеров SPIDER Avalanche Dk3.5 N3.2</t>
  </si>
  <si>
    <t>Устройство микросвай ГЕОКРЕП 40/16 L=21 м</t>
  </si>
  <si>
    <t>02-01-08 п.74-87</t>
  </si>
  <si>
    <t>02-01-08 п.88-100</t>
  </si>
  <si>
    <t>02-01-08 п.101-113</t>
  </si>
  <si>
    <t>02-01-08 п.114-126</t>
  </si>
  <si>
    <t>02-01-08 п.127-139</t>
  </si>
  <si>
    <t>02-01-08 п.140</t>
  </si>
  <si>
    <t>нет в ВОР</t>
  </si>
  <si>
    <t>Работы по берегоукреплению ручья</t>
  </si>
  <si>
    <t>Зона защиты опоры Т02</t>
  </si>
  <si>
    <t>Устройство каменной наброски из горной массы камень кр. 0,6 м h=1,8м (местный материал)</t>
  </si>
  <si>
    <t>Устройство обратного фильтра из щебня фр 120-150 мм h=0,3 м фр 90-120 мм M800 F200</t>
  </si>
  <si>
    <t>Разработка грунта экскаватором с вывозом во временный отвал (2 кат.)</t>
  </si>
  <si>
    <t>02-01-08 п.141, 142</t>
  </si>
  <si>
    <t>02-01-08 п.143, 144</t>
  </si>
  <si>
    <t>02-01-08 п.145-149</t>
  </si>
  <si>
    <t>02-01-09 п.7-19</t>
  </si>
  <si>
    <t>02-02-01 п.1-11</t>
  </si>
  <si>
    <t>779,5 м2</t>
  </si>
  <si>
    <t>02-02-01 п.12-21</t>
  </si>
  <si>
    <t>02-02-01 п.22-33</t>
  </si>
  <si>
    <t>Окна</t>
  </si>
  <si>
    <t>02-02-01 п.34-36</t>
  </si>
  <si>
    <t>Двери и ворота</t>
  </si>
  <si>
    <t>77,3+4,8+8,64=90,74 м2</t>
  </si>
  <si>
    <t>02-02-01 п.37-45</t>
  </si>
  <si>
    <t>Ограждения</t>
  </si>
  <si>
    <t>02-02-01 п.46-47</t>
  </si>
  <si>
    <t>Полы (обработка составом типа Master пол)</t>
  </si>
  <si>
    <t>02-02-01 п.48</t>
  </si>
  <si>
    <t>Блок контейнер - операторская 3х5х2.7м</t>
  </si>
  <si>
    <t>Блок контейнер - электрощитовая 3х5х2.7м</t>
  </si>
  <si>
    <t>02-02-01 п.49, 50</t>
  </si>
  <si>
    <t>02-02-01 п.49, 51</t>
  </si>
  <si>
    <t>02-02-01 п.52</t>
  </si>
  <si>
    <t>Облицовка стен контейнеров импрегнированной доской</t>
  </si>
  <si>
    <t>Уплотнение деформационного шва гидрошпонкой ГП160</t>
  </si>
  <si>
    <t>Отделка фасада. Цоколь</t>
  </si>
  <si>
    <t>02-02-02 п.1, 2</t>
  </si>
  <si>
    <t>Теплоизоляция стен плитами Пеноплэкс-35 толщ.0,1 м на клее с креплением дюбелями</t>
  </si>
  <si>
    <t>02-02-02 п.6-20</t>
  </si>
  <si>
    <t>Утепление фундамента</t>
  </si>
  <si>
    <t>Цоколь (огрунтовка поверхности, наплавляемая гидроизоляция ЭПП, теплоизоляция плитами пеноплэкс-35 толщ.0,1 м, устройство каркаса из сетки, облицовка плитами из природного камня толщ. 30 мм, устройство цокольной планки и оконных отливов)</t>
  </si>
  <si>
    <t>Наружная отделка стен</t>
  </si>
  <si>
    <t>Установка и разборка наружных инвентарных лесов</t>
  </si>
  <si>
    <t>02-02-02 п.21-23</t>
  </si>
  <si>
    <t>Тип 1 (вентилируемый фасад: металлический каркас, гидроветрозащитная мембрана, теплоизоляция Венти Баттс толщ.250 мм, Фиброцементная панель Konoshima 3030х455х18 мм)</t>
  </si>
  <si>
    <t>02-02-02 п.24-30</t>
  </si>
  <si>
    <t>Тип 2 (теплоизоляция Пеноплэкс-35 толщ.250 мм, гидроветрозащитная мембрана, асбестоцементные листы по направляющему профилю, облицовка покрытием с двойным стоячим фальцем)</t>
  </si>
  <si>
    <t>02-02-02 п.31-37</t>
  </si>
  <si>
    <t>Тип 3 Стена-окно ОК5-ОК27 и витраж В1-В4 (отливы)</t>
  </si>
  <si>
    <t>02-02-02 п.38</t>
  </si>
  <si>
    <t>Тип 4 (Стена) Пол-дверь Д1-Д8, витраж В5, ВП1 (цементная стяжка 60 мм, покрытие из гранитных плит толщ. 0,2 м)</t>
  </si>
  <si>
    <t>02-02-02 п.39-45</t>
  </si>
  <si>
    <t>Откосы витражей, окон и дверей</t>
  </si>
  <si>
    <t>02-02-02 п.46</t>
  </si>
  <si>
    <t>Прочие работы. Терраса. Козырек. Отмостка.</t>
  </si>
  <si>
    <t>Терраса, ограждения</t>
  </si>
  <si>
    <t>Настил из ПВЛ 306х1000х1800</t>
  </si>
  <si>
    <t>02-02-02 п.47, 48</t>
  </si>
  <si>
    <t>02-02-02 п.49</t>
  </si>
  <si>
    <t>Металлические ограждения</t>
  </si>
  <si>
    <t>Козырек над входом (Фальц двойной стоячий Line Grand Line 0,5 мм Quarzit с пленкой на замках RAL 7024 мокрый асфальт)</t>
  </si>
  <si>
    <t>02-02-02 п.50-52</t>
  </si>
  <si>
    <t>Подстилающий слой из щебня М800 фр.20-40 мм</t>
  </si>
  <si>
    <t>02-02-02 п.53-54</t>
  </si>
  <si>
    <t>Изоляция плитами Пеноплэкс-35 толщ. 0,1 м</t>
  </si>
  <si>
    <t>02-02-02 п.55-56</t>
  </si>
  <si>
    <t>Бетонная подготовка</t>
  </si>
  <si>
    <t>02-02-02 п.57-59</t>
  </si>
  <si>
    <t>02-02-02 п.60-71</t>
  </si>
  <si>
    <r>
      <t xml:space="preserve">Теплая кровля (тип 1)
</t>
    </r>
    <r>
      <rPr>
        <i/>
        <sz val="10"/>
        <rFont val="Arial"/>
        <family val="2"/>
        <charset val="204"/>
      </rPr>
      <t>теплоизоляция Руф Баттс в 2 слоя толщ.0,1 и 0,15 м, кровельная мембрана Изостронг АМ,
покрытие из цементно-стружечных плит,
кровельная мембрана Tyvek Solid,
кровельное покрытие "Фальц двойной стоячий Line Grand Line 0,5 мм Quarzit с пленкой на замках RAL 7024 мокрый асфальт"</t>
    </r>
  </si>
  <si>
    <r>
      <t xml:space="preserve">Обшивка выходов труб на крыше
</t>
    </r>
    <r>
      <rPr>
        <i/>
        <sz val="10"/>
        <rFont val="Arial"/>
        <family val="2"/>
        <charset val="204"/>
      </rPr>
      <t>Фальц двойной стоячий Line Grand Line 0,5 мм Quarzit с пленкой на замках RAL 7024 мокрый асфальт</t>
    </r>
  </si>
  <si>
    <t>02-02-02 п.72-77</t>
  </si>
  <si>
    <t>02-02-02 п.78-81</t>
  </si>
  <si>
    <r>
      <t xml:space="preserve">Холодная кровля (тип 2)
</t>
    </r>
    <r>
      <rPr>
        <i/>
        <sz val="10"/>
        <rFont val="Arial"/>
        <family val="2"/>
        <charset val="204"/>
      </rPr>
      <t>покрытие из цементно-стружечных плит
Кровельная мембрана Tyvek Solid
кровельное покрытие "Фальц двойной стоячий Line Grand Line 0,5 мм Quarzit с пленкой на замках RAL 7024 мокрый асфальт"</t>
    </r>
  </si>
  <si>
    <t>Снегозадержатель трубчатый Grand Line 3,0м</t>
  </si>
  <si>
    <t>02-02-02 п.82-83</t>
  </si>
  <si>
    <t>02-02-02 п.84-85</t>
  </si>
  <si>
    <t>Лестница вертикальная П1-1, L=6300мм ГОСТ 53254-2009</t>
  </si>
  <si>
    <t>Устройство водостока наружного</t>
  </si>
  <si>
    <t>02-02-02 п.86-93</t>
  </si>
  <si>
    <t>Устройство мелких покрытий (карнизная планка, оголовки труб) и обделок (конек, аэратор коньковый, вентпрогон опорный для фальца)</t>
  </si>
  <si>
    <t>02-02-02 п.94-98</t>
  </si>
  <si>
    <t>Проёмы</t>
  </si>
  <si>
    <t>Витражи алюминиевые</t>
  </si>
  <si>
    <t>02-02-02 п.99-100</t>
  </si>
  <si>
    <t>цена многократно завышена!</t>
  </si>
  <si>
    <t>Блоки оконные с двухкамерным стеклопакетом</t>
  </si>
  <si>
    <t>02-02-02 п.101-106</t>
  </si>
  <si>
    <t>Доски подоконные ПВХ, шириной: 300 мм</t>
  </si>
  <si>
    <t>02-02-02 п.107-108</t>
  </si>
  <si>
    <t>Двери наружные</t>
  </si>
  <si>
    <t>02-02-02 п.109-114</t>
  </si>
  <si>
    <t>Двери внутренние</t>
  </si>
  <si>
    <t>02-02-02 п.115-122</t>
  </si>
  <si>
    <t>Внутренняя отделка. Полы</t>
  </si>
  <si>
    <t>Конструкции полов на отм. +0.000</t>
  </si>
  <si>
    <r>
      <t xml:space="preserve">Тип 1
</t>
    </r>
    <r>
      <rPr>
        <i/>
        <sz val="10"/>
        <rFont val="Arial"/>
        <family val="2"/>
        <charset val="204"/>
      </rPr>
      <t>пленка полиэтиленовая 0,2-0,5 мм
плиты пеноплэкс-35 толщ. 50 мм
пленка полиэтиленовая 0,2-0,5 мм
стяжка цементная армированная толщ. 70 мм
ковролин</t>
    </r>
  </si>
  <si>
    <t>02-02-02 п.123-136</t>
  </si>
  <si>
    <r>
      <t xml:space="preserve">Тип 2
</t>
    </r>
    <r>
      <rPr>
        <i/>
        <sz val="10"/>
        <rFont val="Arial"/>
        <family val="2"/>
        <charset val="204"/>
      </rPr>
      <t>пленка полиэтиленовая 0,2-0,5 мм
плиты пеноплэкс-35 толщ. 50 мм
пленка полиэтиленовая 0,2-0,5 мм
стяжка цементная толщ. 43 мм
основание из фанеры ФК толщ.12 мм, огрунтованное составом "Нортекс-грунт"
Ламинат "TARKETT FIESTA 832" (32 класс, размер 1292х194 мм, толщина 8 мм, тиснение)</t>
    </r>
  </si>
  <si>
    <t>02-02-02 п.137-151</t>
  </si>
  <si>
    <t>02-02-02 п.152-169</t>
  </si>
  <si>
    <r>
      <t xml:space="preserve">Тип 3
</t>
    </r>
    <r>
      <rPr>
        <i/>
        <sz val="10"/>
        <rFont val="Arial"/>
        <family val="2"/>
        <charset val="204"/>
      </rPr>
      <t>пленка полиэтиленовая 0,2-0,5 мм
плиты пеноплэкс-35 толщ. 50 мм
пленка полиэтиленовая 0,2-0,5 мм
стяжка цементная армированная толщ. 70 мм
Огрунтовка weber floor 4712
Стяжка из выравнивающей смеси weber floor 4601 толщ.6 мм
Огрунтовка weber floor 4712
Наливное полимерцементное покрытие толщ. 4 мм</t>
    </r>
  </si>
  <si>
    <r>
      <t xml:space="preserve">Тип 4
</t>
    </r>
    <r>
      <rPr>
        <i/>
        <sz val="10"/>
        <rFont val="Arial"/>
        <family val="2"/>
        <charset val="204"/>
      </rPr>
      <t>пленка полиэтиленовая 0,2-0,5 мм
плиты пеноплэкс-35 толщ. 50 мм
пленка полиэтиленовая 0,2-0,5 мм
стяжка цементная армированная толщ. 70 мм
Стяжка из выравнивающей смеси weber floor 4601 толщ. 6 мм
Огрунтовка weber floor 4712
Наливное полимерцементное покрытие толщ. 4 мм</t>
    </r>
  </si>
  <si>
    <t>02-02-02 п.170-186</t>
  </si>
  <si>
    <r>
      <t xml:space="preserve">Тип 5
</t>
    </r>
    <r>
      <rPr>
        <i/>
        <sz val="10"/>
        <rFont val="Arial"/>
        <family val="2"/>
        <charset val="204"/>
      </rPr>
      <t>пленка полиэтиленовая 0,2-0,5 мм
плиты пеноплэкс-35 толщ. 50 мм
гидроизоляция "Стеклогидроизол ЭКП"
гидроизоляция "Стеклогидроизол ЭПП"
стяжка цементная армированная толщ. 60 мм
керамическая плитка</t>
    </r>
  </si>
  <si>
    <t>02-02-02 п.187-201</t>
  </si>
  <si>
    <r>
      <t xml:space="preserve">Тип 6
</t>
    </r>
    <r>
      <rPr>
        <i/>
        <sz val="10"/>
        <rFont val="Arial"/>
        <family val="2"/>
        <charset val="204"/>
      </rPr>
      <t>пленка полиэтиленовая 0,2-0,5 мм
плиты пеноплэкс-35 толщ. 50 мм
гидроизоляция "Стеклогидроизол ЭКП"
гидроизоляция "Стеклогидроизол ЭПП"
стяжка цементная армированная с разуклонкой толщ. 30-60 мм
керамическая плитка</t>
    </r>
  </si>
  <si>
    <t>02-02-02 п.202-216</t>
  </si>
  <si>
    <r>
      <t xml:space="preserve">Тип 7
</t>
    </r>
    <r>
      <rPr>
        <i/>
        <sz val="10"/>
        <rFont val="Arial"/>
        <family val="2"/>
        <charset val="204"/>
      </rPr>
      <t>пленка полиэтиленовая 0,2-0,5 мм
плиты пеноплэкс-35 толщ. 50 мм
пленка полиэтиленовая 0,2-0,5 мм
стяжка цементная армированная толщ. 70 мм
Стяжка из выравнивающей смеси weber floor 4601 толщ. 6 мм
Огрунтовка weber floor 4712
Наливное полимерцементное покрытие толщ. 4 мм</t>
    </r>
  </si>
  <si>
    <t>02-02-02 п.217-233</t>
  </si>
  <si>
    <r>
      <t xml:space="preserve">Тип 8
</t>
    </r>
    <r>
      <rPr>
        <i/>
        <sz val="10"/>
        <rFont val="Arial"/>
        <family val="2"/>
        <charset val="204"/>
      </rPr>
      <t>пленка полиэтиленовая 0,2-0,5 мм
плиты пеноплэкс-35 толщ. 50 мм
пленка полиэтиленовая 0,2-0,5 мм
стяжка цементная армированная толщ. 70 мм
Огрунтовка weber floor 4712
Стяжка из выравнивающей смеси weber floor 4601 толщ. 6 мм
Огрунтовка weber floor 4712
Наливное полимерцементное покрытие толщ. 4 мм</t>
    </r>
  </si>
  <si>
    <t>02-02-02 п.234-251</t>
  </si>
  <si>
    <r>
      <t xml:space="preserve">Тип 9
</t>
    </r>
    <r>
      <rPr>
        <i/>
        <sz val="10"/>
        <rFont val="Arial"/>
        <family val="2"/>
        <charset val="204"/>
      </rPr>
      <t>пленка полиэтиленовая 0,2-0,5 мм
плиты пеноплэкс-35 толщ. 50 мм
пленка полиэтиленовая 0,2-0,5 мм
стяжка цементная армированная толщ. 70 мм
Огрунтовка weber floor 4712
Стяжка из выравнивающей смеси weber floor 4601 толщ. 6 мм
Огрунтовка weber floor 4712
Наливное полимерцементное покрытие толщ. 4 мм</t>
    </r>
  </si>
  <si>
    <t>02-02-02 п.252-269</t>
  </si>
  <si>
    <r>
      <t xml:space="preserve">Тип 10
</t>
    </r>
    <r>
      <rPr>
        <i/>
        <sz val="10"/>
        <rFont val="Arial"/>
        <family val="2"/>
        <charset val="204"/>
      </rPr>
      <t>пленка полиэтиленовая 0,2-0,5 мм
плиты пеноплэкс-35 толщ. 50 мм
пленка полиэтиленовая 0,2-0,5 мм
стяжка цементная армированная толщ. 70 мм
Огрунтовка weber floor 4712
Стяжка из выравнивающей смеси weber floor 4601 толщ. 6 мм
Огрунтовка weber floor 4712
Наливное полимерцементное покрытие толщ. 4 мм</t>
    </r>
  </si>
  <si>
    <t>02-02-02 п.270-287</t>
  </si>
  <si>
    <r>
      <t xml:space="preserve">Тип 11
</t>
    </r>
    <r>
      <rPr>
        <i/>
        <sz val="10"/>
        <rFont val="Arial"/>
        <family val="2"/>
        <charset val="204"/>
      </rPr>
      <t>Грунтовка акриловая универсальная Weber Prim Multi
Гидроизоляция Weber.tec толщ.2 мм
Стяжка цементная Weber Rep толщ. 20 мм
Шпаклевка weber rep толщ. 6 мм
Наливное полимерное покрытие из полиуретана MASTERTOP ТС465 толщ. 2 мм</t>
    </r>
  </si>
  <si>
    <t>02-02-02 п.288-298</t>
  </si>
  <si>
    <t>Конструкции полов на отм. +3.900</t>
  </si>
  <si>
    <r>
      <t xml:space="preserve">Тип 1
</t>
    </r>
    <r>
      <rPr>
        <i/>
        <sz val="10"/>
        <rFont val="Arial"/>
        <family val="2"/>
        <charset val="204"/>
      </rPr>
      <t>Грунтовка акриловая универсальная Weber Prim Multi
Гидроизоляция Weber.tec толщ. 2 мм
стяжка цементная армированная толщ. 88 мм
Огрунтовка weber floor 4712
Стяжка из выравнивающей смеси weber floor 4601 толщ. 6 мм
Огрунтовка weber floor 4712
Наливное полимерцементное покрытие толщ. 4 мм</t>
    </r>
  </si>
  <si>
    <t>02-02-02 п.299-313</t>
  </si>
  <si>
    <r>
      <t xml:space="preserve">Тип 2
</t>
    </r>
    <r>
      <rPr>
        <i/>
        <sz val="10"/>
        <rFont val="Arial"/>
        <family val="2"/>
        <charset val="204"/>
      </rPr>
      <t>Грунтовка акриловая универсальная Weber Prim Multi
Гидроизоляция Weber.tec толщ. 2 мм
стяжка цементная армированная толщ. 88 мм
Огрунтовка weber floor 4712
Стяжка из выравнивающей смеси weber floor 4601 толщ. 6 мм
Огрунтовка weber floor 4712
Наливное полимерцементное покрытие толщ. 4 мм</t>
    </r>
  </si>
  <si>
    <t>02-02-02 п.314-328</t>
  </si>
  <si>
    <r>
      <t xml:space="preserve">Тип 3
</t>
    </r>
    <r>
      <rPr>
        <i/>
        <sz val="10"/>
        <rFont val="Arial"/>
        <family val="2"/>
        <charset val="204"/>
      </rPr>
      <t>Грунтовка акриловая универсальная Weber Prim Multi
Гидроизоляция Weber.tec толщ. 2 мм
стяжка цементная армированная толщ. 88 мм
Огрунтовка weber floor 4712
Стяжка из выравнивающей смеси weber floor 4601 толщ. 6 мм
Огрунтовка weber floor 4712
Наливное полимерцементное покрытие толщ. 4 мм</t>
    </r>
  </si>
  <si>
    <t>02-02-02 п.329-343</t>
  </si>
  <si>
    <r>
      <t xml:space="preserve">Тип 4
</t>
    </r>
    <r>
      <rPr>
        <i/>
        <sz val="10"/>
        <rFont val="Arial"/>
        <family val="2"/>
        <charset val="204"/>
      </rPr>
      <t>Грунтовка акриловая универсальная Weber Prim Multi
Гидроизоляция Weber.tec толщ. 2 мм
стяжка цементная армированная толщ. 88 мм
Огрунтовка weber floor 4712
Стяжка из выравнивающей смеси weber floor 4601 толщ. 6 мм
Огрунтовка weber floor 4712
Наливное полимерцементное покрытие толщ. 4 мм</t>
    </r>
  </si>
  <si>
    <t>02-02-02 п.344-358</t>
  </si>
  <si>
    <t>в качестве звукоизоляции применяется теплоизолирующий материал?!</t>
  </si>
  <si>
    <t>02-02-02 п.359-376</t>
  </si>
  <si>
    <t>02-02-02 п.377-382</t>
  </si>
  <si>
    <r>
      <t xml:space="preserve">Тип 42 (венткамера, чердак)
</t>
    </r>
    <r>
      <rPr>
        <i/>
        <sz val="10"/>
        <rFont val="Arial"/>
        <family val="2"/>
        <charset val="204"/>
      </rPr>
      <t>Гравий керамзитовый, фракция: 10-20 мм, марка 300 толщ. 300 мм
Стяжка цементная толщ. 10 мм</t>
    </r>
  </si>
  <si>
    <r>
      <t xml:space="preserve">Тип 5
</t>
    </r>
    <r>
      <rPr>
        <i/>
        <sz val="10"/>
        <rFont val="Arial"/>
        <family val="2"/>
        <charset val="204"/>
      </rPr>
      <t>Звукоизоляция ТЕХНОНИКОЛЬ XPS CARBON 30-280 Стандарт толщ. 20мм
Гидроизоляция Изопласт: П ЭПП-4,0
Гидроизоляция Изопласт: П ЭМП-5,5
стяжка цементная армированная толщ. 60 мм
Огрунтовка weber floor 4712
Стяжка из выравнивающей смеси weber floor 4601 толщ. 6 мм
Огрунтовка weber floor 4712
Наливное полимерцементное покрытие толщ. 4 мм</t>
    </r>
  </si>
  <si>
    <t>Внутренняя отделка. Стены</t>
  </si>
  <si>
    <t>02-02-02 п.383-385</t>
  </si>
  <si>
    <r>
      <t xml:space="preserve">Тип 1
</t>
    </r>
    <r>
      <rPr>
        <i/>
        <sz val="10"/>
        <rFont val="Arial"/>
        <family val="2"/>
        <charset val="204"/>
      </rPr>
      <t>Шпонированные панели INTERPAN Elite</t>
    </r>
  </si>
  <si>
    <t>02-02-02 п.386-395</t>
  </si>
  <si>
    <r>
      <t xml:space="preserve">Тип 3
</t>
    </r>
    <r>
      <rPr>
        <i/>
        <sz val="10"/>
        <rFont val="Arial"/>
        <family val="2"/>
        <charset val="204"/>
      </rPr>
      <t>шпонированные панели INTERPAN Elite</t>
    </r>
  </si>
  <si>
    <t>02-02-02 п.396-398</t>
  </si>
  <si>
    <t>02-02-02 п.399-408</t>
  </si>
  <si>
    <r>
      <t xml:space="preserve">Тип 3
</t>
    </r>
    <r>
      <rPr>
        <i/>
        <sz val="10"/>
        <rFont val="Arial"/>
        <family val="2"/>
        <charset val="204"/>
      </rPr>
      <t>Штукатурка "Ротбанд" толщ. 10 мм
Грунтовка Ceresit CT 17
Стеклоизол: П-3,0, стеклохолст
Шпаклевка
Грунтовка Ceresit CT 17 за 2 раза
Окраска высококачественная ВД-АК-111</t>
    </r>
  </si>
  <si>
    <r>
      <t xml:space="preserve">Тип 2
</t>
    </r>
    <r>
      <rPr>
        <i/>
        <sz val="10"/>
        <rFont val="Arial"/>
        <family val="2"/>
        <charset val="204"/>
      </rPr>
      <t>Штукатурка "Ротбанд" толщ. 10 мм
Грунтовка Ceresit CT 17
Стеклоизол: П-3,0, стеклохолст
Шпаклевка
Грунтовка Ceresit CT 17 за 2 раза
Окраска высококачественная ВД-АК-111</t>
    </r>
  </si>
  <si>
    <t>02-02-02 п.409-412</t>
  </si>
  <si>
    <r>
      <t xml:space="preserve">Тип 4
</t>
    </r>
    <r>
      <rPr>
        <i/>
        <sz val="10"/>
        <rFont val="Arial"/>
        <family val="2"/>
        <charset val="204"/>
      </rPr>
      <t>Плитка керамическая</t>
    </r>
  </si>
  <si>
    <t>02-02-02 п.413-422</t>
  </si>
  <si>
    <r>
      <t xml:space="preserve">Тип 4
</t>
    </r>
    <r>
      <rPr>
        <i/>
        <sz val="10"/>
        <rFont val="Arial"/>
        <family val="2"/>
        <charset val="204"/>
      </rPr>
      <t>Штукатурка "Ротбанд" толщ. 10 мм
Грунтовка Ceresit CT 17
Стеклоизол: П-3,0, стеклохолст
Шпаклевка
Грунтовка Ceresit CT 17 за 2 раза
Окраска высококачественная ВД-АК-111</t>
    </r>
  </si>
  <si>
    <t>02-02-02 п.423-425</t>
  </si>
  <si>
    <r>
      <t xml:space="preserve">Тип 5
</t>
    </r>
    <r>
      <rPr>
        <i/>
        <sz val="10"/>
        <rFont val="Arial"/>
        <family val="2"/>
        <charset val="204"/>
      </rPr>
      <t>Плинтус из керамогранитных плиток</t>
    </r>
  </si>
  <si>
    <t>02-02-02 п.426-428</t>
  </si>
  <si>
    <r>
      <t xml:space="preserve">Тип 6
</t>
    </r>
    <r>
      <rPr>
        <i/>
        <sz val="10"/>
        <rFont val="Arial"/>
        <family val="2"/>
        <charset val="204"/>
      </rPr>
      <t xml:space="preserve">Натяжная мембрана белого цвета для потолка и стен с устройством 20 шт монтажных отверстий </t>
    </r>
  </si>
  <si>
    <t>02-02-02 п.429-437</t>
  </si>
  <si>
    <r>
      <t xml:space="preserve">Тип 7
</t>
    </r>
    <r>
      <rPr>
        <i/>
        <sz val="10"/>
        <rFont val="Arial"/>
        <family val="2"/>
        <charset val="204"/>
      </rPr>
      <t>Штукатурка "Ротбанд" толщ. 10 мм
Грунтовка Ceresit CT 17
Стеклоизол: П-3,0, стеклохолст
Шпаклевка
Огрунтовка лаком ХВ-784 в 2 слоя
Окраска эмалью ХВ-785</t>
    </r>
  </si>
  <si>
    <t>02-02-02 п.438-441</t>
  </si>
  <si>
    <r>
      <t xml:space="preserve">Тип 7
</t>
    </r>
    <r>
      <rPr>
        <i/>
        <sz val="10"/>
        <rFont val="Arial"/>
        <family val="2"/>
        <charset val="204"/>
      </rPr>
      <t>Грунтовка Ceresit CT 17 за 2 раза
Окраска высококачественная ВД-АК-111</t>
    </r>
  </si>
  <si>
    <t>02-02-02 п.442-444</t>
  </si>
  <si>
    <r>
      <t xml:space="preserve">Тип 8
</t>
    </r>
    <r>
      <rPr>
        <i/>
        <sz val="10"/>
        <rFont val="Arial"/>
        <family val="2"/>
        <charset val="204"/>
      </rPr>
      <t>шпонированные панели INTERPAN Elite</t>
    </r>
  </si>
  <si>
    <t>02-02-02 п.445-451</t>
  </si>
  <si>
    <t>02-02-02 п.452-460</t>
  </si>
  <si>
    <r>
      <t xml:space="preserve">Тип 10
</t>
    </r>
    <r>
      <rPr>
        <i/>
        <sz val="10"/>
        <rFont val="Arial"/>
        <family val="2"/>
        <charset val="204"/>
      </rPr>
      <t>Обшивка вермикулитовыми панелями 20мм
Стеклоизол: П-3,0, стеклохолст
Грунтовка Ceresit CT 17 за 2 раза
Окраска высококачественная ВД-АК-111</t>
    </r>
  </si>
  <si>
    <t>Внутренняя отделка. Потолки</t>
  </si>
  <si>
    <r>
      <t xml:space="preserve">Тип 9
</t>
    </r>
    <r>
      <rPr>
        <i/>
        <sz val="10"/>
        <rFont val="Arial"/>
        <family val="2"/>
        <charset val="204"/>
      </rPr>
      <t>Перегородки из ветровлагозащитных листов толщ. 9 мм (Гипрок) по системе «КНАУФ» с одинарным металлическим каркасом и однослойной обшивкой с обеих сторон (С 111): с одним дверным проемом, с теплоизоляцией из мин.ваты</t>
    </r>
  </si>
  <si>
    <t>02-02-02 п.461-466</t>
  </si>
  <si>
    <r>
      <t xml:space="preserve">Тип 1
</t>
    </r>
    <r>
      <rPr>
        <i/>
        <sz val="10"/>
        <rFont val="Arial"/>
        <family val="2"/>
        <charset val="204"/>
      </rPr>
      <t>Устройство подвесных потолков из гипсокартонных листов (ГКЛ 12,5 мм) по системе «КНАУФ»: одноуровневых (П 113)
Окраска улучшенная ВД-АК-111</t>
    </r>
  </si>
  <si>
    <t>02-02-02 п.467-468</t>
  </si>
  <si>
    <t>многократно завышенная стоимость!</t>
  </si>
  <si>
    <r>
      <t xml:space="preserve">Тип 2
</t>
    </r>
    <r>
      <rPr>
        <i/>
        <sz val="10"/>
        <rFont val="Arial"/>
        <family val="2"/>
        <charset val="204"/>
      </rPr>
      <t>Растяжной металл Lindner LMD-St 214</t>
    </r>
  </si>
  <si>
    <t>02-02-02 п.469-470</t>
  </si>
  <si>
    <r>
      <t xml:space="preserve">Тип 3
</t>
    </r>
    <r>
      <rPr>
        <i/>
        <sz val="10"/>
        <rFont val="Arial"/>
        <family val="2"/>
        <charset val="204"/>
      </rPr>
      <t>Система подвесных потолочных волнообразных ламелей LMD-L LAOLA с подконструкцией</t>
    </r>
  </si>
  <si>
    <t>02-02-02 п.471-473</t>
  </si>
  <si>
    <r>
      <t xml:space="preserve">Тип 4
</t>
    </r>
    <r>
      <rPr>
        <i/>
        <sz val="10"/>
        <rFont val="Arial"/>
        <family val="2"/>
        <charset val="204"/>
      </rPr>
      <t>Штукатурка известковым раствором
Окраска улучшенная ВД-АК-111</t>
    </r>
  </si>
  <si>
    <r>
      <t xml:space="preserve">Тип 5
</t>
    </r>
    <r>
      <rPr>
        <i/>
        <sz val="10"/>
        <rFont val="Arial"/>
        <family val="2"/>
        <charset val="204"/>
      </rPr>
      <t>Кассетные потолки Lindner LMD-K 420 с перфорацией зеркальные 600х600</t>
    </r>
  </si>
  <si>
    <t>02-02-02 п.474-475</t>
  </si>
  <si>
    <r>
      <t xml:space="preserve">Тип 6
</t>
    </r>
    <r>
      <rPr>
        <i/>
        <sz val="10"/>
        <rFont val="Arial"/>
        <family val="2"/>
        <charset val="204"/>
      </rPr>
      <t>Потолки из светопрозрачного пластика со скрытой подсветкой. Стекло орг. Plexiglas XT Опал 3мм</t>
    </r>
  </si>
  <si>
    <t>02-02-02 п.476-477</t>
  </si>
  <si>
    <t>02-02-02 п.478-479</t>
  </si>
  <si>
    <r>
      <t xml:space="preserve">Тип 7
</t>
    </r>
    <r>
      <rPr>
        <i/>
        <sz val="10"/>
        <rFont val="Arial"/>
        <family val="2"/>
        <charset val="204"/>
      </rPr>
      <t>шпонированные панели INTERPAN Elite</t>
    </r>
  </si>
  <si>
    <t>Щебеночное основание</t>
  </si>
  <si>
    <t>02-02-03 п.1</t>
  </si>
  <si>
    <t>без стоимости щебня</t>
  </si>
  <si>
    <t>02-02-03 п.2-4</t>
  </si>
  <si>
    <t>Устройство столбчатых фундаментов</t>
  </si>
  <si>
    <t>02-02-03 п.5-14</t>
  </si>
  <si>
    <t>Приямки</t>
  </si>
  <si>
    <t>02-02-03 п.15-22</t>
  </si>
  <si>
    <t>02-02-03 п.23-30</t>
  </si>
  <si>
    <t>02-02-03 п.31-38</t>
  </si>
  <si>
    <t>Плиты перекрытия</t>
  </si>
  <si>
    <t>02-02-03 п.39-45</t>
  </si>
  <si>
    <t>02-02-03 п.46-51</t>
  </si>
  <si>
    <t>Работы по изоляции и герметизации конструкций, устройству деформационных швов</t>
  </si>
  <si>
    <t>Монолитные железобетонные конструкции</t>
  </si>
  <si>
    <t>Столбчатые фундаменты</t>
  </si>
  <si>
    <t>Ленточный фундамент</t>
  </si>
  <si>
    <t>Обвязочные балки</t>
  </si>
  <si>
    <t>Входная группа</t>
  </si>
  <si>
    <t>02-02-03 п.52-66</t>
  </si>
  <si>
    <t>Металлические конструкции</t>
  </si>
  <si>
    <t>Конструкции входной группы</t>
  </si>
  <si>
    <t>Анкер высоких нагрузок Hilti HSL-3 M24/60</t>
  </si>
  <si>
    <t>02-02-03 п.67-72, 74, 75</t>
  </si>
  <si>
    <t>02-02-03 п.73</t>
  </si>
  <si>
    <t>Конструкции каркаса</t>
  </si>
  <si>
    <t>02-02-03 п.76-87, 89, 90</t>
  </si>
  <si>
    <t>02-02-03 п.88</t>
  </si>
  <si>
    <t>Конструкции рабочей площадки</t>
  </si>
  <si>
    <t>02-02-03 п.91-95</t>
  </si>
  <si>
    <t>Лестницы и ограждения</t>
  </si>
  <si>
    <t>02-02-03 п.96-98</t>
  </si>
  <si>
    <t>20,5+9,4+31,4+14+24,8=100,1 т +профнастил 7,313 т</t>
  </si>
  <si>
    <t>0,9+1,1=2 т +профнастил 0,563 т</t>
  </si>
  <si>
    <t>0,6+0,2=0,8 т</t>
  </si>
  <si>
    <t>Огнезащитное покрытие металлоконструкций краской по подготовленной поверхности, толщина покрытия 1 мм</t>
  </si>
  <si>
    <t>02-02-03 п.99</t>
  </si>
  <si>
    <t>не учтена стоимость краски</t>
  </si>
  <si>
    <t>Огнезащитное покрытие металлоконструкций краской по подготовленной поверхности, толщина покрытия 1 мм 
Эмаль Jotun "Hardtop ХР, White"</t>
  </si>
  <si>
    <t>эмаль Jotun не является огнезащитной.</t>
  </si>
  <si>
    <t>02-02-03 п.100, 101</t>
  </si>
  <si>
    <t>02-02-04 п.1</t>
  </si>
  <si>
    <t>Разработка грунта 6 группы в отвал</t>
  </si>
  <si>
    <t>Разработка грунта 6 группы с погрузкой в автосамосвалы и вывозом во временный отвал</t>
  </si>
  <si>
    <t>учтена перевозка 987+61=1048 м3 грунта</t>
  </si>
  <si>
    <t>Обратная засыпка бульдозерами с уплотнением пневматическими трамбовками</t>
  </si>
  <si>
    <t>Обратная засыпка грунта бульдозерами с уплотнением пневматическими трамбовками</t>
  </si>
  <si>
    <t>02-02-04 п.2</t>
  </si>
  <si>
    <t>02-02-04 п.3-7</t>
  </si>
  <si>
    <t>02-02-04 п.8-10</t>
  </si>
  <si>
    <t>Фундаментная плита на отм.-5,980</t>
  </si>
  <si>
    <t>02-02-04 п.11-20</t>
  </si>
  <si>
    <t>860,9 м3</t>
  </si>
  <si>
    <t>Плита первого этажа на отм.-0,130</t>
  </si>
  <si>
    <t>02-02-04 п.21-28</t>
  </si>
  <si>
    <t>378 м3</t>
  </si>
  <si>
    <t>Плита перекрытия Пм1 на отм.+3,900</t>
  </si>
  <si>
    <t>02-02-04 п.29-35</t>
  </si>
  <si>
    <t>175,7 м3</t>
  </si>
  <si>
    <t>Плита перекрытия Пм2 на отм.+7,700</t>
  </si>
  <si>
    <t>02-02-04 п.36-41</t>
  </si>
  <si>
    <t>165,6 м3</t>
  </si>
  <si>
    <t>Стены Ст1-41</t>
  </si>
  <si>
    <t>фундаментные простенки</t>
  </si>
  <si>
    <t>02-02-04 п.42-48</t>
  </si>
  <si>
    <t>стены выше отм.0,000</t>
  </si>
  <si>
    <t>02-02-04 п.49-56</t>
  </si>
  <si>
    <t>02-02-04 п.57-60</t>
  </si>
  <si>
    <t>Лестничные клетки</t>
  </si>
  <si>
    <t>02-02-04 п.61-71</t>
  </si>
  <si>
    <t>Каркас здания</t>
  </si>
  <si>
    <t>02-02-04 п.72-73</t>
  </si>
  <si>
    <t>Элементы кровли</t>
  </si>
  <si>
    <t>Стойки Ст</t>
  </si>
  <si>
    <t>02-02-04 п.74-75</t>
  </si>
  <si>
    <t>Связи Св</t>
  </si>
  <si>
    <t>02-02-04 п.76-77</t>
  </si>
  <si>
    <t>Балка опорная Боп и стропильная Сн</t>
  </si>
  <si>
    <t>02-02-04 п.78-79</t>
  </si>
  <si>
    <t>балка коньковая Кб</t>
  </si>
  <si>
    <t>02-02-04 п.80-81</t>
  </si>
  <si>
    <t>прогоны Пр</t>
  </si>
  <si>
    <t>02-02-04 п.82-83</t>
  </si>
  <si>
    <t>Огнезащита металлоконструкций составом "ФЕНИКС СТС"</t>
  </si>
  <si>
    <t>02-02-04 п.84-85</t>
  </si>
  <si>
    <t>02-02-05 п.1-20</t>
  </si>
  <si>
    <t>02-02-05 п.21-54</t>
  </si>
  <si>
    <t>02-02-05 п.55-86</t>
  </si>
  <si>
    <t>Система экстренной связи</t>
  </si>
  <si>
    <t>02-02-05 п.87-95</t>
  </si>
  <si>
    <t>ССОИ</t>
  </si>
  <si>
    <t>02-02-05 п.96-106</t>
  </si>
  <si>
    <t>Щитовое оборудование</t>
  </si>
  <si>
    <t>02-02-06 п.1-2</t>
  </si>
  <si>
    <t>02-02-06 п.3-4</t>
  </si>
  <si>
    <t>02-02-06 п.5-35</t>
  </si>
  <si>
    <t>Заземление</t>
  </si>
  <si>
    <t>02-02-06 п.36-42</t>
  </si>
  <si>
    <t>02-02-06 п.43</t>
  </si>
  <si>
    <t>Пробивка в кирпичных стенах гнезд размером: до 130х130 мм</t>
  </si>
  <si>
    <t>Панель ГРЩ ЩО-70 (в сборе)</t>
  </si>
  <si>
    <t>Щит ЩС 1.1 в сборе (в сборе)</t>
  </si>
  <si>
    <t>Щит ЩС 1.2 в сборе</t>
  </si>
  <si>
    <t>Щит ЩС 1.3 в сборе</t>
  </si>
  <si>
    <t>Щит ЩС 1.4 в сборе</t>
  </si>
  <si>
    <t>Щит ЩС 1.5 в сборе</t>
  </si>
  <si>
    <t>Щит ЩС 2.1 в сборе</t>
  </si>
  <si>
    <t>Щит ЩС 2.2 в сборе</t>
  </si>
  <si>
    <t>Щит ЩС 2.3 в сборе</t>
  </si>
  <si>
    <t>Щит ЩС 2.4 в сборе</t>
  </si>
  <si>
    <t>Щит ЩС 2.5, в сборе</t>
  </si>
  <si>
    <t>Щит ЩС 2.6, в сборе</t>
  </si>
  <si>
    <t>Щит ЩС 2.7, в сборе</t>
  </si>
  <si>
    <t>Щит ЩС 2.8, в сборе</t>
  </si>
  <si>
    <t>Установочные изделия</t>
  </si>
  <si>
    <t>Розетка с защитным контактом IP55</t>
  </si>
  <si>
    <t>Розетка с защитным контактом IP31 IEK</t>
  </si>
  <si>
    <t>Коробка распаечная IEK</t>
  </si>
  <si>
    <t>Переключатель клавишный IEK</t>
  </si>
  <si>
    <t>Выключатель с датчиком движения</t>
  </si>
  <si>
    <t>Клавишный выключатель  IP31</t>
  </si>
  <si>
    <t>Клавишный выключатель  IP P55</t>
  </si>
  <si>
    <t>ИБП</t>
  </si>
  <si>
    <t>93PM-80(100)-IS-MBS-6 Многомодульный ИБП
Eaton 93PM-80(100)-IS-MBS: 2 модуля мощностью
по 40кВА/40кВт каждый, с возможностью
программного апгрейда до 50 кВА/ 50 кВт
каждый; статический байпас на 100 кВА/ 100 кВт;
встроенный выключатель выпрямителя;
сервисный байпас; без батарей , сетевая
(SNMP/Web) карта в комплекте;(AE08A0306A03000000) EBC-E-1x40-CSBHRL12540W-BB-400A-M6
Батарейный шкаф, тип Е, для ИБП 93PM/93E; с
кабельной разводкой и установленным
комплектом из 40 батарей с увеличенным сроком
службы, производства CSB; 540Вт на ячейку; с
встроенным батарейным выключателем на 400А;
для ИБП мощностью до 200 кВт; Время автономии
более 3 часов при 80 кВА / 64 кВт ( P-105000038-003)</t>
  </si>
  <si>
    <t>93PS-10(20)-15-2x9Ah-MBS-6 ИБП Eaton
10кВА/10кВт каждый, с возможностью
программного апгрейда до 15 кВА/ 15 кВт
каждый; статический байпас на 20 кВА/ 20 кВт;
встроенный выключатель выпрямителя;
сервисный байпас; без батарей , сетевая
(SNMP/Web) карта в комплекте. Встроенные
батареи на 25-27 мин при 10 кВА / 8 кВт (BA01AB306A0110000
0)</t>
  </si>
  <si>
    <t>Светотехнические изделия</t>
  </si>
  <si>
    <t>Светодиодный светильник 4000K   OPL/S ECO LED 600 HFD</t>
  </si>
  <si>
    <t>Светодиодный светильник 5000K ARCTIC.OPL ECO LED 1500 TH</t>
  </si>
  <si>
    <t>Подвесной светодиодный светильник 3000K MAIA P LED 80/300 WH</t>
  </si>
  <si>
    <t>Подвесной светильник ORBIS P 600/560 SL SET</t>
  </si>
  <si>
    <t>Светодиодный светильник 4000K HBM LED 55</t>
  </si>
  <si>
    <t>Светильник с лампой  Е14 Parete</t>
  </si>
  <si>
    <t>Светодиодный светильник 4000K CD LED 13</t>
  </si>
  <si>
    <t>Светодиодный светильник 4000K ACQUA C 18 WH</t>
  </si>
  <si>
    <t>Светодиодный светильник 4000K QUO IP65/IP20 07 WH D45</t>
  </si>
  <si>
    <t>Светильник с двумя лампами  Е14 Parete 2</t>
  </si>
  <si>
    <t>Настенный светодиодный светильник 3000K HUGO 3000K WH</t>
  </si>
  <si>
    <t>Кабель и кабеленесущие конструкции</t>
  </si>
  <si>
    <t>Кабельный лоток 300х80 Combitech DKC</t>
  </si>
  <si>
    <t>Кабель ВВГнг-FRLS 3х1,5 (в лотках)</t>
  </si>
  <si>
    <t>Кабель ВВГнг-LS 3х1,5 (в лотках)</t>
  </si>
  <si>
    <t>Кабель ВВГнг-LS 3х2,5 (в лотках)</t>
  </si>
  <si>
    <t>Кабель ВВГнг-FRLS 3х2,5 (в лотках)</t>
  </si>
  <si>
    <t>Кабель ВВГнг-LS 5х2,5 (в лотках)</t>
  </si>
  <si>
    <t>учтена норма отхода кабеля 8% (норма 2 %)</t>
  </si>
  <si>
    <t>ВВГнг-LS 5х25 (в лотках)</t>
  </si>
  <si>
    <t>Кабель ВВГнг-LS 5 х 95 (по конструкциям и лоткам с креплением на поворотах и в конце трассы)</t>
  </si>
  <si>
    <t>Кабель ВВГнг-FRLS 5х95 (по конструкциям и лоткам с креплением на поворотах и в конце трассы)</t>
  </si>
  <si>
    <t>02-02-07 п.1-2</t>
  </si>
  <si>
    <t>02-02-07 п.3, 4</t>
  </si>
  <si>
    <t>02-02-07 п.3, 5</t>
  </si>
  <si>
    <t>02-02-07 п.3, 6</t>
  </si>
  <si>
    <t>02-02-07 п.3, 7</t>
  </si>
  <si>
    <t>02-02-07 п.3, 8</t>
  </si>
  <si>
    <t>02-02-07 п.3, 9</t>
  </si>
  <si>
    <t>02-02-07 п.3, 10</t>
  </si>
  <si>
    <t>02-02-07 п.3, 11</t>
  </si>
  <si>
    <t>02-02-07 п.3, 12</t>
  </si>
  <si>
    <t>02-02-07 п.3, 13</t>
  </si>
  <si>
    <t>02-02-07 п.3, 14</t>
  </si>
  <si>
    <t>02-02-07 п.3, 15</t>
  </si>
  <si>
    <t>02-02-07 п.3, 16</t>
  </si>
  <si>
    <t>02-02-07 п.17, 18</t>
  </si>
  <si>
    <t>02-02-07 п.19, 20</t>
  </si>
  <si>
    <t>02-02-07 п.21, 22</t>
  </si>
  <si>
    <t>02-02-07 п.23, 24</t>
  </si>
  <si>
    <t>02-02-07 п.25, 26</t>
  </si>
  <si>
    <t>02-02-07 п.25, 27</t>
  </si>
  <si>
    <t>02-02-07 п.28, 29</t>
  </si>
  <si>
    <t>02-02-07 п.30, 31</t>
  </si>
  <si>
    <t>02-02-07 п.32, 33</t>
  </si>
  <si>
    <t>02-02-07 п.34, 35</t>
  </si>
  <si>
    <t>02-02-07 п.36, 37</t>
  </si>
  <si>
    <t>02-02-07 п.38, 39</t>
  </si>
  <si>
    <t>02-02-07 п.38, 40</t>
  </si>
  <si>
    <t>02-02-07 п.41, 42</t>
  </si>
  <si>
    <t>02-02-07 п.43, 44</t>
  </si>
  <si>
    <t>02-02-07 п.43, 45</t>
  </si>
  <si>
    <t>02-02-07 п.46, 47</t>
  </si>
  <si>
    <t>02-02-07 п.46, 48</t>
  </si>
  <si>
    <t>02-02-07 п.49, 50</t>
  </si>
  <si>
    <t>02-02-07 п.51, 52</t>
  </si>
  <si>
    <t>02-02-07 п.53-57</t>
  </si>
  <si>
    <t>02-02-07 п.58, 59</t>
  </si>
  <si>
    <t>02-02-07 п.58, 60</t>
  </si>
  <si>
    <t>02-02-07 п.61, 62</t>
  </si>
  <si>
    <t>02-02-07 п.61, 63</t>
  </si>
  <si>
    <t>02-02-07 п.61, 64</t>
  </si>
  <si>
    <t>02-02-07 п.65, 66</t>
  </si>
  <si>
    <t>02-02-07 п.67, 68</t>
  </si>
  <si>
    <t>02-02-07 п.67, 69</t>
  </si>
  <si>
    <t>стоимость завышена ориентировочно в 10 раз.</t>
  </si>
  <si>
    <t>стоимость завышена более чем в 3,5 раза.
https://www.xcom-shop.ru/eaton_93pm-80100-is-mbs-6_722826.html</t>
  </si>
  <si>
    <t>стоимость многократно завышена.</t>
  </si>
  <si>
    <t>02-02-08 п.1</t>
  </si>
  <si>
    <t>02-02-08 п.2-4</t>
  </si>
  <si>
    <t>02-02-08 п.5-6</t>
  </si>
  <si>
    <t>02-02-08 п.7-16</t>
  </si>
  <si>
    <t>Водомерный узел ЦИРВ 02А.00.00.00 листы 539, 540 в комплекте со счетчиками</t>
  </si>
  <si>
    <t>02-02-09 п.1-3</t>
  </si>
  <si>
    <t>Комплектная система оборудования системы резервуаров и водоподготовки</t>
  </si>
  <si>
    <t>02-02-09 п.4-14</t>
  </si>
  <si>
    <t>Водопровод В1</t>
  </si>
  <si>
    <t>02-02-09 п.15-65</t>
  </si>
  <si>
    <t>Противопожарный водопровод В2</t>
  </si>
  <si>
    <t>02-02-09 п.66-88</t>
  </si>
  <si>
    <t>Горячее водоснабжение Т3; Т4</t>
  </si>
  <si>
    <t>02-02-09 п.89-116</t>
  </si>
  <si>
    <t>Система В2,1</t>
  </si>
  <si>
    <t>02-02-10 п.1-37</t>
  </si>
  <si>
    <t>Бытовая канализация К1, К1н</t>
  </si>
  <si>
    <t>02-02-11 п.1-53</t>
  </si>
  <si>
    <t>Производственная канализация К3, К31</t>
  </si>
  <si>
    <t>02-02-11 п.54-68</t>
  </si>
  <si>
    <t>Приборы отопления</t>
  </si>
  <si>
    <t>02-02-12 п.1-22</t>
  </si>
  <si>
    <t>Трубопроводы системы отопления</t>
  </si>
  <si>
    <t>02-02-12 п.23-50</t>
  </si>
  <si>
    <t>02-02-12 п.51-58</t>
  </si>
  <si>
    <t>Система теплоснабжения приточных установок</t>
  </si>
  <si>
    <t>Система общеобменной вентиляции П1/В1</t>
  </si>
  <si>
    <t>02-02-12 п.59-92</t>
  </si>
  <si>
    <t>Система общеобменной вентиляции П2</t>
  </si>
  <si>
    <t>02-02-12 п.93-111</t>
  </si>
  <si>
    <t>Система общеобменной вентиляции П3</t>
  </si>
  <si>
    <t>02-02-12 п.112-121</t>
  </si>
  <si>
    <t>Система общеобменной вентиляции П4</t>
  </si>
  <si>
    <t>02-02-12 п.122-145</t>
  </si>
  <si>
    <t>Система общеобменной вентиляции П5</t>
  </si>
  <si>
    <t>02-02-12 п.146-168</t>
  </si>
  <si>
    <t>Система общеобменной вентиляции П6</t>
  </si>
  <si>
    <t>02-02-12 п.169-189</t>
  </si>
  <si>
    <t>Система общеобменной вентиляции П7</t>
  </si>
  <si>
    <t>02-02-12 п.190-208</t>
  </si>
  <si>
    <t>Система общеобменной вентиляции П8</t>
  </si>
  <si>
    <t>02-02-12 п.209-216</t>
  </si>
  <si>
    <t>Система общеобменной вентиляции П9</t>
  </si>
  <si>
    <t>02-02-12 п.217-225</t>
  </si>
  <si>
    <t>Система общеобменной вентиляции В2</t>
  </si>
  <si>
    <t>02-02-12 п.226-239</t>
  </si>
  <si>
    <t>Система общеобменной вентиляции В3</t>
  </si>
  <si>
    <t>02-02-12 п.240-254</t>
  </si>
  <si>
    <t>Система общеобменной вентиляции В4</t>
  </si>
  <si>
    <t>02-02-12 п.255-270</t>
  </si>
  <si>
    <t>Система общеобменной вентиляции В5</t>
  </si>
  <si>
    <t>02-02-12 п.271-281</t>
  </si>
  <si>
    <t>Система общеобменной вентиляции В6</t>
  </si>
  <si>
    <t>02-02-12 п.282-297</t>
  </si>
  <si>
    <t>Система общеобменной вентиляции В7</t>
  </si>
  <si>
    <t>02-02-12 п.298-311</t>
  </si>
  <si>
    <t>Система общеобменной вентиляции В8</t>
  </si>
  <si>
    <t>02-02-12 п.312-323</t>
  </si>
  <si>
    <t>Система общеобменной вентиляции В9</t>
  </si>
  <si>
    <t>02-02-12 п.324-345</t>
  </si>
  <si>
    <t>Система общеобменной вентиляции В10</t>
  </si>
  <si>
    <t>02-02-12 п.346-361</t>
  </si>
  <si>
    <t>Система общеобменной вентиляции В11</t>
  </si>
  <si>
    <t>02-02-12 п.362-388</t>
  </si>
  <si>
    <t>Система общеобменной вентиляции В12</t>
  </si>
  <si>
    <t>02-02-12 п.389-420</t>
  </si>
  <si>
    <t>Система общеобменной вентиляции В13</t>
  </si>
  <si>
    <t>02-02-12 п.421-434</t>
  </si>
  <si>
    <t>Система общеобменной вентиляции В14</t>
  </si>
  <si>
    <t>02-02-12 п.435-442</t>
  </si>
  <si>
    <t>Система общеобменной вентиляции В15</t>
  </si>
  <si>
    <t>02-02-12 п.443-451</t>
  </si>
  <si>
    <t>Система противодымной вентиляции ВД1</t>
  </si>
  <si>
    <t>02-02-12 п.452-466</t>
  </si>
  <si>
    <t>Система противодымной вентиляции ВД2</t>
  </si>
  <si>
    <t>02-02-12 п.467-480</t>
  </si>
  <si>
    <t>Система противодымной вентиляции ВД3</t>
  </si>
  <si>
    <t>02-02-12 п.481-494</t>
  </si>
  <si>
    <t>Система противодымной вентиляции ВД4</t>
  </si>
  <si>
    <t>02-02-12 п.495-508</t>
  </si>
  <si>
    <t>Система противодымной вентиляции ПД1</t>
  </si>
  <si>
    <t>02-02-12 п.509-524</t>
  </si>
  <si>
    <t>Система противодымной вентиляции ПД2</t>
  </si>
  <si>
    <t>02-02-12 п.525-539</t>
  </si>
  <si>
    <t>Система противодымной вентиляции ПД3</t>
  </si>
  <si>
    <t>02-02-12 п.540-554</t>
  </si>
  <si>
    <t>Система противодымной вентиляции ПД4</t>
  </si>
  <si>
    <t>02-02-12 п.555-569</t>
  </si>
  <si>
    <t>Тепловые завесы</t>
  </si>
  <si>
    <t>02-02-12 п.570-577</t>
  </si>
  <si>
    <t>Бойлерная</t>
  </si>
  <si>
    <t>02-02-12 п.578-649</t>
  </si>
  <si>
    <t>Операторская</t>
  </si>
  <si>
    <t>02-02-14 п.3, 4</t>
  </si>
  <si>
    <t>02-02-14 п.3, 5</t>
  </si>
  <si>
    <t>02-02-14 п.3, 6</t>
  </si>
  <si>
    <t>неправильно задан вид работ. Стоимость завышена</t>
  </si>
  <si>
    <t>АПС</t>
  </si>
  <si>
    <t>02-02-15 п.1-29</t>
  </si>
  <si>
    <t>СОУЭ</t>
  </si>
  <si>
    <t>02-02-15 п.30-58</t>
  </si>
  <si>
    <t>АУПТ</t>
  </si>
  <si>
    <t>02-02-15 п.59-98</t>
  </si>
  <si>
    <t>АППЗ</t>
  </si>
  <si>
    <t>02-02-15 п.99-133</t>
  </si>
  <si>
    <t>Автоматическая установка пожарной сигнализации .Насосная станция</t>
  </si>
  <si>
    <t>02-02-16 п.1-34</t>
  </si>
  <si>
    <t>Система оповещения и управления эвакуацией. Насосная станция</t>
  </si>
  <si>
    <t>02-02-16 п.35-45</t>
  </si>
  <si>
    <t>Нижняя станция. Кровля</t>
  </si>
  <si>
    <t>Нижняя станция. Кровля крыльца</t>
  </si>
  <si>
    <t>Нижняя станция. Наружная отделка</t>
  </si>
  <si>
    <t>Сайдинг стальной с полимерным покрытием с устройством металлического каркаса</t>
  </si>
  <si>
    <t>Металлические кассеты</t>
  </si>
  <si>
    <t>Облицовка оцинкованной сталью зоны ворот</t>
  </si>
  <si>
    <t>Устройство подвесных потолков из армированных цементно-минеральных плит АКВАПАНЕЛЬ внутренняя по системе «КНАУФ»: на стальном каркасе двухуровневых (П 282)</t>
  </si>
  <si>
    <t>Жалюзи из металлических панелей</t>
  </si>
  <si>
    <t>Фасонные элементы из оцинкованной стали</t>
  </si>
  <si>
    <t>объем работ завышен в 100 раз!</t>
  </si>
  <si>
    <t>Облицовка песчаником</t>
  </si>
  <si>
    <t>Нижняя станция. Внутренняя отделка.</t>
  </si>
  <si>
    <t>Нижняя станция. Окна</t>
  </si>
  <si>
    <t>Стекло многослойное, противоударное, толщиной: 24 мм, класс защиты Б1</t>
  </si>
  <si>
    <t>02-03-01 п.80-81</t>
  </si>
  <si>
    <t>Нижняя станция. Двери и ворота</t>
  </si>
  <si>
    <t>02-03-01 п.82-90</t>
  </si>
  <si>
    <t>Нижняя станция. Ограждения</t>
  </si>
  <si>
    <t>02-03-01 п.91-92</t>
  </si>
  <si>
    <t>02-03-01 п.39-79</t>
  </si>
  <si>
    <t>02-03-01 п.36-38</t>
  </si>
  <si>
    <t>02-03-01 п.35</t>
  </si>
  <si>
    <t>02-03-01 п.33-34</t>
  </si>
  <si>
    <t>02-03-01 п.31-32</t>
  </si>
  <si>
    <t>02-03-01 п.30</t>
  </si>
  <si>
    <t>02-03-01 п.29</t>
  </si>
  <si>
    <t>02-03-01 п.26-28</t>
  </si>
  <si>
    <t>02-03-01 п.24-25</t>
  </si>
  <si>
    <t>02-03-01 п.12-23</t>
  </si>
  <si>
    <t>02-03-01 п.1-11</t>
  </si>
  <si>
    <t>Нижняя станция. Полы: Обработка составом типа Master пол</t>
  </si>
  <si>
    <t>02-03-01 п.93</t>
  </si>
  <si>
    <t>Нижняя станция. Блок-контейнеры</t>
  </si>
  <si>
    <t>Блок контейнер - операторская 3х6х2.7м</t>
  </si>
  <si>
    <t>Блок контейнер - охранника 3х6х2.7м</t>
  </si>
  <si>
    <t>Блок контейнер -  шкаф ЭМ 1.2х3.3х2.7м</t>
  </si>
  <si>
    <t>02-03-01 п.94, 95</t>
  </si>
  <si>
    <t>02-03-01 п.94, 96</t>
  </si>
  <si>
    <t>02-03-01 п.94, 97</t>
  </si>
  <si>
    <t>Устройство основания под фундаменты: щебеночного</t>
  </si>
  <si>
    <t>не учтена стоимость щебня</t>
  </si>
  <si>
    <t>02-03-02 п.2-10</t>
  </si>
  <si>
    <t>Устройство ленточного фундамента Бф-1</t>
  </si>
  <si>
    <t>02-03-02 п.11-18</t>
  </si>
  <si>
    <t>Устройство плитных фундаментов</t>
  </si>
  <si>
    <t>02-03-02 п.19-24</t>
  </si>
  <si>
    <t>Устройство обвязочных балок</t>
  </si>
  <si>
    <t>02-03-02 п.25-32</t>
  </si>
  <si>
    <t>Устройство плит перекрытия</t>
  </si>
  <si>
    <t>02-03-02 п.33-36</t>
  </si>
  <si>
    <t>Устройство конструкций входной группы</t>
  </si>
  <si>
    <t>02-03-02 п.37-42</t>
  </si>
  <si>
    <t>02-03-02 п.43-50</t>
  </si>
  <si>
    <t>02-03-02 п.51-61</t>
  </si>
  <si>
    <t>2,9+2,4+3,1=8,4 т +профнастил 0,375 т</t>
  </si>
  <si>
    <t>02-03-02 п.62-77</t>
  </si>
  <si>
    <t>02-03-02 п.78-80</t>
  </si>
  <si>
    <t>Антикоррозийная защита металлоконструкций</t>
  </si>
  <si>
    <t>Огрунтовка металлических поверхностей за 2 раза Jotun "Penguard Express"</t>
  </si>
  <si>
    <t>02-03-02 п.81-82</t>
  </si>
  <si>
    <t>Огнезащитное покрытие металлоконструкций эмалью Jotun "Hardtop ХР, White" по подготовленной поверхности, толщина покрытия 1 мм</t>
  </si>
  <si>
    <t>эмаль Jotun "Hardtop ХР, White" не является огнезащитной!</t>
  </si>
  <si>
    <t>02-03-02 п.83-84</t>
  </si>
  <si>
    <t>Система внутреннего электроснабжения нижней станции пассажирской подвесной
канатной дороги EL6.</t>
  </si>
  <si>
    <t>02-03-03 п.1-2</t>
  </si>
  <si>
    <t>02-03-03 п.3-4</t>
  </si>
  <si>
    <t>02-03-03 п.5-36</t>
  </si>
  <si>
    <t>02-03-03 п.37-43</t>
  </si>
  <si>
    <t>02-03-03 п.44</t>
  </si>
  <si>
    <t>Помещение охраны</t>
  </si>
  <si>
    <t>Стол рабочий
Габаритные размеры – 1200х600х760 мм
Артикул СТ1-12, Офисная мебель «ДЭФО», Россия</t>
  </si>
  <si>
    <t>Гардероб
Габаритные размеры – 800х450х2000 мм
Артикул Ш61з
Офисная мебель
«ДЭФО», Россия</t>
  </si>
  <si>
    <t>Тумба
Габаритные размеры – 404х500х721 мм
Артикул 85Т006, Офисная мебель «ДЭФО», Россия</t>
  </si>
  <si>
    <t>Шкаф
Габаритные размеры – 800х450х2000 мм
Артикул Ш64з, Офисная мебель «ДЭФО», Россия</t>
  </si>
  <si>
    <t>Комплект АРМ (системный блок, ЖК монитор, ИБП, мышь
компьютерная, клавиатура) ,Торговая сеть</t>
  </si>
  <si>
    <t>Пункт обогрева</t>
  </si>
  <si>
    <t>Скамейка со спинкой
Габаритные размеры - 1000х350х450/800мм
СН 2.10
Россия</t>
  </si>
  <si>
    <t>Инфракрасно-конвективный обогреватель
Электропитание – 1Ф, 220В, 50Гц
Мощность – 0,7 кВт
Габаритные размеры – 1050х40х475 мм
СТН НЭБ-М-НСт 0,7
Россия</t>
  </si>
  <si>
    <t>02-03-04 п.3, 5</t>
  </si>
  <si>
    <t>02-03-04 п.3, 4</t>
  </si>
  <si>
    <t>02-03-04 п.3, 6</t>
  </si>
  <si>
    <t>02-03-04 п.3, 7</t>
  </si>
  <si>
    <t>02-03-04 п.3, 8</t>
  </si>
  <si>
    <t>02-03-04 п.11, 12</t>
  </si>
  <si>
    <t>02-03-04 п.15, 16</t>
  </si>
  <si>
    <t>02-03-04 п.15, 17</t>
  </si>
  <si>
    <t>02-03-04 п.15, 18</t>
  </si>
  <si>
    <t>02-03-04 п.21, 22</t>
  </si>
  <si>
    <t>02-03-04 п.21, 23</t>
  </si>
  <si>
    <t>02-03-04 п.26, 27</t>
  </si>
  <si>
    <t>неправильно задан вид работ. Завышение в 6,99/4,09=1,71 раза.</t>
  </si>
  <si>
    <t>04-01-01 п.1</t>
  </si>
  <si>
    <t>04-01-01 п.2</t>
  </si>
  <si>
    <t>Разработка грунта 6 группы экскаваторами с погрузкой в автомобили-самосвалы и вывозом во временный отвал</t>
  </si>
  <si>
    <t>04-01-01 п.3, 6, 7</t>
  </si>
  <si>
    <t>04-01-01 п.4</t>
  </si>
  <si>
    <t>Разработка грунта 4 группы вручную вблизи инженерных коммуникаций</t>
  </si>
  <si>
    <t>Доработка грунта 4 группы вручную</t>
  </si>
  <si>
    <t>04-01-01 п.5</t>
  </si>
  <si>
    <t>04-01-01 п.8-9</t>
  </si>
  <si>
    <t>Прокладка ПНД трубы PS PE-RT Тип II SDR11 - 160х14,6</t>
  </si>
  <si>
    <t>04-01-01 п.10-12</t>
  </si>
  <si>
    <t>почему для защиты кабеля применяется дорогостоящая термостойкая труба?</t>
  </si>
  <si>
    <t>Кабель силовой с алюминиевыми жилами с изоляцией из шитого полиэтилена АПВКаП2г-10 1х95/35 (в трубах)</t>
  </si>
  <si>
    <t>04-01-01 п.13-14</t>
  </si>
  <si>
    <t>Кабель силовой с алюминиевыми жилами с изоляцией из шитого полиэтилена АПВКаП2г-10 1х95/35 (по конструкциям и лоткам с креплением по всей длине)</t>
  </si>
  <si>
    <t>04-01-01 п.15-16</t>
  </si>
  <si>
    <t>Муфта концевая термоусаживаемая POLT-12D/1XI-L12A</t>
  </si>
  <si>
    <t>04-01-01 п.17-18</t>
  </si>
  <si>
    <t>Адаптер Т-образный для подключения кабеля к моноблоку  RICS-3133</t>
  </si>
  <si>
    <t>04-01-01 п.19-21</t>
  </si>
  <si>
    <t>Огнезащитное покрытие толщиной слоя 1 мм кабелей и проводов «Огракс-В1»</t>
  </si>
  <si>
    <t>04-01-01 п.22-23</t>
  </si>
  <si>
    <t>04-02-01 п.2</t>
  </si>
  <si>
    <t>04-02-01 п.3, 6, 7</t>
  </si>
  <si>
    <t>04-02-01 п.4</t>
  </si>
  <si>
    <t>04-02-01 п.5</t>
  </si>
  <si>
    <t>04-02-01 п.8-9</t>
  </si>
  <si>
    <t>Прокладка ПНД трубы PS PE-RT Тип II SDR11 - 110х10</t>
  </si>
  <si>
    <t>04-02-01 п.10-12</t>
  </si>
  <si>
    <t>Кабель силовой ПвКШп-1 5х16 (в трубах)</t>
  </si>
  <si>
    <t>04-02-01 п.13-14</t>
  </si>
  <si>
    <t>Кабель силовой с алюминиевыми жилами с изоляцией из шитого полиэтилена АПВКШп-1 4х240 (в трубах)</t>
  </si>
  <si>
    <t>04-02-01 п.15, 16</t>
  </si>
  <si>
    <t>Кабель силовой ПвКШп-1 4х150 (в трубах)</t>
  </si>
  <si>
    <t>Кабель силовой ПвКШп-1 5х95 (в трубах)</t>
  </si>
  <si>
    <t>04-02-01 п.15, 17</t>
  </si>
  <si>
    <t>04-02-01 п.15, 18</t>
  </si>
  <si>
    <t>04-02-01 п.19, 20</t>
  </si>
  <si>
    <t>Кабель силовой ПвКШп-1 4х240 (в трубах)</t>
  </si>
  <si>
    <t>04-02-01 п.21, 22</t>
  </si>
  <si>
    <t>Кабель силовой ПвКШп-1 5х16 (по конструкциям и лоткам с креплением на поворотах и в конце трассы)</t>
  </si>
  <si>
    <t>Кабель силовой ВВГнг-LS 5х16 (по конструкциям и лоткам с креплением на поворотах и в конце трассы)</t>
  </si>
  <si>
    <t>04-02-01 п.21, 23</t>
  </si>
  <si>
    <t>Кабель силовой ВВГнг-LS 4х70 (по конструкциям и лоткам с креплением на поворотах и в конце трассы)</t>
  </si>
  <si>
    <t>04-02-01 п.24, 25</t>
  </si>
  <si>
    <t>Кабель силовой АПВКШп-1 4х240 (по установленным конструкциям и лоткам с креплением на поворотах и в конце трассы)</t>
  </si>
  <si>
    <t>04-02-01 п.26, 27</t>
  </si>
  <si>
    <t>04-02-01 п.26, 28</t>
  </si>
  <si>
    <t>04-02-01 п.26, 29</t>
  </si>
  <si>
    <t>Кабель силовой ПвКШп-1 4х150 (по установленным конструкциям и лоткам с креплением на поворотах и в конце трассы)</t>
  </si>
  <si>
    <t>Кабель силовой ПвКШп-1 5х95 (по установленным конструкциям и лоткам с креплением на поворотах и в конце трассы)</t>
  </si>
  <si>
    <t>04-02-01 п.30, 31</t>
  </si>
  <si>
    <t>04-02-01 п.30, 32</t>
  </si>
  <si>
    <t>Кабель силовой ПвКШп-1 4х240 (по установленным конструкциям и лоткам с креплением на поворотах и в конце трассы)</t>
  </si>
  <si>
    <t>Кабель силовой ВВГнг-LS 4х240 (по установленным конструкциям и лоткам с креплением на поворотах и в конце трассы)</t>
  </si>
  <si>
    <t>Устройство песчаной постели под кабель</t>
  </si>
  <si>
    <t>04-02-01 п.33-35</t>
  </si>
  <si>
    <t>Кабель силовой ПвКШп-1 4х150 (в траншеях)</t>
  </si>
  <si>
    <t>Ориентировочные дефляторы</t>
  </si>
  <si>
    <t>РОССТАТ (на дату формирования НМЦК)</t>
  </si>
  <si>
    <t>Минэконом (на середину периода строительства)</t>
  </si>
  <si>
    <t>Кабель силовой ПвКШп-1 5х95 (в траншеях)</t>
  </si>
  <si>
    <t>04-02-01 п.36, 38</t>
  </si>
  <si>
    <t>04-02-01 п.36, 37</t>
  </si>
  <si>
    <t>Присоединение к зажимам жил проводов или кабелей сечением: до 16 мм2</t>
  </si>
  <si>
    <t>Присоединение к зажимам жил проводов или кабелей сечением: до 70 мм2</t>
  </si>
  <si>
    <t>Присоединение к зажимам жил проводов или кабелей сечением: до 150 мм2</t>
  </si>
  <si>
    <t>Присоединение к зажимам жил проводов или кабелей сечением: до 240 мм2</t>
  </si>
  <si>
    <t>04-02-01 п.39</t>
  </si>
  <si>
    <t>04-02-01 п.40</t>
  </si>
  <si>
    <t>04-02-01 п.41</t>
  </si>
  <si>
    <t>04-02-01 п.42</t>
  </si>
  <si>
    <t>Муфта концевая EPKT 01/4x240-FL-HPMB</t>
  </si>
  <si>
    <t>Муфта концевая EPKT 0063-L12-CEE01 (120-240)</t>
  </si>
  <si>
    <t>04-02-01 п.43, 44</t>
  </si>
  <si>
    <t>04-02-01 п.43, 45</t>
  </si>
  <si>
    <t>Муфта концевая EPKT 01/4x150-FL-HPMB</t>
  </si>
  <si>
    <t>Муфта концевая EPKT 01/5x95-FL-HPMB</t>
  </si>
  <si>
    <t>04-02-01 п.46, 47</t>
  </si>
  <si>
    <t>04-02-01 п.46, 48</t>
  </si>
  <si>
    <t>Муфта кабельная концевая термоусаживаемая: ЕРКТ0031-L12</t>
  </si>
  <si>
    <t>04-02-01 п.49, 50</t>
  </si>
  <si>
    <t>Муфта концевая EPKT01/5x16-FL-HPMB</t>
  </si>
  <si>
    <t>04-02-01 п.51, 52</t>
  </si>
  <si>
    <t>Автоматический выключатель (36 кА, 380/415 В) Compact NSX 400F</t>
  </si>
  <si>
    <t>04-02-01 п.53, 54</t>
  </si>
  <si>
    <t>04-02-01 п.55, 56</t>
  </si>
  <si>
    <t>Трансформатор тока: Т-0,66 400/5, класс точности 0,5S</t>
  </si>
  <si>
    <t>04-02-01 п.57, 58</t>
  </si>
  <si>
    <t>Счетчик электрической энергии трехфазный трансформаторного включения РиМ 489.13, 3х230/400 В, 5(7,5) А, кл.т. 0,5S/1</t>
  </si>
  <si>
    <t>Огнезащитное покрытие «Огракс-В1» толщиной слоя 1 мм кабелей и проводов</t>
  </si>
  <si>
    <t>04-02-01 п.59, 60</t>
  </si>
  <si>
    <t xml:space="preserve">Рыхление гидромолотом на базе экскаватора скального грунта X группы </t>
  </si>
  <si>
    <t>Разработка грунта 6 группы экскаваторами в отвал</t>
  </si>
  <si>
    <t>04-03-01 п.2, 4-7</t>
  </si>
  <si>
    <t>04-03-01 п.3</t>
  </si>
  <si>
    <t>04-03-01 п.8-10</t>
  </si>
  <si>
    <t>04-03-01 п.11-32</t>
  </si>
  <si>
    <t>Заделка стыков модулей</t>
  </si>
  <si>
    <t>04-03-01 п.33, 34</t>
  </si>
  <si>
    <t>04-03-01 п.35-38</t>
  </si>
  <si>
    <t>Монтаж металлических лестниц  ТП-КД-5</t>
  </si>
  <si>
    <t>04-03-01 п.39-44</t>
  </si>
  <si>
    <t>04-03-01 п.45-55</t>
  </si>
  <si>
    <t>04-03-01 п.56-63</t>
  </si>
  <si>
    <t>04-03-02 п.1-5</t>
  </si>
  <si>
    <t>Рыхление гидромолотом на базе экскаватора скального грунта X группы</t>
  </si>
  <si>
    <t>04-04-01 п.1</t>
  </si>
  <si>
    <t>04-04-01 п.2, 4-7</t>
  </si>
  <si>
    <t>04-04-01 п.3</t>
  </si>
  <si>
    <t>04-04-01 п.8-29</t>
  </si>
  <si>
    <t>04-04-01 п.30, 31</t>
  </si>
  <si>
    <t>04-04-01 п.32-35</t>
  </si>
  <si>
    <t>04-04-01 п.36-41</t>
  </si>
  <si>
    <t>Монтаж металлических лестниц  ТП-КД-6.1</t>
  </si>
  <si>
    <t>04-04-01 п.42-52</t>
  </si>
  <si>
    <t>04-04-01 п.53-60</t>
  </si>
  <si>
    <t>04-04-02 п.1-5</t>
  </si>
  <si>
    <t>Блочная модульная трансформаторная подстанция 2х1000 кВА в комплекте с  силовым тр-орм Trihal-630/10 и Trihal-1000/10</t>
  </si>
  <si>
    <t>05-01-01 п.1-44</t>
  </si>
  <si>
    <t>06-01-01 п.1</t>
  </si>
  <si>
    <t>Разработка грунта с погрузкой в автомобили-самосвалы экскаваторами импортного производства с ковшом вместимостью 1,0 (1-1,2) м3, группа грунтов 9</t>
  </si>
  <si>
    <t>Разработка грунта вручную в траншеях глубиной до 2 м без креплений с откосами, группа грунтов: 9</t>
  </si>
  <si>
    <t>06-01-01 п.2</t>
  </si>
  <si>
    <t>06-01-01 п.3</t>
  </si>
  <si>
    <t>устройство основания песчаного</t>
  </si>
  <si>
    <t>06-01-01 п.4-5</t>
  </si>
  <si>
    <t>обратная засыпка песком</t>
  </si>
  <si>
    <t>06-01-01 п.6-8</t>
  </si>
  <si>
    <t>обратная засыпка бульдозерами с уплотнением пневматическими трамбовками (песок)</t>
  </si>
  <si>
    <t>обратная засыпка бульдозерами с уплотнением пневматическими трамбовками (местный грунт)</t>
  </si>
  <si>
    <t>06-01-01 п.9-11</t>
  </si>
  <si>
    <t>вывоз неиспользуемого грунта во временный отвал</t>
  </si>
  <si>
    <t>06-01-01 п.12, 13</t>
  </si>
  <si>
    <t>06-01-01 п.14, 15</t>
  </si>
  <si>
    <t>Установка геосетки полиэфирной с полимерной пропиткой, марка "STRADEX PET (20/20)"</t>
  </si>
  <si>
    <t>Устройство защиты поверхностей матрацами «Рено» ГСИ-М-3,0x2,0x0,17-С60-2,7 Ц ГОСТ Р 52132-2003</t>
  </si>
  <si>
    <t>06-01-01 п.16-18</t>
  </si>
  <si>
    <t>Укладка трубопроводов из труб "Арктик-У" ПЭ100-ППУ-ПЭ SDR11-110/250-Y=150</t>
  </si>
  <si>
    <t>06-01-01 п.19-22</t>
  </si>
  <si>
    <t>Укладка трубопроводов из Труб "Арктик-У" ПЭ100-ППУ-ПЭ SDR11-160/315-Y=150</t>
  </si>
  <si>
    <t>06-01-01 п. 23-26</t>
  </si>
  <si>
    <t>Укладка трубопроводов из труб АРКТИК-У ПЭ100-ППУ-ПЭ SDR11-63/160-Y=150</t>
  </si>
  <si>
    <t>06-01-01 п. 27-30</t>
  </si>
  <si>
    <t>Укладка трубопроводов из труб АРКТИК-У ПЭ100-ППУ-ОЦ SDR11-225/400-Y=150</t>
  </si>
  <si>
    <t>Укладка трубопроводов из труб АРКТИК-У ПЭ100-ППУ-ПЭ SDR11-225/400-Y=150</t>
  </si>
  <si>
    <t>06-01-01 п. 31, 32, 34, 35</t>
  </si>
  <si>
    <t>06-01-01 п. 31, 33, 34, 35</t>
  </si>
  <si>
    <t>06-01-01 п. 36-39</t>
  </si>
  <si>
    <t>Укладка трубопроводов из труб Б "Арктик-У" ПЭ100-ППУ-ПЭ SDR11-110/250-Y=150 с усиленной оболочкой</t>
  </si>
  <si>
    <t>Укладка труб ВЧШГ RJ К12 Dу100 PN40-100 с внутренним цементно-песчаным покрытием и наружным оцинкованным покрытием</t>
  </si>
  <si>
    <t>06-01-01 п. 40-44</t>
  </si>
  <si>
    <t>Укладка труб ВЧШГ RJ К16 Dу100 PN64-100 с внутренним цементно-песчаным покрытием и наружным оцинкованным покрытием</t>
  </si>
  <si>
    <t>Укладка трубопроводов из труб ПНД-ПЭ100 SDR11 DN110</t>
  </si>
  <si>
    <t>06-01-01 п. 45-48</t>
  </si>
  <si>
    <t>06-01-01 п. 49-52</t>
  </si>
  <si>
    <t>Укладка трубопроводов из труб ПНД-ПЭ100 SDR11 DN160</t>
  </si>
  <si>
    <t>Укладка трубопроводов из труб ПНД-ПЭ100 SDR11 DN63</t>
  </si>
  <si>
    <t>06-01-01 п. 53-56</t>
  </si>
  <si>
    <t>Укладка труб ст. d325*6</t>
  </si>
  <si>
    <t>06-01-01 п. 57-59</t>
  </si>
  <si>
    <t>Укладка труб ст. d530*7</t>
  </si>
  <si>
    <t>06-01-01 п. 60-61</t>
  </si>
  <si>
    <t>06-01-01 п. 62-64</t>
  </si>
  <si>
    <t>Укладка труб ст. d89*5 12Х18Н10Т</t>
  </si>
  <si>
    <t>Изоляция пенополексом толщ. 100 мм</t>
  </si>
  <si>
    <t>06-01-01 п. 65-66</t>
  </si>
  <si>
    <t>Трубопроводная арматура</t>
  </si>
  <si>
    <t>Кран шаровый фланцевый Ду80 PN100 с редуктором</t>
  </si>
  <si>
    <t>06-01-01 п. 67, 68</t>
  </si>
  <si>
    <t>Задвижка клиновая 4000А Ду100 PN16 со штурвалом
Hawle</t>
  </si>
  <si>
    <t>06-01-01 п. 69, 70</t>
  </si>
  <si>
    <t>учтена установка 8 шт</t>
  </si>
  <si>
    <t>06-01-01 п. 71, 72</t>
  </si>
  <si>
    <t>Задвижка клиновая 4000А Ду50 PN16  стелескоп штоком L=3м Hawle</t>
  </si>
  <si>
    <t>Клапан обратный фланцевый, Ду100 PN16</t>
  </si>
  <si>
    <t>06-01-01 п. 73, 74</t>
  </si>
  <si>
    <t>Клапан обратный фланцевый, Ду150 PN16</t>
  </si>
  <si>
    <t>06-01-01 п. 75, 76</t>
  </si>
  <si>
    <t>Врезной хомут Ду400/Ду100 арт.3510</t>
  </si>
  <si>
    <t>Врезной хомут Ду150/Ду100 арт.3510</t>
  </si>
  <si>
    <t>06-01-01 п. 77, 78</t>
  </si>
  <si>
    <t>06-01-01 п. 77, 79</t>
  </si>
  <si>
    <t>Компенсатор сильфонный универсальный Ду200 Ру16</t>
  </si>
  <si>
    <t>06-01-01 п. 80, 81</t>
  </si>
  <si>
    <t>Затвор дисковый поворотный хладостойкий Ду200 Ру16 с концевым выключателем</t>
  </si>
  <si>
    <t>06-01-01 п. 82, 83</t>
  </si>
  <si>
    <t>Колодцы</t>
  </si>
  <si>
    <t>Колодцы для утепленного трубопровода d1500, hполн=2500мм, hраб=1800, с задвижкой Ду50 с электроприводом Auma вх/вых труба Ду160/315, вых
тр. 63/160.</t>
  </si>
  <si>
    <t>Колодцы для утепленного трубопровода d1500, hполн=2500мм, hраб=1800, С задвижкой Ду150, задвижкой Ду50 Ду160/315, вых тр. 63/160.</t>
  </si>
  <si>
    <t>Колодцы для утепленного трубопровода d1500, hполн=2500мм, hраб=1800, С задвижкой Ду50 вх/вых труба Ду110/250, вых тр. 63/160.</t>
  </si>
  <si>
    <t>Колодцы для утепленного трубопровода d1500, hполн=2500мм, hраб=1800,
С задвижкой Ду50, с задвижкой Ду100, с вантузом Ду50, вх/вых труба
Ду110/250</t>
  </si>
  <si>
    <t>Колодцы для утепленного трубопровода d1500, hполн=2500мм, hраб=1800, С задвижкой Ду100, вх/вых труба Ду110/250</t>
  </si>
  <si>
    <t>Колодцы для утепленного трубопровода d1500, hполн=2500мм, hраб=1800, С двумя задвижками Ду100, вх/вых труба Ду110/250- 3 шт</t>
  </si>
  <si>
    <t>Колодцы для утепленного трубопровода d1500, hполн=2500мм, hраб=1800, С 2 задвижками Ду63, с вантузом Ду50 , вх/вых труба Ду63/160</t>
  </si>
  <si>
    <t>Колодцы для утепленного трубопровода d1500, hполн=2500мм, hраб=1800, С пожарными гидрантом Ду100 H=1500, вх.110/250</t>
  </si>
  <si>
    <t>Колодцы для утепленного трубопровода d1500, hполн=2500мм, hраб=1800, С пожарными гидрантом Ду100 H=1500, вх.160/315, вых.160/315</t>
  </si>
  <si>
    <t>Колодцы для утепленного трубопровода d1500, hполн=2500мм, hраб=1800,
С пожарными гидрантом Ду100 H=1500 задвижкой Ду150, автоматическим вантузом Ду50, вх.160/315, 2 вых.160/315</t>
  </si>
  <si>
    <t>06-01-01 п.84, 85, 95</t>
  </si>
  <si>
    <t>06-01-01 п.84, 86, 95</t>
  </si>
  <si>
    <t>06-01-01 п.84, 87, 95</t>
  </si>
  <si>
    <t>06-01-01 п.84, 88, 95</t>
  </si>
  <si>
    <t>06-01-01 п.84, 89, 95</t>
  </si>
  <si>
    <t>06-01-01 п.84, 90, 95</t>
  </si>
  <si>
    <t>06-01-01 п.84, 91, 95</t>
  </si>
  <si>
    <t>06-01-01 п.84, 92, 95</t>
  </si>
  <si>
    <t>06-01-01 п.84, 93, 95</t>
  </si>
  <si>
    <t>06-01-01 п.84, 94, 95</t>
  </si>
  <si>
    <t>06-01-01 п.96, 97</t>
  </si>
  <si>
    <t>Устройство круглых колодцев из сборного железобетона в грунтах: сухих</t>
  </si>
  <si>
    <t>06-01-01 п.98-107</t>
  </si>
  <si>
    <t>Кабель нагревательный саморегулирующийся ЕЭ-ХИТФЛЕКС НТКэ17.</t>
  </si>
  <si>
    <t>Система электрического обогрева</t>
  </si>
  <si>
    <t>06-01-01 п.108-109</t>
  </si>
  <si>
    <t>Резервуар запаса воды</t>
  </si>
  <si>
    <t>Надземная пожарная емкость 250 м. куб, сборная конструкция из стеклопластиковых элементов, утепленная, с электрическим обогревом, с датчиками уровня БАЙКАЛ ПР-250</t>
  </si>
  <si>
    <t>06-01-02 п.1-2</t>
  </si>
  <si>
    <t>Насосная пожаротушения наземного исполнения в составе: Установка пожаротушения WILO C0-3 BL65/210-22/2/SK-FFS-R, Жокей насос CO-1 Helix FIRST V 608/J-ET-R, «БАЙКАЛ-БЛОК-БОКС» 6000х24000х2400(h)
WILO CO 3 BL65/210-22/2/SK-FFS-R + «байкал блокбокс»</t>
  </si>
  <si>
    <t>06-01-02 п.3-4</t>
  </si>
  <si>
    <t>Насосная станция НС1:
Насосная станция 1-го подъема воды подземного исполнения, состоящая из трех камер, исполнение герметичное в стеклопластиковом корпусе Оптимус Гидра 4-21,4-630-80 SP19/1
ТУ 28.13.1-004-11364805-2020</t>
  </si>
  <si>
    <t>06-01-02 п.5-6</t>
  </si>
  <si>
    <t>Насосная станция НС2:
Насосная 2-го подъема воды Оптимус Гидра 4-21,4-630-80 SP19/2 в блочно-модульном исполнении
ТУ 28.13.1-004-11364805-2020</t>
  </si>
  <si>
    <t>06-01-02 п.7-8</t>
  </si>
  <si>
    <t>Канализационная очистная станция. Фундаментная плита ФПм-1</t>
  </si>
  <si>
    <t>06-01-03 п.1</t>
  </si>
  <si>
    <t>Разработка грунта 6 группы в отвал экскаваторами</t>
  </si>
  <si>
    <t>06-01-03 п.2</t>
  </si>
  <si>
    <t>Разработка грунта 6 группы с погрузкой в автомобили-самосвалы экскаваторами и вывозом во временный отвал</t>
  </si>
  <si>
    <t>06-01-03 п.3-4</t>
  </si>
  <si>
    <t>06-01-03 п.5-6</t>
  </si>
  <si>
    <t>Фундаментная плита ФПм-1</t>
  </si>
  <si>
    <t>06-01-03 п.7-26</t>
  </si>
  <si>
    <t>Насосная станция 2-го подъема. Фундамент.</t>
  </si>
  <si>
    <t>06-01-03 п.27</t>
  </si>
  <si>
    <t>06-01-03 п.28</t>
  </si>
  <si>
    <t>06-01-03 п.29-30</t>
  </si>
  <si>
    <t>06-01-03 п.31-32</t>
  </si>
  <si>
    <t>Устройство насыпи (обваловка)</t>
  </si>
  <si>
    <t>06-01-03 п.33, 34</t>
  </si>
  <si>
    <t>Насосная станция 2-го подъема.</t>
  </si>
  <si>
    <t>06-01-03 п.35-76</t>
  </si>
  <si>
    <t>Пожарные резервуары и насосная станция. Фундаментные плиты</t>
  </si>
  <si>
    <t>06-01-03 п.77</t>
  </si>
  <si>
    <t>06-01-03 п.78</t>
  </si>
  <si>
    <t>06-01-03 п.79-80</t>
  </si>
  <si>
    <t>задвоение объемов</t>
  </si>
  <si>
    <t>06-01-03 п.81-82</t>
  </si>
  <si>
    <t>06-01-03 п.83-99</t>
  </si>
  <si>
    <t>Фундаментная плита ФПм-2</t>
  </si>
  <si>
    <t>06-01-03 п.100-118</t>
  </si>
  <si>
    <t>Насосная станция 1-го подъема. Конструкции фундаментов под камеры №1...№3. Конструкция мокрого колодца</t>
  </si>
  <si>
    <t>Земляные работы (камера №1-3)</t>
  </si>
  <si>
    <t>06-01-03 п.119</t>
  </si>
  <si>
    <t>06-01-03 п.120</t>
  </si>
  <si>
    <t>06-01-03 п.121-122</t>
  </si>
  <si>
    <t>06-01-03 п.123-124</t>
  </si>
  <si>
    <t>Земляные работы (железобетонный колодец)</t>
  </si>
  <si>
    <t>06-01-03 п.125</t>
  </si>
  <si>
    <t>06-01-03 п.126</t>
  </si>
  <si>
    <t>06-01-03 п.127, 128</t>
  </si>
  <si>
    <t>06-01-03 п.129, 130</t>
  </si>
  <si>
    <t>06-01-03 п.131-144</t>
  </si>
  <si>
    <t>Фундаментная плита ФПм-2 (2 шт)</t>
  </si>
  <si>
    <t>06-01-03 п.145-157</t>
  </si>
  <si>
    <t>Конструкция "Мокрого колодца"</t>
  </si>
  <si>
    <t>06-01-03 п.157-173</t>
  </si>
  <si>
    <t>06-02-01 п.1</t>
  </si>
  <si>
    <t>Разработка грунта 9 группы экскаваторами с погрузкой в автомобили-самосвалы и вывозом во временный отвал</t>
  </si>
  <si>
    <t>06-02-01 п.2, 4, 5</t>
  </si>
  <si>
    <t>объем вывоза грунта не соответствует объему разработки грунта.</t>
  </si>
  <si>
    <t>06-02-01 п.3</t>
  </si>
  <si>
    <t>Разработка грунта 9 группы вручную в траншеях</t>
  </si>
  <si>
    <t>06-02-01 п.6, 7</t>
  </si>
  <si>
    <t>06-02-01 п.8, 9</t>
  </si>
  <si>
    <t>обратная засыпка местным грунтом бульдозерами с уплотнением пневматическими трамбовками</t>
  </si>
  <si>
    <t>06-02-01 п.10-12</t>
  </si>
  <si>
    <t>укладка геотекстиля KORTEX GT 200/200</t>
  </si>
  <si>
    <t>06-02-01 п.13, 14</t>
  </si>
  <si>
    <t>укладка геосетки "GRUNTEX PET (20/20)"</t>
  </si>
  <si>
    <t>06-02-01 п.15, 16</t>
  </si>
  <si>
    <t>06-02-01 п.17, 18</t>
  </si>
  <si>
    <t>устройство основания щебеночного из щебня М1000 фр.20-40 мм</t>
  </si>
  <si>
    <t>Укладка трубопроводов "Арктик-У" ПЭ100-ППУ-ПЭ SDR11 40/110 с кабель каналом</t>
  </si>
  <si>
    <t>06-02-01 п.19, 20</t>
  </si>
  <si>
    <t>06-02-01 п.19, 21</t>
  </si>
  <si>
    <t>06-02-01 п.19, 22</t>
  </si>
  <si>
    <t>06-02-01 п.19, 23</t>
  </si>
  <si>
    <t>06-02-01 п.19, 24</t>
  </si>
  <si>
    <t>06-02-01 п.19, 25</t>
  </si>
  <si>
    <t>06-02-01 п.19, 26</t>
  </si>
  <si>
    <t>06-02-01 п.19, 27</t>
  </si>
  <si>
    <t>Укладка трубопроводов "Арктик-У" ПЭ100-ППУ-ПЭ SDR11 50/110 с кабель каналом</t>
  </si>
  <si>
    <t>Укладка трубопроводов Изопрофлекс Арктик ПЭ100-ППУ-ПЭ SDR11 40/110</t>
  </si>
  <si>
    <t>Укладка трубопроводов Изопрофлекс Арктик ПЭ100-ППУ-ПЭ SDR11 50/110</t>
  </si>
  <si>
    <t>Укладка трубопроводов ИЗОКОРСИС У 160 SN8/315 SN8</t>
  </si>
  <si>
    <t>Укладка трубопроводов Корсис DN110 SN8</t>
  </si>
  <si>
    <t>Укладка трубопроводов "КОРСИС": SN 8 диаметром 200 мм</t>
  </si>
  <si>
    <t>Укладка трубопроводов d325х6,0 ГОСТ10704-91</t>
  </si>
  <si>
    <t>Плиты пригруза</t>
  </si>
  <si>
    <t>06-02-01 п.28, 29</t>
  </si>
  <si>
    <t>Колодец-гаситель</t>
  </si>
  <si>
    <t>Колодец канализационный ПЭ для напорной канализации с фланцевым гасителем напора, безлотковый, с лестницей с двойными крышками, диаметр -1,5 м; глубина до 2,5 м
Входные патрубки: Изопрофлекс Арктик У SDR11 d40/110 –2 шт
Выходн. патрубки: Изопрофлекс Арктик У SDR11 d40/110 – 1 шт</t>
  </si>
  <si>
    <t>06-02-01 п.30, 31</t>
  </si>
  <si>
    <t>Колодец канализационный ПЭ для утепленного трубопровода
для напорной канализации с лестницей, двойными крышками
диаметр - 1,5 м; глубина 2,5 м,
Входные патрубки: Изопрофлекс Арктик У SDR11 d40/110 – 2 шт
Выходн. патрубки: Корсис DN110 – 1 шт
Гермоввод для оптоволоконного кабеля</t>
  </si>
  <si>
    <t>06-02-01 п.30, 32</t>
  </si>
  <si>
    <t>Колодцы канализационные предизолированные для утепленного трубопровода D1000, с двойными крышками, ревизиями, лестницей:
hполн=2500мм, hраб=1800мм вх.труба 110/250 – 2 шт.
вых тр. 160/315 – 1 шт</t>
  </si>
  <si>
    <t>06-02-01 п.33, 34</t>
  </si>
  <si>
    <t>06-02-01 п.33, 35</t>
  </si>
  <si>
    <t>06-02-01 п.33, 36</t>
  </si>
  <si>
    <t>06-02-01 п.33, 37</t>
  </si>
  <si>
    <t>Колодцы канализационные предизолированные для утепленного трубопровода D1000, с двойными крышками, ревизиями, лестницей:
hполн=2500мм, hраб=1800мм вх.труба 110/250 – 1 шт.
вых тр. 160/315</t>
  </si>
  <si>
    <t>Колодцы канализационные предизолированные для утепленного трубопровода D1000, с двойными крышками, ревизиями, лестницей:
hполн=2500мм, hраб=1800мм вх.труба 160/315 – 1 шт.
вых тр. 160/315 – 1 шт.</t>
  </si>
  <si>
    <t>Люк чугунный средний (ГОСТ 3634-99) марка С(В125)-В-1-60</t>
  </si>
  <si>
    <t>Устройство круглых колодцев из сборного железобетона</t>
  </si>
  <si>
    <t>06-02-01 п.38-44</t>
  </si>
  <si>
    <t>Люки чугунные: с решеткой для дождеприемного колодца ЛР</t>
  </si>
  <si>
    <t>06-02-01 п.45</t>
  </si>
  <si>
    <t>06-02-01 п.46</t>
  </si>
  <si>
    <t>Пригруз колодцев бетоном</t>
  </si>
  <si>
    <t>06-02-01 п.47, 48</t>
  </si>
  <si>
    <t>Кабель нагревательный саморегулирующийся ЕЭ-ХИТФЛЕКС НТКэ17</t>
  </si>
  <si>
    <t>06-02-01 п.49, 50</t>
  </si>
  <si>
    <t>«Байкал БИО-25» в блочно-модульном исполнении с обезвоживанием и УФ-обеззараживанием очищенных сточных вод, производительность до 25 м3/сут. В составе:
- утепленный технологический павильон габарит 6,05*3*2,6м, в комплекте с технологическим и резервуарным оборудованием (решетка, тангенциальная песколовка, резервуар трех секционный первичный отстойник, аэротенк);
- утепленный технологический павильон габарит 6,05*3*2,6м, в комплекте с резервуарным оборудованием (вторичный отстойник, биофильтр)</t>
  </si>
  <si>
    <t>06-02-01 п.51-53</t>
  </si>
  <si>
    <t>06-02-01 п.54, 55</t>
  </si>
  <si>
    <t>Жироотделитель усиленный производительностью 5л/с, в комплекте:
- Стеклопластиковый корпус 1200*2400 шт. 1
- Колодец 1000/600*1500 мм шт. 1
- Колодец 600*1500 мм шт. 1
- Датчик уровня жира шт 1
- Лестница из н/ж стали шт. 2
- Вентиляция ПВХ шт. 2</t>
  </si>
  <si>
    <t>06-02-01 п.56, 57</t>
  </si>
  <si>
    <t>КНС 5м3/ч, h=7 м d=1,2 м, l=2.2 м, 1 насос раб, 1 рез.
"Байкал"
Стеклопластик, утепленн, ШУвн. Исполнения</t>
  </si>
  <si>
    <t>06-02-01 п.58, 59</t>
  </si>
  <si>
    <t>Фильтр патрон ФОПС МУ -0,6-1,8, Россия</t>
  </si>
  <si>
    <t>Кольцо опорное ОК 1,0 –0,58-А-ПТ, Россия</t>
  </si>
  <si>
    <t>06-02-01 п.60, 61</t>
  </si>
  <si>
    <t>Инфильтрационный блок Stormbox® ПП 1200х600х300мм</t>
  </si>
  <si>
    <t>06-02-01 п.62, 63</t>
  </si>
  <si>
    <t>Перепускной клапан угловой, резьбовой Ду40, Ру40, pнастр=4,0 бар</t>
  </si>
  <si>
    <t>06-02-01 п.64, 65</t>
  </si>
  <si>
    <t>Кран шаровый резьбовой с рукояткой Ду40 Valtec</t>
  </si>
  <si>
    <t>06-02-01 п.66, 67</t>
  </si>
  <si>
    <t>Кран для манометра Ду15</t>
  </si>
  <si>
    <t>06-02-01 п.66, 68</t>
  </si>
  <si>
    <t>Схема планировочной организации земельного участка.</t>
  </si>
  <si>
    <t>Вертикальная планировка. Площадка нижней станции.</t>
  </si>
  <si>
    <t>07-01-01 п.1-6</t>
  </si>
  <si>
    <t>Проезды, площадки с грунтовым покрытием (местный грунт). Нижняя станция ППКД.</t>
  </si>
  <si>
    <t>07-01-01 п.7-12</t>
  </si>
  <si>
    <t>Вертикальная планировка. Площадка верхней станции.</t>
  </si>
  <si>
    <t>Проезды, площадки с грунтовым покрытием (местный грунт). Верхняя станция ППКД.</t>
  </si>
  <si>
    <t>07-01-01 п.21-26</t>
  </si>
  <si>
    <t>07-01-01 п.13</t>
  </si>
  <si>
    <t>устройство насыпи</t>
  </si>
  <si>
    <t>Устройство насыпи</t>
  </si>
  <si>
    <t>07-01-01 п.15-19</t>
  </si>
  <si>
    <t>07-01-01 п.14</t>
  </si>
  <si>
    <t>Планировка площадей бульдозерами</t>
  </si>
  <si>
    <t>07-01-01 п.20</t>
  </si>
  <si>
    <t>Вертикальная планировка. Насосная станция первого подъема.</t>
  </si>
  <si>
    <t>07-01-01 п.27</t>
  </si>
  <si>
    <t>07-01-01 п.28</t>
  </si>
  <si>
    <t xml:space="preserve">Планировка площадей бульдозерами </t>
  </si>
  <si>
    <t>Проезды, площадки с грунтовым покрытием (местный грунт). Насосная станция первого подъема.</t>
  </si>
  <si>
    <t>07-01-01 п.29-34</t>
  </si>
  <si>
    <t>Вертикальная планировка. Насосная станция второго подъема.</t>
  </si>
  <si>
    <t>07-01-01 п.35</t>
  </si>
  <si>
    <t>07-01-01 п.36</t>
  </si>
  <si>
    <t>07-01-01 п.37-39</t>
  </si>
  <si>
    <t>Разработка грунта 6 группы с погрузкой в автомобили-самосвалы и вывозом во временный отвал</t>
  </si>
  <si>
    <t>07-01-01 п.40-42</t>
  </si>
  <si>
    <t>07-01-01 п.43</t>
  </si>
  <si>
    <t>Проезды, площадки с грунтовым покрытием (местный грунт). Насосная станция второго подъема.</t>
  </si>
  <si>
    <t>07-01-01 п.44-49</t>
  </si>
  <si>
    <t>09-03-05 п.1, 2</t>
  </si>
  <si>
    <t>09-03-05 п.3, 4</t>
  </si>
  <si>
    <t>Кровля козырька</t>
  </si>
  <si>
    <t>Наружная отделка</t>
  </si>
  <si>
    <t>ВСКД. Секция 1</t>
  </si>
  <si>
    <t>ВСКД. Секция 2</t>
  </si>
  <si>
    <t>Конструктивные и объемно-планировочные решения.</t>
  </si>
  <si>
    <t>Система внутреннего электроснабжения</t>
  </si>
  <si>
    <t>Внутренние сети водоснабжения</t>
  </si>
  <si>
    <t>Автоматическое пожаротушение</t>
  </si>
  <si>
    <t>Внутренние сети водоотведения</t>
  </si>
  <si>
    <t>Отопление, вентиляция и кондиционирование воздуха</t>
  </si>
  <si>
    <t>Внутренние сети связи</t>
  </si>
  <si>
    <t>Монтаж трансформаторной подстанции ТП-КД-6.1.</t>
  </si>
  <si>
    <t>Монтаж трансформаторной подстанции ТП-КД-5.</t>
  </si>
  <si>
    <t>Молниезащита и заземление</t>
  </si>
  <si>
    <t>Система электроснабжения. Молниезащита и заземление. ППКД EL6</t>
  </si>
  <si>
    <t>02-01-01 п.2-3</t>
  </si>
  <si>
    <t>Проезд рабочих до места расположения вахтового городка (г. Пятигорск - поляна Азау)</t>
  </si>
  <si>
    <t>09-04-01 раздел 2</t>
  </si>
  <si>
    <t>09-04-01 разделы 3, 4</t>
  </si>
  <si>
    <t>Ежедневная перевозка рабочих от места проживания на расстояние более 3 км к месту работы и обратно автом. Транспортом</t>
  </si>
  <si>
    <t>Оборудование ППКД EL6</t>
  </si>
  <si>
    <t>Внутриплощадочные сети 0,4 кВ.</t>
  </si>
  <si>
    <t>Внутриплощадочные сети 10 кВ.</t>
  </si>
  <si>
    <t>Трансформаторная подстанция ТП-КД-5.</t>
  </si>
  <si>
    <t>Трансформаторная подстанция ТП-КД-6.1</t>
  </si>
  <si>
    <t>ППКД</t>
  </si>
  <si>
    <t>Автоматическая система пожарной безопасности.ВСППКД EL6 секц.2</t>
  </si>
  <si>
    <t>Автоматическая система пожарной безопасности. Насосные станции</t>
  </si>
  <si>
    <t>Автоматическая система пожарной безопасности</t>
  </si>
  <si>
    <t>Фундаменты НСКД и опоры Т01</t>
  </si>
  <si>
    <t>Фундаменты ВСКД и опоры Т06</t>
  </si>
  <si>
    <t>Доля ПНР</t>
  </si>
  <si>
    <t>Технологические решения</t>
  </si>
  <si>
    <t>Конструктивные решения</t>
  </si>
  <si>
    <r>
      <t>Завышение стоимости монтажа тележка+натяжное устройство= (37340-10755)*(1,023*1,005-2,3%*15%)*6,99*1,2=</t>
    </r>
    <r>
      <rPr>
        <b/>
        <sz val="10"/>
        <rFont val="Arial Cyr"/>
        <charset val="204"/>
      </rPr>
      <t>228495</t>
    </r>
    <r>
      <rPr>
        <sz val="10"/>
        <rFont val="Arial Cyr"/>
        <charset val="204"/>
      </rPr>
      <t xml:space="preserve"> руб.
ФЕРм03-04-022-10</t>
    </r>
  </si>
  <si>
    <r>
      <t>Завышение стоимости монтажа:
шкив =(29556-9449)*(1,023*1,005-2,3%*15%)*6,99*1,2=</t>
    </r>
    <r>
      <rPr>
        <b/>
        <sz val="10"/>
        <rFont val="Arial Cyr"/>
        <charset val="204"/>
      </rPr>
      <t>172817</t>
    </r>
    <r>
      <rPr>
        <sz val="10"/>
        <rFont val="Arial Cyr"/>
        <charset val="204"/>
      </rPr>
      <t xml:space="preserve"> руб. (ФЕРм03-04-022-06)
</t>
    </r>
  </si>
  <si>
    <r>
      <t>Завышение стоимости монтажа:
двигатель =(59468-19945)*(1,023*1,005-2,3%*15%)*6,99*1,2=</t>
    </r>
    <r>
      <rPr>
        <b/>
        <sz val="10"/>
        <rFont val="Arial Cyr"/>
        <charset val="204"/>
      </rPr>
      <t>339696</t>
    </r>
    <r>
      <rPr>
        <sz val="10"/>
        <rFont val="Arial Cyr"/>
        <charset val="204"/>
      </rPr>
      <t xml:space="preserve"> руб. (ФЕРм03-04-022-01)
</t>
    </r>
  </si>
  <si>
    <r>
      <t>учтен вес монтажа 3,7 т
Занижение стоимости =(6985-8033)*(1,023*1,005-2,3%*15%)*6,99*1,2=</t>
    </r>
    <r>
      <rPr>
        <b/>
        <sz val="10"/>
        <rFont val="Arial Cyr"/>
        <charset val="204"/>
      </rPr>
      <t xml:space="preserve">-9007 </t>
    </r>
    <r>
      <rPr>
        <sz val="10"/>
        <rFont val="Arial Cyr"/>
        <charset val="204"/>
      </rPr>
      <t>руб.</t>
    </r>
  </si>
  <si>
    <t>2.2.1.22</t>
  </si>
  <si>
    <t>2.2.1.23</t>
  </si>
  <si>
    <t>Платежно-пропускная система. НСКД</t>
  </si>
  <si>
    <t>Система часофикации. НСКД</t>
  </si>
  <si>
    <t>Структурированная кабельная сеть. Система передачи данных. НСКД</t>
  </si>
  <si>
    <t>Система часофикации. ВСКД</t>
  </si>
  <si>
    <t>Структурированная кабельная сеть. Система передачи данных. ВСКД</t>
  </si>
  <si>
    <t>2.2.5.1</t>
  </si>
  <si>
    <t>2.2.5.2</t>
  </si>
  <si>
    <t>2.2.5.3</t>
  </si>
  <si>
    <t>2.2.5.4</t>
  </si>
  <si>
    <t>2.2.5.5</t>
  </si>
  <si>
    <t>2.2.5.6</t>
  </si>
  <si>
    <t>Автоматическая установка пожарной сигнализации. ВСКД</t>
  </si>
  <si>
    <t>Система оповещения и управления эвакуацией. ВСКД</t>
  </si>
  <si>
    <t>Автоматическая установка пожарной сигнализации. НСКД</t>
  </si>
  <si>
    <t>Система оповещения и управления эвакуацией. НСКД</t>
  </si>
  <si>
    <t>СОТ. НСКД</t>
  </si>
  <si>
    <t>СОТС. НСКД</t>
  </si>
  <si>
    <t>СКУД. НСКД</t>
  </si>
  <si>
    <t>СОТ. ВСКД</t>
  </si>
  <si>
    <t>СОТС. ВСКД</t>
  </si>
  <si>
    <t>СКУД. ВСКД</t>
  </si>
  <si>
    <t>СОТ. Насосные  станции. 1-ого, 2-ого подъема воды, пожпротушения.</t>
  </si>
  <si>
    <t>СОТС. Насосная станция</t>
  </si>
  <si>
    <t>2.2.7.1</t>
  </si>
  <si>
    <t>2.2.7.2</t>
  </si>
  <si>
    <t>2.2.7.3</t>
  </si>
  <si>
    <t>2.2.7.4</t>
  </si>
  <si>
    <t>2.2.7.5</t>
  </si>
  <si>
    <t>2.2.7.6</t>
  </si>
  <si>
    <t>2.2.7.7</t>
  </si>
  <si>
    <t>2.2.7.8</t>
  </si>
  <si>
    <t>2.2.7.9</t>
  </si>
  <si>
    <t>Автоматизация комплексная.Пассажирская подвесная канатная дорога EL6</t>
  </si>
  <si>
    <t>Архитектурные решения. ВСКД. Секция 1</t>
  </si>
  <si>
    <t>Система внутреннего электроснабжения. ВСКД. Секция 1</t>
  </si>
  <si>
    <t>Конструктивные и объемно-планировочные решения. ВСКД. Секция 1</t>
  </si>
  <si>
    <t>Архитектурные решения. ВСКД. Секция 2</t>
  </si>
  <si>
    <t>2.3.1.1</t>
  </si>
  <si>
    <t>2.3.1.2</t>
  </si>
  <si>
    <t>2.3.1.3</t>
  </si>
  <si>
    <t>2.3.1.4</t>
  </si>
  <si>
    <t>2.3.1.5</t>
  </si>
  <si>
    <t>2.3.1.6</t>
  </si>
  <si>
    <t>2.3.1.7</t>
  </si>
  <si>
    <t>2.3.1.8</t>
  </si>
  <si>
    <t>2.3.1.9</t>
  </si>
  <si>
    <t>2.3.1.10</t>
  </si>
  <si>
    <t>2.3.2.8</t>
  </si>
  <si>
    <t>2.3.2.9</t>
  </si>
  <si>
    <t>2.3.2.10</t>
  </si>
  <si>
    <t>2.3.2.11</t>
  </si>
  <si>
    <t>2.3.2.12</t>
  </si>
  <si>
    <t>2.3.2.13</t>
  </si>
  <si>
    <t>2.3.2.14</t>
  </si>
  <si>
    <t>2.3.2.15</t>
  </si>
  <si>
    <t>2.3.2.16</t>
  </si>
  <si>
    <t>2.3.2.17</t>
  </si>
  <si>
    <t>2.3.2.18</t>
  </si>
  <si>
    <t>2.3.2.19</t>
  </si>
  <si>
    <t>2.3.2.20</t>
  </si>
  <si>
    <t>2.3.2.21</t>
  </si>
  <si>
    <t>2.3.2.22</t>
  </si>
  <si>
    <t>2.3.2.23</t>
  </si>
  <si>
    <t>2.3.2.24</t>
  </si>
  <si>
    <t>2.3.2.25</t>
  </si>
  <si>
    <t>2.3.2.26</t>
  </si>
  <si>
    <t>2.3.2.27</t>
  </si>
  <si>
    <t>2.3.2.28</t>
  </si>
  <si>
    <t>2.3.2.29</t>
  </si>
  <si>
    <t>2.3.2.30</t>
  </si>
  <si>
    <t>2.3.2.31</t>
  </si>
  <si>
    <t>2.3.2.32</t>
  </si>
  <si>
    <t>2.3.2.33</t>
  </si>
  <si>
    <t>2.3.2.34</t>
  </si>
  <si>
    <t>2.3.2.35</t>
  </si>
  <si>
    <t>2.3.2.36</t>
  </si>
  <si>
    <t>2.3.2.37</t>
  </si>
  <si>
    <t>2.3.2.38</t>
  </si>
  <si>
    <t>2.3.2.39</t>
  </si>
  <si>
    <t>2.3.2.40</t>
  </si>
  <si>
    <t>2.3.2.41</t>
  </si>
  <si>
    <t>2.3.2.42</t>
  </si>
  <si>
    <t>2.3.2.43</t>
  </si>
  <si>
    <t>2.3.2.44</t>
  </si>
  <si>
    <t>2.3.2.45</t>
  </si>
  <si>
    <t>2.3.2.46</t>
  </si>
  <si>
    <t>2.3.2.47</t>
  </si>
  <si>
    <t>2.3.2.48</t>
  </si>
  <si>
    <t>2.3.2.49</t>
  </si>
  <si>
    <t>2.3.2.50</t>
  </si>
  <si>
    <t>2.3.2.51</t>
  </si>
  <si>
    <t>2.3.2.52</t>
  </si>
  <si>
    <t>2.3.2.53</t>
  </si>
  <si>
    <t>2.3.2.54</t>
  </si>
  <si>
    <t>2.3.2.55</t>
  </si>
  <si>
    <t>2.3.2.56</t>
  </si>
  <si>
    <t>2.3.2.57</t>
  </si>
  <si>
    <t>2.3.2.58</t>
  </si>
  <si>
    <t>2.3.2.59</t>
  </si>
  <si>
    <t>2.3.2.60</t>
  </si>
  <si>
    <t>2.3.2.61</t>
  </si>
  <si>
    <t>2.3.2.62</t>
  </si>
  <si>
    <t>2.3.2.63</t>
  </si>
  <si>
    <t>2.3.2.64</t>
  </si>
  <si>
    <t>2.3.3.15</t>
  </si>
  <si>
    <t>2.3.3.16</t>
  </si>
  <si>
    <t>2.3.3.17</t>
  </si>
  <si>
    <t>Конструктивные и объемно-планировочные решения. ВСКД. Секция 2</t>
  </si>
  <si>
    <t>Комплексная система безопасности. ВСКД. Секция 2</t>
  </si>
  <si>
    <t>Молниезащита и заземление. ВСКД. Секция 2</t>
  </si>
  <si>
    <t>Внутренние сети водоснабжения. ВСКД. Секция 2</t>
  </si>
  <si>
    <t>Автоматическое пожаротушение. ВСКД. Секция 2</t>
  </si>
  <si>
    <t>Внутренние сети водоотведения. ВСКД. Секция 2</t>
  </si>
  <si>
    <t>Отопление, вентиляция и кондиционирование воздуха. ВСКД. Секция 2</t>
  </si>
  <si>
    <t>Внутренние сети связи. ВСКД. Секция 2</t>
  </si>
  <si>
    <t>Система обеспечения пожарной безопасности. ВСКД. Секция 2</t>
  </si>
  <si>
    <t>2.3.4.2</t>
  </si>
  <si>
    <t>2.3.4.3</t>
  </si>
  <si>
    <t>2.3.4.4</t>
  </si>
  <si>
    <t>2.3.4.5</t>
  </si>
  <si>
    <t>2.3.4.6</t>
  </si>
  <si>
    <t>2.3.4.7</t>
  </si>
  <si>
    <t>2.3.4.8</t>
  </si>
  <si>
    <t>2.3.4.9</t>
  </si>
  <si>
    <t>2.3.4.10</t>
  </si>
  <si>
    <t>2.3.4.11</t>
  </si>
  <si>
    <t>2.3.4.12</t>
  </si>
  <si>
    <t>2.3.4.13</t>
  </si>
  <si>
    <t>2.3.4.14</t>
  </si>
  <si>
    <t>2.3.4.15</t>
  </si>
  <si>
    <t>2.3.4.16</t>
  </si>
  <si>
    <t>2.3.4.17</t>
  </si>
  <si>
    <t>2.3.4.18</t>
  </si>
  <si>
    <t>2.3.4.19</t>
  </si>
  <si>
    <t>2.3.6.4</t>
  </si>
  <si>
    <t>2.3.6.5</t>
  </si>
  <si>
    <t>2.3.7.4</t>
  </si>
  <si>
    <t>2.3.7.5</t>
  </si>
  <si>
    <t>2.3.7.6</t>
  </si>
  <si>
    <t>2.3.7.7</t>
  </si>
  <si>
    <t>2.3.7.8</t>
  </si>
  <si>
    <t>2.3.7.9</t>
  </si>
  <si>
    <t>2.3.7.10</t>
  </si>
  <si>
    <t>2.3.7.11</t>
  </si>
  <si>
    <t>2.3.7.12</t>
  </si>
  <si>
    <t>2.3.7.13</t>
  </si>
  <si>
    <t>2.3.7.14</t>
  </si>
  <si>
    <t>2.3.7.15</t>
  </si>
  <si>
    <t>2.3.7.16</t>
  </si>
  <si>
    <t>2.3.7.17</t>
  </si>
  <si>
    <t>2.3.7.18</t>
  </si>
  <si>
    <t>2.3.7.19</t>
  </si>
  <si>
    <t>2.3.7.20</t>
  </si>
  <si>
    <t>2.3.7.21</t>
  </si>
  <si>
    <t>2.3.7.22</t>
  </si>
  <si>
    <t>2.3.7.23</t>
  </si>
  <si>
    <t>2.3.7.24</t>
  </si>
  <si>
    <t>2.3.7.25</t>
  </si>
  <si>
    <t>2.3.7.26</t>
  </si>
  <si>
    <t>2.3.7.27</t>
  </si>
  <si>
    <t>2.3.7.28</t>
  </si>
  <si>
    <t>2.3.7.29</t>
  </si>
  <si>
    <t>2.3.7.30</t>
  </si>
  <si>
    <t>2.3.7.31</t>
  </si>
  <si>
    <t>2.3.7.32</t>
  </si>
  <si>
    <t>2.3.7.33</t>
  </si>
  <si>
    <t>2.3.7.34</t>
  </si>
  <si>
    <t>2.3.7.35</t>
  </si>
  <si>
    <t>2.3.7.36</t>
  </si>
  <si>
    <t>2.3.7.37</t>
  </si>
  <si>
    <t>2.3.7.38</t>
  </si>
  <si>
    <t>2.3.7.39</t>
  </si>
  <si>
    <t>2.3.7.40</t>
  </si>
  <si>
    <t>2.3.7.41</t>
  </si>
  <si>
    <t>2.3.7.42</t>
  </si>
  <si>
    <t>2.3.7.43</t>
  </si>
  <si>
    <t>2.3.8.4</t>
  </si>
  <si>
    <t>2.3.9.3</t>
  </si>
  <si>
    <t>2.3.9.4</t>
  </si>
  <si>
    <t>2.3.9.5</t>
  </si>
  <si>
    <t>2.3.10.1</t>
  </si>
  <si>
    <t>2.3.11.1</t>
  </si>
  <si>
    <t>2.3.11.2</t>
  </si>
  <si>
    <t>2.3.12.1</t>
  </si>
  <si>
    <t>2.3.12.2</t>
  </si>
  <si>
    <t>2.3.12.3</t>
  </si>
  <si>
    <t>2.3.12.4</t>
  </si>
  <si>
    <t>2.3.12.5</t>
  </si>
  <si>
    <t>2.3.12.6</t>
  </si>
  <si>
    <t>2.3.12.7</t>
  </si>
  <si>
    <t>2.3.12.8</t>
  </si>
  <si>
    <t>2.3.12.9</t>
  </si>
  <si>
    <t>2.3.12.10</t>
  </si>
  <si>
    <t>2.3.12.11</t>
  </si>
  <si>
    <t>2.3.12.12</t>
  </si>
  <si>
    <t>2.3.12.13</t>
  </si>
  <si>
    <t>2.3.12.14</t>
  </si>
  <si>
    <t>2.3.12.15</t>
  </si>
  <si>
    <t>2.3.12.16</t>
  </si>
  <si>
    <t>2.3.12.17</t>
  </si>
  <si>
    <t>2.3.12.18</t>
  </si>
  <si>
    <t>2.3.12.19</t>
  </si>
  <si>
    <t>2.3.12.20</t>
  </si>
  <si>
    <t>2.3.12.21</t>
  </si>
  <si>
    <t>2.3.12.22</t>
  </si>
  <si>
    <t>2.3.12.23</t>
  </si>
  <si>
    <t>2.3.12.24</t>
  </si>
  <si>
    <t>2.3.12.25</t>
  </si>
  <si>
    <t>2.3.12.26</t>
  </si>
  <si>
    <t>2.3.12.27</t>
  </si>
  <si>
    <t>2.3.12.28</t>
  </si>
  <si>
    <t>2.3.12.29</t>
  </si>
  <si>
    <t>2.3.12.30</t>
  </si>
  <si>
    <t>2.3.12.31</t>
  </si>
  <si>
    <t>2.3.12.32</t>
  </si>
  <si>
    <t>2.3.12.33</t>
  </si>
  <si>
    <t>2.3.12.34</t>
  </si>
  <si>
    <t>2.3.12.35</t>
  </si>
  <si>
    <t>2.3.12.36</t>
  </si>
  <si>
    <t>2.3.13</t>
  </si>
  <si>
    <t>2.3.14</t>
  </si>
  <si>
    <t>2.3.14.1</t>
  </si>
  <si>
    <t>2.3.14.2</t>
  </si>
  <si>
    <t>2.3.14.3</t>
  </si>
  <si>
    <t>2.3.15</t>
  </si>
  <si>
    <t>2.3.15.1</t>
  </si>
  <si>
    <t>2.3.15.2</t>
  </si>
  <si>
    <t>2.3.15.3</t>
  </si>
  <si>
    <t>2.3.15.4</t>
  </si>
  <si>
    <t>2.3.16</t>
  </si>
  <si>
    <t>2.3.16.1</t>
  </si>
  <si>
    <t>2.3.16.2</t>
  </si>
  <si>
    <t>2.4.1.2</t>
  </si>
  <si>
    <t>2.4.1.3</t>
  </si>
  <si>
    <t>2.4.1.4</t>
  </si>
  <si>
    <t>2.4.1.5</t>
  </si>
  <si>
    <t>2.4.1.6</t>
  </si>
  <si>
    <t>2.4.1.7</t>
  </si>
  <si>
    <t>2.4.1.8</t>
  </si>
  <si>
    <t>2.4.1.9</t>
  </si>
  <si>
    <t>2.4.1.10</t>
  </si>
  <si>
    <t>2.4.1.11</t>
  </si>
  <si>
    <t>2.4.1.12</t>
  </si>
  <si>
    <t>2.4.1.13</t>
  </si>
  <si>
    <t>2.4.1.14</t>
  </si>
  <si>
    <t>2.4.1.15</t>
  </si>
  <si>
    <t>2.4.1.16</t>
  </si>
  <si>
    <t>2.4.1.17</t>
  </si>
  <si>
    <t>2.4.1.18</t>
  </si>
  <si>
    <t>2.4.2.11</t>
  </si>
  <si>
    <t>2.4.2.12</t>
  </si>
  <si>
    <t>2.4.2.13</t>
  </si>
  <si>
    <t>2.4.4.5</t>
  </si>
  <si>
    <t>2.4.4.6</t>
  </si>
  <si>
    <t>2.4.4.7</t>
  </si>
  <si>
    <t>2.4.4.8</t>
  </si>
  <si>
    <t>2.4.4.9</t>
  </si>
  <si>
    <t>2.4.4.10</t>
  </si>
  <si>
    <t>2.4.4.11</t>
  </si>
  <si>
    <t>2.4.4.12</t>
  </si>
  <si>
    <t>2.6.25</t>
  </si>
  <si>
    <t>2.6.26</t>
  </si>
  <si>
    <t>2.6.27</t>
  </si>
  <si>
    <t>2.6.28</t>
  </si>
  <si>
    <t>2.6.29</t>
  </si>
  <si>
    <t>2.6.30</t>
  </si>
  <si>
    <t>2.6.31</t>
  </si>
  <si>
    <t>2.6.32</t>
  </si>
  <si>
    <t>2.6.33</t>
  </si>
  <si>
    <t>2.6.34</t>
  </si>
  <si>
    <t>2.6.35</t>
  </si>
  <si>
    <t>2.6.36</t>
  </si>
  <si>
    <t>2.6.37</t>
  </si>
  <si>
    <t>2.7.1.1</t>
  </si>
  <si>
    <t>2.7.1.2</t>
  </si>
  <si>
    <t>2.7.1.3</t>
  </si>
  <si>
    <t>2.7.1.4</t>
  </si>
  <si>
    <t>2.7.1.5</t>
  </si>
  <si>
    <t>2.7.1.6</t>
  </si>
  <si>
    <t>2.7.1.7</t>
  </si>
  <si>
    <t>2.7.1.8</t>
  </si>
  <si>
    <t>2.7.1.9</t>
  </si>
  <si>
    <t>2.7.1.10</t>
  </si>
  <si>
    <t>2.7.2.1</t>
  </si>
  <si>
    <t>Трансформаторная подстанция ТП-КД-6.1.</t>
  </si>
  <si>
    <t>2.10.1.1</t>
  </si>
  <si>
    <t>2.10.1.2</t>
  </si>
  <si>
    <t>2.10.1.3</t>
  </si>
  <si>
    <t>2.10.1.4</t>
  </si>
  <si>
    <t>2.10.1.5</t>
  </si>
  <si>
    <t>2.10.1.6</t>
  </si>
  <si>
    <t>2.10.1.7</t>
  </si>
  <si>
    <t>2.10.1.8</t>
  </si>
  <si>
    <t>2.10.1.9</t>
  </si>
  <si>
    <t>2.10.1.10</t>
  </si>
  <si>
    <t>2.10.1.11</t>
  </si>
  <si>
    <t>2.10.1.12</t>
  </si>
  <si>
    <t>2.10.1.13</t>
  </si>
  <si>
    <t>2.10.1.14</t>
  </si>
  <si>
    <t>2.10.1.15</t>
  </si>
  <si>
    <t>2.10.1.16</t>
  </si>
  <si>
    <t>2.10.1.17</t>
  </si>
  <si>
    <t>2.10.1.18</t>
  </si>
  <si>
    <t>2.10.1.19</t>
  </si>
  <si>
    <t>2.10.1.20</t>
  </si>
  <si>
    <t>2.10.1.21</t>
  </si>
  <si>
    <t>2.10.1.22</t>
  </si>
  <si>
    <t>2.10.1.23</t>
  </si>
  <si>
    <t>2.10.1.24</t>
  </si>
  <si>
    <t>2.10.1.25</t>
  </si>
  <si>
    <t>2.10.1.26</t>
  </si>
  <si>
    <t>2.10.1.27</t>
  </si>
  <si>
    <t>2.10.1.28</t>
  </si>
  <si>
    <t>2.10.1.29</t>
  </si>
  <si>
    <t>2.10.1.30</t>
  </si>
  <si>
    <t>2.10.1.31</t>
  </si>
  <si>
    <t>2.10.1.32</t>
  </si>
  <si>
    <t>2.10.1.33</t>
  </si>
  <si>
    <t>2.10.1.34</t>
  </si>
  <si>
    <t>2.10.1.35</t>
  </si>
  <si>
    <t>2.10.1.36</t>
  </si>
  <si>
    <t>2.10.1.37</t>
  </si>
  <si>
    <t>2.10.1.38</t>
  </si>
  <si>
    <t>2.10.1.39</t>
  </si>
  <si>
    <t>2.10.1.40</t>
  </si>
  <si>
    <t>2.10.1.41</t>
  </si>
  <si>
    <t>2.10.1.42</t>
  </si>
  <si>
    <t>2.10.1.43</t>
  </si>
  <si>
    <t>2.10.1.44</t>
  </si>
  <si>
    <t>2.10.1.45</t>
  </si>
  <si>
    <t>2.10.1.46</t>
  </si>
  <si>
    <t>2.10.2.1</t>
  </si>
  <si>
    <t>2.10.2.2</t>
  </si>
  <si>
    <t>2.10.2.3</t>
  </si>
  <si>
    <t>2.10.2.4</t>
  </si>
  <si>
    <t>2.10.3.1</t>
  </si>
  <si>
    <t>2.10.3.2</t>
  </si>
  <si>
    <t>2.10.3.3</t>
  </si>
  <si>
    <t>2.10.3.4</t>
  </si>
  <si>
    <t>2.10.3.5</t>
  </si>
  <si>
    <t>2.10.3.6</t>
  </si>
  <si>
    <t>2.10.3.7</t>
  </si>
  <si>
    <t>2.10.3.8</t>
  </si>
  <si>
    <t>2.10.3.9</t>
  </si>
  <si>
    <t>2.10.3.10</t>
  </si>
  <si>
    <t>2.10.3.11</t>
  </si>
  <si>
    <t>2.10.3.12</t>
  </si>
  <si>
    <t>2.10.3.13</t>
  </si>
  <si>
    <t>2.10.3.14</t>
  </si>
  <si>
    <t>2.10.3.15</t>
  </si>
  <si>
    <t>2.10.3.16</t>
  </si>
  <si>
    <t>2.10.3.17</t>
  </si>
  <si>
    <t>2.10.3.18</t>
  </si>
  <si>
    <t>2.10.3.19</t>
  </si>
  <si>
    <t>2.10.3.20</t>
  </si>
  <si>
    <t>2.10.3.21</t>
  </si>
  <si>
    <t>2.10.3.22</t>
  </si>
  <si>
    <t>2.10.3.23</t>
  </si>
  <si>
    <t>2.10.3.24</t>
  </si>
  <si>
    <t>2.10.3.25</t>
  </si>
  <si>
    <t>2.10.3.26</t>
  </si>
  <si>
    <t>2.10.3.27</t>
  </si>
  <si>
    <t>2.10.3.28</t>
  </si>
  <si>
    <t>2.11.1</t>
  </si>
  <si>
    <t>2.11.2</t>
  </si>
  <si>
    <t>2.11.3</t>
  </si>
  <si>
    <t>2.11.4</t>
  </si>
  <si>
    <t>2.11.5</t>
  </si>
  <si>
    <t>2.11.6</t>
  </si>
  <si>
    <t>2.11.7</t>
  </si>
  <si>
    <t>2.11.8</t>
  </si>
  <si>
    <t>2.11.9</t>
  </si>
  <si>
    <t>2.11.10</t>
  </si>
  <si>
    <t>2.11.11</t>
  </si>
  <si>
    <t>2.11.12</t>
  </si>
  <si>
    <t>2.11.13</t>
  </si>
  <si>
    <t>2.11.14</t>
  </si>
  <si>
    <t>2.11.15</t>
  </si>
  <si>
    <t>2.11.16</t>
  </si>
  <si>
    <t>2.11.17</t>
  </si>
  <si>
    <t>2.11.18</t>
  </si>
  <si>
    <t>2.11.19</t>
  </si>
  <si>
    <t>2.11.20</t>
  </si>
  <si>
    <t>2.11.21</t>
  </si>
  <si>
    <t>2.11.22</t>
  </si>
  <si>
    <t>2.11.23</t>
  </si>
  <si>
    <t>2.11.24</t>
  </si>
  <si>
    <t>2.11.25</t>
  </si>
  <si>
    <t>2.11.26</t>
  </si>
  <si>
    <t>2.11.27</t>
  </si>
  <si>
    <t>2.11.28</t>
  </si>
  <si>
    <t>2.11.29</t>
  </si>
  <si>
    <t>2.11.30</t>
  </si>
  <si>
    <t>2.11.31</t>
  </si>
  <si>
    <t>2.11.32</t>
  </si>
  <si>
    <t>2.11.33</t>
  </si>
  <si>
    <t>2.11.34</t>
  </si>
  <si>
    <t>2.11.35</t>
  </si>
  <si>
    <t>2.11.36</t>
  </si>
  <si>
    <t>2.11.37</t>
  </si>
  <si>
    <t>2.11.38</t>
  </si>
  <si>
    <t>2.15.1</t>
  </si>
  <si>
    <t>2.15.2</t>
  </si>
  <si>
    <t>2.15.3</t>
  </si>
  <si>
    <t>ППКД EL6</t>
  </si>
  <si>
    <t>3.3.3</t>
  </si>
  <si>
    <t>1) поскольку индекс фактической инфляции за июнь 2020 отсутствует на момент формирования НМЦК, то он принимается равным 1.</t>
  </si>
  <si>
    <r>
      <t>*Индекс фактической инфляции по данным Росстата ("Строительство ", Кабардино-Балкарская республика) от цен утверждения сметной документации до даты формирования НМЦК (1,0312*1,0258*1,0358*1,0253*</t>
    </r>
    <r>
      <rPr>
        <sz val="12"/>
        <color rgb="FFFF0000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*1)=</t>
    </r>
  </si>
  <si>
    <t>3. Утвержденный сводный сметный расчет стоимости строительства "Всесезонный туристско-рекреационный комплекс «Эльбрус», 
Кабардино-Балкарская Республика. Пассажирская подвесная канатная дорога EL6"</t>
  </si>
  <si>
    <t>2. Заключение Федерального автономного учреждения "Главное управление государственной экспертизы" (ФАУ "ГЛАВГОСЭКСПЕРТИЗА РОССИИ") от 30.03.2020 № в ЕГРЗ 07-1-1-3-009536-2020.</t>
  </si>
  <si>
    <t>2.2.2.8</t>
  </si>
  <si>
    <t>2.2.2.9</t>
  </si>
  <si>
    <t>2.2.2.10</t>
  </si>
  <si>
    <t>2.2.2.11</t>
  </si>
  <si>
    <t>2.2.2.12</t>
  </si>
  <si>
    <t>2.2.2.13</t>
  </si>
  <si>
    <t>2.2.2.14</t>
  </si>
  <si>
    <t>2.2.2.15</t>
  </si>
  <si>
    <t>2.2.2.16</t>
  </si>
  <si>
    <t>2.2.2.17</t>
  </si>
  <si>
    <t>2.2.2.18</t>
  </si>
  <si>
    <t>2.2.2.19</t>
  </si>
  <si>
    <t>2.2.2.20</t>
  </si>
  <si>
    <t>2.2.2.21</t>
  </si>
  <si>
    <t>2.2.2.22</t>
  </si>
  <si>
    <t>2.2.2.23</t>
  </si>
  <si>
    <t>2.2.2.24</t>
  </si>
  <si>
    <t>2.2.2.25</t>
  </si>
  <si>
    <t>2.2.2.26</t>
  </si>
  <si>
    <t>2.2.2.27</t>
  </si>
  <si>
    <t>2.2.2.28</t>
  </si>
  <si>
    <t>2.2.2.29</t>
  </si>
  <si>
    <t>2.2.2.30</t>
  </si>
  <si>
    <t>2.2.2.31</t>
  </si>
  <si>
    <t>2.2.2.32</t>
  </si>
  <si>
    <t>2.2.2.33</t>
  </si>
  <si>
    <t>2.2.2.34</t>
  </si>
  <si>
    <t>2.2.2.35</t>
  </si>
  <si>
    <t>2.2.2.36</t>
  </si>
  <si>
    <t>2.2.2.37</t>
  </si>
  <si>
    <t>2.2.2.38</t>
  </si>
  <si>
    <t>2.2.6.1</t>
  </si>
  <si>
    <t>2.2.6.2</t>
  </si>
  <si>
    <t>2.2.6.3</t>
  </si>
  <si>
    <t>2.2.6.4</t>
  </si>
  <si>
    <t>2.2.8.1</t>
  </si>
  <si>
    <t>2.2.8.2</t>
  </si>
  <si>
    <t>2.2.8.3</t>
  </si>
  <si>
    <t>2.2.8.4</t>
  </si>
  <si>
    <t>2.2.8.5</t>
  </si>
  <si>
    <t>2.2.8.6</t>
  </si>
  <si>
    <t>2.2.8.7</t>
  </si>
  <si>
    <t>2.2.8.8</t>
  </si>
  <si>
    <t>2.2.8.9</t>
  </si>
  <si>
    <t>2.2.8.10</t>
  </si>
  <si>
    <t>2.2.8.11</t>
  </si>
  <si>
    <t>2.2.8.12</t>
  </si>
  <si>
    <t>2.2.8.13</t>
  </si>
  <si>
    <t>2.2.8.14</t>
  </si>
  <si>
    <t>2.2.8.15</t>
  </si>
  <si>
    <t>2.2.8.16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</si>
  <si>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</si>
  <si>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</si>
  <si>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</si>
  <si>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</si>
  <si>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</si>
  <si>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-затраты на разработку рабочей документации;</t>
  </si>
  <si>
    <t>- затраты на оплату труда рабочих-строителей;</t>
  </si>
  <si>
    <t>-затраты на приобретение материалов, изделий и конструкций;</t>
  </si>
  <si>
    <t>-затраты на эксплуатацию машин и механизмов;</t>
  </si>
  <si>
    <t>-накладные расходы;</t>
  </si>
  <si>
    <t>-сметную прибыль;</t>
  </si>
  <si>
    <t>-затраты на строительство временных зданий и сооружений;</t>
  </si>
  <si>
    <t>-возврат от разборки временных зданий и сооружений в размере 15% от суммы затрат на их возведение;</t>
  </si>
  <si>
    <t>-Затраты по командированию рабочих и машинистов строительной техники для производства СМР;</t>
  </si>
  <si>
    <t>-затраты, связанные с перевозкой рабочих;</t>
  </si>
  <si>
    <t>-размещение на полигоне строительного мусора и отходов;</t>
  </si>
  <si>
    <t>-плата за негативное воздействие на окружающую среду;</t>
  </si>
  <si>
    <t xml:space="preserve">-затраты на проведение производственного экологического мониторинга; </t>
  </si>
  <si>
    <t>-пусконаладочные работы "вхолостую";</t>
  </si>
  <si>
    <t>- резерв средств на непредвиденные работы и затраты;</t>
  </si>
  <si>
    <t>-индексы фактической инфляции для пересчета сметной стоимости из уровня цен утверждения проектной документации в уровень цен на дату определения НМЦК;</t>
  </si>
  <si>
    <t>-прогнозные индексы инфляции для пересчета из уровня цен на дату определения НМЦК в уровень цен соответствующего периода реализации проекта.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</si>
  <si>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</si>
  <si>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</si>
  <si>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</si>
  <si>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</si>
  <si>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</si>
  <si>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-удорожание работ в зимнее время;</t>
  </si>
  <si>
    <t>-шеф-монтаж оборудования ППКД EL6;</t>
  </si>
  <si>
    <t>НАЧАЛЬНАЯ МАКСИМАЛЬНАЯ ЦЕНА ДОГОВОРА</t>
  </si>
  <si>
    <t>Продолжительность работ</t>
  </si>
  <si>
    <t>месяцев</t>
  </si>
  <si>
    <t>Начало работ</t>
  </si>
  <si>
    <t>Окончание работ</t>
  </si>
  <si>
    <t>Виды (наименования) работ</t>
  </si>
  <si>
    <r>
      <t>Стоимость работ в ценах на дату формирования начальной (максимальной) цены контракта -</t>
    </r>
    <r>
      <rPr>
        <sz val="12"/>
        <color rgb="FFFF0000"/>
        <rFont val="Times New Roman"/>
        <family val="1"/>
        <charset val="204"/>
      </rPr>
      <t xml:space="preserve"> июнь 2020 г.</t>
    </r>
  </si>
  <si>
    <t>Итого, руб.</t>
  </si>
  <si>
    <t>НДС 20%</t>
  </si>
  <si>
    <t>Всего с учетом НДС, руб.</t>
  </si>
  <si>
    <t>Всего</t>
  </si>
  <si>
    <t>ПОЯСНИТЕЛЬНАЯ ЗАПИСКА</t>
  </si>
  <si>
    <t>К РАСЧЕТУ НАЧАЛЬНОЙ МАКСИМАЛЬНОЙ ЦЕНЫ ДОГОВОРА</t>
  </si>
  <si>
    <t xml:space="preserve">Начальная максимальная цена договора ( далее - НМЦД) определена в соответствии с требованием Федерального Закона  от 05.04.2013 г. № 44 "О контрактной системе в сфере закупок товаров, работ, услуг для обеспечения государственных и муниципальных нужд", письма Минстроя России от 23.03.2015 N 7830-ЛС/03. </t>
  </si>
  <si>
    <t>Расчет стоимости проектных работ и строительства выполнен проектно- сметным методом.</t>
  </si>
  <si>
    <t>Цена работ учитывает все затраты Подрядчика, включая стоимость приобретения материалов и оборудования поставки Подрядчика, стоимость строительно-монтажных и пусконаладочных работ, прочих затрат согласно перечню затрат, учтенному сводным сметным расчетом стоимости строительства, накладных расходов, сметной прибыли, затраты на строительство временных зданий и сооружений, возврат от разборки временных зданий и сооружений, затраты на удорожание работ в зимнее время, резерв средств на непредвиденные работы и затраты, инфляционную составляющую, налог на добавленную стоимость в размере 20%.</t>
  </si>
  <si>
    <t>Описание метода расчета стоимости проектных работ</t>
  </si>
  <si>
    <t>Индекс пересчета в текущие цены  на  4 квартал 2019 г. принят согласно Письму Минстроя РФ от 09.12.19 N 46999-ДВ/09</t>
  </si>
  <si>
    <t>Индекс фактической инфляции для пересчета сметной стоимости из уровня цен утверждения проектной документации в уровень цен на дату определения НМЦК определен по данным Росстата РФ;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</si>
  <si>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РФ.</t>
  </si>
  <si>
    <t>Прогнозный индекс-дефлятор  рассчитан в соответствии с графиком и с учетом авансирования объекта в размере 30% от цены работ.</t>
  </si>
  <si>
    <t>Описание метода расчета стоимости изыскательских работ</t>
  </si>
  <si>
    <t>Индекс пересчета в текущие цены  на  4 квартал 2019 г. принят согласно Письму Минстроя РФ от 09.12.19 N 46999-ДВ/09.</t>
  </si>
  <si>
    <t>Описание метода расчета стоимости строительства</t>
  </si>
  <si>
    <t>Индексы пересчета в текущие цены  на  4 квартал 2019 г. приняты согласно Письмам Минстроя РФ от 09.12.19 N 46999-ДВ/09, от 25.12.19 №50583-ДВ/09.</t>
  </si>
  <si>
    <t>Индексы фактической инфляции для пересчета сметной стоимости из уровня цен утверждения проектной документации в уровень цен на дату определения НМЦК определен по данным Росстата РФ;</t>
  </si>
  <si>
    <t>В расчете учтены непредвиденные затраты в размере 2 %.</t>
  </si>
  <si>
    <t>Налог на добавленную стоимость - 20 %</t>
  </si>
  <si>
    <t>Итоговая начальная максимальная цена  работ  составляет:</t>
  </si>
  <si>
    <t>рублей с учетом НДС</t>
  </si>
  <si>
    <t>по объекту «Всесезонный туристско-рекреационный комплекс «Эльбрус», 
Кабардино-Балкарская Республика. Пассажирская подвесная канатная дорога EL6»</t>
  </si>
  <si>
    <t>Для расчета цены проектных работ стадии "Рабочая документация" использован сводный сметный расчет, получивший положительное заключение  федерального автономного учреждения «Главное управление государственной экспертизы» (ФАУ "ГЛАВГОСЭКСПЕРТИЗА РОССИИ") от 30.03.2020 № в ЕГРЗ 07-1-1-3-009536-2020.</t>
  </si>
  <si>
    <t>Для расчета цены изыскательских работ (Затраты на проведение производственного экологического мониторинга и геотехнического мониторинга ) использован сводный сметный расчет, получивший положительное заключение  федерального автономного учреждения «Главное управление государственной экспертизы» (ФАУ "ГЛАВГОСЭКСПЕРТИЗА РОССИИ") от 30.03.2020 № в ЕГРЗ 07-1-1-3-009536-2020.</t>
  </si>
  <si>
    <t>Для расчета цены строительства  использован сводный сметный расчет, получивший положительное заключение федерального автономного учреждения «Главное управление государственной экспертизы» (ФАУ "ГЛАВГОСЭКСПЕРТИЗА РОССИИ") от 30.03.2020 № в ЕГРЗ 07-1-1-3-009536-2020.</t>
  </si>
  <si>
    <t>Стоимость проживания рабочих на объекте строительства принята в размере 12 руб. в сутки на человека, размер суточных- 100 руб. в сутки на человека  согласно Постановлению Правительства РФ от 02.10.2002 г. № 729.</t>
  </si>
  <si>
    <t>РАСЧЕТ ИНДЕКСА -ДЕФЛЯТОРА</t>
  </si>
  <si>
    <t>Период производства работ</t>
  </si>
  <si>
    <t>Расчет индексов прогнозной инфляции :</t>
  </si>
  <si>
    <t xml:space="preserve">Доля сметной стоимости, подлежащая выполнению подрядчиком в 2020 </t>
  </si>
  <si>
    <t xml:space="preserve">Доля сметной стоимости, подлежащая выполнению подрядчиком в 2021 </t>
  </si>
  <si>
    <t>Годовой индекс прогнозной инфляции (по письму Минэкономразвития России от 26.09.2019 г. №Д14и-32899, отрасль "Инвестиции в основной капитал"):</t>
  </si>
  <si>
    <t>на 2020 год</t>
  </si>
  <si>
    <t>на 2021 год</t>
  </si>
  <si>
    <t>Расчет ежемесячного прогнозного индекса:</t>
  </si>
  <si>
    <t>ежемесячный индекс прогноз на 2020</t>
  </si>
  <si>
    <t>ежемесячный индекс прогноз на 2021</t>
  </si>
  <si>
    <t>К на 2020</t>
  </si>
  <si>
    <t>К на 2021</t>
  </si>
  <si>
    <t>Итого индекс прогнозной инфляции</t>
  </si>
  <si>
    <t>*Индекс фактической инфляции по данным Росстата ("Строительство ", Кабардино-Балкарская республика) от цен утверждения сметной документации до даты формирования НМЦК (1,0312*1,0258*1,0358*1,0253*1,0141*1*1)=</t>
  </si>
  <si>
    <t>Формула расчета</t>
  </si>
  <si>
    <t>Кол-во месяцев</t>
  </si>
  <si>
    <t>К на 2022</t>
  </si>
  <si>
    <t>Доля сметной стоимости, подлежащая выполнению подрядчиком в 2022</t>
  </si>
  <si>
    <t>на 2022 год</t>
  </si>
  <si>
    <t>ежемесячный индекс прогноз на 2022</t>
  </si>
  <si>
    <t>Стоимость работ в ценах на дату формирования начальной (максимальной) цены контракта - июль 2020 г.</t>
  </si>
  <si>
    <t>Фундамент ППКД</t>
  </si>
  <si>
    <t>Фундамент здания</t>
  </si>
  <si>
    <t>Монтаж оборудования ППКД</t>
  </si>
  <si>
    <t>КР здания</t>
  </si>
  <si>
    <t>внутренние ИС здания</t>
  </si>
  <si>
    <t xml:space="preserve">операторская </t>
  </si>
  <si>
    <t>помещение обогрева</t>
  </si>
  <si>
    <t>2.4.8</t>
  </si>
  <si>
    <t>2.4.9</t>
  </si>
  <si>
    <t>Наружные инженерные сети:</t>
  </si>
  <si>
    <t xml:space="preserve">насосная станция №1 </t>
  </si>
  <si>
    <t xml:space="preserve">насосная станция №2 </t>
  </si>
  <si>
    <t>резервуары водоснабжения с насосной станцией пожаротушения</t>
  </si>
  <si>
    <t>Комплектные очистные сооружения</t>
  </si>
  <si>
    <t>ВСКД (секция 1):</t>
  </si>
  <si>
    <t>ВСКД (секция2):</t>
  </si>
  <si>
    <t>фундамент</t>
  </si>
  <si>
    <t>наружная отделка</t>
  </si>
  <si>
    <t>внутренняя отделка</t>
  </si>
  <si>
    <t>технологическое оборудование здания</t>
  </si>
  <si>
    <t>Внутренняя отделка</t>
  </si>
  <si>
    <t>Система внутреннего электроснабжения. ВСКД секция 2</t>
  </si>
  <si>
    <t>Фундамент опоры Т01</t>
  </si>
  <si>
    <t>Фундамент опоры Т02</t>
  </si>
  <si>
    <t>Фундамент опоры Т03</t>
  </si>
  <si>
    <t>Фундамент опоры Т04</t>
  </si>
  <si>
    <t>Фундамент опоры Т05</t>
  </si>
  <si>
    <t>Опора Т01</t>
  </si>
  <si>
    <t>Опора Т02</t>
  </si>
  <si>
    <t>Опора Т03</t>
  </si>
  <si>
    <t>Опора Т04</t>
  </si>
  <si>
    <t>Опора Т05</t>
  </si>
  <si>
    <t>Опора Т06</t>
  </si>
  <si>
    <t>Фундамент НСКД</t>
  </si>
  <si>
    <t>Котлован К1 под НСКД</t>
  </si>
  <si>
    <t>Котлован К1 под опору Т01</t>
  </si>
  <si>
    <t>Фундамент опоры Т06</t>
  </si>
  <si>
    <t>Фундамент ВСКД</t>
  </si>
  <si>
    <t>Земляные работы (Котлован К6 под ВСКД)</t>
  </si>
  <si>
    <t>446 м3</t>
  </si>
  <si>
    <t>Земляные работы (Котлован К6 под опору Т06)</t>
  </si>
  <si>
    <t>Электрощитовая</t>
  </si>
  <si>
    <t>Вертикальная планировка</t>
  </si>
  <si>
    <t>2. Подготовительные работы</t>
  </si>
  <si>
    <r>
      <t xml:space="preserve"> Необоснованно учтен коэффициент "ОП п.1.3.19, Прил.3.1 При уклоне местности более 15 до 30 градусов: оборудование опор и станций ОЗП=1,3; ЭМ=1,3 к расх.; ЗПМ=1,3; ТЗ=1,3; ТЗМ=1,3"
</t>
    </r>
    <r>
      <rPr>
        <b/>
        <sz val="12"/>
        <rFont val="Times New Roman"/>
        <family val="1"/>
        <charset val="204"/>
      </rPr>
      <t>Завышение стоимости составляет (98888-79462)*(1,023*1,005-2,3%*15%)*6,99=139137 руб.</t>
    </r>
  </si>
  <si>
    <r>
      <t>учтен вес монтажа 3,7 т
Занижение стоимости =(6985-8033)*(1,023*1,005-2,3%*15%)*6,99*1,2=</t>
    </r>
    <r>
      <rPr>
        <b/>
        <sz val="12"/>
        <rFont val="Times New Roman"/>
        <family val="1"/>
        <charset val="204"/>
      </rPr>
      <t xml:space="preserve">-9007 </t>
    </r>
    <r>
      <rPr>
        <sz val="12"/>
        <rFont val="Times New Roman"/>
        <family val="1"/>
        <charset val="204"/>
      </rPr>
      <t>руб.</t>
    </r>
  </si>
  <si>
    <r>
      <t xml:space="preserve">Расценка не соответствует монтируемому оборудованию. Расценить по ФЕРм03-04-007-01.
</t>
    </r>
    <r>
      <rPr>
        <b/>
        <sz val="12"/>
        <rFont val="Times New Roman"/>
        <family val="1"/>
        <charset val="204"/>
      </rPr>
      <t>Завышение стоимости
(97608-51003)*(1,023*1,005-2,3%*15%)*6,99*1,2=400565 руб.</t>
    </r>
  </si>
  <si>
    <r>
      <t xml:space="preserve">Не учтен коэффициент корректировки по массе оборудования.
</t>
    </r>
    <r>
      <rPr>
        <b/>
        <sz val="12"/>
        <rFont val="Times New Roman"/>
        <family val="1"/>
        <charset val="204"/>
      </rPr>
      <t>Завышение стоимости (1815-1542)**(1,023*1,005-2,3%*15%)*6,99*1,2=2346 руб.</t>
    </r>
  </si>
  <si>
    <r>
      <t xml:space="preserve"> Необоснованно учтен коэффициент "ОП п.1.3.19, Прил.3.1 При уклоне местности более 15 до 30 градусов: оборудование опор и станций ОЗП=1,3; ЭМ=1,3 к расх.; ЗПМ=1,3; ТЗ=1,3; ТЗМ=1,3"
</t>
    </r>
    <r>
      <rPr>
        <b/>
        <sz val="12"/>
        <rFont val="Times New Roman"/>
        <family val="1"/>
        <charset val="204"/>
      </rPr>
      <t>Завышение стоимости составляет (197776-158923)*(1,023*1,005-2,3%*15%)*6,99=278281 руб.</t>
    </r>
  </si>
  <si>
    <r>
      <t>Завышение стоимости монтажа тележка+натяжное устройство= (37340-10755)*(1,023*1,005-2,3%*15%)*6,99*1,2=</t>
    </r>
    <r>
      <rPr>
        <b/>
        <sz val="12"/>
        <rFont val="Times New Roman"/>
        <family val="1"/>
        <charset val="204"/>
      </rPr>
      <t>228495</t>
    </r>
    <r>
      <rPr>
        <sz val="12"/>
        <rFont val="Times New Roman"/>
        <family val="1"/>
        <charset val="204"/>
      </rPr>
      <t xml:space="preserve"> руб.
ФЕРм03-04-022-10</t>
    </r>
  </si>
  <si>
    <r>
      <t>Завышение стоимости монтажа:
шкив =(29556-9449)*(1,023*1,005-2,3%*15%)*6,99*1,2=</t>
    </r>
    <r>
      <rPr>
        <b/>
        <sz val="12"/>
        <rFont val="Times New Roman"/>
        <family val="1"/>
        <charset val="204"/>
      </rPr>
      <t>172817</t>
    </r>
    <r>
      <rPr>
        <sz val="12"/>
        <rFont val="Times New Roman"/>
        <family val="1"/>
        <charset val="204"/>
      </rPr>
      <t xml:space="preserve"> руб. (ФЕРм03-04-022-06)
</t>
    </r>
  </si>
  <si>
    <r>
      <t>Завышение стоимости монтажа:
двигатель =(59468-19945)*(1,023*1,005-2,3%*15%)*6,99*1,2=</t>
    </r>
    <r>
      <rPr>
        <b/>
        <sz val="12"/>
        <rFont val="Times New Roman"/>
        <family val="1"/>
        <charset val="204"/>
      </rPr>
      <t>339696</t>
    </r>
    <r>
      <rPr>
        <sz val="12"/>
        <rFont val="Times New Roman"/>
        <family val="1"/>
        <charset val="204"/>
      </rPr>
      <t xml:space="preserve"> руб. (ФЕРм03-04-022-01)
</t>
    </r>
  </si>
  <si>
    <r>
      <t xml:space="preserve">Теплая кровля (тип 1)
</t>
    </r>
    <r>
      <rPr>
        <i/>
        <sz val="12"/>
        <rFont val="Times New Roman"/>
        <family val="1"/>
        <charset val="204"/>
      </rPr>
      <t>теплоизоляция Руф Баттс в 2 слоя толщ.0,1 и 0,15 м, кровельная мембрана Изостронг АМ,
покрытие из цементно-стружечных плит,
кровельная мембрана Tyvek Solid,
кровельное покрытие "Фальц двойной стоячий Line Grand Line 0,5 мм Quarzit с пленкой на замках RAL 7024 мокрый асфальт"</t>
    </r>
  </si>
  <si>
    <r>
      <t xml:space="preserve">Холодная кровля (тип 2)
</t>
    </r>
    <r>
      <rPr>
        <i/>
        <sz val="12"/>
        <rFont val="Times New Roman"/>
        <family val="1"/>
        <charset val="204"/>
      </rPr>
      <t>покрытие из цементно-стружечных плит
Кровельная мембрана Tyvek Solid
кровельное покрытие "Фальц двойной стоячий Line Grand Line 0,5 мм Quarzit с пленкой на замках RAL 7024 мокрый асфальт"</t>
    </r>
  </si>
  <si>
    <r>
      <t xml:space="preserve">Обшивка выходов труб на крыше
</t>
    </r>
    <r>
      <rPr>
        <i/>
        <sz val="12"/>
        <rFont val="Times New Roman"/>
        <family val="1"/>
        <charset val="204"/>
      </rPr>
      <t>Фальц двойной стоячий Line Grand Line 0,5 мм Quarzit с пленкой на замках RAL 7024 мокрый асфальт</t>
    </r>
  </si>
  <si>
    <r>
      <t xml:space="preserve">Тип 1
</t>
    </r>
    <r>
      <rPr>
        <i/>
        <sz val="12"/>
        <rFont val="Times New Roman"/>
        <family val="1"/>
        <charset val="204"/>
      </rPr>
      <t>пленка полиэтиленовая 0,2-0,5 мм
плиты пеноплэкс-35 толщ. 50 мм
пленка полиэтиленовая 0,2-0,5 мм
стяжка цементная армированная толщ. 70 мм
ковролин</t>
    </r>
  </si>
  <si>
    <r>
      <t xml:space="preserve">Тип 2
</t>
    </r>
    <r>
      <rPr>
        <i/>
        <sz val="12"/>
        <rFont val="Times New Roman"/>
        <family val="1"/>
        <charset val="204"/>
      </rPr>
      <t>пленка полиэтиленовая 0,2-0,5 мм
плиты пеноплэкс-35 толщ. 50 мм
пленка полиэтиленовая 0,2-0,5 мм
стяжка цементная толщ. 43 мм
основание из фанеры ФК толщ.12 мм, огрунтованное составом "Нортекс-грунт"
Ламинат "TARKETT FIESTA 832" (32 класс, размер 1292х194 мм, толщина 8 мм, тиснение)</t>
    </r>
  </si>
  <si>
    <r>
      <t xml:space="preserve">Тип 3
</t>
    </r>
    <r>
      <rPr>
        <i/>
        <sz val="12"/>
        <rFont val="Times New Roman"/>
        <family val="1"/>
        <charset val="204"/>
      </rPr>
      <t>пленка полиэтиленовая 0,2-0,5 мм
плиты пеноплэкс-35 толщ. 50 мм
пленка полиэтиленовая 0,2-0,5 мм
стяжка цементная армированная толщ. 70 мм
Огрунтовка weber floor 4712
Стяжка из выравнивающей смеси weber floor 4601 толщ.6 мм
Огрунтовка weber floor 4712
Наливное полимерцементное покрытие толщ. 4 мм</t>
    </r>
  </si>
  <si>
    <r>
      <t xml:space="preserve">Тип 4
</t>
    </r>
    <r>
      <rPr>
        <i/>
        <sz val="12"/>
        <rFont val="Times New Roman"/>
        <family val="1"/>
        <charset val="204"/>
      </rPr>
      <t>пленка полиэтиленовая 0,2-0,5 мм
плиты пеноплэкс-35 толщ. 50 мм
пленка полиэтиленовая 0,2-0,5 мм
стяжка цементная армированная толщ. 70 мм
Стяжка из выравнивающей смеси weber floor 4601 толщ. 6 мм
Огрунтовка weber floor 4712
Наливное полимерцементное покрытие толщ. 4 мм</t>
    </r>
  </si>
  <si>
    <r>
      <t xml:space="preserve">Тип 5
</t>
    </r>
    <r>
      <rPr>
        <i/>
        <sz val="12"/>
        <rFont val="Times New Roman"/>
        <family val="1"/>
        <charset val="204"/>
      </rPr>
      <t>пленка полиэтиленовая 0,2-0,5 мм
плиты пеноплэкс-35 толщ. 50 мм
гидроизоляция "Стеклогидроизол ЭКП"
гидроизоляция "Стеклогидроизол ЭПП"
стяжка цементная армированная толщ. 60 мм
керамическая плитка</t>
    </r>
  </si>
  <si>
    <r>
      <t xml:space="preserve">Тип 6
</t>
    </r>
    <r>
      <rPr>
        <i/>
        <sz val="12"/>
        <rFont val="Times New Roman"/>
        <family val="1"/>
        <charset val="204"/>
      </rPr>
      <t>пленка полиэтиленовая 0,2-0,5 мм
плиты пеноплэкс-35 толщ. 50 мм
гидроизоляция "Стеклогидроизол ЭКП"
гидроизоляция "Стеклогидроизол ЭПП"
стяжка цементная армированная с разуклонкой толщ. 30-60 мм
керамическая плитка</t>
    </r>
  </si>
  <si>
    <r>
      <t xml:space="preserve">Тип 7
</t>
    </r>
    <r>
      <rPr>
        <i/>
        <sz val="12"/>
        <rFont val="Times New Roman"/>
        <family val="1"/>
        <charset val="204"/>
      </rPr>
      <t>пленка полиэтиленовая 0,2-0,5 мм
плиты пеноплэкс-35 толщ. 50 мм
пленка полиэтиленовая 0,2-0,5 мм
стяжка цементная армированная толщ. 70 мм
Стяжка из выравнивающей смеси weber floor 4601 толщ. 6 мм
Огрунтовка weber floor 4712
Наливное полимерцементное покрытие толщ. 4 мм</t>
    </r>
  </si>
  <si>
    <r>
      <t xml:space="preserve">Тип 8
</t>
    </r>
    <r>
      <rPr>
        <i/>
        <sz val="12"/>
        <rFont val="Times New Roman"/>
        <family val="1"/>
        <charset val="204"/>
      </rPr>
      <t>пленка полиэтиленовая 0,2-0,5 мм
плиты пеноплэкс-35 толщ. 50 мм
пленка полиэтиленовая 0,2-0,5 мм
стяжка цементная армированная толщ. 70 мм
Огрунтовка weber floor 4712
Стяжка из выравнивающей смеси weber floor 4601 толщ. 6 мм
Огрунтовка weber floor 4712
Наливное полимерцементное покрытие толщ. 4 мм</t>
    </r>
  </si>
  <si>
    <r>
      <t xml:space="preserve">Тип 9
</t>
    </r>
    <r>
      <rPr>
        <i/>
        <sz val="12"/>
        <rFont val="Times New Roman"/>
        <family val="1"/>
        <charset val="204"/>
      </rPr>
      <t>пленка полиэтиленовая 0,2-0,5 мм
плиты пеноплэкс-35 толщ. 50 мм
пленка полиэтиленовая 0,2-0,5 мм
стяжка цементная армированная толщ. 70 мм
Огрунтовка weber floor 4712
Стяжка из выравнивающей смеси weber floor 4601 толщ. 6 мм
Огрунтовка weber floor 4712
Наливное полимерцементное покрытие толщ. 4 мм</t>
    </r>
  </si>
  <si>
    <r>
      <t xml:space="preserve">Тип 10
</t>
    </r>
    <r>
      <rPr>
        <i/>
        <sz val="12"/>
        <rFont val="Times New Roman"/>
        <family val="1"/>
        <charset val="204"/>
      </rPr>
      <t>пленка полиэтиленовая 0,2-0,5 мм
плиты пеноплэкс-35 толщ. 50 мм
пленка полиэтиленовая 0,2-0,5 мм
стяжка цементная армированная толщ. 70 мм
Огрунтовка weber floor 4712
Стяжка из выравнивающей смеси weber floor 4601 толщ. 6 мм
Огрунтовка weber floor 4712
Наливное полимерцементное покрытие толщ. 4 мм</t>
    </r>
  </si>
  <si>
    <r>
      <t xml:space="preserve">Тип 11
</t>
    </r>
    <r>
      <rPr>
        <i/>
        <sz val="12"/>
        <rFont val="Times New Roman"/>
        <family val="1"/>
        <charset val="204"/>
      </rPr>
      <t>Грунтовка акриловая универсальная Weber Prim Multi
Гидроизоляция Weber.tec толщ.2 мм
Стяжка цементная Weber Rep толщ. 20 мм
Шпаклевка weber rep толщ. 6 мм
Наливное полимерное покрытие из полиуретана MASTERTOP ТС465 толщ. 2 мм</t>
    </r>
  </si>
  <si>
    <r>
      <t xml:space="preserve">Тип 1
</t>
    </r>
    <r>
      <rPr>
        <i/>
        <sz val="12"/>
        <rFont val="Times New Roman"/>
        <family val="1"/>
        <charset val="204"/>
      </rPr>
      <t>Грунтовка акриловая универсальная Weber Prim Multi
Гидроизоляция Weber.tec толщ. 2 мм
стяжка цементная армированная толщ. 88 мм
Огрунтовка weber floor 4712
Стяжка из выравнивающей смеси weber floor 4601 толщ. 6 мм
Огрунтовка weber floor 4712
Наливное полимерцементное покрытие толщ. 4 мм</t>
    </r>
  </si>
  <si>
    <r>
      <t xml:space="preserve">Тип 2
</t>
    </r>
    <r>
      <rPr>
        <i/>
        <sz val="12"/>
        <rFont val="Times New Roman"/>
        <family val="1"/>
        <charset val="204"/>
      </rPr>
      <t>Грунтовка акриловая универсальная Weber Prim Multi
Гидроизоляция Weber.tec толщ. 2 мм
стяжка цементная армированная толщ. 88 мм
Огрунтовка weber floor 4712
Стяжка из выравнивающей смеси weber floor 4601 толщ. 6 мм
Огрунтовка weber floor 4712
Наливное полимерцементное покрытие толщ. 4 мм</t>
    </r>
  </si>
  <si>
    <r>
      <t xml:space="preserve">Тип 3
</t>
    </r>
    <r>
      <rPr>
        <i/>
        <sz val="12"/>
        <rFont val="Times New Roman"/>
        <family val="1"/>
        <charset val="204"/>
      </rPr>
      <t>Грунтовка акриловая универсальная Weber Prim Multi
Гидроизоляция Weber.tec толщ. 2 мм
стяжка цементная армированная толщ. 88 мм
Огрунтовка weber floor 4712
Стяжка из выравнивающей смеси weber floor 4601 толщ. 6 мм
Огрунтовка weber floor 4712
Наливное полимерцементное покрытие толщ. 4 мм</t>
    </r>
  </si>
  <si>
    <r>
      <t xml:space="preserve">Тип 4
</t>
    </r>
    <r>
      <rPr>
        <i/>
        <sz val="12"/>
        <rFont val="Times New Roman"/>
        <family val="1"/>
        <charset val="204"/>
      </rPr>
      <t>Грунтовка акриловая универсальная Weber Prim Multi
Гидроизоляция Weber.tec толщ. 2 мм
стяжка цементная армированная толщ. 88 мм
Огрунтовка weber floor 4712
Стяжка из выравнивающей смеси weber floor 4601 толщ. 6 мм
Огрунтовка weber floor 4712
Наливное полимерцементное покрытие толщ. 4 мм</t>
    </r>
  </si>
  <si>
    <r>
      <t xml:space="preserve">Тип 5
</t>
    </r>
    <r>
      <rPr>
        <i/>
        <sz val="12"/>
        <rFont val="Times New Roman"/>
        <family val="1"/>
        <charset val="204"/>
      </rPr>
      <t>Звукоизоляция ТЕХНОНИКОЛЬ XPS CARBON 30-280 Стандарт толщ. 20мм
Гидроизоляция Изопласт: П ЭПП-4,0
Гидроизоляция Изопласт: П ЭМП-5,5
стяжка цементная армированная толщ. 60 мм
Огрунтовка weber floor 4712
Стяжка из выравнивающей смеси weber floor 4601 толщ. 6 мм
Огрунтовка weber floor 4712
Наливное полимерцементное покрытие толщ. 4 мм</t>
    </r>
  </si>
  <si>
    <r>
      <t xml:space="preserve">Тип 42 (венткамера, чердак)
</t>
    </r>
    <r>
      <rPr>
        <i/>
        <sz val="12"/>
        <rFont val="Times New Roman"/>
        <family val="1"/>
        <charset val="204"/>
      </rPr>
      <t>Гравий керамзитовый, фракция: 10-20 мм, марка 300 толщ. 300 мм
Стяжка цементная толщ. 10 мм</t>
    </r>
  </si>
  <si>
    <r>
      <t xml:space="preserve">Тип 1
</t>
    </r>
    <r>
      <rPr>
        <i/>
        <sz val="12"/>
        <rFont val="Times New Roman"/>
        <family val="1"/>
        <charset val="204"/>
      </rPr>
      <t>Шпонированные панели INTERPAN Elite</t>
    </r>
  </si>
  <si>
    <r>
      <t xml:space="preserve">Тип 2
</t>
    </r>
    <r>
      <rPr>
        <i/>
        <sz val="12"/>
        <rFont val="Times New Roman"/>
        <family val="1"/>
        <charset val="204"/>
      </rPr>
      <t>Штукатурка "Ротбанд" толщ. 10 мм
Грунтовка Ceresit CT 17
Стеклоизол: П-3,0, стеклохолст
Шпаклевка
Грунтовка Ceresit CT 17 за 2 раза
Окраска высококачественная ВД-АК-111</t>
    </r>
  </si>
  <si>
    <r>
      <t xml:space="preserve">Тип 3
</t>
    </r>
    <r>
      <rPr>
        <i/>
        <sz val="12"/>
        <rFont val="Times New Roman"/>
        <family val="1"/>
        <charset val="204"/>
      </rPr>
      <t>шпонированные панели INTERPAN Elite</t>
    </r>
  </si>
  <si>
    <r>
      <t xml:space="preserve">Тип 3
</t>
    </r>
    <r>
      <rPr>
        <i/>
        <sz val="12"/>
        <rFont val="Times New Roman"/>
        <family val="1"/>
        <charset val="204"/>
      </rPr>
      <t>Штукатурка "Ротбанд" толщ. 10 мм
Грунтовка Ceresit CT 17
Стеклоизол: П-3,0, стеклохолст
Шпаклевка
Грунтовка Ceresit CT 17 за 2 раза
Окраска высококачественная ВД-АК-111</t>
    </r>
  </si>
  <si>
    <r>
      <t xml:space="preserve">Тип 4
</t>
    </r>
    <r>
      <rPr>
        <i/>
        <sz val="12"/>
        <rFont val="Times New Roman"/>
        <family val="1"/>
        <charset val="204"/>
      </rPr>
      <t>Плитка керамическая</t>
    </r>
  </si>
  <si>
    <r>
      <t xml:space="preserve">Тип 4
</t>
    </r>
    <r>
      <rPr>
        <i/>
        <sz val="12"/>
        <rFont val="Times New Roman"/>
        <family val="1"/>
        <charset val="204"/>
      </rPr>
      <t>Штукатурка "Ротбанд" толщ. 10 мм
Грунтовка Ceresit CT 17
Стеклоизол: П-3,0, стеклохолст
Шпаклевка
Грунтовка Ceresit CT 17 за 2 раза
Окраска высококачественная ВД-АК-111</t>
    </r>
  </si>
  <si>
    <r>
      <t xml:space="preserve">Тип 5
</t>
    </r>
    <r>
      <rPr>
        <i/>
        <sz val="12"/>
        <rFont val="Times New Roman"/>
        <family val="1"/>
        <charset val="204"/>
      </rPr>
      <t>Плинтус из керамогранитных плиток</t>
    </r>
  </si>
  <si>
    <r>
      <t xml:space="preserve">Тип 6
</t>
    </r>
    <r>
      <rPr>
        <i/>
        <sz val="12"/>
        <rFont val="Times New Roman"/>
        <family val="1"/>
        <charset val="204"/>
      </rPr>
      <t xml:space="preserve">Натяжная мембрана белого цвета для потолка и стен с устройством 20 шт монтажных отверстий </t>
    </r>
  </si>
  <si>
    <r>
      <t xml:space="preserve">Тип 7
</t>
    </r>
    <r>
      <rPr>
        <i/>
        <sz val="12"/>
        <rFont val="Times New Roman"/>
        <family val="1"/>
        <charset val="204"/>
      </rPr>
      <t>Штукатурка "Ротбанд" толщ. 10 мм
Грунтовка Ceresit CT 17
Стеклоизол: П-3,0, стеклохолст
Шпаклевка
Огрунтовка лаком ХВ-784 в 2 слоя
Окраска эмалью ХВ-785</t>
    </r>
  </si>
  <si>
    <r>
      <t xml:space="preserve">Тип 7
</t>
    </r>
    <r>
      <rPr>
        <i/>
        <sz val="12"/>
        <rFont val="Times New Roman"/>
        <family val="1"/>
        <charset val="204"/>
      </rPr>
      <t>Грунтовка Ceresit CT 17 за 2 раза
Окраска высококачественная ВД-АК-111</t>
    </r>
  </si>
  <si>
    <r>
      <t xml:space="preserve">Тип 8
</t>
    </r>
    <r>
      <rPr>
        <i/>
        <sz val="12"/>
        <rFont val="Times New Roman"/>
        <family val="1"/>
        <charset val="204"/>
      </rPr>
      <t>шпонированные панели INTERPAN Elite</t>
    </r>
  </si>
  <si>
    <r>
      <t xml:space="preserve">Тип 9
</t>
    </r>
    <r>
      <rPr>
        <i/>
        <sz val="12"/>
        <rFont val="Times New Roman"/>
        <family val="1"/>
        <charset val="204"/>
      </rPr>
      <t>Перегородки из ветровлагозащитных листов толщ. 9 мм (Гипрок) по системе «КНАУФ» с одинарным металлическим каркасом и однослойной обшивкой с обеих сторон (С 111): с одним дверным проемом, с теплоизоляцией из мин.ваты</t>
    </r>
  </si>
  <si>
    <r>
      <t xml:space="preserve">Тип 10
</t>
    </r>
    <r>
      <rPr>
        <i/>
        <sz val="12"/>
        <rFont val="Times New Roman"/>
        <family val="1"/>
        <charset val="204"/>
      </rPr>
      <t>Обшивка вермикулитовыми панелями 20мм
Стеклоизол: П-3,0, стеклохолст
Грунтовка Ceresit CT 17 за 2 раза
Окраска высококачественная ВД-АК-111</t>
    </r>
  </si>
  <si>
    <r>
      <t xml:space="preserve">Тип 1
</t>
    </r>
    <r>
      <rPr>
        <i/>
        <sz val="12"/>
        <rFont val="Times New Roman"/>
        <family val="1"/>
        <charset val="204"/>
      </rPr>
      <t>Устройство подвесных потолков из гипсокартонных листов (ГКЛ 12,5 мм) по системе «КНАУФ»: одноуровневых (П 113)
Окраска улучшенная ВД-АК-111</t>
    </r>
  </si>
  <si>
    <r>
      <t xml:space="preserve">Тип 2
</t>
    </r>
    <r>
      <rPr>
        <i/>
        <sz val="12"/>
        <rFont val="Times New Roman"/>
        <family val="1"/>
        <charset val="204"/>
      </rPr>
      <t>Растяжной металл Lindner LMD-St 214</t>
    </r>
  </si>
  <si>
    <r>
      <t xml:space="preserve">Тип 3
</t>
    </r>
    <r>
      <rPr>
        <i/>
        <sz val="12"/>
        <rFont val="Times New Roman"/>
        <family val="1"/>
        <charset val="204"/>
      </rPr>
      <t>Система подвесных потолочных волнообразных ламелей LMD-L LAOLA с подконструкцией</t>
    </r>
  </si>
  <si>
    <r>
      <t xml:space="preserve">Тип 4
</t>
    </r>
    <r>
      <rPr>
        <i/>
        <sz val="12"/>
        <rFont val="Times New Roman"/>
        <family val="1"/>
        <charset val="204"/>
      </rPr>
      <t>Штукатурка известковым раствором
Окраска улучшенная ВД-АК-111</t>
    </r>
  </si>
  <si>
    <r>
      <t xml:space="preserve">Тип 5
</t>
    </r>
    <r>
      <rPr>
        <i/>
        <sz val="12"/>
        <rFont val="Times New Roman"/>
        <family val="1"/>
        <charset val="204"/>
      </rPr>
      <t>Кассетные потолки Lindner LMD-K 420 с перфорацией зеркальные 600х600</t>
    </r>
  </si>
  <si>
    <r>
      <t xml:space="preserve">Тип 6
</t>
    </r>
    <r>
      <rPr>
        <i/>
        <sz val="12"/>
        <rFont val="Times New Roman"/>
        <family val="1"/>
        <charset val="204"/>
      </rPr>
      <t>Потолки из светопрозрачного пластика со скрытой подсветкой. Стекло орг. Plexiglas XT Опал 3мм</t>
    </r>
  </si>
  <si>
    <r>
      <t xml:space="preserve">Тип 7
</t>
    </r>
    <r>
      <rPr>
        <i/>
        <sz val="12"/>
        <rFont val="Times New Roman"/>
        <family val="1"/>
        <charset val="204"/>
      </rPr>
      <t>шпонированные панели INTERPAN Elite</t>
    </r>
  </si>
  <si>
    <t>Сети связи. Насосная станция №1</t>
  </si>
  <si>
    <t>Сети связи. Насосная станция №2</t>
  </si>
  <si>
    <t>Сети связи. Насосная станция пожаротушения</t>
  </si>
  <si>
    <t>Внутренние ИС здания</t>
  </si>
  <si>
    <t>2.2.6.1.1</t>
  </si>
  <si>
    <t>2.2.6.1.2</t>
  </si>
  <si>
    <t>2.2.6.1.3</t>
  </si>
  <si>
    <t>2.2.6.1.4</t>
  </si>
  <si>
    <t>2.2.6.1.5</t>
  </si>
  <si>
    <t>2.2.6.2.1</t>
  </si>
  <si>
    <t>2.2.6.2.2</t>
  </si>
  <si>
    <t>2.2.6.2.3</t>
  </si>
  <si>
    <t>2.2.6.2.4</t>
  </si>
  <si>
    <t>2.2.6.3.1</t>
  </si>
  <si>
    <t>2.2.6.3.2</t>
  </si>
  <si>
    <t>2.2.6.3.3</t>
  </si>
  <si>
    <t>2.2.6.4.1</t>
  </si>
  <si>
    <t>2.2.6.4.2</t>
  </si>
  <si>
    <t>2.2.7.10</t>
  </si>
  <si>
    <t>2.2.7.11</t>
  </si>
  <si>
    <t>2.2.7.12</t>
  </si>
  <si>
    <t>2.2.7.13</t>
  </si>
  <si>
    <t>2.2.7.14</t>
  </si>
  <si>
    <t>2.2.7.15</t>
  </si>
  <si>
    <t>2.2.9.1</t>
  </si>
  <si>
    <t>2.2.9.2</t>
  </si>
  <si>
    <t>2.2.9.3</t>
  </si>
  <si>
    <t>2.2.9.4</t>
  </si>
  <si>
    <t>2.2.9.5</t>
  </si>
  <si>
    <t>2.2.9.6</t>
  </si>
  <si>
    <t>2.2.9.7</t>
  </si>
  <si>
    <t>2.2.10</t>
  </si>
  <si>
    <t>2.2.10.1</t>
  </si>
  <si>
    <t>2.2.10.2</t>
  </si>
  <si>
    <t>2.2.10.3</t>
  </si>
  <si>
    <t>2.2.10.4</t>
  </si>
  <si>
    <t>2.2.11</t>
  </si>
  <si>
    <t>2.2.11.1</t>
  </si>
  <si>
    <t>2.2.11.2</t>
  </si>
  <si>
    <t>2.2.11.3</t>
  </si>
  <si>
    <t>Трансформаторная подстанция ТП-КД-5</t>
  </si>
  <si>
    <t>2.2.12.1</t>
  </si>
  <si>
    <t>2.2.12.2</t>
  </si>
  <si>
    <t>2.2.12.1.1</t>
  </si>
  <si>
    <t>2.2.12.1.2</t>
  </si>
  <si>
    <t>2.2.12.1.3</t>
  </si>
  <si>
    <t>2.2.12.1.4</t>
  </si>
  <si>
    <t>2.2.12.1.5</t>
  </si>
  <si>
    <t>2.2.12.1.6</t>
  </si>
  <si>
    <t>2.2.12.1.7</t>
  </si>
  <si>
    <t>2.2.12.1.8</t>
  </si>
  <si>
    <t>2.2.12.1.9</t>
  </si>
  <si>
    <t>2.2.12.1.10</t>
  </si>
  <si>
    <t>2.2.12.2.1</t>
  </si>
  <si>
    <t>Линия</t>
  </si>
  <si>
    <t>2.3.5.6</t>
  </si>
  <si>
    <t>2.3.6.6</t>
  </si>
  <si>
    <t>2.3.8.5</t>
  </si>
  <si>
    <t>2.3.10.2</t>
  </si>
  <si>
    <t>2.3.10.3</t>
  </si>
  <si>
    <t>2.3.10.4</t>
  </si>
  <si>
    <t>2.3.10.5</t>
  </si>
  <si>
    <t>2.3.11.3</t>
  </si>
  <si>
    <t>2.3.11.4</t>
  </si>
  <si>
    <t>2.3.11.5</t>
  </si>
  <si>
    <t>2.3.13.1</t>
  </si>
  <si>
    <t>2.3.13.2</t>
  </si>
  <si>
    <t>2.3.13.3</t>
  </si>
  <si>
    <t>2.3.13.4</t>
  </si>
  <si>
    <t>2.3.13.5</t>
  </si>
  <si>
    <t>2.3.13.6</t>
  </si>
  <si>
    <t>2.3.13.7</t>
  </si>
  <si>
    <t>2.3.13.8</t>
  </si>
  <si>
    <t>2.3.13.9</t>
  </si>
  <si>
    <t>2.3.13.10</t>
  </si>
  <si>
    <t>Инженерная защита опор (противолавинная и противоэрозионная)</t>
  </si>
  <si>
    <t>Монтаж подвижного состава</t>
  </si>
  <si>
    <t>2.3.13.11</t>
  </si>
  <si>
    <t>2.3.13.12</t>
  </si>
  <si>
    <t>2.3.13.13</t>
  </si>
  <si>
    <t>2.3.13.14</t>
  </si>
  <si>
    <t>2.3.13.15</t>
  </si>
  <si>
    <t>2.3.13.16</t>
  </si>
  <si>
    <t>2.7.1.11</t>
  </si>
  <si>
    <t>2.7.1.12</t>
  </si>
  <si>
    <t>2.7.1.13</t>
  </si>
  <si>
    <t>2.7.1.14</t>
  </si>
  <si>
    <t>2.7.1.15</t>
  </si>
  <si>
    <t>2.7.1.16</t>
  </si>
  <si>
    <t>2.7.2.2</t>
  </si>
  <si>
    <t>2.7.2.3</t>
  </si>
  <si>
    <t>2.7.2.4</t>
  </si>
  <si>
    <t>2.7.2.5</t>
  </si>
  <si>
    <t>2.7.2.6</t>
  </si>
  <si>
    <t>2.7.2.7</t>
  </si>
  <si>
    <t>2.7.2.8</t>
  </si>
  <si>
    <t>2.7.2.9</t>
  </si>
  <si>
    <t>2.7.2.10</t>
  </si>
  <si>
    <t>2.7.2.11</t>
  </si>
  <si>
    <t>2.7.2.12</t>
  </si>
  <si>
    <t>2.7.2.13</t>
  </si>
  <si>
    <t>2.7.2.14</t>
  </si>
  <si>
    <t>2.7.3</t>
  </si>
  <si>
    <t>2.7.3.1</t>
  </si>
  <si>
    <t>2.7.3.2</t>
  </si>
  <si>
    <t>2.7.3.3</t>
  </si>
  <si>
    <t>2.7.3.4</t>
  </si>
  <si>
    <t>2.7.3.5</t>
  </si>
  <si>
    <t>2.7.3.6</t>
  </si>
  <si>
    <t>2.7.3.7</t>
  </si>
  <si>
    <t>2.7.3.8</t>
  </si>
  <si>
    <t>2.7.3.9</t>
  </si>
  <si>
    <t>2.7.1.17</t>
  </si>
  <si>
    <t>2.7.1.17.1</t>
  </si>
  <si>
    <t>2.7.2.15</t>
  </si>
  <si>
    <t>2.7.2.15.1</t>
  </si>
  <si>
    <t>2.7.2.15.2</t>
  </si>
  <si>
    <t>2.7.3.10</t>
  </si>
  <si>
    <t>2.7.3.10.1</t>
  </si>
  <si>
    <t>2.7.3.10.2</t>
  </si>
  <si>
    <t>2.7.4</t>
  </si>
  <si>
    <t>2.7.4.1</t>
  </si>
  <si>
    <t>2.7.4.2</t>
  </si>
  <si>
    <t>2.7.4.3</t>
  </si>
  <si>
    <t>2.7.4.4</t>
  </si>
  <si>
    <t>2.7.4.5</t>
  </si>
  <si>
    <t>2.7.4.6</t>
  </si>
  <si>
    <t>2.7.4.7</t>
  </si>
  <si>
    <t>2.7.4.8</t>
  </si>
  <si>
    <t>2.7.4.9</t>
  </si>
  <si>
    <t>2.7.4.10</t>
  </si>
  <si>
    <t>2.7.4.11</t>
  </si>
  <si>
    <t>2.7.4.12</t>
  </si>
  <si>
    <t>2.7.4.13</t>
  </si>
  <si>
    <t>2.7.4.14</t>
  </si>
  <si>
    <t>2.7.5</t>
  </si>
  <si>
    <t>2.7.5.1</t>
  </si>
  <si>
    <t>2.7.5.2</t>
  </si>
  <si>
    <t>2.7.5.3</t>
  </si>
  <si>
    <t>2.7.5.4</t>
  </si>
  <si>
    <t>2.7.5.5</t>
  </si>
  <si>
    <t>2.7.5.6</t>
  </si>
  <si>
    <t>2.7.5.7</t>
  </si>
  <si>
    <t>2.7.5.8</t>
  </si>
  <si>
    <t>2.7.5.9</t>
  </si>
  <si>
    <t>2.7.5.10</t>
  </si>
  <si>
    <t>2.7.5.11</t>
  </si>
  <si>
    <t>2.7.5.12</t>
  </si>
  <si>
    <t>2.7.5.13</t>
  </si>
  <si>
    <t>2.7.5.14</t>
  </si>
  <si>
    <t>2.7.5.15</t>
  </si>
  <si>
    <t>2.7.5.16</t>
  </si>
  <si>
    <t>2.7.5.17</t>
  </si>
  <si>
    <t>2.7.5.18</t>
  </si>
  <si>
    <t>2.7.5.19</t>
  </si>
  <si>
    <t>2.7.5.20</t>
  </si>
  <si>
    <t>2.7.5.21</t>
  </si>
  <si>
    <t>2.7.5.22</t>
  </si>
  <si>
    <t>2.7.5.23</t>
  </si>
  <si>
    <t>2.7.5.24</t>
  </si>
  <si>
    <t>2.7.5.25</t>
  </si>
  <si>
    <t>2.7.5.26</t>
  </si>
  <si>
    <t>2.7.5.27</t>
  </si>
  <si>
    <t>2.7.5.28</t>
  </si>
  <si>
    <t>2.7.5.29</t>
  </si>
  <si>
    <t>2.7.5.30</t>
  </si>
  <si>
    <t>2.7.5.31</t>
  </si>
  <si>
    <t>2.7.5.32</t>
  </si>
  <si>
    <t>2.7.5.33</t>
  </si>
  <si>
    <t>2.7.5.34</t>
  </si>
  <si>
    <t>2.7.5.35</t>
  </si>
  <si>
    <t>2.7.5.36</t>
  </si>
  <si>
    <t>2.7.5.37</t>
  </si>
  <si>
    <t>2.7.6</t>
  </si>
  <si>
    <t>2.7.6.1</t>
  </si>
  <si>
    <t>2.7.6.2</t>
  </si>
  <si>
    <t>2.7.6.3</t>
  </si>
  <si>
    <t>2.7.6.4</t>
  </si>
  <si>
    <t>2.7.6.5</t>
  </si>
  <si>
    <t>2.7.6.6</t>
  </si>
  <si>
    <t>2.7.6.7</t>
  </si>
  <si>
    <t>2.7.6.8</t>
  </si>
  <si>
    <t>2.7.6.9</t>
  </si>
  <si>
    <t>2.7.6.10</t>
  </si>
  <si>
    <t>2.7.6.11</t>
  </si>
  <si>
    <t>2.7.6.12</t>
  </si>
  <si>
    <t>2.7.6.13</t>
  </si>
  <si>
    <t>2.7.6.14</t>
  </si>
  <si>
    <t>2.7.6.15</t>
  </si>
  <si>
    <t>2.7.6.16</t>
  </si>
  <si>
    <t>2.7.6.17</t>
  </si>
  <si>
    <t>2.7.6.18</t>
  </si>
  <si>
    <t>2.7.6.19</t>
  </si>
  <si>
    <t>2.7.6.20</t>
  </si>
  <si>
    <t>2.7.6.21</t>
  </si>
  <si>
    <t>2.7.6.22</t>
  </si>
  <si>
    <t>2.7.6.23</t>
  </si>
  <si>
    <t>2.7.6.24</t>
  </si>
  <si>
    <t>2.7.6.25</t>
  </si>
  <si>
    <t>2.7.6.26</t>
  </si>
  <si>
    <t>2.7.6.27</t>
  </si>
  <si>
    <t>2.7.6.28</t>
  </si>
  <si>
    <t>2.7.6.29</t>
  </si>
  <si>
    <t>2.7.6.30</t>
  </si>
  <si>
    <t>2.7.6.31</t>
  </si>
  <si>
    <t>2.7.6.32</t>
  </si>
  <si>
    <t>2.7.6.33</t>
  </si>
  <si>
    <t>2.7.6.34</t>
  </si>
  <si>
    <t>2.7.6.35</t>
  </si>
  <si>
    <t>2.7.6.36</t>
  </si>
  <si>
    <t>2.7.6.37</t>
  </si>
  <si>
    <t>2.7.6.38</t>
  </si>
  <si>
    <t>2.7.6.39</t>
  </si>
  <si>
    <t>2.7.6.40</t>
  </si>
  <si>
    <t>2.7.6.41</t>
  </si>
  <si>
    <t>2.7.6.42</t>
  </si>
  <si>
    <t>2.7.6.43</t>
  </si>
  <si>
    <t>2.7.6.44</t>
  </si>
  <si>
    <t>2.7.6.45</t>
  </si>
  <si>
    <t>2.7.6.46</t>
  </si>
  <si>
    <t>2.7.7</t>
  </si>
  <si>
    <t>2.7.7.1</t>
  </si>
  <si>
    <t>2.7.7.2</t>
  </si>
  <si>
    <t>2.7.7.3</t>
  </si>
  <si>
    <t>2.7.7.4</t>
  </si>
  <si>
    <t>2.7.7.5</t>
  </si>
  <si>
    <t>2.7.7.6</t>
  </si>
  <si>
    <t>2.7.7.7</t>
  </si>
  <si>
    <t>2.7.7.8</t>
  </si>
  <si>
    <t>2.7.7.9</t>
  </si>
  <si>
    <t>2.7.7.10</t>
  </si>
  <si>
    <t>2.7.7.11</t>
  </si>
  <si>
    <t>2.7.7.12</t>
  </si>
  <si>
    <t>2.7.7.13</t>
  </si>
  <si>
    <t>2.7.7.14</t>
  </si>
  <si>
    <t>2.7.7.15</t>
  </si>
  <si>
    <t>2.7.7.16</t>
  </si>
  <si>
    <t>2.7.7.17</t>
  </si>
  <si>
    <t>2.7.7.18</t>
  </si>
  <si>
    <t>2.7.7.19</t>
  </si>
  <si>
    <t>2.7.7.20</t>
  </si>
  <si>
    <t>2.7.7.21</t>
  </si>
  <si>
    <t>2.7.7.22</t>
  </si>
  <si>
    <t>2.7.7.23</t>
  </si>
  <si>
    <t>2.7.7.24</t>
  </si>
  <si>
    <t>2.7.7.25</t>
  </si>
  <si>
    <t>2.7.7.26</t>
  </si>
  <si>
    <t>2.7.7.27</t>
  </si>
  <si>
    <t>2.7.7.28</t>
  </si>
  <si>
    <t>2.7.7.29</t>
  </si>
  <si>
    <t>2.7.8</t>
  </si>
  <si>
    <t>2.7.9</t>
  </si>
  <si>
    <t>2.7.9.1</t>
  </si>
  <si>
    <t>2.7.9.2</t>
  </si>
  <si>
    <t>2.7.9.3</t>
  </si>
  <si>
    <t>2.7.9.4</t>
  </si>
  <si>
    <t>2.7.9.5</t>
  </si>
  <si>
    <t>2.7.9.6</t>
  </si>
  <si>
    <t>2.7.9.7</t>
  </si>
  <si>
    <t>2.7.9.8</t>
  </si>
  <si>
    <t>2.7.9.9</t>
  </si>
  <si>
    <t>2.7.9.10</t>
  </si>
  <si>
    <t>2.7.9.11</t>
  </si>
  <si>
    <t>2.7.9.12</t>
  </si>
  <si>
    <t>2.8.3</t>
  </si>
  <si>
    <t>2.8.4</t>
  </si>
  <si>
    <t>2.8.5</t>
  </si>
  <si>
    <t>2.9.1</t>
  </si>
  <si>
    <t>2.9.1.1</t>
  </si>
  <si>
    <t>2.9.1.2</t>
  </si>
  <si>
    <t>2.9.1.3</t>
  </si>
  <si>
    <t>2.9.1.4</t>
  </si>
  <si>
    <t>2.9.1.5</t>
  </si>
  <si>
    <t>2.9.1.6</t>
  </si>
  <si>
    <t>2.9.2</t>
  </si>
  <si>
    <t>2.9.2.1</t>
  </si>
  <si>
    <t>2.9.2.2</t>
  </si>
  <si>
    <t>2.9.2.3</t>
  </si>
  <si>
    <t>2.9.2.4</t>
  </si>
  <si>
    <t>2.9.2.5</t>
  </si>
  <si>
    <t>2.9.2.6</t>
  </si>
  <si>
    <t>2.9.2.7</t>
  </si>
  <si>
    <t>2.9.2.8</t>
  </si>
  <si>
    <t>2.9.2.9</t>
  </si>
  <si>
    <t>2.9.3</t>
  </si>
  <si>
    <t>2.9.3.1</t>
  </si>
  <si>
    <t>2.9.3.2</t>
  </si>
  <si>
    <t>2.9.3.3</t>
  </si>
  <si>
    <t>2.9.3.4</t>
  </si>
  <si>
    <t>2.9.3.5</t>
  </si>
  <si>
    <t>2.9.3.6</t>
  </si>
  <si>
    <t>2.9.3.7</t>
  </si>
  <si>
    <t>2.9.3.8</t>
  </si>
  <si>
    <t>2.9.4</t>
  </si>
  <si>
    <t>2.9.4.1</t>
  </si>
  <si>
    <t>2.9.4.2</t>
  </si>
  <si>
    <t>2.9.4.3</t>
  </si>
  <si>
    <t>2.9.4.4</t>
  </si>
  <si>
    <t>2.9.4.5</t>
  </si>
  <si>
    <t>2.9.4.6</t>
  </si>
  <si>
    <t>2.9.4.7</t>
  </si>
  <si>
    <t>2.9.4.8</t>
  </si>
  <si>
    <t>2.9.5</t>
  </si>
  <si>
    <t>2.9.5.1</t>
  </si>
  <si>
    <t>2.9.5.2</t>
  </si>
  <si>
    <t>2.9.5.3</t>
  </si>
  <si>
    <t>2.9.6</t>
  </si>
  <si>
    <t>2.9.6.1</t>
  </si>
  <si>
    <t>2.9.6.2</t>
  </si>
  <si>
    <t>2.9.6.3</t>
  </si>
  <si>
    <t>2.9.6.4</t>
  </si>
  <si>
    <t>2.9.6.5</t>
  </si>
  <si>
    <t>2.9.7</t>
  </si>
  <si>
    <t>2.9.7.1</t>
  </si>
  <si>
    <t>Система обеспечения пожарной безопасности ВСКД</t>
  </si>
  <si>
    <t>2.9.7.1.1</t>
  </si>
  <si>
    <t>2.9.7.1.2</t>
  </si>
  <si>
    <t>2.9.7.1.3</t>
  </si>
  <si>
    <t>2.9.7.1.4</t>
  </si>
  <si>
    <t>2.9.7.1.5</t>
  </si>
  <si>
    <t>2.9.7.2</t>
  </si>
  <si>
    <t>2.9.8</t>
  </si>
  <si>
    <t>2.9.8.1</t>
  </si>
  <si>
    <t>2.9.8.2</t>
  </si>
  <si>
    <t>2.9.8.3</t>
  </si>
  <si>
    <t>2.9.8.4</t>
  </si>
  <si>
    <t>2.9.8.5</t>
  </si>
  <si>
    <t>2.9.9</t>
  </si>
  <si>
    <t>2.9.9.1</t>
  </si>
  <si>
    <t>2.9.10.1</t>
  </si>
  <si>
    <t>2.9.10.1.1</t>
  </si>
  <si>
    <t>2.9.10.1.2</t>
  </si>
  <si>
    <t>2.9.10.1.3</t>
  </si>
  <si>
    <t>2.9.10.1.4</t>
  </si>
  <si>
    <t>2.9.10.1.5</t>
  </si>
  <si>
    <t>2.9.10.1.6</t>
  </si>
  <si>
    <t>2.9.10.1.7</t>
  </si>
  <si>
    <t>2.9.10.1.8</t>
  </si>
  <si>
    <t>2.9.10.1.9</t>
  </si>
  <si>
    <t>2.9.10.2</t>
  </si>
  <si>
    <t>2.9.10.2.1</t>
  </si>
  <si>
    <t>2.10.2.5</t>
  </si>
  <si>
    <t>2.10.2.6</t>
  </si>
  <si>
    <t>2.10.2.7</t>
  </si>
  <si>
    <t>2.10.2.8</t>
  </si>
  <si>
    <t>2.10.2.9</t>
  </si>
  <si>
    <t>2.10.2.10</t>
  </si>
  <si>
    <t>2.10.2.11</t>
  </si>
  <si>
    <t>2.10.2.12</t>
  </si>
  <si>
    <t>2.10.2.13</t>
  </si>
  <si>
    <t>2.10.3.2.1</t>
  </si>
  <si>
    <t>2.10.3.2.2</t>
  </si>
  <si>
    <t>2.10.3.2.3</t>
  </si>
  <si>
    <t>2.10.3.2.4</t>
  </si>
  <si>
    <t>2.10.3.2.5</t>
  </si>
  <si>
    <t>2.10.3.4.1</t>
  </si>
  <si>
    <t>2.10.3.4.2</t>
  </si>
  <si>
    <t>2.10.3.4.3</t>
  </si>
  <si>
    <t>2.10.3.4.4</t>
  </si>
  <si>
    <t>2.10.3.4.5</t>
  </si>
  <si>
    <t>2.10.3.5.1</t>
  </si>
  <si>
    <t>2.10.3.6.1</t>
  </si>
  <si>
    <t>2.10.3.6.2</t>
  </si>
  <si>
    <t>2.10.3.7.1</t>
  </si>
  <si>
    <t>2.10.3.7.2</t>
  </si>
  <si>
    <t>2.10.3.7.3</t>
  </si>
  <si>
    <t>2.10.3.7.4</t>
  </si>
  <si>
    <t>2.10.3.7.5</t>
  </si>
  <si>
    <t>2.10.3.7.6</t>
  </si>
  <si>
    <t>2.10.3.7.7</t>
  </si>
  <si>
    <t>2.10.3.7.8</t>
  </si>
  <si>
    <t>2.10.3.7.9</t>
  </si>
  <si>
    <t>2.10.3.7.10</t>
  </si>
  <si>
    <t>2.10.3.7.11</t>
  </si>
  <si>
    <t>2.10.3.7.12</t>
  </si>
  <si>
    <t>2.10.3.7.13</t>
  </si>
  <si>
    <t>2.10.3.7.14</t>
  </si>
  <si>
    <t>2.10.3.7.15</t>
  </si>
  <si>
    <t>2.10.3.7.16</t>
  </si>
  <si>
    <t>2.10.3.7.17</t>
  </si>
  <si>
    <t>2.10.3.7.18</t>
  </si>
  <si>
    <t>2.10.3.7.19</t>
  </si>
  <si>
    <t>2.10.3.7.20</t>
  </si>
  <si>
    <t>2.10.3.7.21</t>
  </si>
  <si>
    <t>2.10.3.7.22</t>
  </si>
  <si>
    <t>2.10.3.7.23</t>
  </si>
  <si>
    <t>2.10.3.7.24</t>
  </si>
  <si>
    <t>2.10.3.7.25</t>
  </si>
  <si>
    <t>2.10.3.7.26</t>
  </si>
  <si>
    <t>2.10.3.7.27</t>
  </si>
  <si>
    <t>2.10.3.7.28</t>
  </si>
  <si>
    <t>2.10.3.7.29</t>
  </si>
  <si>
    <t>2.10.3.7.30</t>
  </si>
  <si>
    <t>2.10.3.7.31</t>
  </si>
  <si>
    <t>2.10.3.7.32</t>
  </si>
  <si>
    <t>2.10.3.7.33</t>
  </si>
  <si>
    <t>2.10.3.7.34</t>
  </si>
  <si>
    <t>2.10.3.7.35</t>
  </si>
  <si>
    <t>2.10.3.7.36</t>
  </si>
  <si>
    <t>2.10.3.9.1</t>
  </si>
  <si>
    <t>2.10.3.9.2</t>
  </si>
  <si>
    <t>2.10.3.9.3</t>
  </si>
  <si>
    <t>2.10.3.9.4</t>
  </si>
  <si>
    <t>2.10.4</t>
  </si>
  <si>
    <t>2.10.4.1</t>
  </si>
  <si>
    <t>2.10.4.2</t>
  </si>
  <si>
    <t>2.10.4.3</t>
  </si>
  <si>
    <t>2.10.4.4</t>
  </si>
  <si>
    <t>2.10.4.5</t>
  </si>
  <si>
    <t>2.10.4.6</t>
  </si>
  <si>
    <t>2.10.4.7</t>
  </si>
  <si>
    <t>2.10.4.8</t>
  </si>
  <si>
    <t>2.10.4.9</t>
  </si>
  <si>
    <t>2.10.4.10</t>
  </si>
  <si>
    <t>2.10.4.11</t>
  </si>
  <si>
    <t>2.10.4.12</t>
  </si>
  <si>
    <t>2.10.4.13</t>
  </si>
  <si>
    <t>2.10.4.14</t>
  </si>
  <si>
    <t>2.10.4.15</t>
  </si>
  <si>
    <t>2.10.4.16</t>
  </si>
  <si>
    <t>2.10.4.17</t>
  </si>
  <si>
    <t>2.10.4.18</t>
  </si>
  <si>
    <t>2.10.4.19</t>
  </si>
  <si>
    <t>2.10.4.20</t>
  </si>
  <si>
    <t>2.10.4.21</t>
  </si>
  <si>
    <t>2.10.4.22</t>
  </si>
  <si>
    <t>2.10.4.23</t>
  </si>
  <si>
    <t>2.10.4.24</t>
  </si>
  <si>
    <t>2.10.4.25</t>
  </si>
  <si>
    <t>2.10.5</t>
  </si>
  <si>
    <t>2.10.5.1</t>
  </si>
  <si>
    <t>2.10.5.2</t>
  </si>
  <si>
    <t>2.10.5.3</t>
  </si>
  <si>
    <t>2.10.5.4</t>
  </si>
  <si>
    <t>2.10.5.5</t>
  </si>
  <si>
    <t>2.10.5.6</t>
  </si>
  <si>
    <t>2.10.5.7</t>
  </si>
  <si>
    <t>2.10.5.8</t>
  </si>
  <si>
    <t>2.10.5.9</t>
  </si>
  <si>
    <t>2.10.5.10</t>
  </si>
  <si>
    <t>2.10.5.11</t>
  </si>
  <si>
    <t>2.10.5.12</t>
  </si>
  <si>
    <t>2.10.5.13</t>
  </si>
  <si>
    <t>2.10.5.14</t>
  </si>
  <si>
    <t>2.10.5.15</t>
  </si>
  <si>
    <t>2.10.5.16</t>
  </si>
  <si>
    <t>2.10.5.17</t>
  </si>
  <si>
    <t>2.10.5.18</t>
  </si>
  <si>
    <t>2.10.5.19</t>
  </si>
  <si>
    <t>2.10.5.20</t>
  </si>
  <si>
    <t>2.10.5.21</t>
  </si>
  <si>
    <t>2.10.5.22</t>
  </si>
  <si>
    <t>2.10.5.23</t>
  </si>
  <si>
    <t>2.10.5.24</t>
  </si>
  <si>
    <t>2.10.5.25</t>
  </si>
  <si>
    <t>2.10.5.26</t>
  </si>
  <si>
    <t>2.10.5.27</t>
  </si>
  <si>
    <t>2.10.5.28</t>
  </si>
  <si>
    <t>2.10.5.29</t>
  </si>
  <si>
    <t>2.10.5.30</t>
  </si>
  <si>
    <t>2.10.5.31</t>
  </si>
  <si>
    <t>2.10.5.32</t>
  </si>
  <si>
    <t>2.10.5.33</t>
  </si>
  <si>
    <t>2.10.5.34</t>
  </si>
  <si>
    <t>2.10.5.35</t>
  </si>
  <si>
    <t>2.10.5.36</t>
  </si>
  <si>
    <t>2.10.5.37</t>
  </si>
  <si>
    <t>2.10.5.38</t>
  </si>
  <si>
    <t>2.10.5.39</t>
  </si>
  <si>
    <t>2.10.6</t>
  </si>
  <si>
    <t>Плата за негативное воздействие на окружающую среду</t>
  </si>
  <si>
    <t>Командировочные затраты</t>
  </si>
  <si>
    <t>На единицу измерения</t>
  </si>
  <si>
    <t>Цена, руб.</t>
  </si>
  <si>
    <t>ПРОЕКТ СМЕТЫ КОНТРАКТА</t>
  </si>
  <si>
    <t>-стоимость оборудования поставки подрядчика;</t>
  </si>
  <si>
    <t>*Индекс фактической инфляции по данным Росстата ("Строительство ", Кабардино-Балкарская республика) от цен утверждения сметной документации до даты формирования НМЦК (1,0312*1,0258*1,0358*1,0253*1,0141*0,9939*1)=</t>
  </si>
  <si>
    <t>1) поскольку индекс фактической инфляции за июль 2020 отсутствует на момент формирования НМЦК, то он принимается равным 1.</t>
  </si>
  <si>
    <t>4</t>
  </si>
  <si>
    <t>Авторский надзор</t>
  </si>
  <si>
    <t>-затраты на авторский надзор;</t>
  </si>
  <si>
    <t>4.1</t>
  </si>
  <si>
    <t>4.2</t>
  </si>
  <si>
    <t>в том числе Авторский надзор без учета непредвиденных затрат</t>
  </si>
  <si>
    <t>в счет затрат на строительный контроль</t>
  </si>
  <si>
    <t>№ п.п.</t>
  </si>
  <si>
    <t>Наименование затрат</t>
  </si>
  <si>
    <t xml:space="preserve"> Стоимость , руб. без НДС</t>
  </si>
  <si>
    <t>Примечание</t>
  </si>
  <si>
    <t>Непредвиденные затраты 2%</t>
  </si>
  <si>
    <t>Всего с НДС 20%</t>
  </si>
  <si>
    <t>*Индекс фактической инфляции по данным Росстата (Строительство ) от цен утверждения сметной документации до даты формирования НМЦК  январь 2020 - июль 2020 (</t>
  </si>
  <si>
    <t>=</t>
  </si>
  <si>
    <t>1) поскольку индексы фактической инфляции за июнь - июль 2020 отсутствуют на момент формирования НМЦК, то значение индекса принимается равным 1.</t>
  </si>
  <si>
    <t>Расчет индекса прогнозной инфляции для оборудования</t>
  </si>
  <si>
    <t>мес.</t>
  </si>
  <si>
    <t>январь</t>
  </si>
  <si>
    <t>февраль</t>
  </si>
  <si>
    <t>март</t>
  </si>
  <si>
    <t>апрель</t>
  </si>
  <si>
    <t>май</t>
  </si>
  <si>
    <t>Расчет прогнозного индекса инфляции :</t>
  </si>
  <si>
    <t>Индекс Минэкономразвития РФ на 2020 г. (Письмо Минэкономразвития России от 1 октября 2019 г. № 33198-ПБ/Д03и)</t>
  </si>
  <si>
    <t>Ежемесячный индекс прогноз на 2020 г.</t>
  </si>
  <si>
    <t>Индекс Минэкономразвития РФ на 2021 г. (Письмо Минэкономразвития России от 1 октября 2019 г. № 33198-ПБ/Д03и)</t>
  </si>
  <si>
    <t>Ежемесячный индекс прогноз на 2021 г.</t>
  </si>
  <si>
    <t>Итого индекс прогнозной инфляции И=</t>
  </si>
  <si>
    <t>1,00295^5*(1,00303^5+1,00303^9)/2</t>
  </si>
  <si>
    <t>Шеф-монтажные работы: консультации по ведению строительных работ, руководство монтажом и обучение обслуживающего персонала</t>
  </si>
  <si>
    <t xml:space="preserve">Стоимость шеф-монтажных работ по оборудованию КД EL6 согласно технико-коммерческому предложению №OGA-19-0011-01 (письмо Doppelmayr Russia, Ltd от 19.08.2019 исх. №ИХ/00608/20-СМР) </t>
  </si>
  <si>
    <t>стоимости шеф-монтажных работ по объекту:</t>
  </si>
  <si>
    <t>Расчет</t>
  </si>
  <si>
    <t>Стоимость работ в ценах на дату формирования начальной (максимальной) цены контракта - август 2020 г.</t>
  </si>
  <si>
    <t>1) поскольку индекс фактической инфляции за август 2020 отсутствует на момент формирования НМЦК, то он принимается равным 1.</t>
  </si>
  <si>
    <t>*Индекс фактической инфляции по данным Росстата ("Строительство ", Кабардино-Балкарская республика) от цен утверждения сметной документации до даты формирования НМЦК (1,0312*1,0258*1,0358*1,0253*1,0141*0,9939*0,9958*1)=</t>
  </si>
  <si>
    <t>График производства работ по объекту:</t>
  </si>
  <si>
    <t>EL3 + EL6</t>
  </si>
  <si>
    <t>Сроки выполнения работ</t>
  </si>
  <si>
    <t>Дата начала</t>
  </si>
  <si>
    <t>Дата окончания</t>
  </si>
  <si>
    <t>Длительность</t>
  </si>
  <si>
    <t>1.</t>
  </si>
  <si>
    <t>1. Разработка РД EL3+EL6</t>
  </si>
  <si>
    <t>2.</t>
  </si>
  <si>
    <t>2.1.</t>
  </si>
  <si>
    <t>2.1. Подготовительные работы EL3</t>
  </si>
  <si>
    <t>2.2.</t>
  </si>
  <si>
    <t>2.2. Подготовительные работы EL6</t>
  </si>
  <si>
    <t>3.</t>
  </si>
  <si>
    <t>3. Строительно-монтажне работы</t>
  </si>
  <si>
    <t>3.1.</t>
  </si>
  <si>
    <t>3.1. СМР EL3</t>
  </si>
  <si>
    <t>3.2.</t>
  </si>
  <si>
    <t>3.2. СМР EL6</t>
  </si>
  <si>
    <t>4.</t>
  </si>
  <si>
    <t>4. Пусконаладочные работы</t>
  </si>
  <si>
    <t>4.1.</t>
  </si>
  <si>
    <t>4.1. ПНР EL3</t>
  </si>
  <si>
    <t>4.2.</t>
  </si>
  <si>
    <t>4.2. ПНР EL6</t>
  </si>
  <si>
    <t>5.</t>
  </si>
  <si>
    <t>5. Ввод объекта в эксплуатацию</t>
  </si>
  <si>
    <t>5.1.</t>
  </si>
  <si>
    <t>5.1. EL3</t>
  </si>
  <si>
    <t>5.2.</t>
  </si>
  <si>
    <t>5.2. EL6</t>
  </si>
  <si>
    <t>6.</t>
  </si>
  <si>
    <t>Подписание акта приемки законченного строительством объекта примемочной комиссией</t>
  </si>
  <si>
    <t>6.1.</t>
  </si>
  <si>
    <t>6.1. EL3</t>
  </si>
  <si>
    <t>6.2.</t>
  </si>
  <si>
    <t>6.2. EL6</t>
  </si>
  <si>
    <t>(2,5 месяца/6,5 месяцев)</t>
  </si>
  <si>
    <t>Доля сметной стоимости, подлежащая выполнению подрядчиком в 2021</t>
  </si>
  <si>
    <t>(4 месяцев/6,5 месяцев)</t>
  </si>
  <si>
    <t>1,00295^1,5*(1,00295+1,00295^2,5)/2</t>
  </si>
  <si>
    <t>1,00295^4*(1,00303+1,00303^4)/2</t>
  </si>
  <si>
    <t>0,38*1,01+0,62*1,02</t>
  </si>
  <si>
    <t>1,00295^4*1,00303^4*(1,00303+1,00303^8)/2</t>
  </si>
  <si>
    <t>1,00295^4*1,037*(1,00303+1,00303^9)/2</t>
  </si>
  <si>
    <t>(8 месяцев/17 месяцев)</t>
  </si>
  <si>
    <t>(9 месяцев/17 месяцев)</t>
  </si>
  <si>
    <t>0,47*1,038+0,53*1,065</t>
  </si>
  <si>
    <t>1,00295^4*1,037*1,00303^8*(1,00303+1,00303^2)/2</t>
  </si>
  <si>
    <t>(8 месяцев/18 месяцев)</t>
  </si>
  <si>
    <t>(10 месяцев/18 месяцев)</t>
  </si>
  <si>
    <t>1,00295^4*1,037*(1,00303+1,00303^10)/2</t>
  </si>
  <si>
    <t>0,44*1,038+0,56*1,067</t>
  </si>
  <si>
    <t>Курс EUR/RUB ЦБ РФ по состоянию на 28.08.2020</t>
  </si>
  <si>
    <t>98000*88,9960</t>
  </si>
  <si>
    <t>1. Приказ об утверждении проектной документации, включая сводный сметный расчет стоимости строительства от 30.03.2020 № Пр-20-060.</t>
  </si>
  <si>
    <t>(один миллиард сто восемьдесят пять миллионов восемьсот семьдесят две тысячи пятьсот семьдесят пять рублей, 20 копеек)</t>
  </si>
  <si>
    <t>Строительство (строительно-монтажные работы, оборудование поставки подрядчика, прочие затраты)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</si>
</sst>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.0\ _₽_-;\-* #,##0.0\ _₽_-;_-* &quot;-&quot;??\ _₽_-;_-@_-"/>
    <numFmt numFmtId="167" formatCode="_-* #,##0.000\ _₽_-;\-* #,##0.000\ _₽_-;_-* &quot;-&quot;??\ _₽_-;_-@_-"/>
    <numFmt numFmtId="168" formatCode="#,##0.000"/>
    <numFmt numFmtId="169" formatCode="0.000"/>
    <numFmt numFmtId="170" formatCode="_-* #,##0.0000\ _₽_-;\-* #,##0.0000\ _₽_-;_-* &quot;-&quot;??\ _₽_-;_-@_-"/>
    <numFmt numFmtId="171" formatCode="_-* #,##0.0\ _₽_-;\-* #,##0.0\ _₽_-;_-* &quot;-&quot;?\ _₽_-;_-@_-"/>
    <numFmt numFmtId="172" formatCode="0.00000"/>
    <numFmt numFmtId="173" formatCode="0.0"/>
    <numFmt numFmtId="174" formatCode="#,##0.00000"/>
    <numFmt numFmtId="175" formatCode="#,##0.####"/>
    <numFmt numFmtId="176" formatCode="0.0000"/>
  </numFmts>
  <fonts count="5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8"/>
      <name val="Arial"/>
      <family val="2"/>
      <charset val="204"/>
    </font>
    <font>
      <i/>
      <sz val="10"/>
      <name val="Arial Cyr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color rgb="FF0070C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0070C0"/>
      <name val="Times New Roman"/>
      <family val="1"/>
      <charset val="204"/>
    </font>
    <font>
      <sz val="10"/>
      <color rgb="FF0070C0"/>
      <name val="Arial Cyr"/>
      <charset val="204"/>
    </font>
    <font>
      <b/>
      <sz val="10"/>
      <color rgb="FF0070C0"/>
      <name val="Arial Cyr"/>
      <charset val="204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0"/>
      <color rgb="FFFF0000"/>
      <name val="Arial Cyr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2"/>
      <color rgb="FF0070C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1"/>
      <name val="Calibri"/>
      <family val="2"/>
      <scheme val="minor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u/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1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auto="1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1">
    <xf numFmtId="0" fontId="0" fillId="0" borderId="0"/>
    <xf numFmtId="164" fontId="11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6" fillId="0" borderId="0"/>
    <xf numFmtId="0" fontId="31" fillId="0" borderId="0"/>
    <xf numFmtId="0" fontId="32" fillId="0" borderId="0">
      <alignment horizontal="center" vertical="top"/>
    </xf>
    <xf numFmtId="0" fontId="33" fillId="0" borderId="0">
      <alignment horizontal="left" vertical="top"/>
    </xf>
    <xf numFmtId="0" fontId="33" fillId="0" borderId="0">
      <alignment horizontal="center" vertical="center"/>
    </xf>
    <xf numFmtId="0" fontId="33" fillId="0" borderId="0">
      <alignment horizontal="center"/>
    </xf>
    <xf numFmtId="0" fontId="34" fillId="0" borderId="0">
      <alignment horizontal="center" vertical="center"/>
    </xf>
    <xf numFmtId="0" fontId="34" fillId="0" borderId="0">
      <alignment horizontal="center" vertical="center"/>
    </xf>
    <xf numFmtId="0" fontId="33" fillId="0" borderId="0">
      <alignment horizontal="center" vertical="center"/>
    </xf>
    <xf numFmtId="0" fontId="33" fillId="0" borderId="0">
      <alignment horizontal="center" vertical="center"/>
    </xf>
    <xf numFmtId="0" fontId="33" fillId="0" borderId="0">
      <alignment horizontal="center" vertical="center"/>
    </xf>
    <xf numFmtId="0" fontId="33" fillId="0" borderId="0">
      <alignment horizontal="center" vertical="center"/>
    </xf>
    <xf numFmtId="0" fontId="33" fillId="0" borderId="0">
      <alignment horizontal="left" vertical="center"/>
    </xf>
    <xf numFmtId="0" fontId="11" fillId="0" borderId="0"/>
    <xf numFmtId="0" fontId="4" fillId="0" borderId="0"/>
    <xf numFmtId="0" fontId="3" fillId="0" borderId="0"/>
    <xf numFmtId="0" fontId="29" fillId="0" borderId="0"/>
    <xf numFmtId="0" fontId="11" fillId="0" borderId="0"/>
    <xf numFmtId="0" fontId="3" fillId="0" borderId="0"/>
    <xf numFmtId="0" fontId="29" fillId="0" borderId="0"/>
    <xf numFmtId="0" fontId="29" fillId="0" borderId="0"/>
    <xf numFmtId="164" fontId="2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1" fillId="0" borderId="0"/>
  </cellStyleXfs>
  <cellXfs count="683">
    <xf numFmtId="0" fontId="0" fillId="0" borderId="0" xfId="0"/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49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left" vertical="top" wrapText="1"/>
    </xf>
    <xf numFmtId="0" fontId="9" fillId="0" borderId="0" xfId="0" applyFont="1"/>
    <xf numFmtId="4" fontId="4" fillId="0" borderId="1" xfId="0" applyNumberFormat="1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4" fontId="4" fillId="0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Alignment="1">
      <alignment horizontal="left" vertical="top"/>
    </xf>
    <xf numFmtId="4" fontId="5" fillId="0" borderId="2" xfId="0" applyNumberFormat="1" applyFont="1" applyFill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0" fillId="0" borderId="0" xfId="0" applyFill="1"/>
    <xf numFmtId="4" fontId="0" fillId="0" borderId="0" xfId="0" applyNumberFormat="1" applyFill="1"/>
    <xf numFmtId="0" fontId="4" fillId="0" borderId="0" xfId="0" applyFont="1" applyFill="1"/>
    <xf numFmtId="4" fontId="4" fillId="0" borderId="0" xfId="0" applyNumberFormat="1" applyFont="1" applyFill="1"/>
    <xf numFmtId="0" fontId="9" fillId="0" borderId="0" xfId="0" applyFont="1" applyFill="1"/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left" vertical="top" wrapText="1"/>
    </xf>
    <xf numFmtId="4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4" fontId="0" fillId="0" borderId="6" xfId="0" applyNumberFormat="1" applyBorder="1" applyAlignment="1">
      <alignment vertical="top"/>
    </xf>
    <xf numFmtId="4" fontId="0" fillId="0" borderId="0" xfId="0" applyNumberFormat="1" applyBorder="1" applyAlignment="1">
      <alignment horizontal="left" vertical="top" wrapText="1"/>
    </xf>
    <xf numFmtId="49" fontId="15" fillId="0" borderId="2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right" vertical="top" wrapText="1"/>
    </xf>
    <xf numFmtId="0" fontId="15" fillId="0" borderId="2" xfId="0" applyFont="1" applyBorder="1" applyAlignment="1">
      <alignment horizontal="right" vertical="top"/>
    </xf>
    <xf numFmtId="4" fontId="15" fillId="0" borderId="2" xfId="0" applyNumberFormat="1" applyFont="1" applyBorder="1" applyAlignment="1">
      <alignment horizontal="right" vertical="top" wrapText="1"/>
    </xf>
    <xf numFmtId="0" fontId="15" fillId="0" borderId="0" xfId="0" applyFont="1"/>
    <xf numFmtId="16" fontId="15" fillId="0" borderId="2" xfId="0" quotePrefix="1" applyNumberFormat="1" applyFont="1" applyBorder="1" applyAlignment="1">
      <alignment horizontal="center" vertical="top" wrapText="1"/>
    </xf>
    <xf numFmtId="0" fontId="15" fillId="0" borderId="2" xfId="0" quotePrefix="1" applyFont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right" vertical="top" wrapText="1"/>
    </xf>
    <xf numFmtId="2" fontId="4" fillId="0" borderId="0" xfId="0" applyNumberFormat="1" applyFont="1"/>
    <xf numFmtId="4" fontId="13" fillId="3" borderId="2" xfId="3" applyNumberFormat="1" applyBorder="1" applyAlignment="1">
      <alignment horizontal="right" vertical="top" wrapText="1"/>
    </xf>
    <xf numFmtId="4" fontId="12" fillId="2" borderId="2" xfId="2" applyNumberFormat="1" applyBorder="1" applyAlignment="1">
      <alignment horizontal="right" vertical="top" wrapText="1"/>
    </xf>
    <xf numFmtId="2" fontId="0" fillId="0" borderId="0" xfId="0" applyNumberFormat="1" applyFill="1"/>
    <xf numFmtId="4" fontId="13" fillId="3" borderId="2" xfId="3" applyNumberFormat="1" applyBorder="1" applyAlignment="1">
      <alignment horizontal="right" vertical="top"/>
    </xf>
    <xf numFmtId="0" fontId="4" fillId="5" borderId="2" xfId="0" applyFont="1" applyFill="1" applyBorder="1" applyAlignment="1">
      <alignment vertical="center" wrapText="1"/>
    </xf>
    <xf numFmtId="0" fontId="4" fillId="5" borderId="2" xfId="0" applyFont="1" applyFill="1" applyBorder="1"/>
    <xf numFmtId="0" fontId="0" fillId="0" borderId="2" xfId="0" applyBorder="1"/>
    <xf numFmtId="3" fontId="4" fillId="0" borderId="2" xfId="0" applyNumberFormat="1" applyFont="1" applyBorder="1"/>
    <xf numFmtId="3" fontId="15" fillId="0" borderId="2" xfId="0" applyNumberFormat="1" applyFont="1" applyBorder="1"/>
    <xf numFmtId="3" fontId="4" fillId="0" borderId="2" xfId="0" applyNumberFormat="1" applyFont="1" applyFill="1" applyBorder="1"/>
    <xf numFmtId="3" fontId="9" fillId="0" borderId="2" xfId="0" applyNumberFormat="1" applyFont="1" applyBorder="1"/>
    <xf numFmtId="4" fontId="4" fillId="0" borderId="2" xfId="0" applyNumberFormat="1" applyFont="1" applyBorder="1"/>
    <xf numFmtId="3" fontId="4" fillId="0" borderId="2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164" fontId="4" fillId="0" borderId="0" xfId="1" applyFont="1"/>
    <xf numFmtId="164" fontId="0" fillId="0" borderId="0" xfId="0" applyNumberFormat="1"/>
    <xf numFmtId="0" fontId="0" fillId="0" borderId="0" xfId="0" applyAlignment="1">
      <alignment wrapText="1"/>
    </xf>
    <xf numFmtId="0" fontId="18" fillId="0" borderId="0" xfId="5" applyFont="1"/>
    <xf numFmtId="0" fontId="19" fillId="0" borderId="0" xfId="5" applyFont="1"/>
    <xf numFmtId="0" fontId="20" fillId="6" borderId="2" xfId="0" applyFont="1" applyFill="1" applyBorder="1" applyAlignment="1">
      <alignment horizontal="center" vertical="center" wrapText="1"/>
    </xf>
    <xf numFmtId="0" fontId="17" fillId="6" borderId="2" xfId="5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left" vertical="center" wrapText="1"/>
    </xf>
    <xf numFmtId="165" fontId="21" fillId="8" borderId="2" xfId="0" applyNumberFormat="1" applyFont="1" applyFill="1" applyBorder="1" applyAlignment="1">
      <alignment horizontal="center" vertical="center"/>
    </xf>
    <xf numFmtId="49" fontId="4" fillId="9" borderId="2" xfId="0" applyNumberFormat="1" applyFont="1" applyFill="1" applyBorder="1" applyAlignment="1">
      <alignment horizontal="left" vertical="top" wrapText="1"/>
    </xf>
    <xf numFmtId="49" fontId="20" fillId="8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vertical="top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/>
    <xf numFmtId="49" fontId="23" fillId="9" borderId="2" xfId="0" applyNumberFormat="1" applyFont="1" applyFill="1" applyBorder="1" applyAlignment="1">
      <alignment horizontal="center" vertical="center" wrapText="1"/>
    </xf>
    <xf numFmtId="4" fontId="16" fillId="0" borderId="0" xfId="5" applyNumberFormat="1" applyBorder="1" applyAlignment="1">
      <alignment horizontal="center" vertical="center"/>
    </xf>
    <xf numFmtId="165" fontId="21" fillId="9" borderId="2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28" fillId="0" borderId="0" xfId="0" applyFont="1"/>
    <xf numFmtId="0" fontId="29" fillId="0" borderId="0" xfId="5" applyFont="1" applyBorder="1"/>
    <xf numFmtId="4" fontId="22" fillId="0" borderId="0" xfId="5" applyNumberFormat="1" applyFont="1" applyBorder="1" applyAlignment="1">
      <alignment horizontal="center" vertical="center"/>
    </xf>
    <xf numFmtId="0" fontId="30" fillId="0" borderId="0" xfId="0" applyFont="1"/>
    <xf numFmtId="4" fontId="14" fillId="4" borderId="2" xfId="4" applyNumberFormat="1" applyBorder="1" applyAlignment="1">
      <alignment horizontal="right" vertical="top" wrapText="1"/>
    </xf>
    <xf numFmtId="2" fontId="14" fillId="4" borderId="2" xfId="4" applyNumberFormat="1" applyBorder="1" applyAlignment="1">
      <alignment horizontal="right" vertical="top" wrapText="1"/>
    </xf>
    <xf numFmtId="3" fontId="14" fillId="4" borderId="2" xfId="4" applyNumberFormat="1" applyBorder="1"/>
    <xf numFmtId="4" fontId="14" fillId="4" borderId="2" xfId="4" applyNumberFormat="1" applyBorder="1" applyAlignment="1">
      <alignment horizontal="right" vertical="top"/>
    </xf>
    <xf numFmtId="0" fontId="17" fillId="0" borderId="0" xfId="5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/>
    <xf numFmtId="0" fontId="35" fillId="0" borderId="0" xfId="5" applyFont="1" applyAlignment="1">
      <alignment horizontal="center" vertical="center" wrapText="1"/>
    </xf>
    <xf numFmtId="0" fontId="21" fillId="0" borderId="0" xfId="5" applyFont="1" applyAlignment="1">
      <alignment vertical="center"/>
    </xf>
    <xf numFmtId="0" fontId="21" fillId="0" borderId="0" xfId="5" applyFont="1" applyFill="1"/>
    <xf numFmtId="0" fontId="19" fillId="0" borderId="0" xfId="5" applyFont="1" applyFill="1"/>
    <xf numFmtId="0" fontId="21" fillId="0" borderId="0" xfId="0" applyFont="1"/>
    <xf numFmtId="0" fontId="21" fillId="0" borderId="0" xfId="5" applyFont="1"/>
    <xf numFmtId="0" fontId="21" fillId="10" borderId="0" xfId="5" applyFont="1" applyFill="1" applyAlignment="1">
      <alignment vertical="center"/>
    </xf>
    <xf numFmtId="0" fontId="19" fillId="10" borderId="0" xfId="5" applyFont="1" applyFill="1" applyAlignment="1">
      <alignment vertical="center"/>
    </xf>
    <xf numFmtId="0" fontId="19" fillId="0" borderId="0" xfId="5" applyFont="1" applyFill="1" applyAlignment="1">
      <alignment vertical="center"/>
    </xf>
    <xf numFmtId="0" fontId="21" fillId="0" borderId="0" xfId="5" applyFont="1" applyFill="1" applyAlignment="1">
      <alignment horizontal="left" vertical="center" wrapText="1"/>
    </xf>
    <xf numFmtId="0" fontId="17" fillId="6" borderId="13" xfId="5" applyFont="1" applyFill="1" applyBorder="1" applyAlignment="1">
      <alignment horizontal="center" vertical="center" wrapText="1"/>
    </xf>
    <xf numFmtId="0" fontId="17" fillId="6" borderId="0" xfId="5" applyFont="1" applyFill="1" applyBorder="1" applyAlignment="1">
      <alignment horizontal="center" vertical="center" wrapText="1"/>
    </xf>
    <xf numFmtId="164" fontId="17" fillId="8" borderId="2" xfId="0" applyNumberFormat="1" applyFont="1" applyFill="1" applyBorder="1" applyAlignment="1">
      <alignment horizontal="center" vertical="center"/>
    </xf>
    <xf numFmtId="165" fontId="17" fillId="8" borderId="2" xfId="0" applyNumberFormat="1" applyFont="1" applyFill="1" applyBorder="1" applyAlignment="1">
      <alignment horizontal="center" vertical="center"/>
    </xf>
    <xf numFmtId="167" fontId="17" fillId="8" borderId="2" xfId="0" applyNumberFormat="1" applyFont="1" applyFill="1" applyBorder="1" applyAlignment="1">
      <alignment horizontal="center" vertical="center"/>
    </xf>
    <xf numFmtId="3" fontId="17" fillId="8" borderId="2" xfId="0" applyNumberFormat="1" applyFont="1" applyFill="1" applyBorder="1" applyAlignment="1">
      <alignment horizontal="right" vertical="center"/>
    </xf>
    <xf numFmtId="0" fontId="36" fillId="8" borderId="2" xfId="0" applyFont="1" applyFill="1" applyBorder="1"/>
    <xf numFmtId="14" fontId="36" fillId="8" borderId="0" xfId="0" applyNumberFormat="1" applyFont="1" applyFill="1"/>
    <xf numFmtId="0" fontId="36" fillId="8" borderId="0" xfId="0" applyFont="1" applyFill="1"/>
    <xf numFmtId="49" fontId="21" fillId="8" borderId="2" xfId="0" applyNumberFormat="1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left" vertical="center" wrapText="1"/>
    </xf>
    <xf numFmtId="164" fontId="21" fillId="8" borderId="2" xfId="0" applyNumberFormat="1" applyFont="1" applyFill="1" applyBorder="1" applyAlignment="1">
      <alignment horizontal="center" vertical="center"/>
    </xf>
    <xf numFmtId="167" fontId="21" fillId="8" borderId="2" xfId="0" applyNumberFormat="1" applyFont="1" applyFill="1" applyBorder="1" applyAlignment="1">
      <alignment horizontal="center" vertical="center"/>
    </xf>
    <xf numFmtId="3" fontId="21" fillId="8" borderId="2" xfId="0" applyNumberFormat="1" applyFont="1" applyFill="1" applyBorder="1" applyAlignment="1">
      <alignment horizontal="right" vertical="center"/>
    </xf>
    <xf numFmtId="0" fontId="0" fillId="8" borderId="2" xfId="0" applyFont="1" applyFill="1" applyBorder="1"/>
    <xf numFmtId="0" fontId="0" fillId="8" borderId="0" xfId="0" applyFont="1" applyFill="1"/>
    <xf numFmtId="49" fontId="4" fillId="8" borderId="2" xfId="0" applyNumberFormat="1" applyFont="1" applyFill="1" applyBorder="1" applyAlignment="1">
      <alignment horizontal="left" vertical="top" wrapText="1"/>
    </xf>
    <xf numFmtId="4" fontId="27" fillId="8" borderId="2" xfId="5" applyNumberFormat="1" applyFont="1" applyFill="1" applyBorder="1" applyAlignment="1">
      <alignment horizontal="center" vertical="center"/>
    </xf>
    <xf numFmtId="49" fontId="18" fillId="8" borderId="2" xfId="0" applyNumberFormat="1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left" vertical="center" wrapText="1"/>
    </xf>
    <xf numFmtId="4" fontId="21" fillId="0" borderId="2" xfId="0" applyNumberFormat="1" applyFont="1" applyFill="1" applyBorder="1" applyAlignment="1">
      <alignment horizontal="center" vertical="center"/>
    </xf>
    <xf numFmtId="165" fontId="21" fillId="0" borderId="2" xfId="1" applyNumberFormat="1" applyFont="1" applyFill="1" applyBorder="1" applyAlignment="1">
      <alignment horizontal="center" vertical="center"/>
    </xf>
    <xf numFmtId="167" fontId="21" fillId="0" borderId="2" xfId="0" applyNumberFormat="1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/>
    <xf numFmtId="0" fontId="0" fillId="0" borderId="0" xfId="0" applyFont="1" applyFill="1"/>
    <xf numFmtId="165" fontId="21" fillId="0" borderId="2" xfId="0" applyNumberFormat="1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/>
    </xf>
    <xf numFmtId="165" fontId="23" fillId="0" borderId="2" xfId="0" applyNumberFormat="1" applyFont="1" applyFill="1" applyBorder="1" applyAlignment="1">
      <alignment horizontal="center" vertical="center"/>
    </xf>
    <xf numFmtId="167" fontId="23" fillId="0" borderId="2" xfId="0" applyNumberFormat="1" applyFont="1" applyFill="1" applyBorder="1" applyAlignment="1">
      <alignment horizontal="center" vertical="center"/>
    </xf>
    <xf numFmtId="3" fontId="23" fillId="0" borderId="2" xfId="0" applyNumberFormat="1" applyFont="1" applyFill="1" applyBorder="1" applyAlignment="1">
      <alignment horizontal="right" vertical="center"/>
    </xf>
    <xf numFmtId="0" fontId="24" fillId="0" borderId="2" xfId="0" applyFont="1" applyFill="1" applyBorder="1" applyAlignment="1">
      <alignment wrapText="1"/>
    </xf>
    <xf numFmtId="0" fontId="24" fillId="0" borderId="0" xfId="0" applyFont="1" applyFill="1"/>
    <xf numFmtId="49" fontId="37" fillId="0" borderId="2" xfId="0" applyNumberFormat="1" applyFont="1" applyFill="1" applyBorder="1" applyAlignment="1">
      <alignment horizontal="left" vertical="top" wrapText="1"/>
    </xf>
    <xf numFmtId="49" fontId="38" fillId="0" borderId="2" xfId="0" applyNumberFormat="1" applyFont="1" applyFill="1" applyBorder="1" applyAlignment="1">
      <alignment horizontal="left" vertical="top" wrapText="1"/>
    </xf>
    <xf numFmtId="168" fontId="17" fillId="0" borderId="2" xfId="5" applyNumberFormat="1" applyFont="1" applyFill="1" applyBorder="1" applyAlignment="1">
      <alignment horizontal="center" vertical="center"/>
    </xf>
    <xf numFmtId="3" fontId="17" fillId="0" borderId="2" xfId="5" applyNumberFormat="1" applyFont="1" applyFill="1" applyBorder="1" applyAlignment="1">
      <alignment horizontal="right" vertical="center"/>
    </xf>
    <xf numFmtId="49" fontId="21" fillId="9" borderId="2" xfId="0" applyNumberFormat="1" applyFont="1" applyFill="1" applyBorder="1" applyAlignment="1">
      <alignment horizontal="center" vertical="center" wrapText="1"/>
    </xf>
    <xf numFmtId="164" fontId="21" fillId="9" borderId="2" xfId="0" applyNumberFormat="1" applyFont="1" applyFill="1" applyBorder="1" applyAlignment="1">
      <alignment horizontal="center" vertical="center"/>
    </xf>
    <xf numFmtId="166" fontId="21" fillId="9" borderId="2" xfId="0" applyNumberFormat="1" applyFont="1" applyFill="1" applyBorder="1" applyAlignment="1">
      <alignment horizontal="center" vertical="center"/>
    </xf>
    <xf numFmtId="167" fontId="21" fillId="9" borderId="2" xfId="0" applyNumberFormat="1" applyFont="1" applyFill="1" applyBorder="1" applyAlignment="1">
      <alignment horizontal="center" vertical="center"/>
    </xf>
    <xf numFmtId="3" fontId="21" fillId="9" borderId="2" xfId="0" applyNumberFormat="1" applyFont="1" applyFill="1" applyBorder="1" applyAlignment="1">
      <alignment horizontal="right" vertical="center"/>
    </xf>
    <xf numFmtId="0" fontId="0" fillId="9" borderId="2" xfId="0" applyFill="1" applyBorder="1"/>
    <xf numFmtId="1" fontId="0" fillId="9" borderId="2" xfId="0" applyNumberFormat="1" applyFill="1" applyBorder="1"/>
    <xf numFmtId="0" fontId="0" fillId="9" borderId="0" xfId="0" applyFill="1"/>
    <xf numFmtId="166" fontId="21" fillId="0" borderId="2" xfId="0" applyNumberFormat="1" applyFont="1" applyFill="1" applyBorder="1" applyAlignment="1">
      <alignment horizontal="center" vertical="center"/>
    </xf>
    <xf numFmtId="0" fontId="0" fillId="9" borderId="2" xfId="0" applyFont="1" applyFill="1" applyBorder="1"/>
    <xf numFmtId="0" fontId="0" fillId="9" borderId="0" xfId="0" applyFont="1" applyFill="1"/>
    <xf numFmtId="165" fontId="0" fillId="0" borderId="2" xfId="0" applyNumberFormat="1" applyFont="1" applyFill="1" applyBorder="1"/>
    <xf numFmtId="0" fontId="0" fillId="0" borderId="2" xfId="0" applyFont="1" applyFill="1" applyBorder="1" applyAlignment="1">
      <alignment wrapText="1"/>
    </xf>
    <xf numFmtId="4" fontId="21" fillId="8" borderId="2" xfId="0" applyNumberFormat="1" applyFont="1" applyFill="1" applyBorder="1" applyAlignment="1">
      <alignment horizontal="center" vertical="center"/>
    </xf>
    <xf numFmtId="167" fontId="21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/>
    </xf>
    <xf numFmtId="1" fontId="24" fillId="0" borderId="2" xfId="0" applyNumberFormat="1" applyFont="1" applyFill="1" applyBorder="1"/>
    <xf numFmtId="49" fontId="21" fillId="0" borderId="2" xfId="0" quotePrefix="1" applyNumberFormat="1" applyFont="1" applyFill="1" applyBorder="1" applyAlignment="1">
      <alignment horizontal="center" vertical="center" wrapText="1"/>
    </xf>
    <xf numFmtId="4" fontId="27" fillId="0" borderId="2" xfId="5" applyNumberFormat="1" applyFont="1" applyFill="1" applyBorder="1" applyAlignment="1">
      <alignment horizontal="center" vertical="center"/>
    </xf>
    <xf numFmtId="49" fontId="17" fillId="8" borderId="2" xfId="0" applyNumberFormat="1" applyFont="1" applyFill="1" applyBorder="1" applyAlignment="1">
      <alignment horizontal="center" vertical="center" wrapText="1"/>
    </xf>
    <xf numFmtId="49" fontId="5" fillId="8" borderId="2" xfId="0" applyNumberFormat="1" applyFont="1" applyFill="1" applyBorder="1" applyAlignment="1">
      <alignment horizontal="left" vertical="top" wrapText="1"/>
    </xf>
    <xf numFmtId="49" fontId="5" fillId="8" borderId="2" xfId="0" applyNumberFormat="1" applyFont="1" applyFill="1" applyBorder="1" applyAlignment="1">
      <alignment horizontal="left" vertical="center" wrapText="1"/>
    </xf>
    <xf numFmtId="0" fontId="25" fillId="8" borderId="12" xfId="0" applyFont="1" applyFill="1" applyBorder="1" applyAlignment="1">
      <alignment horizontal="center" vertical="center" wrapText="1"/>
    </xf>
    <xf numFmtId="166" fontId="39" fillId="8" borderId="2" xfId="0" applyNumberFormat="1" applyFont="1" applyFill="1" applyBorder="1" applyAlignment="1">
      <alignment horizontal="center" vertical="center"/>
    </xf>
    <xf numFmtId="0" fontId="25" fillId="8" borderId="2" xfId="0" applyFont="1" applyFill="1" applyBorder="1"/>
    <xf numFmtId="0" fontId="25" fillId="8" borderId="0" xfId="0" applyFont="1" applyFill="1"/>
    <xf numFmtId="4" fontId="26" fillId="0" borderId="2" xfId="5" applyNumberFormat="1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vertical="center"/>
    </xf>
    <xf numFmtId="0" fontId="0" fillId="11" borderId="2" xfId="0" applyFill="1" applyBorder="1"/>
    <xf numFmtId="0" fontId="17" fillId="11" borderId="2" xfId="5" applyFont="1" applyFill="1" applyBorder="1"/>
    <xf numFmtId="0" fontId="30" fillId="11" borderId="2" xfId="0" applyFont="1" applyFill="1" applyBorder="1"/>
    <xf numFmtId="3" fontId="20" fillId="11" borderId="2" xfId="5" applyNumberFormat="1" applyFont="1" applyFill="1" applyBorder="1" applyAlignment="1">
      <alignment horizontal="center" vertical="center"/>
    </xf>
    <xf numFmtId="168" fontId="35" fillId="11" borderId="2" xfId="5" applyNumberFormat="1" applyFont="1" applyFill="1" applyBorder="1" applyAlignment="1">
      <alignment horizontal="center" vertical="center"/>
    </xf>
    <xf numFmtId="0" fontId="17" fillId="11" borderId="2" xfId="0" applyFont="1" applyFill="1" applyBorder="1"/>
    <xf numFmtId="4" fontId="20" fillId="11" borderId="2" xfId="5" applyNumberFormat="1" applyFont="1" applyFill="1" applyBorder="1" applyAlignment="1">
      <alignment horizontal="center" vertical="center"/>
    </xf>
    <xf numFmtId="165" fontId="0" fillId="0" borderId="0" xfId="1" applyNumberFormat="1" applyFont="1"/>
    <xf numFmtId="170" fontId="0" fillId="0" borderId="0" xfId="1" applyNumberFormat="1" applyFont="1"/>
    <xf numFmtId="169" fontId="21" fillId="0" borderId="0" xfId="5" applyNumberFormat="1" applyFont="1" applyAlignment="1">
      <alignment horizontal="center" vertical="top"/>
    </xf>
    <xf numFmtId="0" fontId="19" fillId="0" borderId="0" xfId="0" applyFont="1"/>
    <xf numFmtId="169" fontId="21" fillId="0" borderId="0" xfId="0" applyNumberFormat="1" applyFont="1" applyAlignment="1">
      <alignment horizontal="center" vertical="center"/>
    </xf>
    <xf numFmtId="0" fontId="0" fillId="12" borderId="0" xfId="0" applyFont="1" applyFill="1"/>
    <xf numFmtId="3" fontId="4" fillId="12" borderId="2" xfId="0" applyNumberFormat="1" applyFont="1" applyFill="1" applyBorder="1"/>
    <xf numFmtId="49" fontId="21" fillId="0" borderId="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1" fontId="0" fillId="0" borderId="0" xfId="0" applyNumberFormat="1" applyFont="1" applyFill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5" fontId="0" fillId="0" borderId="2" xfId="1" applyNumberFormat="1" applyFont="1" applyBorder="1"/>
    <xf numFmtId="0" fontId="36" fillId="0" borderId="2" xfId="0" applyFont="1" applyBorder="1"/>
    <xf numFmtId="165" fontId="36" fillId="0" borderId="2" xfId="1" applyNumberFormat="1" applyFont="1" applyBorder="1"/>
    <xf numFmtId="166" fontId="36" fillId="0" borderId="2" xfId="1" applyNumberFormat="1" applyFont="1" applyBorder="1"/>
    <xf numFmtId="171" fontId="0" fillId="9" borderId="2" xfId="0" applyNumberFormat="1" applyFill="1" applyBorder="1"/>
    <xf numFmtId="0" fontId="0" fillId="9" borderId="2" xfId="0" applyFill="1" applyBorder="1" applyAlignment="1">
      <alignment horizontal="center" vertical="center" wrapText="1"/>
    </xf>
    <xf numFmtId="0" fontId="17" fillId="0" borderId="0" xfId="5" applyFont="1" applyAlignment="1">
      <alignment horizontal="center" vertical="center" wrapText="1"/>
    </xf>
    <xf numFmtId="0" fontId="0" fillId="12" borderId="0" xfId="0" applyFill="1"/>
    <xf numFmtId="0" fontId="0" fillId="0" borderId="2" xfId="0" applyBorder="1" applyAlignment="1">
      <alignment vertical="center"/>
    </xf>
    <xf numFmtId="0" fontId="0" fillId="9" borderId="4" xfId="0" applyFill="1" applyBorder="1" applyAlignment="1">
      <alignment horizontal="center" vertical="center" wrapText="1"/>
    </xf>
    <xf numFmtId="171" fontId="0" fillId="9" borderId="4" xfId="0" applyNumberFormat="1" applyFill="1" applyBorder="1"/>
    <xf numFmtId="171" fontId="36" fillId="0" borderId="4" xfId="0" applyNumberFormat="1" applyFont="1" applyBorder="1"/>
    <xf numFmtId="165" fontId="21" fillId="12" borderId="2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24" fillId="12" borderId="0" xfId="0" applyFont="1" applyFill="1"/>
    <xf numFmtId="165" fontId="21" fillId="13" borderId="2" xfId="0" applyNumberFormat="1" applyFont="1" applyFill="1" applyBorder="1" applyAlignment="1">
      <alignment horizontal="center" vertical="center"/>
    </xf>
    <xf numFmtId="167" fontId="21" fillId="13" borderId="2" xfId="0" applyNumberFormat="1" applyFont="1" applyFill="1" applyBorder="1" applyAlignment="1">
      <alignment horizontal="center" vertical="center"/>
    </xf>
    <xf numFmtId="49" fontId="21" fillId="13" borderId="2" xfId="0" applyNumberFormat="1" applyFont="1" applyFill="1" applyBorder="1" applyAlignment="1">
      <alignment horizontal="center" vertical="center" wrapText="1"/>
    </xf>
    <xf numFmtId="49" fontId="4" fillId="13" borderId="2" xfId="0" applyNumberFormat="1" applyFont="1" applyFill="1" applyBorder="1" applyAlignment="1">
      <alignment horizontal="left" vertical="top" wrapText="1"/>
    </xf>
    <xf numFmtId="164" fontId="21" fillId="13" borderId="2" xfId="0" applyNumberFormat="1" applyFont="1" applyFill="1" applyBorder="1" applyAlignment="1">
      <alignment horizontal="center" vertical="center"/>
    </xf>
    <xf numFmtId="3" fontId="21" fillId="13" borderId="2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wrapText="1"/>
    </xf>
    <xf numFmtId="0" fontId="4" fillId="0" borderId="2" xfId="0" applyFont="1" applyBorder="1"/>
    <xf numFmtId="2" fontId="4" fillId="0" borderId="2" xfId="0" applyNumberFormat="1" applyFont="1" applyBorder="1"/>
    <xf numFmtId="164" fontId="4" fillId="0" borderId="2" xfId="1" applyFont="1" applyBorder="1"/>
    <xf numFmtId="164" fontId="5" fillId="0" borderId="2" xfId="1" applyFont="1" applyBorder="1"/>
    <xf numFmtId="0" fontId="0" fillId="14" borderId="0" xfId="0" applyFont="1" applyFill="1"/>
    <xf numFmtId="0" fontId="36" fillId="0" borderId="0" xfId="0" applyFont="1" applyFill="1"/>
    <xf numFmtId="49" fontId="17" fillId="0" borderId="2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/>
    </xf>
    <xf numFmtId="165" fontId="17" fillId="0" borderId="2" xfId="0" applyNumberFormat="1" applyFont="1" applyFill="1" applyBorder="1" applyAlignment="1">
      <alignment horizontal="center" vertical="center"/>
    </xf>
    <xf numFmtId="167" fontId="17" fillId="0" borderId="2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right" vertical="center"/>
    </xf>
    <xf numFmtId="0" fontId="36" fillId="15" borderId="0" xfId="0" applyFont="1" applyFill="1"/>
    <xf numFmtId="49" fontId="17" fillId="15" borderId="2" xfId="0" applyNumberFormat="1" applyFont="1" applyFill="1" applyBorder="1" applyAlignment="1">
      <alignment horizontal="center" vertical="center" wrapText="1"/>
    </xf>
    <xf numFmtId="49" fontId="5" fillId="15" borderId="2" xfId="0" applyNumberFormat="1" applyFont="1" applyFill="1" applyBorder="1" applyAlignment="1">
      <alignment horizontal="left" vertical="top" wrapText="1"/>
    </xf>
    <xf numFmtId="164" fontId="17" fillId="15" borderId="2" xfId="0" applyNumberFormat="1" applyFont="1" applyFill="1" applyBorder="1" applyAlignment="1">
      <alignment horizontal="center" vertical="center"/>
    </xf>
    <xf numFmtId="165" fontId="17" fillId="15" borderId="2" xfId="0" applyNumberFormat="1" applyFont="1" applyFill="1" applyBorder="1" applyAlignment="1">
      <alignment horizontal="center" vertical="center"/>
    </xf>
    <xf numFmtId="167" fontId="17" fillId="15" borderId="2" xfId="0" applyNumberFormat="1" applyFont="1" applyFill="1" applyBorder="1" applyAlignment="1">
      <alignment horizontal="center" vertical="center"/>
    </xf>
    <xf numFmtId="0" fontId="0" fillId="15" borderId="0" xfId="0" applyFont="1" applyFill="1"/>
    <xf numFmtId="49" fontId="21" fillId="15" borderId="2" xfId="0" applyNumberFormat="1" applyFont="1" applyFill="1" applyBorder="1" applyAlignment="1">
      <alignment horizontal="center" vertical="center" wrapText="1"/>
    </xf>
    <xf numFmtId="49" fontId="4" fillId="15" borderId="2" xfId="0" applyNumberFormat="1" applyFont="1" applyFill="1" applyBorder="1" applyAlignment="1">
      <alignment horizontal="left" vertical="top" wrapText="1"/>
    </xf>
    <xf numFmtId="164" fontId="21" fillId="15" borderId="2" xfId="0" applyNumberFormat="1" applyFont="1" applyFill="1" applyBorder="1" applyAlignment="1">
      <alignment horizontal="center" vertical="center"/>
    </xf>
    <xf numFmtId="165" fontId="21" fillId="15" borderId="2" xfId="0" applyNumberFormat="1" applyFont="1" applyFill="1" applyBorder="1" applyAlignment="1">
      <alignment horizontal="center" vertical="center"/>
    </xf>
    <xf numFmtId="167" fontId="21" fillId="15" borderId="2" xfId="0" applyNumberFormat="1" applyFont="1" applyFill="1" applyBorder="1" applyAlignment="1">
      <alignment horizontal="center" vertical="center"/>
    </xf>
    <xf numFmtId="3" fontId="17" fillId="15" borderId="2" xfId="0" applyNumberFormat="1" applyFont="1" applyFill="1" applyBorder="1" applyAlignment="1">
      <alignment horizontal="right" vertical="center"/>
    </xf>
    <xf numFmtId="0" fontId="36" fillId="0" borderId="2" xfId="0" applyFont="1" applyFill="1" applyBorder="1"/>
    <xf numFmtId="49" fontId="5" fillId="7" borderId="2" xfId="0" applyNumberFormat="1" applyFont="1" applyFill="1" applyBorder="1" applyAlignment="1">
      <alignment horizontal="left" vertical="top" wrapText="1"/>
    </xf>
    <xf numFmtId="0" fontId="36" fillId="7" borderId="0" xfId="0" applyFont="1" applyFill="1"/>
    <xf numFmtId="49" fontId="17" fillId="7" borderId="2" xfId="0" applyNumberFormat="1" applyFont="1" applyFill="1" applyBorder="1" applyAlignment="1">
      <alignment horizontal="center" vertical="center" wrapText="1"/>
    </xf>
    <xf numFmtId="164" fontId="17" fillId="7" borderId="2" xfId="0" applyNumberFormat="1" applyFont="1" applyFill="1" applyBorder="1" applyAlignment="1">
      <alignment horizontal="center" vertical="center"/>
    </xf>
    <xf numFmtId="165" fontId="17" fillId="7" borderId="2" xfId="0" applyNumberFormat="1" applyFont="1" applyFill="1" applyBorder="1" applyAlignment="1">
      <alignment horizontal="center" vertical="center"/>
    </xf>
    <xf numFmtId="167" fontId="17" fillId="7" borderId="2" xfId="0" applyNumberFormat="1" applyFont="1" applyFill="1" applyBorder="1" applyAlignment="1">
      <alignment horizontal="center" vertical="center"/>
    </xf>
    <xf numFmtId="3" fontId="17" fillId="7" borderId="2" xfId="0" applyNumberFormat="1" applyFont="1" applyFill="1" applyBorder="1" applyAlignment="1">
      <alignment horizontal="right" vertical="center"/>
    </xf>
    <xf numFmtId="49" fontId="37" fillId="15" borderId="2" xfId="0" applyNumberFormat="1" applyFont="1" applyFill="1" applyBorder="1" applyAlignment="1">
      <alignment horizontal="left" vertical="top" wrapText="1"/>
    </xf>
    <xf numFmtId="0" fontId="36" fillId="12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15" borderId="2" xfId="0" applyFont="1" applyFill="1" applyBorder="1"/>
    <xf numFmtId="0" fontId="36" fillId="15" borderId="2" xfId="0" applyFont="1" applyFill="1" applyBorder="1"/>
    <xf numFmtId="49" fontId="21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top" wrapText="1"/>
    </xf>
    <xf numFmtId="164" fontId="21" fillId="0" borderId="3" xfId="0" applyNumberFormat="1" applyFont="1" applyFill="1" applyBorder="1" applyAlignment="1">
      <alignment horizontal="center" vertical="center"/>
    </xf>
    <xf numFmtId="165" fontId="21" fillId="0" borderId="3" xfId="0" applyNumberFormat="1" applyFont="1" applyFill="1" applyBorder="1" applyAlignment="1">
      <alignment horizontal="center" vertical="center"/>
    </xf>
    <xf numFmtId="167" fontId="21" fillId="0" borderId="3" xfId="0" applyNumberFormat="1" applyFont="1" applyFill="1" applyBorder="1" applyAlignment="1">
      <alignment horizontal="center" vertical="center"/>
    </xf>
    <xf numFmtId="3" fontId="21" fillId="0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/>
    <xf numFmtId="49" fontId="21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38" fillId="0" borderId="12" xfId="0" applyNumberFormat="1" applyFont="1" applyFill="1" applyBorder="1" applyAlignment="1">
      <alignment horizontal="left" vertical="top" wrapText="1"/>
    </xf>
    <xf numFmtId="164" fontId="21" fillId="0" borderId="12" xfId="0" applyNumberFormat="1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horizontal="center" vertical="center"/>
    </xf>
    <xf numFmtId="167" fontId="21" fillId="0" borderId="12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/>
    <xf numFmtId="0" fontId="36" fillId="17" borderId="0" xfId="0" applyFont="1" applyFill="1"/>
    <xf numFmtId="0" fontId="36" fillId="0" borderId="2" xfId="0" applyFont="1" applyFill="1" applyBorder="1" applyAlignment="1">
      <alignment wrapText="1"/>
    </xf>
    <xf numFmtId="4" fontId="21" fillId="15" borderId="2" xfId="0" applyNumberFormat="1" applyFont="1" applyFill="1" applyBorder="1" applyAlignment="1">
      <alignment horizontal="center" vertical="center"/>
    </xf>
    <xf numFmtId="4" fontId="17" fillId="15" borderId="2" xfId="0" applyNumberFormat="1" applyFont="1" applyFill="1" applyBorder="1" applyAlignment="1">
      <alignment horizontal="center" vertical="center"/>
    </xf>
    <xf numFmtId="0" fontId="36" fillId="7" borderId="2" xfId="0" applyFont="1" applyFill="1" applyBorder="1"/>
    <xf numFmtId="0" fontId="36" fillId="16" borderId="0" xfId="0" applyFont="1" applyFill="1"/>
    <xf numFmtId="4" fontId="17" fillId="8" borderId="2" xfId="0" applyNumberFormat="1" applyFont="1" applyFill="1" applyBorder="1" applyAlignment="1">
      <alignment horizontal="center" vertical="center"/>
    </xf>
    <xf numFmtId="0" fontId="0" fillId="17" borderId="2" xfId="0" applyFont="1" applyFill="1" applyBorder="1"/>
    <xf numFmtId="0" fontId="5" fillId="8" borderId="2" xfId="0" applyNumberFormat="1" applyFont="1" applyFill="1" applyBorder="1" applyAlignment="1">
      <alignment horizontal="left" vertical="top" wrapText="1"/>
    </xf>
    <xf numFmtId="4" fontId="41" fillId="8" borderId="2" xfId="5" applyNumberFormat="1" applyFont="1" applyFill="1" applyBorder="1" applyAlignment="1">
      <alignment horizontal="center" vertical="center"/>
    </xf>
    <xf numFmtId="49" fontId="17" fillId="8" borderId="2" xfId="0" quotePrefix="1" applyNumberFormat="1" applyFont="1" applyFill="1" applyBorder="1" applyAlignment="1">
      <alignment horizontal="center" vertical="center" wrapText="1"/>
    </xf>
    <xf numFmtId="49" fontId="20" fillId="15" borderId="2" xfId="0" applyNumberFormat="1" applyFont="1" applyFill="1" applyBorder="1" applyAlignment="1">
      <alignment horizontal="center" vertical="center" wrapText="1"/>
    </xf>
    <xf numFmtId="0" fontId="20" fillId="15" borderId="2" xfId="0" applyFont="1" applyFill="1" applyBorder="1" applyAlignment="1">
      <alignment horizontal="left" vertical="center" wrapText="1"/>
    </xf>
    <xf numFmtId="14" fontId="36" fillId="15" borderId="0" xfId="0" applyNumberFormat="1" applyFont="1" applyFill="1"/>
    <xf numFmtId="0" fontId="20" fillId="15" borderId="2" xfId="0" applyFont="1" applyFill="1" applyBorder="1" applyAlignment="1">
      <alignment horizontal="justify" vertical="center" wrapText="1"/>
    </xf>
    <xf numFmtId="4" fontId="17" fillId="0" borderId="2" xfId="0" applyNumberFormat="1" applyFont="1" applyFill="1" applyBorder="1" applyAlignment="1">
      <alignment horizontal="center" vertical="center"/>
    </xf>
    <xf numFmtId="3" fontId="15" fillId="12" borderId="2" xfId="0" applyNumberFormat="1" applyFont="1" applyFill="1" applyBorder="1"/>
    <xf numFmtId="49" fontId="17" fillId="15" borderId="2" xfId="0" quotePrefix="1" applyNumberFormat="1" applyFont="1" applyFill="1" applyBorder="1" applyAlignment="1">
      <alignment horizontal="center" vertical="center" wrapText="1"/>
    </xf>
    <xf numFmtId="0" fontId="5" fillId="15" borderId="2" xfId="0" applyNumberFormat="1" applyFont="1" applyFill="1" applyBorder="1" applyAlignment="1">
      <alignment horizontal="left" vertical="top" wrapText="1"/>
    </xf>
    <xf numFmtId="4" fontId="41" fillId="15" borderId="2" xfId="5" applyNumberFormat="1" applyFont="1" applyFill="1" applyBorder="1" applyAlignment="1">
      <alignment horizontal="center" vertical="center"/>
    </xf>
    <xf numFmtId="49" fontId="20" fillId="15" borderId="2" xfId="0" applyNumberFormat="1" applyFont="1" applyFill="1" applyBorder="1" applyAlignment="1">
      <alignment horizontal="left" vertical="center" wrapText="1"/>
    </xf>
    <xf numFmtId="0" fontId="29" fillId="0" borderId="0" xfId="24"/>
    <xf numFmtId="0" fontId="29" fillId="0" borderId="0" xfId="24" applyFont="1"/>
    <xf numFmtId="49" fontId="29" fillId="0" borderId="0" xfId="24" applyNumberFormat="1" applyFont="1"/>
    <xf numFmtId="49" fontId="29" fillId="0" borderId="0" xfId="24" applyNumberFormat="1"/>
    <xf numFmtId="49" fontId="43" fillId="0" borderId="0" xfId="24" applyNumberFormat="1" applyFont="1"/>
    <xf numFmtId="0" fontId="43" fillId="0" borderId="0" xfId="24" applyFont="1"/>
    <xf numFmtId="0" fontId="45" fillId="0" borderId="0" xfId="24" applyFont="1" applyBorder="1" applyAlignment="1"/>
    <xf numFmtId="0" fontId="18" fillId="6" borderId="2" xfId="0" applyFont="1" applyFill="1" applyBorder="1" applyAlignment="1">
      <alignment horizontal="center" vertical="center" wrapText="1"/>
    </xf>
    <xf numFmtId="0" fontId="21" fillId="6" borderId="2" xfId="5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 wrapText="1"/>
    </xf>
    <xf numFmtId="4" fontId="21" fillId="8" borderId="2" xfId="0" applyNumberFormat="1" applyFont="1" applyFill="1" applyBorder="1" applyAlignment="1">
      <alignment horizontal="right" vertical="center"/>
    </xf>
    <xf numFmtId="3" fontId="21" fillId="8" borderId="2" xfId="0" applyNumberFormat="1" applyFont="1" applyFill="1" applyBorder="1" applyAlignment="1">
      <alignment vertical="center"/>
    </xf>
    <xf numFmtId="4" fontId="21" fillId="8" borderId="2" xfId="0" applyNumberFormat="1" applyFont="1" applyFill="1" applyBorder="1" applyAlignment="1">
      <alignment vertical="center"/>
    </xf>
    <xf numFmtId="49" fontId="21" fillId="8" borderId="2" xfId="0" applyNumberFormat="1" applyFont="1" applyFill="1" applyBorder="1" applyAlignment="1">
      <alignment horizontal="left" vertical="top" wrapText="1"/>
    </xf>
    <xf numFmtId="165" fontId="21" fillId="8" borderId="2" xfId="0" applyNumberFormat="1" applyFont="1" applyFill="1" applyBorder="1" applyAlignment="1">
      <alignment vertical="center"/>
    </xf>
    <xf numFmtId="49" fontId="21" fillId="8" borderId="2" xfId="0" applyNumberFormat="1" applyFont="1" applyFill="1" applyBorder="1" applyAlignment="1">
      <alignment horizontal="left" vertical="center" wrapText="1"/>
    </xf>
    <xf numFmtId="0" fontId="21" fillId="11" borderId="2" xfId="0" applyFont="1" applyFill="1" applyBorder="1" applyAlignment="1">
      <alignment vertical="center"/>
    </xf>
    <xf numFmtId="0" fontId="21" fillId="11" borderId="2" xfId="0" applyFont="1" applyFill="1" applyBorder="1"/>
    <xf numFmtId="0" fontId="21" fillId="11" borderId="2" xfId="5" applyFont="1" applyFill="1" applyBorder="1"/>
    <xf numFmtId="0" fontId="19" fillId="11" borderId="2" xfId="0" applyFont="1" applyFill="1" applyBorder="1"/>
    <xf numFmtId="3" fontId="18" fillId="11" borderId="2" xfId="5" applyNumberFormat="1" applyFont="1" applyFill="1" applyBorder="1" applyAlignment="1">
      <alignment horizontal="center" vertical="center"/>
    </xf>
    <xf numFmtId="168" fontId="19" fillId="11" borderId="2" xfId="5" applyNumberFormat="1" applyFont="1" applyFill="1" applyBorder="1" applyAlignment="1">
      <alignment horizontal="center" vertical="center"/>
    </xf>
    <xf numFmtId="3" fontId="18" fillId="11" borderId="2" xfId="5" applyNumberFormat="1" applyFont="1" applyFill="1" applyBorder="1" applyAlignment="1">
      <alignment vertical="center"/>
    </xf>
    <xf numFmtId="4" fontId="18" fillId="11" borderId="2" xfId="5" applyNumberFormat="1" applyFont="1" applyFill="1" applyBorder="1" applyAlignment="1">
      <alignment vertical="center"/>
    </xf>
    <xf numFmtId="49" fontId="29" fillId="0" borderId="0" xfId="0" applyNumberFormat="1" applyFont="1" applyAlignment="1">
      <alignment wrapText="1"/>
    </xf>
    <xf numFmtId="49" fontId="0" fillId="0" borderId="0" xfId="0" applyNumberFormat="1"/>
    <xf numFmtId="0" fontId="18" fillId="0" borderId="0" xfId="0" applyFont="1" applyBorder="1" applyAlignment="1">
      <alignment vertical="center" wrapText="1"/>
    </xf>
    <xf numFmtId="0" fontId="20" fillId="0" borderId="0" xfId="0" applyFont="1" applyBorder="1"/>
    <xf numFmtId="4" fontId="20" fillId="0" borderId="0" xfId="0" applyNumberFormat="1" applyFont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0" fontId="17" fillId="0" borderId="0" xfId="5" applyFont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29" fillId="0" borderId="0" xfId="0" applyFont="1" applyBorder="1"/>
    <xf numFmtId="0" fontId="0" fillId="0" borderId="0" xfId="0" applyBorder="1"/>
    <xf numFmtId="0" fontId="29" fillId="0" borderId="14" xfId="0" applyFont="1" applyBorder="1" applyAlignment="1">
      <alignment wrapText="1"/>
    </xf>
    <xf numFmtId="49" fontId="20" fillId="7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9" fontId="36" fillId="0" borderId="2" xfId="0" applyNumberFormat="1" applyFont="1" applyFill="1" applyBorder="1"/>
    <xf numFmtId="14" fontId="0" fillId="0" borderId="2" xfId="0" applyNumberFormat="1" applyFill="1" applyBorder="1"/>
    <xf numFmtId="0" fontId="0" fillId="0" borderId="2" xfId="0" applyFill="1" applyBorder="1"/>
    <xf numFmtId="167" fontId="35" fillId="8" borderId="2" xfId="0" applyNumberFormat="1" applyFont="1" applyFill="1" applyBorder="1" applyAlignment="1">
      <alignment horizontal="center" vertical="center"/>
    </xf>
    <xf numFmtId="167" fontId="35" fillId="15" borderId="2" xfId="0" applyNumberFormat="1" applyFont="1" applyFill="1" applyBorder="1" applyAlignment="1">
      <alignment horizontal="center" vertical="center"/>
    </xf>
    <xf numFmtId="167" fontId="35" fillId="0" borderId="2" xfId="0" applyNumberFormat="1" applyFont="1" applyFill="1" applyBorder="1" applyAlignment="1">
      <alignment horizontal="center" vertical="center"/>
    </xf>
    <xf numFmtId="14" fontId="0" fillId="8" borderId="0" xfId="0" applyNumberFormat="1" applyFont="1" applyFill="1"/>
    <xf numFmtId="173" fontId="0" fillId="0" borderId="2" xfId="0" applyNumberFormat="1" applyBorder="1"/>
    <xf numFmtId="173" fontId="0" fillId="0" borderId="2" xfId="0" applyNumberFormat="1" applyFill="1" applyBorder="1"/>
    <xf numFmtId="2" fontId="0" fillId="0" borderId="2" xfId="0" applyNumberFormat="1" applyFill="1" applyBorder="1"/>
    <xf numFmtId="169" fontId="0" fillId="0" borderId="2" xfId="0" applyNumberFormat="1" applyFill="1" applyBorder="1"/>
    <xf numFmtId="0" fontId="17" fillId="0" borderId="0" xfId="0" applyFont="1" applyFill="1"/>
    <xf numFmtId="14" fontId="17" fillId="0" borderId="0" xfId="0" applyNumberFormat="1" applyFont="1" applyFill="1"/>
    <xf numFmtId="173" fontId="17" fillId="0" borderId="0" xfId="0" applyNumberFormat="1" applyFont="1" applyFill="1"/>
    <xf numFmtId="4" fontId="29" fillId="0" borderId="0" xfId="24" applyNumberFormat="1" applyFont="1" applyFill="1" applyAlignment="1">
      <alignment vertical="center" wrapText="1"/>
    </xf>
    <xf numFmtId="0" fontId="29" fillId="0" borderId="0" xfId="24" applyFont="1" applyFill="1"/>
    <xf numFmtId="49" fontId="21" fillId="12" borderId="2" xfId="0" applyNumberFormat="1" applyFont="1" applyFill="1" applyBorder="1" applyAlignment="1">
      <alignment horizontal="center" vertical="center" wrapText="1"/>
    </xf>
    <xf numFmtId="49" fontId="21" fillId="10" borderId="2" xfId="0" applyNumberFormat="1" applyFont="1" applyFill="1" applyBorder="1" applyAlignment="1">
      <alignment horizontal="center" vertical="center" wrapText="1"/>
    </xf>
    <xf numFmtId="49" fontId="21" fillId="8" borderId="3" xfId="0" applyNumberFormat="1" applyFont="1" applyFill="1" applyBorder="1" applyAlignment="1">
      <alignment horizontal="center" vertical="center" wrapText="1"/>
    </xf>
    <xf numFmtId="164" fontId="21" fillId="8" borderId="3" xfId="0" applyNumberFormat="1" applyFont="1" applyFill="1" applyBorder="1" applyAlignment="1">
      <alignment horizontal="center" vertical="center"/>
    </xf>
    <xf numFmtId="165" fontId="21" fillId="8" borderId="3" xfId="0" applyNumberFormat="1" applyFont="1" applyFill="1" applyBorder="1" applyAlignment="1">
      <alignment horizontal="center" vertical="center"/>
    </xf>
    <xf numFmtId="49" fontId="17" fillId="12" borderId="2" xfId="0" applyNumberFormat="1" applyFont="1" applyFill="1" applyBorder="1" applyAlignment="1">
      <alignment horizontal="center" vertical="center" wrapText="1"/>
    </xf>
    <xf numFmtId="49" fontId="23" fillId="12" borderId="2" xfId="0" applyNumberFormat="1" applyFont="1" applyFill="1" applyBorder="1" applyAlignment="1">
      <alignment horizontal="center" vertical="center" wrapText="1"/>
    </xf>
    <xf numFmtId="49" fontId="21" fillId="8" borderId="12" xfId="0" applyNumberFormat="1" applyFont="1" applyFill="1" applyBorder="1" applyAlignment="1">
      <alignment horizontal="center" vertical="center" wrapText="1"/>
    </xf>
    <xf numFmtId="164" fontId="21" fillId="8" borderId="12" xfId="0" applyNumberFormat="1" applyFont="1" applyFill="1" applyBorder="1" applyAlignment="1">
      <alignment horizontal="center" vertical="center"/>
    </xf>
    <xf numFmtId="165" fontId="21" fillId="8" borderId="12" xfId="0" applyNumberFormat="1" applyFont="1" applyFill="1" applyBorder="1" applyAlignment="1">
      <alignment horizontal="center" vertical="center"/>
    </xf>
    <xf numFmtId="167" fontId="21" fillId="8" borderId="12" xfId="0" applyNumberFormat="1" applyFont="1" applyFill="1" applyBorder="1" applyAlignment="1">
      <alignment horizontal="center" vertical="center"/>
    </xf>
    <xf numFmtId="49" fontId="21" fillId="13" borderId="3" xfId="0" applyNumberFormat="1" applyFont="1" applyFill="1" applyBorder="1" applyAlignment="1">
      <alignment horizontal="center" vertical="center" wrapText="1"/>
    </xf>
    <xf numFmtId="17" fontId="0" fillId="0" borderId="0" xfId="0" applyNumberFormat="1" applyBorder="1"/>
    <xf numFmtId="0" fontId="17" fillId="8" borderId="2" xfId="0" applyFont="1" applyFill="1" applyBorder="1"/>
    <xf numFmtId="14" fontId="17" fillId="8" borderId="0" xfId="0" applyNumberFormat="1" applyFont="1" applyFill="1"/>
    <xf numFmtId="0" fontId="17" fillId="8" borderId="0" xfId="0" applyFont="1" applyFill="1"/>
    <xf numFmtId="0" fontId="21" fillId="8" borderId="2" xfId="0" applyFont="1" applyFill="1" applyBorder="1"/>
    <xf numFmtId="0" fontId="21" fillId="8" borderId="0" xfId="0" applyFont="1" applyFill="1"/>
    <xf numFmtId="49" fontId="21" fillId="0" borderId="2" xfId="0" applyNumberFormat="1" applyFont="1" applyFill="1" applyBorder="1" applyAlignment="1">
      <alignment horizontal="left" vertical="top" wrapText="1"/>
    </xf>
    <xf numFmtId="0" fontId="21" fillId="0" borderId="2" xfId="0" applyFont="1" applyFill="1" applyBorder="1"/>
    <xf numFmtId="0" fontId="21" fillId="0" borderId="0" xfId="0" applyFont="1" applyFill="1"/>
    <xf numFmtId="0" fontId="21" fillId="8" borderId="0" xfId="0" applyFont="1" applyFill="1" applyAlignment="1">
      <alignment vertical="center"/>
    </xf>
    <xf numFmtId="0" fontId="21" fillId="7" borderId="2" xfId="0" applyFont="1" applyFill="1" applyBorder="1"/>
    <xf numFmtId="0" fontId="21" fillId="7" borderId="0" xfId="0" applyFont="1" applyFill="1"/>
    <xf numFmtId="49" fontId="17" fillId="0" borderId="2" xfId="0" applyNumberFormat="1" applyFont="1" applyFill="1" applyBorder="1" applyAlignment="1">
      <alignment horizontal="left" vertical="top" wrapText="1"/>
    </xf>
    <xf numFmtId="49" fontId="49" fillId="0" borderId="2" xfId="0" applyNumberFormat="1" applyFont="1" applyFill="1" applyBorder="1" applyAlignment="1">
      <alignment horizontal="left" vertical="top" wrapText="1"/>
    </xf>
    <xf numFmtId="0" fontId="17" fillId="0" borderId="2" xfId="0" applyFont="1" applyFill="1" applyBorder="1"/>
    <xf numFmtId="49" fontId="50" fillId="0" borderId="2" xfId="0" applyNumberFormat="1" applyFont="1" applyFill="1" applyBorder="1" applyAlignment="1">
      <alignment horizontal="left" vertical="top" wrapText="1"/>
    </xf>
    <xf numFmtId="49" fontId="21" fillId="9" borderId="2" xfId="0" applyNumberFormat="1" applyFont="1" applyFill="1" applyBorder="1" applyAlignment="1">
      <alignment horizontal="left" vertical="top" wrapText="1"/>
    </xf>
    <xf numFmtId="0" fontId="21" fillId="9" borderId="2" xfId="0" applyFont="1" applyFill="1" applyBorder="1"/>
    <xf numFmtId="1" fontId="21" fillId="9" borderId="2" xfId="0" applyNumberFormat="1" applyFont="1" applyFill="1" applyBorder="1"/>
    <xf numFmtId="0" fontId="21" fillId="9" borderId="0" xfId="0" applyFont="1" applyFill="1"/>
    <xf numFmtId="0" fontId="21" fillId="8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wrapText="1"/>
    </xf>
    <xf numFmtId="1" fontId="21" fillId="0" borderId="0" xfId="0" applyNumberFormat="1" applyFont="1" applyFill="1"/>
    <xf numFmtId="0" fontId="23" fillId="0" borderId="2" xfId="0" applyFont="1" applyFill="1" applyBorder="1"/>
    <xf numFmtId="0" fontId="23" fillId="0" borderId="0" xfId="0" applyFont="1" applyFill="1"/>
    <xf numFmtId="49" fontId="21" fillId="0" borderId="13" xfId="0" applyNumberFormat="1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wrapText="1"/>
    </xf>
    <xf numFmtId="49" fontId="21" fillId="0" borderId="3" xfId="0" applyNumberFormat="1" applyFont="1" applyFill="1" applyBorder="1" applyAlignment="1">
      <alignment horizontal="left" vertical="top" wrapText="1"/>
    </xf>
    <xf numFmtId="0" fontId="21" fillId="0" borderId="3" xfId="0" applyFont="1" applyFill="1" applyBorder="1"/>
    <xf numFmtId="0" fontId="21" fillId="0" borderId="12" xfId="0" applyFont="1" applyFill="1" applyBorder="1"/>
    <xf numFmtId="0" fontId="21" fillId="7" borderId="3" xfId="0" applyFont="1" applyFill="1" applyBorder="1"/>
    <xf numFmtId="49" fontId="17" fillId="15" borderId="2" xfId="0" applyNumberFormat="1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wrapText="1"/>
    </xf>
    <xf numFmtId="49" fontId="23" fillId="0" borderId="2" xfId="0" applyNumberFormat="1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wrapText="1"/>
    </xf>
    <xf numFmtId="0" fontId="21" fillId="0" borderId="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17" fillId="15" borderId="2" xfId="0" applyFont="1" applyFill="1" applyBorder="1"/>
    <xf numFmtId="0" fontId="17" fillId="15" borderId="0" xfId="0" applyFont="1" applyFill="1"/>
    <xf numFmtId="165" fontId="21" fillId="0" borderId="2" xfId="0" applyNumberFormat="1" applyFont="1" applyFill="1" applyBorder="1"/>
    <xf numFmtId="49" fontId="21" fillId="13" borderId="2" xfId="0" applyNumberFormat="1" applyFont="1" applyFill="1" applyBorder="1" applyAlignment="1">
      <alignment horizontal="left" vertical="top" wrapText="1"/>
    </xf>
    <xf numFmtId="0" fontId="21" fillId="11" borderId="0" xfId="0" applyFont="1" applyFill="1"/>
    <xf numFmtId="1" fontId="23" fillId="0" borderId="2" xfId="0" applyNumberFormat="1" applyFont="1" applyFill="1" applyBorder="1"/>
    <xf numFmtId="0" fontId="17" fillId="18" borderId="2" xfId="0" applyFont="1" applyFill="1" applyBorder="1"/>
    <xf numFmtId="0" fontId="17" fillId="18" borderId="0" xfId="0" applyFont="1" applyFill="1"/>
    <xf numFmtId="0" fontId="21" fillId="17" borderId="2" xfId="0" applyFont="1" applyFill="1" applyBorder="1"/>
    <xf numFmtId="0" fontId="21" fillId="17" borderId="0" xfId="0" applyFont="1" applyFill="1"/>
    <xf numFmtId="49" fontId="17" fillId="8" borderId="2" xfId="0" applyNumberFormat="1" applyFont="1" applyFill="1" applyBorder="1" applyAlignment="1">
      <alignment horizontal="left" vertical="top" wrapText="1"/>
    </xf>
    <xf numFmtId="49" fontId="17" fillId="8" borderId="2" xfId="0" applyNumberFormat="1" applyFont="1" applyFill="1" applyBorder="1" applyAlignment="1">
      <alignment horizontal="left" vertical="center" wrapText="1"/>
    </xf>
    <xf numFmtId="0" fontId="39" fillId="8" borderId="12" xfId="0" applyFont="1" applyFill="1" applyBorder="1" applyAlignment="1">
      <alignment horizontal="center" vertical="center" wrapText="1"/>
    </xf>
    <xf numFmtId="0" fontId="39" fillId="8" borderId="2" xfId="0" applyFont="1" applyFill="1" applyBorder="1"/>
    <xf numFmtId="0" fontId="39" fillId="8" borderId="0" xfId="0" applyFont="1" applyFill="1"/>
    <xf numFmtId="4" fontId="21" fillId="0" borderId="2" xfId="5" applyNumberFormat="1" applyFont="1" applyFill="1" applyBorder="1" applyAlignment="1">
      <alignment horizontal="center" vertical="center"/>
    </xf>
    <xf numFmtId="4" fontId="23" fillId="0" borderId="2" xfId="5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21" fillId="0" borderId="0" xfId="5" applyFont="1" applyBorder="1"/>
    <xf numFmtId="4" fontId="18" fillId="0" borderId="0" xfId="5" applyNumberFormat="1" applyFont="1" applyBorder="1" applyAlignment="1">
      <alignment horizontal="center" vertical="center"/>
    </xf>
    <xf numFmtId="4" fontId="19" fillId="0" borderId="0" xfId="5" applyNumberFormat="1" applyFont="1" applyBorder="1" applyAlignment="1">
      <alignment horizontal="center" vertical="center"/>
    </xf>
    <xf numFmtId="49" fontId="21" fillId="8" borderId="12" xfId="0" applyNumberFormat="1" applyFont="1" applyFill="1" applyBorder="1" applyAlignment="1">
      <alignment horizontal="left" vertical="top" wrapText="1"/>
    </xf>
    <xf numFmtId="49" fontId="21" fillId="8" borderId="3" xfId="0" applyNumberFormat="1" applyFont="1" applyFill="1" applyBorder="1" applyAlignment="1">
      <alignment horizontal="left" vertical="top" wrapText="1"/>
    </xf>
    <xf numFmtId="0" fontId="17" fillId="8" borderId="2" xfId="0" applyFont="1" applyFill="1" applyBorder="1" applyAlignment="1">
      <alignment horizontal="left" vertical="center" wrapText="1"/>
    </xf>
    <xf numFmtId="49" fontId="21" fillId="10" borderId="2" xfId="0" applyNumberFormat="1" applyFont="1" applyFill="1" applyBorder="1" applyAlignment="1">
      <alignment horizontal="left" vertical="top" wrapText="1"/>
    </xf>
    <xf numFmtId="0" fontId="21" fillId="10" borderId="2" xfId="0" applyFont="1" applyFill="1" applyBorder="1" applyAlignment="1">
      <alignment horizontal="left" vertical="center" wrapText="1"/>
    </xf>
    <xf numFmtId="164" fontId="21" fillId="10" borderId="2" xfId="0" applyNumberFormat="1" applyFont="1" applyFill="1" applyBorder="1" applyAlignment="1">
      <alignment horizontal="center" vertical="center"/>
    </xf>
    <xf numFmtId="165" fontId="21" fillId="10" borderId="2" xfId="0" applyNumberFormat="1" applyFont="1" applyFill="1" applyBorder="1" applyAlignment="1">
      <alignment horizontal="center" vertical="center"/>
    </xf>
    <xf numFmtId="167" fontId="21" fillId="10" borderId="2" xfId="0" applyNumberFormat="1" applyFont="1" applyFill="1" applyBorder="1" applyAlignment="1">
      <alignment horizontal="center" vertical="center"/>
    </xf>
    <xf numFmtId="3" fontId="21" fillId="10" borderId="2" xfId="0" applyNumberFormat="1" applyFont="1" applyFill="1" applyBorder="1" applyAlignment="1">
      <alignment horizontal="right" vertical="center"/>
    </xf>
    <xf numFmtId="0" fontId="39" fillId="0" borderId="2" xfId="0" applyFont="1" applyFill="1" applyBorder="1"/>
    <xf numFmtId="0" fontId="39" fillId="0" borderId="0" xfId="0" applyFont="1" applyFill="1"/>
    <xf numFmtId="0" fontId="17" fillId="7" borderId="2" xfId="0" applyFont="1" applyFill="1" applyBorder="1"/>
    <xf numFmtId="0" fontId="21" fillId="15" borderId="2" xfId="0" applyFont="1" applyFill="1" applyBorder="1"/>
    <xf numFmtId="0" fontId="21" fillId="15" borderId="0" xfId="0" applyFont="1" applyFill="1"/>
    <xf numFmtId="167" fontId="19" fillId="8" borderId="2" xfId="0" applyNumberFormat="1" applyFont="1" applyFill="1" applyBorder="1" applyAlignment="1">
      <alignment horizontal="center" vertical="center"/>
    </xf>
    <xf numFmtId="0" fontId="21" fillId="8" borderId="2" xfId="0" applyNumberFormat="1" applyFont="1" applyFill="1" applyBorder="1" applyAlignment="1">
      <alignment horizontal="left" vertical="top" wrapText="1"/>
    </xf>
    <xf numFmtId="4" fontId="21" fillId="8" borderId="2" xfId="5" applyNumberFormat="1" applyFont="1" applyFill="1" applyBorder="1" applyAlignment="1">
      <alignment horizontal="center" vertical="center"/>
    </xf>
    <xf numFmtId="49" fontId="18" fillId="8" borderId="2" xfId="0" applyNumberFormat="1" applyFont="1" applyFill="1" applyBorder="1" applyAlignment="1">
      <alignment horizontal="left" vertical="center" wrapText="1"/>
    </xf>
    <xf numFmtId="3" fontId="4" fillId="12" borderId="2" xfId="0" applyNumberFormat="1" applyFont="1" applyFill="1" applyBorder="1" applyAlignment="1">
      <alignment horizontal="right" vertical="top" wrapText="1"/>
    </xf>
    <xf numFmtId="3" fontId="4" fillId="12" borderId="2" xfId="0" applyNumberFormat="1" applyFont="1" applyFill="1" applyBorder="1" applyAlignment="1">
      <alignment horizontal="right" vertical="top"/>
    </xf>
    <xf numFmtId="165" fontId="17" fillId="12" borderId="2" xfId="0" applyNumberFormat="1" applyFont="1" applyFill="1" applyBorder="1" applyAlignment="1">
      <alignment horizontal="center" vertical="center"/>
    </xf>
    <xf numFmtId="165" fontId="21" fillId="12" borderId="3" xfId="0" applyNumberFormat="1" applyFont="1" applyFill="1" applyBorder="1" applyAlignment="1">
      <alignment horizontal="center" vertical="center"/>
    </xf>
    <xf numFmtId="165" fontId="23" fillId="12" borderId="2" xfId="0" applyNumberFormat="1" applyFont="1" applyFill="1" applyBorder="1" applyAlignment="1">
      <alignment horizontal="center" vertical="center"/>
    </xf>
    <xf numFmtId="0" fontId="17" fillId="0" borderId="0" xfId="5" applyFont="1" applyAlignment="1">
      <alignment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0" borderId="0" xfId="5" applyFont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4" fontId="17" fillId="8" borderId="2" xfId="5" applyNumberFormat="1" applyFont="1" applyFill="1" applyBorder="1" applyAlignment="1">
      <alignment horizontal="center" vertical="center"/>
    </xf>
    <xf numFmtId="0" fontId="17" fillId="17" borderId="0" xfId="0" applyFont="1" applyFill="1"/>
    <xf numFmtId="167" fontId="17" fillId="0" borderId="2" xfId="0" applyNumberFormat="1" applyFont="1" applyFill="1" applyBorder="1" applyAlignment="1">
      <alignment horizontal="center" vertical="center" wrapText="1"/>
    </xf>
    <xf numFmtId="0" fontId="21" fillId="8" borderId="0" xfId="0" applyFont="1" applyFill="1" applyBorder="1"/>
    <xf numFmtId="0" fontId="17" fillId="8" borderId="0" xfId="0" applyFont="1" applyFill="1" applyBorder="1"/>
    <xf numFmtId="0" fontId="5" fillId="0" borderId="2" xfId="0" applyFont="1" applyBorder="1" applyAlignment="1">
      <alignment wrapText="1"/>
    </xf>
    <xf numFmtId="0" fontId="4" fillId="19" borderId="2" xfId="0" applyFont="1" applyFill="1" applyBorder="1" applyAlignment="1">
      <alignment horizontal="center" vertical="top" wrapText="1"/>
    </xf>
    <xf numFmtId="49" fontId="4" fillId="19" borderId="2" xfId="0" applyNumberFormat="1" applyFont="1" applyFill="1" applyBorder="1" applyAlignment="1">
      <alignment horizontal="left" vertical="top" wrapText="1"/>
    </xf>
    <xf numFmtId="4" fontId="4" fillId="19" borderId="2" xfId="0" applyNumberFormat="1" applyFont="1" applyFill="1" applyBorder="1" applyAlignment="1">
      <alignment horizontal="right" vertical="top"/>
    </xf>
    <xf numFmtId="4" fontId="14" fillId="19" borderId="2" xfId="4" applyNumberFormat="1" applyFill="1" applyBorder="1" applyAlignment="1">
      <alignment horizontal="right" vertical="top" wrapText="1"/>
    </xf>
    <xf numFmtId="4" fontId="4" fillId="19" borderId="2" xfId="0" applyNumberFormat="1" applyFont="1" applyFill="1" applyBorder="1" applyAlignment="1">
      <alignment horizontal="right" vertical="top" wrapText="1"/>
    </xf>
    <xf numFmtId="0" fontId="4" fillId="19" borderId="0" xfId="0" applyFont="1" applyFill="1"/>
    <xf numFmtId="3" fontId="4" fillId="19" borderId="2" xfId="0" applyNumberFormat="1" applyFont="1" applyFill="1" applyBorder="1"/>
    <xf numFmtId="0" fontId="17" fillId="6" borderId="2" xfId="0" applyFont="1" applyFill="1" applyBorder="1" applyAlignment="1">
      <alignment horizontal="center" vertical="center"/>
    </xf>
    <xf numFmtId="0" fontId="16" fillId="0" borderId="0" xfId="5"/>
    <xf numFmtId="0" fontId="53" fillId="6" borderId="2" xfId="5" applyFont="1" applyFill="1" applyBorder="1" applyAlignment="1">
      <alignment horizontal="center" vertical="center" wrapText="1"/>
    </xf>
    <xf numFmtId="0" fontId="53" fillId="6" borderId="3" xfId="5" applyFont="1" applyFill="1" applyBorder="1" applyAlignment="1">
      <alignment horizontal="center" vertical="center" wrapText="1"/>
    </xf>
    <xf numFmtId="0" fontId="29" fillId="0" borderId="2" xfId="21" applyFont="1" applyBorder="1" applyAlignment="1">
      <alignment horizontal="center" vertical="center" wrapText="1"/>
    </xf>
    <xf numFmtId="0" fontId="16" fillId="6" borderId="2" xfId="5" applyFill="1" applyBorder="1" applyAlignment="1">
      <alignment horizontal="center" vertical="center"/>
    </xf>
    <xf numFmtId="0" fontId="54" fillId="6" borderId="2" xfId="5" applyFont="1" applyFill="1" applyBorder="1" applyAlignment="1">
      <alignment horizontal="center"/>
    </xf>
    <xf numFmtId="0" fontId="16" fillId="6" borderId="2" xfId="5" applyFill="1" applyBorder="1" applyAlignment="1">
      <alignment horizontal="center"/>
    </xf>
    <xf numFmtId="0" fontId="53" fillId="20" borderId="2" xfId="5" applyFont="1" applyFill="1" applyBorder="1" applyAlignment="1">
      <alignment horizontal="center" vertical="center" wrapText="1"/>
    </xf>
    <xf numFmtId="0" fontId="55" fillId="20" borderId="2" xfId="5" applyFont="1" applyFill="1" applyBorder="1" applyAlignment="1">
      <alignment horizontal="left" vertical="center" wrapText="1"/>
    </xf>
    <xf numFmtId="4" fontId="53" fillId="20" borderId="2" xfId="5" applyNumberFormat="1" applyFont="1" applyFill="1" applyBorder="1" applyAlignment="1">
      <alignment horizontal="center" vertical="center" wrapText="1"/>
    </xf>
    <xf numFmtId="168" fontId="56" fillId="0" borderId="2" xfId="5" applyNumberFormat="1" applyFont="1" applyBorder="1" applyAlignment="1">
      <alignment horizontal="center" vertical="center"/>
    </xf>
    <xf numFmtId="3" fontId="56" fillId="0" borderId="2" xfId="5" applyNumberFormat="1" applyFont="1" applyBorder="1" applyAlignment="1">
      <alignment horizontal="center" vertical="center"/>
    </xf>
    <xf numFmtId="174" fontId="56" fillId="0" borderId="2" xfId="5" applyNumberFormat="1" applyFont="1" applyBorder="1" applyAlignment="1">
      <alignment horizontal="center" vertical="center"/>
    </xf>
    <xf numFmtId="3" fontId="29" fillId="0" borderId="2" xfId="21" applyNumberFormat="1" applyFont="1" applyBorder="1" applyAlignment="1">
      <alignment horizontal="center" vertical="center"/>
    </xf>
    <xf numFmtId="0" fontId="53" fillId="20" borderId="2" xfId="5" applyFont="1" applyFill="1" applyBorder="1" applyAlignment="1">
      <alignment horizontal="left" vertical="center" wrapText="1"/>
    </xf>
    <xf numFmtId="0" fontId="22" fillId="0" borderId="0" xfId="5" applyFont="1" applyAlignment="1">
      <alignment vertical="center"/>
    </xf>
    <xf numFmtId="0" fontId="22" fillId="0" borderId="0" xfId="5" applyFont="1"/>
    <xf numFmtId="0" fontId="53" fillId="20" borderId="6" xfId="5" applyFont="1" applyFill="1" applyBorder="1" applyAlignment="1">
      <alignment horizontal="left" vertical="center" wrapText="1"/>
    </xf>
    <xf numFmtId="3" fontId="16" fillId="0" borderId="2" xfId="5" applyNumberFormat="1" applyBorder="1"/>
    <xf numFmtId="4" fontId="56" fillId="0" borderId="2" xfId="5" applyNumberFormat="1" applyFont="1" applyBorder="1" applyAlignment="1">
      <alignment horizontal="center" vertical="center"/>
    </xf>
    <xf numFmtId="0" fontId="16" fillId="0" borderId="2" xfId="5" applyBorder="1"/>
    <xf numFmtId="3" fontId="16" fillId="0" borderId="0" xfId="5" applyNumberFormat="1"/>
    <xf numFmtId="169" fontId="29" fillId="0" borderId="0" xfId="21" applyNumberFormat="1" applyAlignment="1">
      <alignment horizontal="center" vertical="top"/>
    </xf>
    <xf numFmtId="169" fontId="29" fillId="0" borderId="0" xfId="21" applyNumberFormat="1"/>
    <xf numFmtId="0" fontId="29" fillId="0" borderId="0" xfId="21"/>
    <xf numFmtId="0" fontId="29" fillId="0" borderId="0" xfId="21" applyFont="1"/>
    <xf numFmtId="0" fontId="29" fillId="0" borderId="0" xfId="21" applyFont="1" applyFill="1"/>
    <xf numFmtId="0" fontId="43" fillId="0" borderId="0" xfId="21" applyFont="1"/>
    <xf numFmtId="175" fontId="16" fillId="0" borderId="0" xfId="5" applyNumberFormat="1" applyAlignment="1">
      <alignment horizontal="right" vertical="top"/>
    </xf>
    <xf numFmtId="3" fontId="16" fillId="0" borderId="15" xfId="5" applyNumberFormat="1" applyBorder="1" applyAlignment="1">
      <alignment horizontal="right" vertical="top"/>
    </xf>
    <xf numFmtId="0" fontId="29" fillId="0" borderId="0" xfId="21" applyFont="1" applyAlignment="1">
      <alignment wrapText="1"/>
    </xf>
    <xf numFmtId="14" fontId="29" fillId="0" borderId="0" xfId="21" applyNumberFormat="1" applyFont="1" applyBorder="1" applyAlignment="1">
      <alignment horizontal="center" vertical="center" wrapText="1"/>
    </xf>
    <xf numFmtId="14" fontId="29" fillId="0" borderId="0" xfId="21" applyNumberFormat="1" applyFont="1" applyAlignment="1">
      <alignment horizontal="center"/>
    </xf>
    <xf numFmtId="10" fontId="54" fillId="0" borderId="0" xfId="5" applyNumberFormat="1" applyFont="1"/>
    <xf numFmtId="0" fontId="29" fillId="0" borderId="0" xfId="5" applyFont="1"/>
    <xf numFmtId="0" fontId="29" fillId="0" borderId="0" xfId="5" applyFont="1" applyAlignment="1">
      <alignment horizontal="left"/>
    </xf>
    <xf numFmtId="0" fontId="29" fillId="0" borderId="0" xfId="5" applyFont="1" applyAlignment="1">
      <alignment horizontal="center" vertical="center"/>
    </xf>
    <xf numFmtId="0" fontId="54" fillId="0" borderId="0" xfId="5" applyFont="1"/>
    <xf numFmtId="172" fontId="54" fillId="0" borderId="0" xfId="5" applyNumberFormat="1" applyFont="1" applyAlignment="1">
      <alignment vertical="center"/>
    </xf>
    <xf numFmtId="172" fontId="43" fillId="0" borderId="0" xfId="21" applyNumberFormat="1" applyFont="1"/>
    <xf numFmtId="0" fontId="29" fillId="0" borderId="0" xfId="5" applyFont="1" applyAlignment="1">
      <alignment wrapText="1"/>
    </xf>
    <xf numFmtId="172" fontId="54" fillId="0" borderId="0" xfId="5" applyNumberFormat="1" applyFont="1"/>
    <xf numFmtId="0" fontId="57" fillId="0" borderId="0" xfId="21" applyFont="1"/>
    <xf numFmtId="0" fontId="58" fillId="0" borderId="0" xfId="21" applyFont="1"/>
    <xf numFmtId="3" fontId="53" fillId="20" borderId="2" xfId="5" applyNumberFormat="1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top"/>
    </xf>
    <xf numFmtId="4" fontId="0" fillId="19" borderId="0" xfId="0" applyNumberFormat="1" applyFill="1"/>
    <xf numFmtId="164" fontId="4" fillId="19" borderId="2" xfId="1" applyFont="1" applyFill="1" applyBorder="1"/>
    <xf numFmtId="165" fontId="17" fillId="8" borderId="2" xfId="1" applyNumberFormat="1" applyFont="1" applyFill="1" applyBorder="1" applyAlignment="1">
      <alignment horizontal="right" vertical="center"/>
    </xf>
    <xf numFmtId="165" fontId="21" fillId="8" borderId="2" xfId="1" applyNumberFormat="1" applyFont="1" applyFill="1" applyBorder="1" applyAlignment="1">
      <alignment horizontal="right" vertical="center"/>
    </xf>
    <xf numFmtId="165" fontId="17" fillId="8" borderId="2" xfId="1" applyNumberFormat="1" applyFont="1" applyFill="1" applyBorder="1" applyAlignment="1">
      <alignment horizontal="center" vertical="center"/>
    </xf>
    <xf numFmtId="165" fontId="21" fillId="0" borderId="2" xfId="1" applyNumberFormat="1" applyFont="1" applyFill="1" applyBorder="1" applyAlignment="1">
      <alignment horizontal="right" vertical="center"/>
    </xf>
    <xf numFmtId="165" fontId="21" fillId="8" borderId="2" xfId="1" applyNumberFormat="1" applyFont="1" applyFill="1" applyBorder="1" applyAlignment="1">
      <alignment horizontal="center" vertical="center"/>
    </xf>
    <xf numFmtId="165" fontId="17" fillId="0" borderId="2" xfId="1" applyNumberFormat="1" applyFont="1" applyFill="1" applyBorder="1" applyAlignment="1">
      <alignment horizontal="right" vertical="center"/>
    </xf>
    <xf numFmtId="165" fontId="21" fillId="9" borderId="2" xfId="1" applyNumberFormat="1" applyFont="1" applyFill="1" applyBorder="1" applyAlignment="1">
      <alignment horizontal="right" vertical="center"/>
    </xf>
    <xf numFmtId="165" fontId="17" fillId="0" borderId="2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 vertical="center"/>
    </xf>
    <xf numFmtId="165" fontId="21" fillId="8" borderId="12" xfId="1" applyNumberFormat="1" applyFont="1" applyFill="1" applyBorder="1" applyAlignment="1">
      <alignment horizontal="center" vertical="center"/>
    </xf>
    <xf numFmtId="165" fontId="23" fillId="0" borderId="2" xfId="1" applyNumberFormat="1" applyFont="1" applyFill="1" applyBorder="1" applyAlignment="1">
      <alignment horizontal="right" vertical="center"/>
    </xf>
    <xf numFmtId="165" fontId="17" fillId="15" borderId="2" xfId="1" applyNumberFormat="1" applyFont="1" applyFill="1" applyBorder="1" applyAlignment="1">
      <alignment horizontal="right" vertical="center"/>
    </xf>
    <xf numFmtId="165" fontId="21" fillId="13" borderId="2" xfId="1" applyNumberFormat="1" applyFont="1" applyFill="1" applyBorder="1" applyAlignment="1">
      <alignment horizontal="right" vertical="center"/>
    </xf>
    <xf numFmtId="165" fontId="21" fillId="10" borderId="2" xfId="1" applyNumberFormat="1" applyFont="1" applyFill="1" applyBorder="1" applyAlignment="1">
      <alignment horizontal="right" vertical="center"/>
    </xf>
    <xf numFmtId="49" fontId="21" fillId="12" borderId="3" xfId="0" applyNumberFormat="1" applyFont="1" applyFill="1" applyBorder="1" applyAlignment="1">
      <alignment horizontal="center" vertical="center" wrapText="1"/>
    </xf>
    <xf numFmtId="165" fontId="17" fillId="8" borderId="0" xfId="0" applyNumberFormat="1" applyFont="1" applyFill="1" applyBorder="1" applyAlignment="1">
      <alignment horizontal="center" vertical="center"/>
    </xf>
    <xf numFmtId="0" fontId="17" fillId="7" borderId="0" xfId="0" applyFont="1" applyFill="1" applyBorder="1"/>
    <xf numFmtId="0" fontId="21" fillId="0" borderId="0" xfId="0" applyFont="1" applyFill="1" applyBorder="1"/>
    <xf numFmtId="0" fontId="17" fillId="0" borderId="0" xfId="0" applyFont="1" applyFill="1" applyBorder="1"/>
    <xf numFmtId="165" fontId="21" fillId="0" borderId="0" xfId="0" applyNumberFormat="1" applyFont="1" applyFill="1" applyBorder="1" applyAlignment="1">
      <alignment horizontal="center" vertical="center"/>
    </xf>
    <xf numFmtId="0" fontId="21" fillId="9" borderId="0" xfId="0" applyFont="1" applyFill="1" applyBorder="1"/>
    <xf numFmtId="166" fontId="21" fillId="0" borderId="0" xfId="0" applyNumberFormat="1" applyFont="1" applyFill="1" applyBorder="1" applyAlignment="1">
      <alignment horizontal="center" vertical="center"/>
    </xf>
    <xf numFmtId="0" fontId="21" fillId="7" borderId="0" xfId="0" applyFont="1" applyFill="1" applyBorder="1"/>
    <xf numFmtId="0" fontId="23" fillId="0" borderId="0" xfId="0" applyFont="1" applyFill="1" applyBorder="1"/>
    <xf numFmtId="0" fontId="21" fillId="15" borderId="0" xfId="0" applyFont="1" applyFill="1" applyBorder="1"/>
    <xf numFmtId="0" fontId="17" fillId="15" borderId="0" xfId="0" applyFont="1" applyFill="1" applyBorder="1"/>
    <xf numFmtId="0" fontId="21" fillId="11" borderId="0" xfId="0" applyFont="1" applyFill="1" applyBorder="1"/>
    <xf numFmtId="0" fontId="17" fillId="18" borderId="0" xfId="0" applyFont="1" applyFill="1" applyBorder="1"/>
    <xf numFmtId="0" fontId="21" fillId="0" borderId="3" xfId="0" applyFont="1" applyFill="1" applyBorder="1" applyAlignment="1">
      <alignment wrapText="1"/>
    </xf>
    <xf numFmtId="1" fontId="21" fillId="9" borderId="0" xfId="0" applyNumberFormat="1" applyFont="1" applyFill="1" applyBorder="1"/>
    <xf numFmtId="0" fontId="21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1" fontId="21" fillId="0" borderId="0" xfId="0" applyNumberFormat="1" applyFont="1" applyFill="1" applyBorder="1"/>
    <xf numFmtId="0" fontId="17" fillId="0" borderId="0" xfId="0" applyFont="1" applyFill="1" applyBorder="1" applyAlignment="1">
      <alignment wrapText="1"/>
    </xf>
    <xf numFmtId="165" fontId="21" fillId="0" borderId="0" xfId="0" applyNumberFormat="1" applyFont="1" applyFill="1" applyBorder="1"/>
    <xf numFmtId="1" fontId="23" fillId="0" borderId="0" xfId="0" applyNumberFormat="1" applyFont="1" applyFill="1" applyBorder="1"/>
    <xf numFmtId="0" fontId="21" fillId="0" borderId="11" xfId="0" applyFont="1" applyFill="1" applyBorder="1"/>
    <xf numFmtId="0" fontId="21" fillId="0" borderId="5" xfId="0" applyFont="1" applyFill="1" applyBorder="1"/>
    <xf numFmtId="0" fontId="1" fillId="0" borderId="0" xfId="30"/>
    <xf numFmtId="0" fontId="20" fillId="0" borderId="0" xfId="30" applyFont="1" applyAlignment="1">
      <alignment horizontal="center" vertical="center"/>
    </xf>
    <xf numFmtId="0" fontId="20" fillId="0" borderId="2" xfId="30" applyFont="1" applyBorder="1" applyAlignment="1">
      <alignment horizontal="center" vertical="center" wrapText="1"/>
    </xf>
    <xf numFmtId="0" fontId="18" fillId="0" borderId="2" xfId="30" applyFont="1" applyBorder="1" applyAlignment="1">
      <alignment horizontal="center" vertical="center" wrapText="1"/>
    </xf>
    <xf numFmtId="0" fontId="20" fillId="0" borderId="2" xfId="30" applyFont="1" applyBorder="1" applyAlignment="1">
      <alignment horizontal="left" vertical="center" wrapText="1"/>
    </xf>
    <xf numFmtId="0" fontId="20" fillId="0" borderId="2" xfId="30" applyFont="1" applyBorder="1" applyAlignment="1">
      <alignment horizontal="justify" vertical="center" wrapText="1"/>
    </xf>
    <xf numFmtId="14" fontId="18" fillId="0" borderId="2" xfId="30" applyNumberFormat="1" applyFont="1" applyBorder="1" applyAlignment="1">
      <alignment horizontal="center" vertical="center" wrapText="1"/>
    </xf>
    <xf numFmtId="0" fontId="18" fillId="0" borderId="2" xfId="30" applyFont="1" applyBorder="1" applyAlignment="1">
      <alignment horizontal="left" vertical="center" wrapText="1" indent="3"/>
    </xf>
    <xf numFmtId="0" fontId="1" fillId="0" borderId="0" xfId="30" applyAlignment="1">
      <alignment horizontal="center"/>
    </xf>
    <xf numFmtId="0" fontId="29" fillId="0" borderId="2" xfId="0" applyFont="1" applyBorder="1"/>
    <xf numFmtId="0" fontId="29" fillId="0" borderId="2" xfId="0" applyFont="1" applyBorder="1" applyAlignment="1">
      <alignment wrapText="1"/>
    </xf>
    <xf numFmtId="2" fontId="29" fillId="0" borderId="2" xfId="0" applyNumberFormat="1" applyFont="1" applyBorder="1"/>
    <xf numFmtId="10" fontId="29" fillId="0" borderId="2" xfId="0" applyNumberFormat="1" applyFont="1" applyBorder="1"/>
    <xf numFmtId="172" fontId="29" fillId="0" borderId="2" xfId="0" applyNumberFormat="1" applyFont="1" applyBorder="1"/>
    <xf numFmtId="0" fontId="29" fillId="0" borderId="2" xfId="0" applyFont="1" applyBorder="1" applyAlignment="1">
      <alignment horizontal="center" vertical="center" wrapText="1"/>
    </xf>
    <xf numFmtId="169" fontId="29" fillId="0" borderId="2" xfId="0" applyNumberFormat="1" applyFont="1" applyBorder="1" applyAlignment="1">
      <alignment horizontal="right" vertical="center" wrapText="1"/>
    </xf>
    <xf numFmtId="169" fontId="29" fillId="0" borderId="2" xfId="0" applyNumberFormat="1" applyFont="1" applyBorder="1" applyAlignment="1">
      <alignment wrapText="1"/>
    </xf>
    <xf numFmtId="169" fontId="42" fillId="0" borderId="2" xfId="0" applyNumberFormat="1" applyFont="1" applyBorder="1"/>
    <xf numFmtId="14" fontId="36" fillId="7" borderId="2" xfId="0" applyNumberFormat="1" applyFont="1" applyFill="1" applyBorder="1"/>
    <xf numFmtId="173" fontId="36" fillId="7" borderId="2" xfId="0" applyNumberFormat="1" applyFont="1" applyFill="1" applyBorder="1"/>
    <xf numFmtId="0" fontId="36" fillId="0" borderId="0" xfId="0" applyFont="1"/>
    <xf numFmtId="14" fontId="36" fillId="0" borderId="0" xfId="0" applyNumberFormat="1" applyFont="1"/>
    <xf numFmtId="1" fontId="36" fillId="7" borderId="2" xfId="0" applyNumberFormat="1" applyFont="1" applyFill="1" applyBorder="1"/>
    <xf numFmtId="0" fontId="20" fillId="7" borderId="2" xfId="0" applyFont="1" applyFill="1" applyBorder="1" applyAlignment="1">
      <alignment horizontal="left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1" fontId="0" fillId="0" borderId="2" xfId="0" applyNumberFormat="1" applyFill="1" applyBorder="1"/>
    <xf numFmtId="167" fontId="21" fillId="0" borderId="2" xfId="0" applyNumberFormat="1" applyFont="1" applyFill="1" applyBorder="1" applyAlignment="1">
      <alignment horizontal="center" vertical="center" wrapText="1"/>
    </xf>
    <xf numFmtId="165" fontId="17" fillId="7" borderId="2" xfId="0" applyNumberFormat="1" applyFont="1" applyFill="1" applyBorder="1" applyAlignment="1">
      <alignment horizontal="center" vertical="center" wrapText="1"/>
    </xf>
    <xf numFmtId="0" fontId="36" fillId="6" borderId="2" xfId="0" applyFont="1" applyFill="1" applyBorder="1" applyAlignment="1">
      <alignment horizontal="center" vertical="center"/>
    </xf>
    <xf numFmtId="176" fontId="16" fillId="0" borderId="0" xfId="5" applyNumberFormat="1"/>
    <xf numFmtId="0" fontId="21" fillId="0" borderId="0" xfId="5" applyFont="1" applyFill="1" applyAlignment="1">
      <alignment vertical="center"/>
    </xf>
    <xf numFmtId="0" fontId="20" fillId="0" borderId="4" xfId="30" applyFont="1" applyBorder="1" applyAlignment="1">
      <alignment horizontal="center" vertical="center" wrapText="1"/>
    </xf>
    <xf numFmtId="0" fontId="20" fillId="0" borderId="6" xfId="30" applyFont="1" applyBorder="1" applyAlignment="1">
      <alignment horizontal="center" vertical="center" wrapText="1"/>
    </xf>
    <xf numFmtId="0" fontId="20" fillId="0" borderId="5" xfId="30" applyFont="1" applyBorder="1" applyAlignment="1">
      <alignment horizontal="center" vertical="center" wrapText="1"/>
    </xf>
    <xf numFmtId="0" fontId="20" fillId="0" borderId="0" xfId="30" applyFont="1" applyAlignment="1">
      <alignment horizontal="center" vertical="center"/>
    </xf>
    <xf numFmtId="0" fontId="20" fillId="0" borderId="0" xfId="30" applyFont="1" applyAlignment="1">
      <alignment horizontal="center" vertical="center" wrapText="1"/>
    </xf>
    <xf numFmtId="0" fontId="20" fillId="0" borderId="2" xfId="30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justify" vertical="center" wrapText="1"/>
    </xf>
    <xf numFmtId="0" fontId="17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wrapText="1"/>
    </xf>
    <xf numFmtId="0" fontId="20" fillId="0" borderId="0" xfId="0" quotePrefix="1" applyFont="1" applyBorder="1" applyAlignment="1">
      <alignment horizontal="center" vertical="center" wrapText="1"/>
    </xf>
    <xf numFmtId="0" fontId="21" fillId="6" borderId="3" xfId="5" applyFont="1" applyFill="1" applyBorder="1" applyAlignment="1">
      <alignment horizontal="center" vertical="center" wrapText="1"/>
    </xf>
    <xf numFmtId="0" fontId="21" fillId="6" borderId="12" xfId="5" applyFont="1" applyFill="1" applyBorder="1" applyAlignment="1">
      <alignment horizontal="center" vertical="center" wrapText="1"/>
    </xf>
    <xf numFmtId="0" fontId="21" fillId="0" borderId="0" xfId="5" applyFont="1" applyAlignment="1">
      <alignment horizontal="center" vertical="top" wrapText="1"/>
    </xf>
    <xf numFmtId="0" fontId="21" fillId="0" borderId="0" xfId="5" applyFont="1" applyAlignment="1">
      <alignment horizontal="left" wrapText="1"/>
    </xf>
    <xf numFmtId="0" fontId="21" fillId="6" borderId="7" xfId="5" applyFont="1" applyFill="1" applyBorder="1" applyAlignment="1">
      <alignment horizontal="center" vertical="center" wrapText="1"/>
    </xf>
    <xf numFmtId="0" fontId="21" fillId="6" borderId="9" xfId="5" applyFont="1" applyFill="1" applyBorder="1" applyAlignment="1">
      <alignment horizontal="center" vertical="center" wrapText="1"/>
    </xf>
    <xf numFmtId="0" fontId="21" fillId="6" borderId="10" xfId="5" applyFont="1" applyFill="1" applyBorder="1" applyAlignment="1">
      <alignment horizontal="center" vertical="center" wrapText="1"/>
    </xf>
    <xf numFmtId="0" fontId="21" fillId="6" borderId="11" xfId="5" applyFont="1" applyFill="1" applyBorder="1" applyAlignment="1">
      <alignment horizontal="center" vertical="center" wrapText="1"/>
    </xf>
    <xf numFmtId="0" fontId="17" fillId="0" borderId="0" xfId="5" applyFont="1" applyFill="1" applyAlignment="1">
      <alignment horizontal="left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7" fillId="0" borderId="0" xfId="5" applyFont="1" applyAlignment="1">
      <alignment horizontal="center" vertical="center" wrapText="1"/>
    </xf>
    <xf numFmtId="0" fontId="17" fillId="0" borderId="0" xfId="5" quotePrefix="1" applyFont="1" applyAlignment="1">
      <alignment horizontal="left" vertical="center" wrapText="1"/>
    </xf>
    <xf numFmtId="0" fontId="21" fillId="0" borderId="0" xfId="5" applyFont="1" applyFill="1" applyAlignment="1">
      <alignment horizontal="left" vertical="center" wrapText="1"/>
    </xf>
    <xf numFmtId="0" fontId="17" fillId="0" borderId="0" xfId="5" applyFont="1" applyFill="1" applyAlignment="1">
      <alignment horizontal="left" vertical="center"/>
    </xf>
    <xf numFmtId="0" fontId="44" fillId="0" borderId="1" xfId="24" applyFont="1" applyBorder="1" applyAlignment="1">
      <alignment horizontal="center"/>
    </xf>
    <xf numFmtId="0" fontId="42" fillId="0" borderId="0" xfId="24" applyFont="1" applyAlignment="1">
      <alignment horizontal="center"/>
    </xf>
    <xf numFmtId="0" fontId="29" fillId="0" borderId="0" xfId="24" applyFont="1" applyFill="1" applyAlignment="1">
      <alignment horizontal="left" vertical="center" wrapText="1"/>
    </xf>
    <xf numFmtId="49" fontId="29" fillId="0" borderId="0" xfId="24" applyNumberFormat="1" applyFont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7" fillId="0" borderId="0" xfId="5" applyFont="1" applyAlignment="1">
      <alignment horizontal="left" vertical="center" wrapText="1"/>
    </xf>
    <xf numFmtId="0" fontId="17" fillId="6" borderId="2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 wrapText="1"/>
    </xf>
    <xf numFmtId="0" fontId="17" fillId="6" borderId="3" xfId="5" applyFont="1" applyFill="1" applyBorder="1" applyAlignment="1">
      <alignment horizontal="center" vertical="center" wrapText="1"/>
    </xf>
    <xf numFmtId="0" fontId="17" fillId="6" borderId="12" xfId="5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6" borderId="2" xfId="0" applyFont="1" applyFill="1" applyBorder="1" applyAlignment="1">
      <alignment horizontal="center" vertical="center" wrapText="1"/>
    </xf>
    <xf numFmtId="0" fontId="46" fillId="0" borderId="0" xfId="5" applyFont="1" applyAlignment="1">
      <alignment horizontal="center" vertical="center"/>
    </xf>
    <xf numFmtId="0" fontId="53" fillId="6" borderId="2" xfId="5" applyFont="1" applyFill="1" applyBorder="1" applyAlignment="1">
      <alignment horizontal="center" vertical="center" wrapText="1"/>
    </xf>
    <xf numFmtId="0" fontId="44" fillId="0" borderId="0" xfId="21" applyFont="1" applyAlignment="1">
      <alignment horizontal="left" vertical="top" wrapText="1"/>
    </xf>
    <xf numFmtId="0" fontId="29" fillId="0" borderId="0" xfId="21" applyFont="1" applyAlignment="1">
      <alignment horizontal="left" wrapText="1"/>
    </xf>
    <xf numFmtId="0" fontId="44" fillId="0" borderId="0" xfId="21" applyFont="1" applyAlignment="1">
      <alignment horizontal="left" wrapText="1"/>
    </xf>
    <xf numFmtId="0" fontId="29" fillId="0" borderId="0" xfId="5" applyFont="1" applyAlignment="1">
      <alignment horizontal="left" wrapText="1"/>
    </xf>
    <xf numFmtId="0" fontId="54" fillId="0" borderId="0" xfId="5" applyFont="1" applyAlignment="1">
      <alignment horizontal="center"/>
    </xf>
    <xf numFmtId="0" fontId="52" fillId="0" borderId="0" xfId="5" applyFont="1" applyBorder="1" applyAlignment="1">
      <alignment horizontal="center" vertical="center" wrapText="1"/>
    </xf>
    <xf numFmtId="0" fontId="52" fillId="0" borderId="1" xfId="5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0" fontId="40" fillId="0" borderId="4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2" xfId="0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</cellXfs>
  <cellStyles count="31">
    <cellStyle name="Excel Built-in Normal" xfId="6"/>
    <cellStyle name="S0" xfId="7"/>
    <cellStyle name="S1" xfId="8"/>
    <cellStyle name="S10" xfId="9"/>
    <cellStyle name="S11" xfId="10"/>
    <cellStyle name="S2" xfId="11"/>
    <cellStyle name="S3" xfId="12"/>
    <cellStyle name="S5" xfId="13"/>
    <cellStyle name="S6" xfId="14"/>
    <cellStyle name="S7" xfId="15"/>
    <cellStyle name="S8" xfId="16"/>
    <cellStyle name="S9" xfId="17"/>
    <cellStyle name="Нейтральный" xfId="4" builtinId="28"/>
    <cellStyle name="Обычный" xfId="0" builtinId="0"/>
    <cellStyle name="Обычный 2" xfId="18"/>
    <cellStyle name="Обычный 2 2" xfId="19"/>
    <cellStyle name="Обычный 2 3" xfId="20"/>
    <cellStyle name="Обычный 3" xfId="21"/>
    <cellStyle name="Обычный 3 2" xfId="22"/>
    <cellStyle name="Обычный 3 3" xfId="5"/>
    <cellStyle name="Обычный 4" xfId="23"/>
    <cellStyle name="Обычный 5" xfId="24"/>
    <cellStyle name="Обычный 6" xfId="25"/>
    <cellStyle name="Обычный 7" xfId="29"/>
    <cellStyle name="Обычный 8" xfId="30"/>
    <cellStyle name="Плохой" xfId="3" builtinId="27"/>
    <cellStyle name="Финансовый" xfId="1" builtinId="3"/>
    <cellStyle name="Финансовый 2" xfId="26"/>
    <cellStyle name="Финансовый 2 2" xfId="27"/>
    <cellStyle name="Финансовый 3" xfId="28"/>
    <cellStyle name="Хороший" xfId="2" builtinId="26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165917213519185"/>
          <c:y val="0.20325578612382034"/>
          <c:w val="0.66502632354702973"/>
          <c:h val="0.78547983073456629"/>
        </c:manualLayout>
      </c:layout>
      <c:barChart>
        <c:barDir val="bar"/>
        <c:grouping val="stacked"/>
        <c:varyColors val="0"/>
        <c:ser>
          <c:idx val="1"/>
          <c:order val="0"/>
          <c:tx>
            <c:v>Дата начала</c:v>
          </c:tx>
          <c:spPr>
            <a:noFill/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ГПР!$B$7:$B$22</c:f>
              <c:strCache>
                <c:ptCount val="16"/>
                <c:pt idx="0">
                  <c:v>1. Разработка РД EL3+EL6</c:v>
                </c:pt>
                <c:pt idx="1">
                  <c:v>2. Подготовительные работы</c:v>
                </c:pt>
                <c:pt idx="2">
                  <c:v>2.1. Подготовительные работы EL3</c:v>
                </c:pt>
                <c:pt idx="3">
                  <c:v>2.2. Подготовительные работы EL6</c:v>
                </c:pt>
                <c:pt idx="4">
                  <c:v>3. Строительно-монтажне работы</c:v>
                </c:pt>
                <c:pt idx="5">
                  <c:v>3.1. СМР EL3</c:v>
                </c:pt>
                <c:pt idx="6">
                  <c:v>3.2. СМР EL6</c:v>
                </c:pt>
                <c:pt idx="7">
                  <c:v>4. Пусконаладочные работы</c:v>
                </c:pt>
                <c:pt idx="8">
                  <c:v>4.1. ПНР EL3</c:v>
                </c:pt>
                <c:pt idx="9">
                  <c:v>4.2. ПНР EL6</c:v>
                </c:pt>
                <c:pt idx="10">
                  <c:v>5. Ввод объекта в эксплуатацию</c:v>
                </c:pt>
                <c:pt idx="11">
                  <c:v>5.1. EL3</c:v>
                </c:pt>
                <c:pt idx="12">
                  <c:v>5.2. EL6</c:v>
                </c:pt>
                <c:pt idx="13">
                  <c:v>Подписание акта приемки законченного строительством объекта примемочной комиссией</c:v>
                </c:pt>
                <c:pt idx="14">
                  <c:v>6.1. EL3</c:v>
                </c:pt>
                <c:pt idx="15">
                  <c:v>6.2. EL6</c:v>
                </c:pt>
              </c:strCache>
            </c:strRef>
          </c:cat>
          <c:val>
            <c:numRef>
              <c:f>ГПР!$C$7:$C$22</c:f>
              <c:numCache>
                <c:formatCode>General</c:formatCode>
                <c:ptCount val="16"/>
                <c:pt idx="0" formatCode="m/d/yyyy">
                  <c:v>44119</c:v>
                </c:pt>
                <c:pt idx="2" formatCode="m/d/yyyy">
                  <c:v>44317</c:v>
                </c:pt>
                <c:pt idx="3" formatCode="m/d/yyyy">
                  <c:v>44317</c:v>
                </c:pt>
                <c:pt idx="5" formatCode="m/d/yyyy">
                  <c:v>44367</c:v>
                </c:pt>
                <c:pt idx="6" formatCode="m/d/yyyy">
                  <c:v>44378</c:v>
                </c:pt>
                <c:pt idx="8" formatCode="m/d/yyyy">
                  <c:v>44805</c:v>
                </c:pt>
                <c:pt idx="9" formatCode="m/d/yyyy">
                  <c:v>44805</c:v>
                </c:pt>
                <c:pt idx="11" formatCode="m/d/yyyy">
                  <c:v>44835</c:v>
                </c:pt>
                <c:pt idx="12" formatCode="m/d/yyyy">
                  <c:v>44866</c:v>
                </c:pt>
                <c:pt idx="14" formatCode="m/d/yyyy">
                  <c:v>44849</c:v>
                </c:pt>
                <c:pt idx="15" formatCode="m/d/yyyy">
                  <c:v>44880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660-4D35-8007-52121CE01777}"/>
            </c:ext>
          </c:extLst>
        </c:ser>
        <c:ser>
          <c:idx val="2"/>
          <c:order val="1"/>
          <c:tx>
            <c:v>Длительность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C16F-4FE7-8370-6DE74A05952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71C-4DD4-AF65-7495F3789C2C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C16F-4FE7-8370-6DE74A059524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C16F-4FE7-8370-6DE74A059524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C16F-4FE7-8370-6DE74A059524}"/>
              </c:ext>
            </c:extLst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71C-4DD4-AF65-7495F3789C2C}"/>
              </c:ext>
            </c:extLst>
          </c:dPt>
          <c:dLbls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5-C16F-4FE7-8370-6DE74A0595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ГПР!$B$7:$B$22</c:f>
              <c:strCache>
                <c:ptCount val="16"/>
                <c:pt idx="0">
                  <c:v>1. Разработка РД EL3+EL6</c:v>
                </c:pt>
                <c:pt idx="1">
                  <c:v>2. Подготовительные работы</c:v>
                </c:pt>
                <c:pt idx="2">
                  <c:v>2.1. Подготовительные работы EL3</c:v>
                </c:pt>
                <c:pt idx="3">
                  <c:v>2.2. Подготовительные работы EL6</c:v>
                </c:pt>
                <c:pt idx="4">
                  <c:v>3. Строительно-монтажне работы</c:v>
                </c:pt>
                <c:pt idx="5">
                  <c:v>3.1. СМР EL3</c:v>
                </c:pt>
                <c:pt idx="6">
                  <c:v>3.2. СМР EL6</c:v>
                </c:pt>
                <c:pt idx="7">
                  <c:v>4. Пусконаладочные работы</c:v>
                </c:pt>
                <c:pt idx="8">
                  <c:v>4.1. ПНР EL3</c:v>
                </c:pt>
                <c:pt idx="9">
                  <c:v>4.2. ПНР EL6</c:v>
                </c:pt>
                <c:pt idx="10">
                  <c:v>5. Ввод объекта в эксплуатацию</c:v>
                </c:pt>
                <c:pt idx="11">
                  <c:v>5.1. EL3</c:v>
                </c:pt>
                <c:pt idx="12">
                  <c:v>5.2. EL6</c:v>
                </c:pt>
                <c:pt idx="13">
                  <c:v>Подписание акта приемки законченного строительством объекта примемочной комиссией</c:v>
                </c:pt>
                <c:pt idx="14">
                  <c:v>6.1. EL3</c:v>
                </c:pt>
                <c:pt idx="15">
                  <c:v>6.2. EL6</c:v>
                </c:pt>
              </c:strCache>
            </c:strRef>
          </c:cat>
          <c:val>
            <c:numRef>
              <c:f>ГПР!$E$7:$E$22</c:f>
              <c:numCache>
                <c:formatCode>General</c:formatCode>
                <c:ptCount val="16"/>
                <c:pt idx="0">
                  <c:v>198</c:v>
                </c:pt>
                <c:pt idx="2">
                  <c:v>50</c:v>
                </c:pt>
                <c:pt idx="3">
                  <c:v>61</c:v>
                </c:pt>
                <c:pt idx="5">
                  <c:v>438</c:v>
                </c:pt>
                <c:pt idx="6">
                  <c:v>457</c:v>
                </c:pt>
                <c:pt idx="8">
                  <c:v>30</c:v>
                </c:pt>
                <c:pt idx="9">
                  <c:v>61</c:v>
                </c:pt>
                <c:pt idx="11">
                  <c:v>14</c:v>
                </c:pt>
                <c:pt idx="12">
                  <c:v>14</c:v>
                </c:pt>
                <c:pt idx="14">
                  <c:v>77</c:v>
                </c:pt>
                <c:pt idx="15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660-4D35-8007-52121CE0177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1"/>
        <c:overlap val="100"/>
        <c:axId val="181840384"/>
        <c:axId val="326300160"/>
      </c:barChart>
      <c:catAx>
        <c:axId val="18184038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6300160"/>
        <c:crosses val="autoZero"/>
        <c:auto val="1"/>
        <c:lblAlgn val="ctr"/>
        <c:lblOffset val="100"/>
        <c:noMultiLvlLbl val="0"/>
      </c:catAx>
      <c:valAx>
        <c:axId val="326300160"/>
        <c:scaling>
          <c:orientation val="minMax"/>
          <c:max val="45000"/>
          <c:min val="4408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9]mmmm\ yyyy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1840384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8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2</xdr:row>
      <xdr:rowOff>10582</xdr:rowOff>
    </xdr:from>
    <xdr:to>
      <xdr:col>20</xdr:col>
      <xdr:colOff>428626</xdr:colOff>
      <xdr:row>22</xdr:row>
      <xdr:rowOff>123264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12</xdr:row>
      <xdr:rowOff>157162</xdr:rowOff>
    </xdr:from>
    <xdr:ext cx="1524000" cy="2757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314825" y="5195887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ctrlPr>
                        <a:rPr lang="ru-RU" sz="1100" i="1">
                          <a:latin typeface="Cambria Math" panose="02040503050406030204" pitchFamily="18" charset="0"/>
                        </a:rPr>
                      </m:ctrlPr>
                    </m:radPr>
                    <m:deg>
                      <m:r>
                        <m:rPr>
                          <m:brk m:alnAt="7"/>
                        </m:rPr>
                        <a:rPr lang="ru-RU" sz="1100" b="0" i="1">
                          <a:latin typeface="Cambria Math"/>
                        </a:rPr>
                        <m:t>1</m:t>
                      </m:r>
                      <m:r>
                        <a:rPr lang="ru-RU" sz="1100" b="0" i="1">
                          <a:latin typeface="Cambria Math"/>
                        </a:rPr>
                        <m:t>2</m:t>
                      </m:r>
                    </m:deg>
                    <m:e>
                      <m:r>
                        <a:rPr lang="ru-RU" sz="1100" b="0" i="1">
                          <a:latin typeface="Cambria Math"/>
                        </a:rPr>
                        <m:t>1,036</m:t>
                      </m:r>
                    </m:e>
                  </m:rad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314825" y="5195887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i="0">
                  <a:latin typeface="Cambria Math"/>
                </a:rPr>
                <a:t>√(</a:t>
              </a:r>
              <a:r>
                <a:rPr lang="ru-RU" sz="1100" b="0" i="0">
                  <a:latin typeface="Cambria Math"/>
                </a:rPr>
                <a:t>12&amp;1,036)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2</xdr:col>
      <xdr:colOff>114300</xdr:colOff>
      <xdr:row>13</xdr:row>
      <xdr:rowOff>176212</xdr:rowOff>
    </xdr:from>
    <xdr:ext cx="1524000" cy="2757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4333875" y="5414962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ctrlPr>
                        <a:rPr lang="ru-RU" sz="1100" i="1">
                          <a:latin typeface="Cambria Math" panose="02040503050406030204" pitchFamily="18" charset="0"/>
                        </a:rPr>
                      </m:ctrlPr>
                    </m:radPr>
                    <m:deg>
                      <m:r>
                        <m:rPr>
                          <m:brk m:alnAt="7"/>
                        </m:rPr>
                        <a:rPr lang="ru-RU" sz="1100" b="0" i="1">
                          <a:latin typeface="Cambria Math"/>
                        </a:rPr>
                        <m:t>1</m:t>
                      </m:r>
                      <m:r>
                        <a:rPr lang="ru-RU" sz="1100" b="0" i="1">
                          <a:latin typeface="Cambria Math"/>
                        </a:rPr>
                        <m:t>2</m:t>
                      </m:r>
                    </m:deg>
                    <m:e>
                      <m:r>
                        <a:rPr lang="ru-RU" sz="1100" b="0" i="1">
                          <a:latin typeface="Cambria Math"/>
                        </a:rPr>
                        <m:t>1,037</m:t>
                      </m:r>
                    </m:e>
                  </m:rad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333875" y="5414962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i="0">
                  <a:latin typeface="Cambria Math"/>
                </a:rPr>
                <a:t>√(</a:t>
              </a:r>
              <a:r>
                <a:rPr lang="ru-RU" sz="1100" b="0" i="0">
                  <a:latin typeface="Cambria Math"/>
                </a:rPr>
                <a:t>12&amp;1,037)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2</xdr:col>
      <xdr:colOff>114300</xdr:colOff>
      <xdr:row>14</xdr:row>
      <xdr:rowOff>176212</xdr:rowOff>
    </xdr:from>
    <xdr:ext cx="1524000" cy="2757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4333875" y="4014787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ctrlPr>
                        <a:rPr lang="ru-RU" sz="1100" i="1">
                          <a:latin typeface="Cambria Math" panose="02040503050406030204" pitchFamily="18" charset="0"/>
                        </a:rPr>
                      </m:ctrlPr>
                    </m:radPr>
                    <m:deg>
                      <m:r>
                        <m:rPr>
                          <m:brk m:alnAt="7"/>
                        </m:rPr>
                        <a:rPr lang="ru-RU" sz="1100" b="0" i="1">
                          <a:latin typeface="Cambria Math"/>
                        </a:rPr>
                        <m:t>1</m:t>
                      </m:r>
                      <m:r>
                        <a:rPr lang="ru-RU" sz="1100" b="0" i="1">
                          <a:latin typeface="Cambria Math"/>
                        </a:rPr>
                        <m:t>2</m:t>
                      </m:r>
                    </m:deg>
                    <m:e>
                      <m:r>
                        <a:rPr lang="ru-RU" sz="1100" b="0" i="1">
                          <a:latin typeface="Cambria Math"/>
                        </a:rPr>
                        <m:t>1,037</m:t>
                      </m:r>
                    </m:e>
                  </m:rad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4333875" y="4014787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i="0">
                  <a:latin typeface="Cambria Math"/>
                </a:rPr>
                <a:t>√(</a:t>
              </a:r>
              <a:r>
                <a:rPr lang="ru-RU" sz="1100" b="0" i="0">
                  <a:latin typeface="Cambria Math"/>
                </a:rPr>
                <a:t>12&amp;1,037)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2</xdr:col>
      <xdr:colOff>95250</xdr:colOff>
      <xdr:row>12</xdr:row>
      <xdr:rowOff>157162</xdr:rowOff>
    </xdr:from>
    <xdr:ext cx="1524000" cy="2757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4314825" y="5395912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ctrlPr>
                        <a:rPr lang="ru-RU" sz="1100" i="1">
                          <a:latin typeface="Cambria Math" panose="02040503050406030204" pitchFamily="18" charset="0"/>
                        </a:rPr>
                      </m:ctrlPr>
                    </m:radPr>
                    <m:deg>
                      <m:r>
                        <m:rPr>
                          <m:brk m:alnAt="7"/>
                        </m:rPr>
                        <a:rPr lang="ru-RU" sz="1100" b="0" i="1">
                          <a:latin typeface="Cambria Math"/>
                        </a:rPr>
                        <m:t>1</m:t>
                      </m:r>
                      <m:r>
                        <a:rPr lang="ru-RU" sz="1100" b="0" i="1">
                          <a:latin typeface="Cambria Math"/>
                        </a:rPr>
                        <m:t>2</m:t>
                      </m:r>
                    </m:deg>
                    <m:e>
                      <m:r>
                        <a:rPr lang="ru-RU" sz="1100" b="0" i="1">
                          <a:latin typeface="Cambria Math"/>
                        </a:rPr>
                        <m:t>1,036</m:t>
                      </m:r>
                    </m:e>
                  </m:rad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4314825" y="5395912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i="0">
                  <a:latin typeface="Cambria Math"/>
                </a:rPr>
                <a:t>√(</a:t>
              </a:r>
              <a:r>
                <a:rPr lang="ru-RU" sz="1100" b="0" i="0">
                  <a:latin typeface="Cambria Math"/>
                </a:rPr>
                <a:t>12&amp;1,036)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2</xdr:col>
      <xdr:colOff>114300</xdr:colOff>
      <xdr:row>13</xdr:row>
      <xdr:rowOff>176212</xdr:rowOff>
    </xdr:from>
    <xdr:ext cx="1524000" cy="2757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4333875" y="5614987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ctrlPr>
                        <a:rPr lang="ru-RU" sz="1100" i="1">
                          <a:latin typeface="Cambria Math" panose="02040503050406030204" pitchFamily="18" charset="0"/>
                        </a:rPr>
                      </m:ctrlPr>
                    </m:radPr>
                    <m:deg>
                      <m:r>
                        <m:rPr>
                          <m:brk m:alnAt="7"/>
                        </m:rPr>
                        <a:rPr lang="ru-RU" sz="1100" b="0" i="1">
                          <a:latin typeface="Cambria Math"/>
                        </a:rPr>
                        <m:t>1</m:t>
                      </m:r>
                      <m:r>
                        <a:rPr lang="ru-RU" sz="1100" b="0" i="1">
                          <a:latin typeface="Cambria Math"/>
                        </a:rPr>
                        <m:t>2</m:t>
                      </m:r>
                    </m:deg>
                    <m:e>
                      <m:r>
                        <a:rPr lang="ru-RU" sz="1100" b="0" i="1">
                          <a:latin typeface="Cambria Math"/>
                        </a:rPr>
                        <m:t>1,037</m:t>
                      </m:r>
                    </m:e>
                  </m:rad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4333875" y="5614987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i="0">
                  <a:latin typeface="Cambria Math"/>
                </a:rPr>
                <a:t>√(</a:t>
              </a:r>
              <a:r>
                <a:rPr lang="ru-RU" sz="1100" b="0" i="0">
                  <a:latin typeface="Cambria Math"/>
                </a:rPr>
                <a:t>12&amp;1,037)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  <xdr:oneCellAnchor>
    <xdr:from>
      <xdr:col>2</xdr:col>
      <xdr:colOff>114300</xdr:colOff>
      <xdr:row>14</xdr:row>
      <xdr:rowOff>176212</xdr:rowOff>
    </xdr:from>
    <xdr:ext cx="1524000" cy="2757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4333875" y="5815012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ctrlPr>
                        <a:rPr lang="ru-RU" sz="1100" i="1">
                          <a:latin typeface="Cambria Math" panose="02040503050406030204" pitchFamily="18" charset="0"/>
                        </a:rPr>
                      </m:ctrlPr>
                    </m:radPr>
                    <m:deg>
                      <m:r>
                        <m:rPr>
                          <m:brk m:alnAt="7"/>
                        </m:rPr>
                        <a:rPr lang="ru-RU" sz="1100" b="0" i="1">
                          <a:latin typeface="Cambria Math"/>
                        </a:rPr>
                        <m:t>1</m:t>
                      </m:r>
                      <m:r>
                        <a:rPr lang="ru-RU" sz="1100" b="0" i="1">
                          <a:latin typeface="Cambria Math"/>
                        </a:rPr>
                        <m:t>2</m:t>
                      </m:r>
                    </m:deg>
                    <m:e>
                      <m:r>
                        <a:rPr lang="ru-RU" sz="1100" b="0" i="1">
                          <a:latin typeface="Cambria Math"/>
                        </a:rPr>
                        <m:t>1,037</m:t>
                      </m:r>
                    </m:e>
                  </m:rad>
                </m:oMath>
              </a14:m>
              <a:r>
                <a:rPr lang="ru-RU" sz="1100"/>
                <a:t>=</a:t>
              </a:r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4333875" y="5815012"/>
              <a:ext cx="1524000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i="0">
                  <a:latin typeface="Cambria Math"/>
                </a:rPr>
                <a:t>√(</a:t>
              </a:r>
              <a:r>
                <a:rPr lang="ru-RU" sz="1100" b="0" i="0">
                  <a:latin typeface="Cambria Math"/>
                </a:rPr>
                <a:t>12&amp;1,037)</a:t>
              </a:r>
              <a:r>
                <a:rPr lang="ru-RU" sz="1100"/>
                <a:t>=</a:t>
              </a: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4;&#1048;&#1056;&#1048;\&#1044;&#1056;&#1048;\5.%20&#1056;&#1072;&#1073;&#1086;&#1095;&#1080;&#1077;%20&#1087;&#1072;&#1087;&#1082;&#1080;%20&#1089;&#1086;&#1090;&#1088;&#1091;&#1076;&#1085;&#1080;&#1082;&#1086;&#1074;\1.%20&#1054;&#1060;&#1048;&#1057;%20&#1052;&#1054;&#1057;&#1050;&#1042;&#1040;\&#1054;&#1060;&#1069;&#1054;\&#1053;&#1052;&#1062;\&#1069;&#1051;&#1068;&#1041;&#1056;&#1059;&#1057;\EL3\&#1053;&#1052;&#1062;&#1050;%20EL3%20&#1073;&#1077;&#1079;%20&#1086;&#1073;&#1086;&#1088;&#1091;&#1076;&#1086;&#1074;&#1072;&#1085;&#1080;&#1103;%20&#1055;&#1055;&#1050;&#104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4;&#1048;&#1056;&#1048;\&#1044;&#1056;&#1048;\5.%20&#1056;&#1072;&#1073;&#1086;&#1095;&#1080;&#1077;%20&#1087;&#1072;&#1087;&#1082;&#1080;%20&#1089;&#1086;&#1090;&#1088;&#1091;&#1076;&#1085;&#1080;&#1082;&#1086;&#1074;\1.%20&#1054;&#1060;&#1048;&#1057;%20&#1052;&#1054;&#1057;&#1050;&#1042;&#1040;\&#1054;&#1060;&#1069;&#1054;\&#1053;&#1052;&#1062;\&#1069;&#1051;&#1068;&#1041;&#1056;&#1059;&#1057;\EL3\&#1053;&#1052;&#1062;&#1050;%20EL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ПР"/>
      <sheetName val="ПЗ"/>
      <sheetName val="НМЦ"/>
      <sheetName val="Протокол НМЦК"/>
      <sheetName val="Проект сметы контракта"/>
      <sheetName val="Ведомость объемов"/>
      <sheetName val="Дефляторы"/>
      <sheetName val="НМЦК"/>
      <sheetName val="Затраты подрядчика"/>
      <sheetName val="ССР EL3"/>
      <sheetName val="Дефляторы (черновик)"/>
      <sheetName val="Ведомость объемов черновик"/>
      <sheetName val="Ведомость объемов (по сметам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3">
          <cell r="M123">
            <v>115882160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З"/>
      <sheetName val="НМЦ"/>
      <sheetName val="Протокол НМЦК"/>
      <sheetName val="Проект сметы контракта"/>
      <sheetName val="Ведомость объемов"/>
      <sheetName val="Расчет прогнозных дефляторов"/>
      <sheetName val="НМЦК"/>
      <sheetName val="Затраты подрядчика"/>
      <sheetName val="ССР EL3"/>
      <sheetName val="Ведомость объемов черновик"/>
      <sheetName val="Ведомость объемов (по сметам)"/>
    </sheetNames>
    <sheetDataSet>
      <sheetData sheetId="0"/>
      <sheetData sheetId="1"/>
      <sheetData sheetId="2"/>
      <sheetData sheetId="3"/>
      <sheetData sheetId="4"/>
      <sheetData sheetId="5">
        <row r="20">
          <cell r="D20">
            <v>1.0229999999999999</v>
          </cell>
        </row>
        <row r="30">
          <cell r="D30">
            <v>1.0329999999999999</v>
          </cell>
        </row>
        <row r="39">
          <cell r="D39">
            <v>1.038</v>
          </cell>
        </row>
        <row r="48">
          <cell r="D48">
            <v>1.038</v>
          </cell>
        </row>
        <row r="57">
          <cell r="D57">
            <v>1.042</v>
          </cell>
        </row>
        <row r="66">
          <cell r="D66">
            <v>1.042</v>
          </cell>
        </row>
        <row r="75">
          <cell r="D75">
            <v>1.0429999999999999</v>
          </cell>
        </row>
        <row r="84">
          <cell r="D84">
            <v>1.0449999999999999</v>
          </cell>
        </row>
        <row r="93">
          <cell r="D93">
            <v>1.042</v>
          </cell>
        </row>
        <row r="102">
          <cell r="D102">
            <v>1.0429999999999999</v>
          </cell>
        </row>
        <row r="138">
          <cell r="D138">
            <v>1.0469999999999999</v>
          </cell>
        </row>
        <row r="165">
          <cell r="D165">
            <v>1.038</v>
          </cell>
        </row>
        <row r="183">
          <cell r="D183">
            <v>1.038</v>
          </cell>
        </row>
        <row r="192">
          <cell r="D192">
            <v>1.038</v>
          </cell>
        </row>
        <row r="201">
          <cell r="D201">
            <v>1.0429999999999999</v>
          </cell>
        </row>
        <row r="210">
          <cell r="D210">
            <v>1.038</v>
          </cell>
        </row>
        <row r="220">
          <cell r="D220">
            <v>1.0449999999999999</v>
          </cell>
        </row>
        <row r="229">
          <cell r="D229">
            <v>1.048</v>
          </cell>
        </row>
        <row r="238">
          <cell r="D238">
            <v>1.0469999999999999</v>
          </cell>
        </row>
      </sheetData>
      <sheetData sheetId="6"/>
      <sheetData sheetId="7">
        <row r="34">
          <cell r="K34">
            <v>14666658</v>
          </cell>
        </row>
        <row r="123">
          <cell r="M123">
            <v>115882160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opLeftCell="A6" zoomScale="70" zoomScaleNormal="70" workbookViewId="0">
      <selection activeCell="B6" sqref="B6"/>
    </sheetView>
  </sheetViews>
  <sheetFormatPr defaultRowHeight="15" x14ac:dyDescent="0.25"/>
  <cols>
    <col min="1" max="1" width="12.5703125" style="569" customWidth="1"/>
    <col min="2" max="2" width="53" style="561" customWidth="1"/>
    <col min="3" max="5" width="17.7109375" style="561" customWidth="1"/>
    <col min="6" max="16384" width="9.140625" style="561"/>
  </cols>
  <sheetData>
    <row r="1" spans="1:5" ht="15.75" x14ac:dyDescent="0.25">
      <c r="A1" s="595" t="s">
        <v>2966</v>
      </c>
      <c r="B1" s="595"/>
      <c r="C1" s="595"/>
      <c r="D1" s="595"/>
      <c r="E1" s="595"/>
    </row>
    <row r="2" spans="1:5" ht="34.5" customHeight="1" x14ac:dyDescent="0.25">
      <c r="A2" s="596" t="s">
        <v>2967</v>
      </c>
      <c r="B2" s="596"/>
      <c r="C2" s="596"/>
      <c r="D2" s="596"/>
      <c r="E2" s="596"/>
    </row>
    <row r="3" spans="1:5" ht="15.75" x14ac:dyDescent="0.25">
      <c r="A3" s="562"/>
    </row>
    <row r="4" spans="1:5" ht="55.5" customHeight="1" x14ac:dyDescent="0.25">
      <c r="A4" s="597" t="s">
        <v>1</v>
      </c>
      <c r="B4" s="597" t="s">
        <v>2307</v>
      </c>
      <c r="C4" s="597" t="s">
        <v>2968</v>
      </c>
      <c r="D4" s="597"/>
      <c r="E4" s="597"/>
    </row>
    <row r="5" spans="1:5" ht="66.75" customHeight="1" x14ac:dyDescent="0.25">
      <c r="A5" s="597"/>
      <c r="B5" s="597"/>
      <c r="C5" s="563" t="s">
        <v>2969</v>
      </c>
      <c r="D5" s="563" t="s">
        <v>2970</v>
      </c>
      <c r="E5" s="563" t="s">
        <v>2971</v>
      </c>
    </row>
    <row r="6" spans="1:5" ht="15.75" x14ac:dyDescent="0.25">
      <c r="A6" s="564">
        <v>1</v>
      </c>
      <c r="B6" s="564">
        <v>2</v>
      </c>
      <c r="C6" s="564">
        <v>3</v>
      </c>
      <c r="D6" s="564">
        <v>4</v>
      </c>
      <c r="E6" s="564">
        <v>5</v>
      </c>
    </row>
    <row r="7" spans="1:5" ht="37.5" customHeight="1" x14ac:dyDescent="0.25">
      <c r="A7" s="565" t="s">
        <v>2972</v>
      </c>
      <c r="B7" s="566" t="s">
        <v>2973</v>
      </c>
      <c r="C7" s="567">
        <v>44119</v>
      </c>
      <c r="D7" s="567">
        <v>44317</v>
      </c>
      <c r="E7" s="564">
        <f>D7-C7</f>
        <v>198</v>
      </c>
    </row>
    <row r="8" spans="1:5" ht="37.5" customHeight="1" x14ac:dyDescent="0.25">
      <c r="A8" s="565" t="s">
        <v>2974</v>
      </c>
      <c r="B8" s="592" t="s">
        <v>2402</v>
      </c>
      <c r="C8" s="593"/>
      <c r="D8" s="593"/>
      <c r="E8" s="594"/>
    </row>
    <row r="9" spans="1:5" ht="37.5" customHeight="1" x14ac:dyDescent="0.25">
      <c r="A9" s="568" t="s">
        <v>2975</v>
      </c>
      <c r="B9" s="568" t="s">
        <v>2976</v>
      </c>
      <c r="C9" s="567">
        <v>44317</v>
      </c>
      <c r="D9" s="567">
        <v>44367</v>
      </c>
      <c r="E9" s="564">
        <f>D9-C9</f>
        <v>50</v>
      </c>
    </row>
    <row r="10" spans="1:5" ht="37.5" customHeight="1" x14ac:dyDescent="0.25">
      <c r="A10" s="568" t="s">
        <v>2977</v>
      </c>
      <c r="B10" s="568" t="s">
        <v>2978</v>
      </c>
      <c r="C10" s="567">
        <v>44317</v>
      </c>
      <c r="D10" s="567">
        <v>44378</v>
      </c>
      <c r="E10" s="564">
        <f>D10-C10</f>
        <v>61</v>
      </c>
    </row>
    <row r="11" spans="1:5" ht="37.5" customHeight="1" x14ac:dyDescent="0.25">
      <c r="A11" s="565" t="s">
        <v>2979</v>
      </c>
      <c r="B11" s="592" t="s">
        <v>2980</v>
      </c>
      <c r="C11" s="593"/>
      <c r="D11" s="593"/>
      <c r="E11" s="594"/>
    </row>
    <row r="12" spans="1:5" ht="37.5" customHeight="1" x14ac:dyDescent="0.25">
      <c r="A12" s="568" t="s">
        <v>2981</v>
      </c>
      <c r="B12" s="568" t="s">
        <v>2982</v>
      </c>
      <c r="C12" s="567">
        <v>44367</v>
      </c>
      <c r="D12" s="567">
        <v>44805</v>
      </c>
      <c r="E12" s="564">
        <f>D12-C12</f>
        <v>438</v>
      </c>
    </row>
    <row r="13" spans="1:5" ht="37.5" customHeight="1" x14ac:dyDescent="0.25">
      <c r="A13" s="568" t="s">
        <v>2983</v>
      </c>
      <c r="B13" s="568" t="s">
        <v>2984</v>
      </c>
      <c r="C13" s="567">
        <v>44378</v>
      </c>
      <c r="D13" s="567">
        <v>44835</v>
      </c>
      <c r="E13" s="564">
        <f>D13-C13</f>
        <v>457</v>
      </c>
    </row>
    <row r="14" spans="1:5" ht="37.5" customHeight="1" x14ac:dyDescent="0.25">
      <c r="A14" s="565" t="s">
        <v>2985</v>
      </c>
      <c r="B14" s="592" t="s">
        <v>2986</v>
      </c>
      <c r="C14" s="593"/>
      <c r="D14" s="593"/>
      <c r="E14" s="594"/>
    </row>
    <row r="15" spans="1:5" ht="37.5" customHeight="1" x14ac:dyDescent="0.25">
      <c r="A15" s="568" t="s">
        <v>2987</v>
      </c>
      <c r="B15" s="568" t="s">
        <v>2988</v>
      </c>
      <c r="C15" s="567">
        <v>44805</v>
      </c>
      <c r="D15" s="567">
        <v>44835</v>
      </c>
      <c r="E15" s="564">
        <f t="shared" ref="E15:E22" si="0">D15-C15</f>
        <v>30</v>
      </c>
    </row>
    <row r="16" spans="1:5" ht="37.5" customHeight="1" x14ac:dyDescent="0.25">
      <c r="A16" s="568" t="s">
        <v>2989</v>
      </c>
      <c r="B16" s="568" t="s">
        <v>2990</v>
      </c>
      <c r="C16" s="567">
        <v>44805</v>
      </c>
      <c r="D16" s="567">
        <v>44866</v>
      </c>
      <c r="E16" s="564">
        <f t="shared" si="0"/>
        <v>61</v>
      </c>
    </row>
    <row r="17" spans="1:5" ht="37.5" customHeight="1" x14ac:dyDescent="0.25">
      <c r="A17" s="565" t="s">
        <v>2991</v>
      </c>
      <c r="B17" s="592" t="s">
        <v>2992</v>
      </c>
      <c r="C17" s="593"/>
      <c r="D17" s="593"/>
      <c r="E17" s="594"/>
    </row>
    <row r="18" spans="1:5" ht="37.5" customHeight="1" x14ac:dyDescent="0.25">
      <c r="A18" s="568" t="s">
        <v>2993</v>
      </c>
      <c r="B18" s="568" t="s">
        <v>2994</v>
      </c>
      <c r="C18" s="567">
        <v>44835</v>
      </c>
      <c r="D18" s="567">
        <v>44849</v>
      </c>
      <c r="E18" s="564">
        <f t="shared" si="0"/>
        <v>14</v>
      </c>
    </row>
    <row r="19" spans="1:5" ht="37.5" customHeight="1" x14ac:dyDescent="0.25">
      <c r="A19" s="568" t="s">
        <v>2995</v>
      </c>
      <c r="B19" s="568" t="s">
        <v>2996</v>
      </c>
      <c r="C19" s="567">
        <v>44866</v>
      </c>
      <c r="D19" s="567">
        <v>44880</v>
      </c>
      <c r="E19" s="564">
        <f t="shared" si="0"/>
        <v>14</v>
      </c>
    </row>
    <row r="20" spans="1:5" ht="37.5" customHeight="1" x14ac:dyDescent="0.25">
      <c r="A20" s="565" t="s">
        <v>2997</v>
      </c>
      <c r="B20" s="592" t="s">
        <v>2998</v>
      </c>
      <c r="C20" s="593"/>
      <c r="D20" s="593"/>
      <c r="E20" s="594"/>
    </row>
    <row r="21" spans="1:5" ht="37.5" customHeight="1" x14ac:dyDescent="0.25">
      <c r="A21" s="568" t="s">
        <v>2999</v>
      </c>
      <c r="B21" s="568" t="s">
        <v>3000</v>
      </c>
      <c r="C21" s="567">
        <v>44849</v>
      </c>
      <c r="D21" s="567">
        <v>44926</v>
      </c>
      <c r="E21" s="564">
        <f t="shared" si="0"/>
        <v>77</v>
      </c>
    </row>
    <row r="22" spans="1:5" ht="37.5" customHeight="1" x14ac:dyDescent="0.25">
      <c r="A22" s="568" t="s">
        <v>3001</v>
      </c>
      <c r="B22" s="568" t="s">
        <v>3002</v>
      </c>
      <c r="C22" s="567">
        <v>44880</v>
      </c>
      <c r="D22" s="567">
        <v>44972</v>
      </c>
      <c r="E22" s="564">
        <f t="shared" si="0"/>
        <v>92</v>
      </c>
    </row>
  </sheetData>
  <mergeCells count="10">
    <mergeCell ref="B11:E11"/>
    <mergeCell ref="B14:E14"/>
    <mergeCell ref="B17:E17"/>
    <mergeCell ref="B20:E20"/>
    <mergeCell ref="A1:E1"/>
    <mergeCell ref="A2:E2"/>
    <mergeCell ref="A4:A5"/>
    <mergeCell ref="B4:B5"/>
    <mergeCell ref="C4:E4"/>
    <mergeCell ref="B8:E8"/>
  </mergeCells>
  <printOptions horizontalCentered="1"/>
  <pageMargins left="0" right="0" top="1.5748031496062993" bottom="1.5748031496062993" header="0" footer="0"/>
  <pageSetup paperSize="8" scale="7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166"/>
  <sheetViews>
    <sheetView showGridLines="0" view="pageBreakPreview" topLeftCell="A18" zoomScaleNormal="100" zoomScaleSheetLayoutView="100" workbookViewId="0">
      <pane xSplit="2" ySplit="9" topLeftCell="E140" activePane="bottomRight" state="frozen"/>
      <selection activeCell="A18" sqref="A18"/>
      <selection pane="topRight" activeCell="C18" sqref="C18"/>
      <selection pane="bottomLeft" activeCell="A27" sqref="A27"/>
      <selection pane="bottomRight" activeCell="P109" sqref="P109:P110"/>
    </sheetView>
  </sheetViews>
  <sheetFormatPr defaultRowHeight="12.75" outlineLevelRow="1" outlineLevelCol="1" x14ac:dyDescent="0.2"/>
  <cols>
    <col min="1" max="1" width="5" style="1" customWidth="1"/>
    <col min="2" max="2" width="19.28515625" style="2" customWidth="1"/>
    <col min="3" max="3" width="51.28515625" style="2" customWidth="1"/>
    <col min="4" max="4" width="13.140625" style="8" customWidth="1" outlineLevel="1"/>
    <col min="5" max="5" width="13" style="8" customWidth="1" outlineLevel="1"/>
    <col min="6" max="6" width="13.42578125" style="8" customWidth="1" outlineLevel="1"/>
    <col min="7" max="7" width="13.28515625" style="8" customWidth="1" outlineLevel="1"/>
    <col min="8" max="9" width="13.85546875" style="8" customWidth="1" outlineLevel="1"/>
    <col min="10" max="11" width="11.7109375" style="5" customWidth="1" outlineLevel="1"/>
    <col min="12" max="12" width="16.5703125" style="5" customWidth="1"/>
    <col min="13" max="13" width="15.5703125" style="5" customWidth="1"/>
    <col min="14" max="14" width="18.28515625" style="5" customWidth="1"/>
    <col min="15" max="15" width="16.5703125" style="5" customWidth="1"/>
    <col min="16" max="16" width="18.28515625" style="5" customWidth="1"/>
    <col min="17" max="18" width="18.28515625" style="5" hidden="1" customWidth="1" outlineLevel="1"/>
    <col min="19" max="19" width="9.140625" style="5" collapsed="1"/>
    <col min="20" max="16384" width="9.140625" style="5"/>
  </cols>
  <sheetData>
    <row r="1" spans="2:9" x14ac:dyDescent="0.2">
      <c r="D1" s="3"/>
      <c r="E1" s="3"/>
      <c r="F1" s="3"/>
      <c r="G1" s="3"/>
      <c r="H1" s="4" t="s">
        <v>5</v>
      </c>
      <c r="I1" s="4" t="s">
        <v>5</v>
      </c>
    </row>
    <row r="2" spans="2:9" x14ac:dyDescent="0.2">
      <c r="B2" s="2" t="s">
        <v>7</v>
      </c>
      <c r="C2" s="13" t="s">
        <v>95</v>
      </c>
      <c r="D2" s="6"/>
      <c r="E2" s="6"/>
      <c r="F2" s="6"/>
      <c r="G2" s="6"/>
      <c r="H2" s="3"/>
      <c r="I2" s="3"/>
    </row>
    <row r="3" spans="2:9" x14ac:dyDescent="0.2">
      <c r="D3" s="7" t="s">
        <v>8</v>
      </c>
      <c r="F3" s="3"/>
      <c r="G3" s="3"/>
      <c r="H3" s="3"/>
      <c r="I3" s="3"/>
    </row>
    <row r="4" spans="2:9" x14ac:dyDescent="0.2">
      <c r="B4" s="2" t="s">
        <v>96</v>
      </c>
      <c r="D4" s="3"/>
      <c r="E4" s="7"/>
      <c r="F4" s="3"/>
      <c r="G4" s="3"/>
      <c r="H4" s="3"/>
      <c r="I4" s="3"/>
    </row>
    <row r="5" spans="2:9" x14ac:dyDescent="0.2">
      <c r="D5" s="3"/>
      <c r="E5" s="7"/>
      <c r="F5" s="3"/>
      <c r="G5" s="3"/>
      <c r="H5" s="3"/>
      <c r="I5" s="3"/>
    </row>
    <row r="6" spans="2:9" x14ac:dyDescent="0.2">
      <c r="B6" s="33" t="s">
        <v>134</v>
      </c>
      <c r="D6" s="3"/>
      <c r="E6" s="7"/>
      <c r="F6" s="3"/>
      <c r="G6" s="3"/>
      <c r="H6" s="3"/>
      <c r="I6" s="3"/>
    </row>
    <row r="7" spans="2:9" x14ac:dyDescent="0.2">
      <c r="B7" s="33" t="s">
        <v>125</v>
      </c>
      <c r="D7" s="3"/>
      <c r="E7" s="3"/>
      <c r="F7" s="3"/>
      <c r="G7" s="3"/>
      <c r="H7" s="3"/>
      <c r="I7" s="3"/>
    </row>
    <row r="8" spans="2:9" x14ac:dyDescent="0.2">
      <c r="B8" s="33" t="s">
        <v>136</v>
      </c>
      <c r="D8" s="3"/>
      <c r="E8" s="7"/>
      <c r="F8" s="3"/>
      <c r="G8" s="3"/>
      <c r="H8" s="3"/>
      <c r="I8" s="3"/>
    </row>
    <row r="9" spans="2:9" x14ac:dyDescent="0.2">
      <c r="B9" s="33" t="s">
        <v>135</v>
      </c>
      <c r="D9" s="3"/>
      <c r="E9" s="3"/>
      <c r="F9" s="3"/>
      <c r="G9" s="3"/>
      <c r="H9" s="3"/>
      <c r="I9" s="3"/>
    </row>
    <row r="10" spans="2:9" x14ac:dyDescent="0.2">
      <c r="C10" s="13"/>
      <c r="D10" s="6"/>
      <c r="E10" s="9"/>
      <c r="F10" s="6"/>
      <c r="G10" s="6"/>
      <c r="H10" s="3"/>
      <c r="I10" s="3"/>
    </row>
    <row r="11" spans="2:9" x14ac:dyDescent="0.2">
      <c r="D11" s="7" t="s">
        <v>9</v>
      </c>
      <c r="F11" s="3"/>
      <c r="G11" s="3"/>
      <c r="H11" s="3"/>
      <c r="I11" s="3"/>
    </row>
    <row r="12" spans="2:9" x14ac:dyDescent="0.2">
      <c r="D12" s="3"/>
      <c r="E12" s="7"/>
      <c r="F12" s="3"/>
      <c r="G12" s="3"/>
      <c r="H12" s="3"/>
      <c r="I12" s="3"/>
    </row>
    <row r="13" spans="2:9" x14ac:dyDescent="0.2">
      <c r="B13" s="2" t="s">
        <v>97</v>
      </c>
      <c r="H13" s="3"/>
      <c r="I13" s="3"/>
    </row>
    <row r="14" spans="2:9" x14ac:dyDescent="0.2">
      <c r="G14" s="3"/>
      <c r="H14" s="3"/>
      <c r="I14" s="3"/>
    </row>
    <row r="15" spans="2:9" x14ac:dyDescent="0.2">
      <c r="D15" s="10" t="s">
        <v>6</v>
      </c>
      <c r="F15" s="3"/>
      <c r="G15" s="3"/>
      <c r="H15" s="3"/>
      <c r="I15" s="3"/>
    </row>
    <row r="16" spans="2:9" x14ac:dyDescent="0.2">
      <c r="D16" s="11"/>
      <c r="F16" s="3"/>
      <c r="G16" s="3"/>
      <c r="H16" s="3"/>
      <c r="I16" s="3"/>
    </row>
    <row r="17" spans="1:18" x14ac:dyDescent="0.2">
      <c r="A17" s="677" t="s">
        <v>13</v>
      </c>
      <c r="B17" s="677"/>
      <c r="C17" s="677"/>
      <c r="D17" s="677"/>
      <c r="E17" s="677"/>
      <c r="F17" s="677"/>
      <c r="G17" s="677"/>
      <c r="H17" s="677"/>
      <c r="I17" s="49"/>
      <c r="J17"/>
      <c r="K17"/>
      <c r="L17"/>
      <c r="M17"/>
      <c r="N17"/>
      <c r="O17"/>
    </row>
    <row r="18" spans="1:18" x14ac:dyDescent="0.2">
      <c r="D18" s="12" t="s">
        <v>0</v>
      </c>
      <c r="F18" s="3"/>
      <c r="G18" s="3"/>
      <c r="H18" s="3"/>
      <c r="I18" s="3"/>
    </row>
    <row r="19" spans="1:18" x14ac:dyDescent="0.2">
      <c r="H19" s="3"/>
      <c r="I19" s="3"/>
    </row>
    <row r="20" spans="1:18" x14ac:dyDescent="0.2">
      <c r="D20" s="11"/>
      <c r="E20" s="3"/>
      <c r="F20" s="3"/>
      <c r="G20" s="3"/>
      <c r="H20" s="3"/>
      <c r="I20" s="3"/>
    </row>
    <row r="21" spans="1:18" x14ac:dyDescent="0.2">
      <c r="A21" s="16" t="s">
        <v>98</v>
      </c>
      <c r="B21"/>
      <c r="C21"/>
      <c r="D21" s="11"/>
      <c r="E21" s="3"/>
      <c r="F21" s="3"/>
      <c r="G21" s="3"/>
      <c r="H21" s="3"/>
      <c r="I21" s="3"/>
      <c r="J21"/>
      <c r="K21"/>
      <c r="L21"/>
      <c r="M21"/>
      <c r="N21"/>
      <c r="O21"/>
    </row>
    <row r="22" spans="1:18" ht="34.5" customHeight="1" x14ac:dyDescent="0.2">
      <c r="A22" s="676" t="s">
        <v>1</v>
      </c>
      <c r="B22" s="678" t="s">
        <v>10</v>
      </c>
      <c r="C22" s="678" t="s">
        <v>11</v>
      </c>
      <c r="D22" s="679" t="s">
        <v>14</v>
      </c>
      <c r="E22" s="679"/>
      <c r="F22" s="679"/>
      <c r="G22" s="679"/>
      <c r="H22" s="676" t="s">
        <v>15</v>
      </c>
      <c r="I22" s="676" t="s">
        <v>15</v>
      </c>
      <c r="L22" s="652" t="s">
        <v>278</v>
      </c>
      <c r="M22" s="653"/>
      <c r="N22" s="654"/>
      <c r="O22" s="654"/>
      <c r="P22" s="655"/>
      <c r="Q22" s="671" t="s">
        <v>1458</v>
      </c>
      <c r="R22" s="672"/>
    </row>
    <row r="23" spans="1:18" ht="34.5" customHeight="1" x14ac:dyDescent="0.2">
      <c r="A23" s="676"/>
      <c r="B23" s="678"/>
      <c r="C23" s="678"/>
      <c r="D23" s="676" t="s">
        <v>12</v>
      </c>
      <c r="E23" s="676" t="s">
        <v>2</v>
      </c>
      <c r="F23" s="676" t="s">
        <v>3</v>
      </c>
      <c r="G23" s="676" t="s">
        <v>4</v>
      </c>
      <c r="H23" s="676"/>
      <c r="I23" s="676"/>
      <c r="L23" s="656"/>
      <c r="M23" s="657"/>
      <c r="N23" s="657"/>
      <c r="O23" s="657"/>
      <c r="P23" s="658"/>
      <c r="Q23" s="111" t="s">
        <v>1459</v>
      </c>
      <c r="R23" s="111" t="s">
        <v>1460</v>
      </c>
    </row>
    <row r="24" spans="1:18" x14ac:dyDescent="0.2">
      <c r="A24" s="676"/>
      <c r="B24" s="678"/>
      <c r="C24" s="678"/>
      <c r="D24" s="676"/>
      <c r="E24" s="676"/>
      <c r="F24" s="676"/>
      <c r="G24" s="676"/>
      <c r="H24" s="676"/>
      <c r="I24" s="676"/>
      <c r="L24" s="659" t="s">
        <v>12</v>
      </c>
      <c r="M24" s="659" t="s">
        <v>2</v>
      </c>
      <c r="N24" s="662" t="s">
        <v>279</v>
      </c>
      <c r="O24" s="662" t="s">
        <v>280</v>
      </c>
      <c r="P24" s="662" t="s">
        <v>281</v>
      </c>
      <c r="Q24" s="232">
        <v>1.123</v>
      </c>
      <c r="R24" s="233">
        <v>1.04</v>
      </c>
    </row>
    <row r="25" spans="1:18" x14ac:dyDescent="0.2">
      <c r="A25" s="676"/>
      <c r="B25" s="678"/>
      <c r="C25" s="678"/>
      <c r="D25" s="676"/>
      <c r="E25" s="676"/>
      <c r="F25" s="676"/>
      <c r="G25" s="676"/>
      <c r="H25" s="676"/>
      <c r="I25" s="676"/>
      <c r="L25" s="660"/>
      <c r="M25" s="661"/>
      <c r="N25" s="663"/>
      <c r="O25" s="663"/>
      <c r="P25" s="663"/>
      <c r="Q25" s="232"/>
      <c r="R25" s="232"/>
    </row>
    <row r="26" spans="1:18" x14ac:dyDescent="0.2">
      <c r="A26" s="14">
        <v>1</v>
      </c>
      <c r="B26" s="15">
        <v>2</v>
      </c>
      <c r="C26" s="15">
        <v>3</v>
      </c>
      <c r="D26" s="14">
        <v>4</v>
      </c>
      <c r="E26" s="14">
        <v>5</v>
      </c>
      <c r="F26" s="14">
        <v>6</v>
      </c>
      <c r="G26" s="14">
        <v>7</v>
      </c>
      <c r="H26" s="14">
        <v>8</v>
      </c>
      <c r="I26" s="14">
        <v>8</v>
      </c>
      <c r="L26" s="69"/>
      <c r="M26" s="69"/>
      <c r="N26" s="70"/>
      <c r="O26" s="70"/>
      <c r="P26" s="70"/>
      <c r="Q26" s="232"/>
      <c r="R26" s="232"/>
    </row>
    <row r="27" spans="1:18" ht="12.75" customHeight="1" x14ac:dyDescent="0.2">
      <c r="A27" s="51" t="s">
        <v>16</v>
      </c>
      <c r="B27" s="52"/>
      <c r="C27" s="52"/>
      <c r="D27" s="52"/>
      <c r="E27" s="52"/>
      <c r="F27" s="52"/>
      <c r="G27" s="52"/>
      <c r="H27" s="53"/>
      <c r="I27" s="50"/>
      <c r="L27" s="72"/>
      <c r="M27" s="72"/>
      <c r="N27" s="72"/>
      <c r="O27" s="72"/>
      <c r="P27" s="72"/>
      <c r="Q27" s="232"/>
      <c r="R27" s="232"/>
    </row>
    <row r="28" spans="1:18" ht="14.25" customHeight="1" x14ac:dyDescent="0.2">
      <c r="A28" s="35">
        <v>1</v>
      </c>
      <c r="B28" s="45" t="s">
        <v>17</v>
      </c>
      <c r="C28" s="45" t="s">
        <v>18</v>
      </c>
      <c r="D28" s="18"/>
      <c r="E28" s="18"/>
      <c r="F28" s="18"/>
      <c r="G28" s="106">
        <f>2.42*0</f>
        <v>0</v>
      </c>
      <c r="H28" s="19">
        <f>SUM(D28:G28)</f>
        <v>0</v>
      </c>
      <c r="I28" s="19">
        <v>2.42</v>
      </c>
      <c r="J28" s="5" t="b">
        <f>H28=I28</f>
        <v>0</v>
      </c>
      <c r="L28" s="201">
        <f>D28*(1.023*1.005-2.3%*15%)*6.99*1000</f>
        <v>0</v>
      </c>
      <c r="M28" s="201">
        <f>E28*(1.023*1.005-2.3%*15%)*6.99*1000</f>
        <v>0</v>
      </c>
      <c r="N28" s="201">
        <f>F28*4.09*1000</f>
        <v>0</v>
      </c>
      <c r="O28" s="201">
        <f>G28*10.79*1000</f>
        <v>0</v>
      </c>
      <c r="P28" s="201">
        <f>SUM(L28:O28)</f>
        <v>0</v>
      </c>
      <c r="Q28" s="234">
        <f>P28*$Q$24</f>
        <v>0</v>
      </c>
      <c r="R28" s="234">
        <f>Q28*$R$24</f>
        <v>0</v>
      </c>
    </row>
    <row r="29" spans="1:18" ht="25.5" x14ac:dyDescent="0.2">
      <c r="A29" s="35">
        <v>2</v>
      </c>
      <c r="B29" s="45" t="s">
        <v>19</v>
      </c>
      <c r="C29" s="45" t="s">
        <v>20</v>
      </c>
      <c r="D29" s="19">
        <v>6.91</v>
      </c>
      <c r="E29" s="18"/>
      <c r="F29" s="18"/>
      <c r="G29" s="18"/>
      <c r="H29" s="19">
        <f t="shared" ref="H29:H92" si="0">SUM(D29:G29)</f>
        <v>6.91</v>
      </c>
      <c r="I29" s="19">
        <v>6.91</v>
      </c>
      <c r="J29" s="5" t="b">
        <f t="shared" ref="J29:J92" si="1">H29=I29</f>
        <v>1</v>
      </c>
      <c r="L29" s="201">
        <f t="shared" ref="L29:L88" si="2">D29*(1.023*1.005-2.3%*15%)*6.99*1000</f>
        <v>49492</v>
      </c>
      <c r="M29" s="201">
        <f t="shared" ref="M29:M88" si="3">E29*(1.023*1.005-2.3%*15%)*6.99*1000</f>
        <v>0</v>
      </c>
      <c r="N29" s="201">
        <f t="shared" ref="N29:N88" si="4">F29*4.09*1000</f>
        <v>0</v>
      </c>
      <c r="O29" s="201"/>
      <c r="P29" s="201">
        <f t="shared" ref="P29:P90" si="5">SUM(L29:O29)</f>
        <v>49492</v>
      </c>
      <c r="Q29" s="234">
        <f t="shared" ref="Q29:Q92" si="6">P29*$Q$24</f>
        <v>55579.519999999997</v>
      </c>
      <c r="R29" s="234">
        <f t="shared" ref="R29:R92" si="7">Q29*$R$24</f>
        <v>57802.7</v>
      </c>
    </row>
    <row r="30" spans="1:18" ht="16.5" customHeight="1" x14ac:dyDescent="0.2">
      <c r="A30" s="35">
        <v>3</v>
      </c>
      <c r="B30" s="45" t="s">
        <v>21</v>
      </c>
      <c r="C30" s="45" t="s">
        <v>22</v>
      </c>
      <c r="D30" s="19">
        <v>2.78</v>
      </c>
      <c r="E30" s="18"/>
      <c r="F30" s="18"/>
      <c r="G30" s="18"/>
      <c r="H30" s="19">
        <f t="shared" si="0"/>
        <v>2.78</v>
      </c>
      <c r="I30" s="19">
        <v>2.78</v>
      </c>
      <c r="J30" s="5" t="b">
        <f t="shared" si="1"/>
        <v>1</v>
      </c>
      <c r="L30" s="201">
        <f t="shared" si="2"/>
        <v>19911</v>
      </c>
      <c r="M30" s="201">
        <f t="shared" si="3"/>
        <v>0</v>
      </c>
      <c r="N30" s="201">
        <f t="shared" si="4"/>
        <v>0</v>
      </c>
      <c r="O30" s="201"/>
      <c r="P30" s="201">
        <f t="shared" si="5"/>
        <v>19911</v>
      </c>
      <c r="Q30" s="234">
        <f t="shared" si="6"/>
        <v>22360.05</v>
      </c>
      <c r="R30" s="234">
        <f t="shared" si="7"/>
        <v>23254.45</v>
      </c>
    </row>
    <row r="31" spans="1:18" ht="25.5" x14ac:dyDescent="0.2">
      <c r="A31" s="35">
        <v>4</v>
      </c>
      <c r="B31" s="45" t="s">
        <v>23</v>
      </c>
      <c r="C31" s="45" t="s">
        <v>24</v>
      </c>
      <c r="D31" s="18"/>
      <c r="E31" s="18"/>
      <c r="F31" s="18"/>
      <c r="G31" s="106">
        <f>87.33*0</f>
        <v>0</v>
      </c>
      <c r="H31" s="19">
        <f t="shared" si="0"/>
        <v>0</v>
      </c>
      <c r="I31" s="19">
        <v>87.33</v>
      </c>
      <c r="J31" s="5" t="b">
        <f t="shared" si="1"/>
        <v>0</v>
      </c>
      <c r="L31" s="201">
        <f t="shared" si="2"/>
        <v>0</v>
      </c>
      <c r="M31" s="201">
        <f t="shared" si="3"/>
        <v>0</v>
      </c>
      <c r="N31" s="201">
        <f t="shared" si="4"/>
        <v>0</v>
      </c>
      <c r="O31" s="201">
        <f>G31*1.266*4.35*1000</f>
        <v>0</v>
      </c>
      <c r="P31" s="201">
        <f t="shared" si="5"/>
        <v>0</v>
      </c>
      <c r="Q31" s="234">
        <f t="shared" si="6"/>
        <v>0</v>
      </c>
      <c r="R31" s="234">
        <f t="shared" si="7"/>
        <v>0</v>
      </c>
    </row>
    <row r="32" spans="1:18" ht="27.95" customHeight="1" x14ac:dyDescent="0.2">
      <c r="A32" s="36"/>
      <c r="B32" s="669" t="s">
        <v>25</v>
      </c>
      <c r="C32" s="675"/>
      <c r="D32" s="19">
        <f>D28+D29+D30+D31</f>
        <v>9.69</v>
      </c>
      <c r="E32" s="18"/>
      <c r="F32" s="18"/>
      <c r="G32" s="19">
        <f>G28+G29+G30+G31</f>
        <v>0</v>
      </c>
      <c r="H32" s="19">
        <f t="shared" si="0"/>
        <v>9.69</v>
      </c>
      <c r="I32" s="19">
        <v>99.44</v>
      </c>
      <c r="J32" s="5" t="b">
        <f t="shared" si="1"/>
        <v>0</v>
      </c>
      <c r="L32" s="451">
        <f>L28+L29+L30+L31</f>
        <v>69403</v>
      </c>
      <c r="M32" s="452"/>
      <c r="N32" s="452"/>
      <c r="O32" s="451">
        <f>O28+O29+O30+O31</f>
        <v>0</v>
      </c>
      <c r="P32" s="201">
        <f t="shared" si="5"/>
        <v>69403</v>
      </c>
      <c r="Q32" s="234">
        <f t="shared" si="6"/>
        <v>77939.570000000007</v>
      </c>
      <c r="R32" s="234">
        <f t="shared" si="7"/>
        <v>81057.149999999994</v>
      </c>
    </row>
    <row r="33" spans="1:18" ht="12.75" customHeight="1" x14ac:dyDescent="0.2">
      <c r="A33" s="51" t="s">
        <v>26</v>
      </c>
      <c r="B33" s="52"/>
      <c r="C33" s="52"/>
      <c r="D33" s="54"/>
      <c r="E33" s="54"/>
      <c r="F33" s="54"/>
      <c r="G33" s="54"/>
      <c r="H33" s="19"/>
      <c r="I33" s="55"/>
      <c r="J33" s="5" t="b">
        <f t="shared" si="1"/>
        <v>1</v>
      </c>
      <c r="L33" s="72"/>
      <c r="M33" s="72"/>
      <c r="N33" s="72"/>
      <c r="O33" s="72"/>
      <c r="P33" s="72"/>
      <c r="Q33" s="234">
        <f t="shared" si="6"/>
        <v>0</v>
      </c>
      <c r="R33" s="234">
        <f t="shared" si="7"/>
        <v>0</v>
      </c>
    </row>
    <row r="34" spans="1:18" ht="17.25" customHeight="1" x14ac:dyDescent="0.2">
      <c r="A34" s="35">
        <v>5</v>
      </c>
      <c r="B34" s="45" t="s">
        <v>27</v>
      </c>
      <c r="C34" s="45" t="s">
        <v>28</v>
      </c>
      <c r="D34" s="19">
        <f>SUM(D35:D43)</f>
        <v>25102.05</v>
      </c>
      <c r="E34" s="19">
        <f t="shared" ref="E34:F34" si="8">SUM(E35:E43)</f>
        <v>1207.6300000000001</v>
      </c>
      <c r="F34" s="19">
        <f t="shared" si="8"/>
        <v>5259.93</v>
      </c>
      <c r="G34" s="18"/>
      <c r="H34" s="19">
        <f t="shared" si="0"/>
        <v>31569.61</v>
      </c>
      <c r="I34" s="19">
        <v>204032.94</v>
      </c>
      <c r="J34" s="5" t="b">
        <f t="shared" si="1"/>
        <v>0</v>
      </c>
      <c r="L34" s="77">
        <f>SUM(L35:L43)</f>
        <v>179791133</v>
      </c>
      <c r="M34" s="77">
        <f t="shared" ref="M34" si="9">SUM(M35:M43)</f>
        <v>8649540</v>
      </c>
      <c r="N34" s="77">
        <f t="shared" ref="N34" si="10">SUM(N35:N43)</f>
        <v>21513113</v>
      </c>
      <c r="O34" s="78"/>
      <c r="P34" s="72">
        <f t="shared" si="5"/>
        <v>209953786</v>
      </c>
      <c r="Q34" s="234">
        <f t="shared" si="6"/>
        <v>235778101.68000001</v>
      </c>
      <c r="R34" s="234">
        <f t="shared" si="7"/>
        <v>245209225.75</v>
      </c>
    </row>
    <row r="35" spans="1:18" s="60" customFormat="1" ht="25.5" outlineLevel="1" x14ac:dyDescent="0.2">
      <c r="A35" s="61" t="s">
        <v>190</v>
      </c>
      <c r="B35" s="56" t="s">
        <v>140</v>
      </c>
      <c r="C35" s="56" t="s">
        <v>141</v>
      </c>
      <c r="D35" s="57">
        <v>492.75</v>
      </c>
      <c r="E35" s="57">
        <v>637.78</v>
      </c>
      <c r="F35" s="107">
        <f>(805650000*0+40800000*0)/1.2/4.09/1000+'Расчет стоимости шеф-монтажа'!D6/4.09/1000</f>
        <v>0</v>
      </c>
      <c r="G35" s="58"/>
      <c r="H35" s="59">
        <f t="shared" si="0"/>
        <v>1130.53</v>
      </c>
      <c r="I35" s="59"/>
      <c r="L35" s="201">
        <f t="shared" si="2"/>
        <v>3529277</v>
      </c>
      <c r="M35" s="201">
        <f t="shared" si="3"/>
        <v>4568041</v>
      </c>
      <c r="N35" s="201">
        <f>F35*4.09*1000</f>
        <v>0</v>
      </c>
      <c r="O35" s="301"/>
      <c r="P35" s="201">
        <f t="shared" si="5"/>
        <v>8097318</v>
      </c>
      <c r="Q35" s="234">
        <f t="shared" si="6"/>
        <v>9093288.1099999994</v>
      </c>
      <c r="R35" s="234">
        <f t="shared" si="7"/>
        <v>9457019.6300000008</v>
      </c>
    </row>
    <row r="36" spans="1:18" s="60" customFormat="1" ht="25.5" outlineLevel="1" x14ac:dyDescent="0.2">
      <c r="A36" s="61" t="s">
        <v>191</v>
      </c>
      <c r="B36" s="56" t="s">
        <v>142</v>
      </c>
      <c r="C36" s="56" t="s">
        <v>143</v>
      </c>
      <c r="D36" s="57">
        <v>9203.08</v>
      </c>
      <c r="E36" s="58"/>
      <c r="F36" s="58"/>
      <c r="G36" s="58"/>
      <c r="H36" s="59">
        <f t="shared" si="0"/>
        <v>9203.08</v>
      </c>
      <c r="I36" s="59"/>
      <c r="L36" s="201">
        <f t="shared" si="2"/>
        <v>65916217</v>
      </c>
      <c r="M36" s="201">
        <f t="shared" si="3"/>
        <v>0</v>
      </c>
      <c r="N36" s="201">
        <f t="shared" si="4"/>
        <v>0</v>
      </c>
      <c r="O36" s="301"/>
      <c r="P36" s="201">
        <f t="shared" si="5"/>
        <v>65916217</v>
      </c>
      <c r="Q36" s="234">
        <f t="shared" si="6"/>
        <v>74023911.689999998</v>
      </c>
      <c r="R36" s="234">
        <f t="shared" si="7"/>
        <v>76984868.159999996</v>
      </c>
    </row>
    <row r="37" spans="1:18" s="60" customFormat="1" ht="38.25" outlineLevel="1" x14ac:dyDescent="0.2">
      <c r="A37" s="61" t="s">
        <v>192</v>
      </c>
      <c r="B37" s="56" t="s">
        <v>144</v>
      </c>
      <c r="C37" s="56" t="s">
        <v>145</v>
      </c>
      <c r="D37" s="57">
        <v>94.55</v>
      </c>
      <c r="E37" s="57">
        <v>208</v>
      </c>
      <c r="F37" s="58"/>
      <c r="G37" s="58"/>
      <c r="H37" s="59">
        <f t="shared" si="0"/>
        <v>302.55</v>
      </c>
      <c r="I37" s="59"/>
      <c r="L37" s="201">
        <f t="shared" si="2"/>
        <v>677206</v>
      </c>
      <c r="M37" s="201">
        <f t="shared" si="3"/>
        <v>1489781</v>
      </c>
      <c r="N37" s="201">
        <f t="shared" si="4"/>
        <v>0</v>
      </c>
      <c r="O37" s="301"/>
      <c r="P37" s="201">
        <f t="shared" si="5"/>
        <v>2166987</v>
      </c>
      <c r="Q37" s="234">
        <f t="shared" si="6"/>
        <v>2433526.4</v>
      </c>
      <c r="R37" s="234">
        <f t="shared" si="7"/>
        <v>2530867.46</v>
      </c>
    </row>
    <row r="38" spans="1:18" s="60" customFormat="1" ht="25.5" outlineLevel="1" x14ac:dyDescent="0.2">
      <c r="A38" s="61" t="s">
        <v>193</v>
      </c>
      <c r="B38" s="56" t="s">
        <v>146</v>
      </c>
      <c r="C38" s="56" t="s">
        <v>147</v>
      </c>
      <c r="D38" s="57">
        <v>7.16</v>
      </c>
      <c r="E38" s="57">
        <v>0.52</v>
      </c>
      <c r="F38" s="58"/>
      <c r="G38" s="58"/>
      <c r="H38" s="59">
        <f t="shared" si="0"/>
        <v>7.68</v>
      </c>
      <c r="I38" s="59"/>
      <c r="L38" s="201">
        <f t="shared" si="2"/>
        <v>51283</v>
      </c>
      <c r="M38" s="201">
        <f t="shared" si="3"/>
        <v>3724</v>
      </c>
      <c r="N38" s="201">
        <f t="shared" si="4"/>
        <v>0</v>
      </c>
      <c r="O38" s="301"/>
      <c r="P38" s="201">
        <f t="shared" si="5"/>
        <v>55007</v>
      </c>
      <c r="Q38" s="234">
        <f t="shared" si="6"/>
        <v>61772.86</v>
      </c>
      <c r="R38" s="234">
        <f t="shared" si="7"/>
        <v>64243.77</v>
      </c>
    </row>
    <row r="39" spans="1:18" s="60" customFormat="1" ht="25.5" outlineLevel="1" x14ac:dyDescent="0.2">
      <c r="A39" s="61" t="s">
        <v>194</v>
      </c>
      <c r="B39" s="56" t="s">
        <v>148</v>
      </c>
      <c r="C39" s="56" t="s">
        <v>149</v>
      </c>
      <c r="D39" s="58"/>
      <c r="E39" s="57">
        <v>85.4</v>
      </c>
      <c r="F39" s="57">
        <v>4116.21</v>
      </c>
      <c r="G39" s="58"/>
      <c r="H39" s="59">
        <f t="shared" si="0"/>
        <v>4201.6099999999997</v>
      </c>
      <c r="I39" s="59"/>
      <c r="L39" s="201">
        <f t="shared" si="2"/>
        <v>0</v>
      </c>
      <c r="M39" s="201">
        <f t="shared" si="3"/>
        <v>611670</v>
      </c>
      <c r="N39" s="201">
        <f t="shared" si="4"/>
        <v>16835299</v>
      </c>
      <c r="O39" s="301"/>
      <c r="P39" s="201">
        <f t="shared" si="5"/>
        <v>17446969</v>
      </c>
      <c r="Q39" s="234">
        <f t="shared" si="6"/>
        <v>19592946.190000001</v>
      </c>
      <c r="R39" s="234">
        <f t="shared" si="7"/>
        <v>20376664.039999999</v>
      </c>
    </row>
    <row r="40" spans="1:18" s="60" customFormat="1" ht="38.25" outlineLevel="1" x14ac:dyDescent="0.2">
      <c r="A40" s="61" t="s">
        <v>195</v>
      </c>
      <c r="B40" s="56" t="s">
        <v>150</v>
      </c>
      <c r="C40" s="56" t="s">
        <v>151</v>
      </c>
      <c r="D40" s="58"/>
      <c r="E40" s="57">
        <v>72.38</v>
      </c>
      <c r="F40" s="57">
        <v>162.56</v>
      </c>
      <c r="G40" s="58"/>
      <c r="H40" s="59">
        <f t="shared" si="0"/>
        <v>234.94</v>
      </c>
      <c r="I40" s="59"/>
      <c r="L40" s="201">
        <f t="shared" si="2"/>
        <v>0</v>
      </c>
      <c r="M40" s="201">
        <f t="shared" si="3"/>
        <v>518415</v>
      </c>
      <c r="N40" s="201">
        <f t="shared" si="4"/>
        <v>664870</v>
      </c>
      <c r="O40" s="301"/>
      <c r="P40" s="201">
        <f t="shared" si="5"/>
        <v>1183285</v>
      </c>
      <c r="Q40" s="234">
        <f t="shared" si="6"/>
        <v>1328829.06</v>
      </c>
      <c r="R40" s="234">
        <f t="shared" si="7"/>
        <v>1381982.22</v>
      </c>
    </row>
    <row r="41" spans="1:18" s="60" customFormat="1" ht="25.5" outlineLevel="1" x14ac:dyDescent="0.2">
      <c r="A41" s="61" t="s">
        <v>196</v>
      </c>
      <c r="B41" s="56" t="s">
        <v>152</v>
      </c>
      <c r="C41" s="56" t="s">
        <v>153</v>
      </c>
      <c r="D41" s="58"/>
      <c r="E41" s="57">
        <v>186.7</v>
      </c>
      <c r="F41" s="57">
        <v>981.16</v>
      </c>
      <c r="G41" s="58"/>
      <c r="H41" s="59">
        <f t="shared" si="0"/>
        <v>1167.8599999999999</v>
      </c>
      <c r="I41" s="59"/>
      <c r="L41" s="201">
        <f t="shared" si="2"/>
        <v>0</v>
      </c>
      <c r="M41" s="201">
        <f t="shared" si="3"/>
        <v>1337222</v>
      </c>
      <c r="N41" s="201">
        <f t="shared" si="4"/>
        <v>4012944</v>
      </c>
      <c r="O41" s="301"/>
      <c r="P41" s="201">
        <f t="shared" si="5"/>
        <v>5350166</v>
      </c>
      <c r="Q41" s="234">
        <f t="shared" si="6"/>
        <v>6008236.4199999999</v>
      </c>
      <c r="R41" s="234">
        <f t="shared" si="7"/>
        <v>6248565.8799999999</v>
      </c>
    </row>
    <row r="42" spans="1:18" s="60" customFormat="1" outlineLevel="1" x14ac:dyDescent="0.2">
      <c r="A42" s="61" t="s">
        <v>197</v>
      </c>
      <c r="B42" s="56" t="s">
        <v>154</v>
      </c>
      <c r="C42" s="56" t="s">
        <v>155</v>
      </c>
      <c r="D42" s="57">
        <v>15304.51</v>
      </c>
      <c r="E42" s="57">
        <v>8.1199999999999992</v>
      </c>
      <c r="F42" s="58"/>
      <c r="G42" s="58"/>
      <c r="H42" s="59">
        <f t="shared" si="0"/>
        <v>15312.63</v>
      </c>
      <c r="I42" s="59"/>
      <c r="L42" s="201">
        <f t="shared" si="2"/>
        <v>109617150</v>
      </c>
      <c r="M42" s="201">
        <f t="shared" si="3"/>
        <v>58159</v>
      </c>
      <c r="N42" s="201">
        <f t="shared" si="4"/>
        <v>0</v>
      </c>
      <c r="O42" s="301"/>
      <c r="P42" s="201">
        <f t="shared" si="5"/>
        <v>109675309</v>
      </c>
      <c r="Q42" s="234">
        <f t="shared" si="6"/>
        <v>123165372.01000001</v>
      </c>
      <c r="R42" s="234">
        <f t="shared" si="7"/>
        <v>128091986.89</v>
      </c>
    </row>
    <row r="43" spans="1:18" s="60" customFormat="1" ht="25.5" outlineLevel="1" x14ac:dyDescent="0.2">
      <c r="A43" s="61" t="s">
        <v>198</v>
      </c>
      <c r="B43" s="56" t="s">
        <v>156</v>
      </c>
      <c r="C43" s="56" t="s">
        <v>157</v>
      </c>
      <c r="D43" s="58"/>
      <c r="E43" s="57">
        <v>8.73</v>
      </c>
      <c r="F43" s="58"/>
      <c r="G43" s="58"/>
      <c r="H43" s="59">
        <f t="shared" si="0"/>
        <v>8.73</v>
      </c>
      <c r="I43" s="59"/>
      <c r="L43" s="201">
        <f t="shared" si="2"/>
        <v>0</v>
      </c>
      <c r="M43" s="201">
        <f t="shared" si="3"/>
        <v>62528</v>
      </c>
      <c r="N43" s="201">
        <f t="shared" si="4"/>
        <v>0</v>
      </c>
      <c r="O43" s="301"/>
      <c r="P43" s="201">
        <f t="shared" si="5"/>
        <v>62528</v>
      </c>
      <c r="Q43" s="234">
        <f t="shared" si="6"/>
        <v>70218.94</v>
      </c>
      <c r="R43" s="234">
        <f t="shared" si="7"/>
        <v>73027.7</v>
      </c>
    </row>
    <row r="44" spans="1:18" ht="25.5" x14ac:dyDescent="0.2">
      <c r="A44" s="35">
        <v>6</v>
      </c>
      <c r="B44" s="45" t="s">
        <v>29</v>
      </c>
      <c r="C44" s="45" t="s">
        <v>30</v>
      </c>
      <c r="D44" s="19">
        <f>SUM(D45:D60)</f>
        <v>27492.95</v>
      </c>
      <c r="E44" s="19">
        <f t="shared" ref="E44:F44" si="11">SUM(E45:E60)</f>
        <v>1672.83</v>
      </c>
      <c r="F44" s="19">
        <f t="shared" si="11"/>
        <v>17387.150000000001</v>
      </c>
      <c r="G44" s="18"/>
      <c r="H44" s="19">
        <f t="shared" si="0"/>
        <v>46552.93</v>
      </c>
      <c r="I44" s="19">
        <v>46552.93</v>
      </c>
      <c r="J44" s="5" t="b">
        <f t="shared" si="1"/>
        <v>1</v>
      </c>
      <c r="L44" s="77">
        <f>SUM(L45:L60)</f>
        <v>196915735</v>
      </c>
      <c r="M44" s="77">
        <f t="shared" ref="M44" si="12">SUM(M45:M60)</f>
        <v>11981491</v>
      </c>
      <c r="N44" s="77">
        <f t="shared" ref="N44" si="13">SUM(N45:N60)</f>
        <v>71113443</v>
      </c>
      <c r="O44" s="78"/>
      <c r="P44" s="72">
        <f t="shared" si="5"/>
        <v>280010669</v>
      </c>
      <c r="Q44" s="234">
        <f t="shared" si="6"/>
        <v>314451981.29000002</v>
      </c>
      <c r="R44" s="234">
        <f t="shared" si="7"/>
        <v>327030060.54000002</v>
      </c>
    </row>
    <row r="45" spans="1:18" s="60" customFormat="1" ht="25.5" outlineLevel="1" x14ac:dyDescent="0.2">
      <c r="A45" s="62" t="s">
        <v>199</v>
      </c>
      <c r="B45" s="56" t="s">
        <v>158</v>
      </c>
      <c r="C45" s="56" t="s">
        <v>159</v>
      </c>
      <c r="D45" s="57">
        <v>745.52</v>
      </c>
      <c r="E45" s="58"/>
      <c r="F45" s="57">
        <v>482.38</v>
      </c>
      <c r="G45" s="58"/>
      <c r="H45" s="59">
        <f t="shared" si="0"/>
        <v>1227.9000000000001</v>
      </c>
      <c r="I45" s="59"/>
      <c r="L45" s="201">
        <f t="shared" si="2"/>
        <v>5339719</v>
      </c>
      <c r="M45" s="201">
        <f t="shared" si="3"/>
        <v>0</v>
      </c>
      <c r="N45" s="201">
        <f t="shared" si="4"/>
        <v>1972934</v>
      </c>
      <c r="O45" s="301"/>
      <c r="P45" s="201">
        <f t="shared" si="5"/>
        <v>7312653</v>
      </c>
      <c r="Q45" s="234">
        <f t="shared" si="6"/>
        <v>8212109.3200000003</v>
      </c>
      <c r="R45" s="234">
        <f t="shared" si="7"/>
        <v>8540593.6899999995</v>
      </c>
    </row>
    <row r="46" spans="1:18" s="60" customFormat="1" ht="25.5" outlineLevel="1" x14ac:dyDescent="0.2">
      <c r="A46" s="62" t="s">
        <v>200</v>
      </c>
      <c r="B46" s="56" t="s">
        <v>160</v>
      </c>
      <c r="C46" s="56" t="s">
        <v>161</v>
      </c>
      <c r="D46" s="57">
        <v>11570.42</v>
      </c>
      <c r="E46" s="58"/>
      <c r="F46" s="58"/>
      <c r="G46" s="58"/>
      <c r="H46" s="59">
        <f t="shared" si="0"/>
        <v>11570.42</v>
      </c>
      <c r="I46" s="59"/>
      <c r="L46" s="201">
        <f t="shared" si="2"/>
        <v>82872073</v>
      </c>
      <c r="M46" s="201">
        <f t="shared" si="3"/>
        <v>0</v>
      </c>
      <c r="N46" s="201">
        <f t="shared" si="4"/>
        <v>0</v>
      </c>
      <c r="O46" s="301"/>
      <c r="P46" s="201">
        <f t="shared" si="5"/>
        <v>82872073</v>
      </c>
      <c r="Q46" s="234">
        <f t="shared" si="6"/>
        <v>93065337.980000004</v>
      </c>
      <c r="R46" s="234">
        <f t="shared" si="7"/>
        <v>96787951.5</v>
      </c>
    </row>
    <row r="47" spans="1:18" s="60" customFormat="1" ht="38.25" outlineLevel="1" x14ac:dyDescent="0.2">
      <c r="A47" s="62" t="s">
        <v>201</v>
      </c>
      <c r="B47" s="56" t="s">
        <v>162</v>
      </c>
      <c r="C47" s="56" t="s">
        <v>163</v>
      </c>
      <c r="D47" s="57">
        <v>3112.12</v>
      </c>
      <c r="E47" s="58"/>
      <c r="F47" s="58"/>
      <c r="G47" s="58"/>
      <c r="H47" s="59">
        <f t="shared" si="0"/>
        <v>3112.12</v>
      </c>
      <c r="I47" s="59"/>
      <c r="L47" s="201">
        <f t="shared" si="2"/>
        <v>22290274</v>
      </c>
      <c r="M47" s="201">
        <f t="shared" si="3"/>
        <v>0</v>
      </c>
      <c r="N47" s="201">
        <f t="shared" si="4"/>
        <v>0</v>
      </c>
      <c r="O47" s="301"/>
      <c r="P47" s="201">
        <f t="shared" si="5"/>
        <v>22290274</v>
      </c>
      <c r="Q47" s="234">
        <f t="shared" si="6"/>
        <v>25031977.699999999</v>
      </c>
      <c r="R47" s="234">
        <f t="shared" si="7"/>
        <v>26033256.809999999</v>
      </c>
    </row>
    <row r="48" spans="1:18" s="60" customFormat="1" ht="38.25" outlineLevel="1" x14ac:dyDescent="0.2">
      <c r="A48" s="62" t="s">
        <v>202</v>
      </c>
      <c r="B48" s="56" t="s">
        <v>164</v>
      </c>
      <c r="C48" s="56" t="s">
        <v>165</v>
      </c>
      <c r="D48" s="57">
        <v>10092.56</v>
      </c>
      <c r="E48" s="58"/>
      <c r="F48" s="58"/>
      <c r="G48" s="58"/>
      <c r="H48" s="59">
        <f t="shared" si="0"/>
        <v>10092.56</v>
      </c>
      <c r="I48" s="59"/>
      <c r="L48" s="201">
        <f t="shared" si="2"/>
        <v>72287036</v>
      </c>
      <c r="M48" s="201">
        <f t="shared" si="3"/>
        <v>0</v>
      </c>
      <c r="N48" s="201">
        <f t="shared" si="4"/>
        <v>0</v>
      </c>
      <c r="O48" s="301"/>
      <c r="P48" s="201">
        <f t="shared" si="5"/>
        <v>72287036</v>
      </c>
      <c r="Q48" s="234">
        <f t="shared" si="6"/>
        <v>81178341.430000007</v>
      </c>
      <c r="R48" s="234">
        <f t="shared" si="7"/>
        <v>84425475.090000004</v>
      </c>
    </row>
    <row r="49" spans="1:18" s="60" customFormat="1" ht="25.5" outlineLevel="1" x14ac:dyDescent="0.2">
      <c r="A49" s="62" t="s">
        <v>203</v>
      </c>
      <c r="B49" s="56" t="s">
        <v>166</v>
      </c>
      <c r="C49" s="56" t="s">
        <v>167</v>
      </c>
      <c r="D49" s="58"/>
      <c r="E49" s="57">
        <v>81.53</v>
      </c>
      <c r="F49" s="57">
        <v>454.1</v>
      </c>
      <c r="G49" s="58"/>
      <c r="H49" s="59">
        <f t="shared" si="0"/>
        <v>535.63</v>
      </c>
      <c r="I49" s="59"/>
      <c r="L49" s="201">
        <f t="shared" si="2"/>
        <v>0</v>
      </c>
      <c r="M49" s="201">
        <f t="shared" si="3"/>
        <v>583951</v>
      </c>
      <c r="N49" s="201">
        <f t="shared" si="4"/>
        <v>1857269</v>
      </c>
      <c r="O49" s="301"/>
      <c r="P49" s="201">
        <f t="shared" si="5"/>
        <v>2441220</v>
      </c>
      <c r="Q49" s="234">
        <f t="shared" si="6"/>
        <v>2741490.06</v>
      </c>
      <c r="R49" s="234">
        <f t="shared" si="7"/>
        <v>2851149.66</v>
      </c>
    </row>
    <row r="50" spans="1:18" s="60" customFormat="1" ht="25.5" outlineLevel="1" x14ac:dyDescent="0.2">
      <c r="A50" s="62" t="s">
        <v>204</v>
      </c>
      <c r="B50" s="56" t="s">
        <v>168</v>
      </c>
      <c r="C50" s="56" t="s">
        <v>169</v>
      </c>
      <c r="D50" s="57">
        <v>0.1</v>
      </c>
      <c r="E50" s="57">
        <v>69.849999999999994</v>
      </c>
      <c r="F50" s="57">
        <v>83.87</v>
      </c>
      <c r="G50" s="58"/>
      <c r="H50" s="59">
        <f t="shared" si="0"/>
        <v>153.82</v>
      </c>
      <c r="I50" s="59"/>
      <c r="L50" s="201">
        <f t="shared" si="2"/>
        <v>716</v>
      </c>
      <c r="M50" s="201">
        <f t="shared" si="3"/>
        <v>500294</v>
      </c>
      <c r="N50" s="201">
        <f t="shared" si="4"/>
        <v>343028</v>
      </c>
      <c r="O50" s="301"/>
      <c r="P50" s="201">
        <f t="shared" si="5"/>
        <v>844038</v>
      </c>
      <c r="Q50" s="234">
        <f t="shared" si="6"/>
        <v>947854.67</v>
      </c>
      <c r="R50" s="234">
        <f t="shared" si="7"/>
        <v>985768.86</v>
      </c>
    </row>
    <row r="51" spans="1:18" s="60" customFormat="1" ht="25.5" outlineLevel="1" x14ac:dyDescent="0.2">
      <c r="A51" s="62" t="s">
        <v>205</v>
      </c>
      <c r="B51" s="56" t="s">
        <v>170</v>
      </c>
      <c r="C51" s="56" t="s">
        <v>171</v>
      </c>
      <c r="D51" s="58"/>
      <c r="E51" s="57">
        <v>1027.0899999999999</v>
      </c>
      <c r="F51" s="57">
        <v>5085.87</v>
      </c>
      <c r="G51" s="58"/>
      <c r="H51" s="59">
        <f t="shared" si="0"/>
        <v>6112.96</v>
      </c>
      <c r="I51" s="59"/>
      <c r="L51" s="201">
        <f t="shared" si="2"/>
        <v>0</v>
      </c>
      <c r="M51" s="201">
        <f t="shared" si="3"/>
        <v>7356438</v>
      </c>
      <c r="N51" s="201">
        <f t="shared" si="4"/>
        <v>20801208</v>
      </c>
      <c r="O51" s="301"/>
      <c r="P51" s="201">
        <f t="shared" si="5"/>
        <v>28157646</v>
      </c>
      <c r="Q51" s="234">
        <f t="shared" si="6"/>
        <v>31621036.460000001</v>
      </c>
      <c r="R51" s="234">
        <f t="shared" si="7"/>
        <v>32885877.920000002</v>
      </c>
    </row>
    <row r="52" spans="1:18" s="60" customFormat="1" ht="38.25" outlineLevel="1" x14ac:dyDescent="0.2">
      <c r="A52" s="62" t="s">
        <v>206</v>
      </c>
      <c r="B52" s="56" t="s">
        <v>172</v>
      </c>
      <c r="C52" s="56" t="s">
        <v>173</v>
      </c>
      <c r="D52" s="57">
        <v>67.819999999999993</v>
      </c>
      <c r="E52" s="57">
        <v>30.72</v>
      </c>
      <c r="F52" s="58"/>
      <c r="G52" s="58"/>
      <c r="H52" s="59">
        <f t="shared" si="0"/>
        <v>98.54</v>
      </c>
      <c r="I52" s="59"/>
      <c r="L52" s="201">
        <f t="shared" si="2"/>
        <v>485755</v>
      </c>
      <c r="M52" s="201">
        <f t="shared" si="3"/>
        <v>220029</v>
      </c>
      <c r="N52" s="201">
        <f t="shared" si="4"/>
        <v>0</v>
      </c>
      <c r="O52" s="301"/>
      <c r="P52" s="201">
        <f t="shared" si="5"/>
        <v>705784</v>
      </c>
      <c r="Q52" s="234">
        <f t="shared" si="6"/>
        <v>792595.43</v>
      </c>
      <c r="R52" s="234">
        <f t="shared" si="7"/>
        <v>824299.25</v>
      </c>
    </row>
    <row r="53" spans="1:18" s="60" customFormat="1" ht="25.5" outlineLevel="1" x14ac:dyDescent="0.2">
      <c r="A53" s="62" t="s">
        <v>207</v>
      </c>
      <c r="B53" s="56" t="s">
        <v>174</v>
      </c>
      <c r="C53" s="56" t="s">
        <v>175</v>
      </c>
      <c r="D53" s="57">
        <v>235.13</v>
      </c>
      <c r="E53" s="57">
        <v>28.05</v>
      </c>
      <c r="F53" s="57">
        <v>4768.78</v>
      </c>
      <c r="G53" s="58"/>
      <c r="H53" s="59">
        <f t="shared" si="0"/>
        <v>5031.96</v>
      </c>
      <c r="I53" s="59"/>
      <c r="L53" s="201">
        <f t="shared" si="2"/>
        <v>1684097</v>
      </c>
      <c r="M53" s="201">
        <f t="shared" si="3"/>
        <v>200906</v>
      </c>
      <c r="N53" s="201">
        <f t="shared" si="4"/>
        <v>19504310</v>
      </c>
      <c r="O53" s="301"/>
      <c r="P53" s="201">
        <f t="shared" si="5"/>
        <v>21389313</v>
      </c>
      <c r="Q53" s="234">
        <f t="shared" si="6"/>
        <v>24020198.5</v>
      </c>
      <c r="R53" s="234">
        <f t="shared" si="7"/>
        <v>24981006.440000001</v>
      </c>
    </row>
    <row r="54" spans="1:18" s="60" customFormat="1" outlineLevel="1" x14ac:dyDescent="0.2">
      <c r="A54" s="62" t="s">
        <v>208</v>
      </c>
      <c r="B54" s="56" t="s">
        <v>176</v>
      </c>
      <c r="C54" s="56" t="s">
        <v>177</v>
      </c>
      <c r="D54" s="57">
        <v>13.2</v>
      </c>
      <c r="E54" s="57">
        <v>80.81</v>
      </c>
      <c r="F54" s="57">
        <v>176.25</v>
      </c>
      <c r="G54" s="58"/>
      <c r="H54" s="59">
        <f t="shared" si="0"/>
        <v>270.26</v>
      </c>
      <c r="I54" s="59"/>
      <c r="L54" s="201">
        <f t="shared" si="2"/>
        <v>94544</v>
      </c>
      <c r="M54" s="201">
        <f t="shared" si="3"/>
        <v>578794</v>
      </c>
      <c r="N54" s="201">
        <f t="shared" si="4"/>
        <v>720863</v>
      </c>
      <c r="O54" s="301"/>
      <c r="P54" s="201">
        <f t="shared" si="5"/>
        <v>1394201</v>
      </c>
      <c r="Q54" s="234">
        <f t="shared" si="6"/>
        <v>1565687.72</v>
      </c>
      <c r="R54" s="234">
        <f t="shared" si="7"/>
        <v>1628315.23</v>
      </c>
    </row>
    <row r="55" spans="1:18" s="60" customFormat="1" ht="25.5" outlineLevel="1" x14ac:dyDescent="0.2">
      <c r="A55" s="62" t="s">
        <v>209</v>
      </c>
      <c r="B55" s="56" t="s">
        <v>178</v>
      </c>
      <c r="C55" s="56" t="s">
        <v>179</v>
      </c>
      <c r="D55" s="57">
        <v>90.92</v>
      </c>
      <c r="E55" s="58"/>
      <c r="F55" s="57">
        <v>17.29</v>
      </c>
      <c r="G55" s="58"/>
      <c r="H55" s="59">
        <f t="shared" si="0"/>
        <v>108.21</v>
      </c>
      <c r="I55" s="59"/>
      <c r="L55" s="201">
        <f t="shared" si="2"/>
        <v>651206</v>
      </c>
      <c r="M55" s="201">
        <f t="shared" si="3"/>
        <v>0</v>
      </c>
      <c r="N55" s="201">
        <f t="shared" si="4"/>
        <v>70716</v>
      </c>
      <c r="O55" s="301"/>
      <c r="P55" s="201">
        <f t="shared" si="5"/>
        <v>721922</v>
      </c>
      <c r="Q55" s="234">
        <f t="shared" si="6"/>
        <v>810718.41</v>
      </c>
      <c r="R55" s="234">
        <f t="shared" si="7"/>
        <v>843147.15</v>
      </c>
    </row>
    <row r="56" spans="1:18" s="60" customFormat="1" ht="38.25" outlineLevel="1" x14ac:dyDescent="0.2">
      <c r="A56" s="62" t="s">
        <v>210</v>
      </c>
      <c r="B56" s="56" t="s">
        <v>180</v>
      </c>
      <c r="C56" s="56" t="s">
        <v>181</v>
      </c>
      <c r="D56" s="57">
        <v>1559.46</v>
      </c>
      <c r="E56" s="57">
        <v>9.4499999999999993</v>
      </c>
      <c r="F56" s="57">
        <v>5303.88</v>
      </c>
      <c r="G56" s="58"/>
      <c r="H56" s="59">
        <f t="shared" si="0"/>
        <v>6872.79</v>
      </c>
      <c r="I56" s="59"/>
      <c r="L56" s="201">
        <f t="shared" si="2"/>
        <v>11169489</v>
      </c>
      <c r="M56" s="201">
        <f t="shared" si="3"/>
        <v>67685</v>
      </c>
      <c r="N56" s="201">
        <f t="shared" si="4"/>
        <v>21692869</v>
      </c>
      <c r="O56" s="301"/>
      <c r="P56" s="201">
        <f t="shared" si="5"/>
        <v>32930043</v>
      </c>
      <c r="Q56" s="234">
        <f t="shared" si="6"/>
        <v>36980438.289999999</v>
      </c>
      <c r="R56" s="234">
        <f t="shared" si="7"/>
        <v>38459655.82</v>
      </c>
    </row>
    <row r="57" spans="1:18" s="60" customFormat="1" ht="25.5" outlineLevel="1" x14ac:dyDescent="0.2">
      <c r="A57" s="62" t="s">
        <v>211</v>
      </c>
      <c r="B57" s="56" t="s">
        <v>182</v>
      </c>
      <c r="C57" s="56" t="s">
        <v>183</v>
      </c>
      <c r="D57" s="58"/>
      <c r="E57" s="57">
        <v>68.31</v>
      </c>
      <c r="F57" s="57">
        <v>810.64</v>
      </c>
      <c r="G57" s="58"/>
      <c r="H57" s="59">
        <f t="shared" si="0"/>
        <v>878.95</v>
      </c>
      <c r="I57" s="59"/>
      <c r="L57" s="201">
        <f t="shared" si="2"/>
        <v>0</v>
      </c>
      <c r="M57" s="201">
        <f t="shared" si="3"/>
        <v>489264</v>
      </c>
      <c r="N57" s="201">
        <f t="shared" si="4"/>
        <v>3315518</v>
      </c>
      <c r="O57" s="301"/>
      <c r="P57" s="201">
        <f t="shared" si="5"/>
        <v>3804782</v>
      </c>
      <c r="Q57" s="234">
        <f t="shared" si="6"/>
        <v>4272770.1900000004</v>
      </c>
      <c r="R57" s="234">
        <f t="shared" si="7"/>
        <v>4443681</v>
      </c>
    </row>
    <row r="58" spans="1:18" s="60" customFormat="1" ht="25.5" outlineLevel="1" x14ac:dyDescent="0.2">
      <c r="A58" s="62" t="s">
        <v>212</v>
      </c>
      <c r="B58" s="56" t="s">
        <v>184</v>
      </c>
      <c r="C58" s="56" t="s">
        <v>185</v>
      </c>
      <c r="D58" s="57">
        <v>5.7</v>
      </c>
      <c r="E58" s="58"/>
      <c r="F58" s="58"/>
      <c r="G58" s="58"/>
      <c r="H58" s="59">
        <f t="shared" si="0"/>
        <v>5.7</v>
      </c>
      <c r="I58" s="59"/>
      <c r="L58" s="201">
        <f t="shared" si="2"/>
        <v>40826</v>
      </c>
      <c r="M58" s="201">
        <f t="shared" si="3"/>
        <v>0</v>
      </c>
      <c r="N58" s="201">
        <f t="shared" si="4"/>
        <v>0</v>
      </c>
      <c r="O58" s="301"/>
      <c r="P58" s="201">
        <f t="shared" si="5"/>
        <v>40826</v>
      </c>
      <c r="Q58" s="234">
        <f t="shared" si="6"/>
        <v>45847.6</v>
      </c>
      <c r="R58" s="234">
        <f t="shared" si="7"/>
        <v>47681.5</v>
      </c>
    </row>
    <row r="59" spans="1:18" s="60" customFormat="1" ht="38.25" outlineLevel="1" x14ac:dyDescent="0.2">
      <c r="A59" s="62" t="s">
        <v>213</v>
      </c>
      <c r="B59" s="56" t="s">
        <v>186</v>
      </c>
      <c r="C59" s="56" t="s">
        <v>187</v>
      </c>
      <c r="D59" s="58"/>
      <c r="E59" s="57">
        <v>254.49</v>
      </c>
      <c r="F59" s="57">
        <v>199.88</v>
      </c>
      <c r="G59" s="58"/>
      <c r="H59" s="59">
        <f t="shared" si="0"/>
        <v>454.37</v>
      </c>
      <c r="I59" s="59"/>
      <c r="L59" s="201">
        <f t="shared" si="2"/>
        <v>0</v>
      </c>
      <c r="M59" s="201">
        <f t="shared" si="3"/>
        <v>1822761</v>
      </c>
      <c r="N59" s="201">
        <f t="shared" si="4"/>
        <v>817509</v>
      </c>
      <c r="O59" s="301"/>
      <c r="P59" s="201">
        <f t="shared" si="5"/>
        <v>2640270</v>
      </c>
      <c r="Q59" s="234">
        <f t="shared" si="6"/>
        <v>2965023.21</v>
      </c>
      <c r="R59" s="234">
        <f t="shared" si="7"/>
        <v>3083624.14</v>
      </c>
    </row>
    <row r="60" spans="1:18" s="60" customFormat="1" ht="25.5" outlineLevel="1" x14ac:dyDescent="0.2">
      <c r="A60" s="62" t="s">
        <v>214</v>
      </c>
      <c r="B60" s="56" t="s">
        <v>188</v>
      </c>
      <c r="C60" s="56" t="s">
        <v>189</v>
      </c>
      <c r="D60" s="58"/>
      <c r="E60" s="57">
        <v>22.53</v>
      </c>
      <c r="F60" s="57">
        <v>4.21</v>
      </c>
      <c r="G60" s="58"/>
      <c r="H60" s="59">
        <f t="shared" si="0"/>
        <v>26.74</v>
      </c>
      <c r="I60" s="59"/>
      <c r="L60" s="201">
        <f t="shared" si="2"/>
        <v>0</v>
      </c>
      <c r="M60" s="201">
        <f t="shared" si="3"/>
        <v>161369</v>
      </c>
      <c r="N60" s="201">
        <f t="shared" si="4"/>
        <v>17219</v>
      </c>
      <c r="O60" s="301"/>
      <c r="P60" s="201">
        <f t="shared" si="5"/>
        <v>178588</v>
      </c>
      <c r="Q60" s="234">
        <f t="shared" si="6"/>
        <v>200554.32</v>
      </c>
      <c r="R60" s="234">
        <f t="shared" si="7"/>
        <v>208576.49</v>
      </c>
    </row>
    <row r="61" spans="1:18" ht="25.5" x14ac:dyDescent="0.2">
      <c r="A61" s="35">
        <v>7</v>
      </c>
      <c r="B61" s="45" t="s">
        <v>31</v>
      </c>
      <c r="C61" s="45" t="s">
        <v>32</v>
      </c>
      <c r="D61" s="19">
        <f>SUM(D62:D65)</f>
        <v>4869.87</v>
      </c>
      <c r="E61" s="19">
        <f t="shared" ref="E61:F61" si="14">SUM(E62:E65)</f>
        <v>80.650000000000006</v>
      </c>
      <c r="F61" s="19">
        <f t="shared" si="14"/>
        <v>755.93</v>
      </c>
      <c r="G61" s="18"/>
      <c r="H61" s="19">
        <f t="shared" si="0"/>
        <v>5706.45</v>
      </c>
      <c r="I61" s="19">
        <v>5706.45</v>
      </c>
      <c r="J61" s="5" t="b">
        <f t="shared" si="1"/>
        <v>1</v>
      </c>
      <c r="L61" s="77">
        <f>SUM(L62:L65)</f>
        <v>34879998</v>
      </c>
      <c r="M61" s="77">
        <f t="shared" ref="M61" si="15">SUM(M62:M65)</f>
        <v>577648</v>
      </c>
      <c r="N61" s="77">
        <f t="shared" ref="N61" si="16">SUM(N62:N65)</f>
        <v>3091754</v>
      </c>
      <c r="O61" s="78"/>
      <c r="P61" s="72">
        <f t="shared" si="5"/>
        <v>38549400</v>
      </c>
      <c r="Q61" s="234">
        <f t="shared" si="6"/>
        <v>43290976.200000003</v>
      </c>
      <c r="R61" s="234">
        <f t="shared" si="7"/>
        <v>45022615.25</v>
      </c>
    </row>
    <row r="62" spans="1:18" s="60" customFormat="1" ht="25.5" outlineLevel="1" x14ac:dyDescent="0.2">
      <c r="A62" s="62" t="s">
        <v>223</v>
      </c>
      <c r="B62" s="56" t="s">
        <v>215</v>
      </c>
      <c r="C62" s="56" t="s">
        <v>216</v>
      </c>
      <c r="D62" s="57">
        <v>1633.14</v>
      </c>
      <c r="E62" s="58"/>
      <c r="F62" s="57">
        <v>689.64</v>
      </c>
      <c r="G62" s="58"/>
      <c r="H62" s="59">
        <f t="shared" si="0"/>
        <v>2322.7800000000002</v>
      </c>
      <c r="I62" s="59"/>
      <c r="L62" s="201">
        <f t="shared" si="2"/>
        <v>11697216</v>
      </c>
      <c r="M62" s="201">
        <f t="shared" si="3"/>
        <v>0</v>
      </c>
      <c r="N62" s="201">
        <f t="shared" si="4"/>
        <v>2820628</v>
      </c>
      <c r="O62" s="301"/>
      <c r="P62" s="201">
        <f t="shared" si="5"/>
        <v>14517844</v>
      </c>
      <c r="Q62" s="234">
        <f t="shared" si="6"/>
        <v>16303538.810000001</v>
      </c>
      <c r="R62" s="234">
        <f t="shared" si="7"/>
        <v>16955680.359999999</v>
      </c>
    </row>
    <row r="63" spans="1:18" s="60" customFormat="1" ht="38.25" outlineLevel="1" x14ac:dyDescent="0.2">
      <c r="A63" s="62" t="s">
        <v>224</v>
      </c>
      <c r="B63" s="56" t="s">
        <v>217</v>
      </c>
      <c r="C63" s="56" t="s">
        <v>218</v>
      </c>
      <c r="D63" s="57">
        <v>3140.77</v>
      </c>
      <c r="E63" s="58"/>
      <c r="F63" s="58"/>
      <c r="G63" s="58"/>
      <c r="H63" s="59">
        <f t="shared" si="0"/>
        <v>3140.77</v>
      </c>
      <c r="I63" s="59"/>
      <c r="L63" s="201">
        <f t="shared" si="2"/>
        <v>22495477</v>
      </c>
      <c r="M63" s="201">
        <f t="shared" si="3"/>
        <v>0</v>
      </c>
      <c r="N63" s="201">
        <f t="shared" si="4"/>
        <v>0</v>
      </c>
      <c r="O63" s="301"/>
      <c r="P63" s="201">
        <f t="shared" si="5"/>
        <v>22495477</v>
      </c>
      <c r="Q63" s="234">
        <f t="shared" si="6"/>
        <v>25262420.670000002</v>
      </c>
      <c r="R63" s="234">
        <f t="shared" si="7"/>
        <v>26272917.5</v>
      </c>
    </row>
    <row r="64" spans="1:18" s="60" customFormat="1" ht="38.25" outlineLevel="1" x14ac:dyDescent="0.2">
      <c r="A64" s="62" t="s">
        <v>225</v>
      </c>
      <c r="B64" s="56" t="s">
        <v>219</v>
      </c>
      <c r="C64" s="56" t="s">
        <v>220</v>
      </c>
      <c r="D64" s="57">
        <v>0.78</v>
      </c>
      <c r="E64" s="57">
        <v>80.52</v>
      </c>
      <c r="F64" s="57">
        <v>66.290000000000006</v>
      </c>
      <c r="G64" s="58"/>
      <c r="H64" s="59">
        <f t="shared" si="0"/>
        <v>147.59</v>
      </c>
      <c r="I64" s="59"/>
      <c r="L64" s="201">
        <f t="shared" si="2"/>
        <v>5587</v>
      </c>
      <c r="M64" s="201">
        <f t="shared" si="3"/>
        <v>576717</v>
      </c>
      <c r="N64" s="201">
        <f t="shared" si="4"/>
        <v>271126</v>
      </c>
      <c r="O64" s="301"/>
      <c r="P64" s="201">
        <f t="shared" si="5"/>
        <v>853430</v>
      </c>
      <c r="Q64" s="234">
        <f t="shared" si="6"/>
        <v>958401.89</v>
      </c>
      <c r="R64" s="234">
        <f t="shared" si="7"/>
        <v>996737.97</v>
      </c>
    </row>
    <row r="65" spans="1:18" s="60" customFormat="1" ht="25.5" outlineLevel="1" x14ac:dyDescent="0.2">
      <c r="A65" s="62" t="s">
        <v>226</v>
      </c>
      <c r="B65" s="56" t="s">
        <v>221</v>
      </c>
      <c r="C65" s="56" t="s">
        <v>222</v>
      </c>
      <c r="D65" s="57">
        <v>95.18</v>
      </c>
      <c r="E65" s="57">
        <v>0.13</v>
      </c>
      <c r="F65" s="58"/>
      <c r="G65" s="58"/>
      <c r="H65" s="59">
        <f t="shared" si="0"/>
        <v>95.31</v>
      </c>
      <c r="I65" s="59"/>
      <c r="L65" s="201">
        <f t="shared" si="2"/>
        <v>681718</v>
      </c>
      <c r="M65" s="201">
        <f t="shared" si="3"/>
        <v>931</v>
      </c>
      <c r="N65" s="201">
        <f t="shared" si="4"/>
        <v>0</v>
      </c>
      <c r="O65" s="301"/>
      <c r="P65" s="201">
        <f t="shared" si="5"/>
        <v>682649</v>
      </c>
      <c r="Q65" s="234">
        <f t="shared" si="6"/>
        <v>766614.83</v>
      </c>
      <c r="R65" s="234">
        <f t="shared" si="7"/>
        <v>797279.42</v>
      </c>
    </row>
    <row r="66" spans="1:18" ht="27.95" customHeight="1" x14ac:dyDescent="0.2">
      <c r="A66" s="36"/>
      <c r="B66" s="669" t="s">
        <v>33</v>
      </c>
      <c r="C66" s="675"/>
      <c r="D66" s="19">
        <f>D34+D44+D61</f>
        <v>57464.87</v>
      </c>
      <c r="E66" s="19">
        <f t="shared" ref="E66:F66" si="17">E34+E44+E61</f>
        <v>2961.11</v>
      </c>
      <c r="F66" s="19">
        <f t="shared" si="17"/>
        <v>23403.01</v>
      </c>
      <c r="G66" s="18"/>
      <c r="H66" s="19">
        <f t="shared" si="0"/>
        <v>83828.990000000005</v>
      </c>
      <c r="I66" s="19">
        <v>256292.32</v>
      </c>
      <c r="J66" s="5" t="b">
        <f t="shared" si="1"/>
        <v>0</v>
      </c>
      <c r="L66" s="77">
        <f>L34+L44+L61</f>
        <v>411586866</v>
      </c>
      <c r="M66" s="77">
        <f t="shared" ref="M66:N66" si="18">M34+M44+M61</f>
        <v>21208679</v>
      </c>
      <c r="N66" s="77">
        <f t="shared" si="18"/>
        <v>95718310</v>
      </c>
      <c r="O66" s="78"/>
      <c r="P66" s="72">
        <f t="shared" si="5"/>
        <v>528513855</v>
      </c>
      <c r="Q66" s="234">
        <f t="shared" si="6"/>
        <v>593521059.16999996</v>
      </c>
      <c r="R66" s="234">
        <f t="shared" si="7"/>
        <v>617261901.53999996</v>
      </c>
    </row>
    <row r="67" spans="1:18" ht="12.75" customHeight="1" x14ac:dyDescent="0.2">
      <c r="A67" s="51" t="s">
        <v>34</v>
      </c>
      <c r="B67" s="52"/>
      <c r="C67" s="52"/>
      <c r="D67" s="54"/>
      <c r="E67" s="54"/>
      <c r="F67" s="54"/>
      <c r="G67" s="54"/>
      <c r="H67" s="19"/>
      <c r="I67" s="55"/>
      <c r="J67" s="5" t="b">
        <f t="shared" si="1"/>
        <v>1</v>
      </c>
      <c r="L67" s="72"/>
      <c r="M67" s="72"/>
      <c r="N67" s="72"/>
      <c r="O67" s="72"/>
      <c r="P67" s="72"/>
      <c r="Q67" s="234">
        <f t="shared" si="6"/>
        <v>0</v>
      </c>
      <c r="R67" s="234">
        <f t="shared" si="7"/>
        <v>0</v>
      </c>
    </row>
    <row r="68" spans="1:18" ht="25.5" x14ac:dyDescent="0.2">
      <c r="A68" s="35">
        <v>8</v>
      </c>
      <c r="B68" s="45" t="s">
        <v>35</v>
      </c>
      <c r="C68" s="45" t="s">
        <v>36</v>
      </c>
      <c r="D68" s="19">
        <v>1251.17</v>
      </c>
      <c r="E68" s="19">
        <v>692.28</v>
      </c>
      <c r="F68" s="18"/>
      <c r="G68" s="18"/>
      <c r="H68" s="19">
        <f t="shared" si="0"/>
        <v>1943.45</v>
      </c>
      <c r="I68" s="19">
        <v>1943.45</v>
      </c>
      <c r="J68" s="5" t="b">
        <f t="shared" si="1"/>
        <v>1</v>
      </c>
      <c r="L68" s="201">
        <f t="shared" si="2"/>
        <v>8961390</v>
      </c>
      <c r="M68" s="201">
        <f t="shared" si="3"/>
        <v>4958392</v>
      </c>
      <c r="N68" s="201">
        <f t="shared" si="4"/>
        <v>0</v>
      </c>
      <c r="O68" s="201"/>
      <c r="P68" s="201">
        <f t="shared" si="5"/>
        <v>13919782</v>
      </c>
      <c r="Q68" s="234">
        <f t="shared" si="6"/>
        <v>15631915.189999999</v>
      </c>
      <c r="R68" s="234">
        <f t="shared" si="7"/>
        <v>16257191.800000001</v>
      </c>
    </row>
    <row r="69" spans="1:18" ht="25.5" x14ac:dyDescent="0.2">
      <c r="A69" s="35">
        <v>9</v>
      </c>
      <c r="B69" s="45" t="s">
        <v>37</v>
      </c>
      <c r="C69" s="45" t="s">
        <v>38</v>
      </c>
      <c r="D69" s="19">
        <v>805.08</v>
      </c>
      <c r="E69" s="19">
        <v>2168.9899999999998</v>
      </c>
      <c r="F69" s="19">
        <v>0.36</v>
      </c>
      <c r="G69" s="18"/>
      <c r="H69" s="19">
        <f t="shared" si="0"/>
        <v>2974.43</v>
      </c>
      <c r="I69" s="19">
        <v>2974.43</v>
      </c>
      <c r="J69" s="5" t="b">
        <f t="shared" si="1"/>
        <v>1</v>
      </c>
      <c r="L69" s="201">
        <f>D69*(1.023*1.005-2.3%*15%)*6.99*1000-5</f>
        <v>5766307</v>
      </c>
      <c r="M69" s="201">
        <f>E69*(1.023*1.005-2.3%*15%)*6.99*1000-36.27</f>
        <v>15535156</v>
      </c>
      <c r="N69" s="201">
        <f t="shared" si="4"/>
        <v>1472</v>
      </c>
      <c r="O69" s="201"/>
      <c r="P69" s="201">
        <f t="shared" si="5"/>
        <v>21302935</v>
      </c>
      <c r="Q69" s="234">
        <f t="shared" si="6"/>
        <v>23923196.010000002</v>
      </c>
      <c r="R69" s="234">
        <f t="shared" si="7"/>
        <v>24880123.850000001</v>
      </c>
    </row>
    <row r="70" spans="1:18" ht="17.25" customHeight="1" x14ac:dyDescent="0.2">
      <c r="A70" s="35">
        <v>10</v>
      </c>
      <c r="B70" s="45" t="s">
        <v>39</v>
      </c>
      <c r="C70" s="45" t="s">
        <v>40</v>
      </c>
      <c r="D70" s="19">
        <f>SUM(D71:D72)</f>
        <v>103.69</v>
      </c>
      <c r="E70" s="19">
        <f t="shared" ref="E70:F70" si="19">SUM(E71:E72)</f>
        <v>70.040000000000006</v>
      </c>
      <c r="F70" s="19">
        <f t="shared" si="19"/>
        <v>5946.63</v>
      </c>
      <c r="G70" s="18"/>
      <c r="H70" s="19">
        <f t="shared" si="0"/>
        <v>6120.36</v>
      </c>
      <c r="I70" s="19">
        <v>6120.36</v>
      </c>
      <c r="J70" s="5" t="b">
        <f t="shared" si="1"/>
        <v>1</v>
      </c>
      <c r="L70" s="451">
        <f>SUM(L71:L72)</f>
        <v>742670</v>
      </c>
      <c r="M70" s="451">
        <f t="shared" ref="M70" si="20">SUM(M71:M72)</f>
        <v>501655</v>
      </c>
      <c r="N70" s="451">
        <f t="shared" ref="N70" si="21">SUM(N71:N72)</f>
        <v>24321717</v>
      </c>
      <c r="O70" s="452"/>
      <c r="P70" s="201">
        <f t="shared" si="5"/>
        <v>25566042</v>
      </c>
      <c r="Q70" s="234">
        <f t="shared" si="6"/>
        <v>28710665.170000002</v>
      </c>
      <c r="R70" s="234">
        <f t="shared" si="7"/>
        <v>29859091.780000001</v>
      </c>
    </row>
    <row r="71" spans="1:18" s="60" customFormat="1" ht="25.5" outlineLevel="1" x14ac:dyDescent="0.2">
      <c r="A71" s="62" t="s">
        <v>231</v>
      </c>
      <c r="B71" s="56" t="s">
        <v>227</v>
      </c>
      <c r="C71" s="56" t="s">
        <v>228</v>
      </c>
      <c r="D71" s="57">
        <v>102.63</v>
      </c>
      <c r="E71" s="58"/>
      <c r="F71" s="58"/>
      <c r="G71" s="58"/>
      <c r="H71" s="59">
        <f t="shared" si="0"/>
        <v>102.63</v>
      </c>
      <c r="I71" s="59"/>
      <c r="L71" s="201">
        <f t="shared" si="2"/>
        <v>735078</v>
      </c>
      <c r="M71" s="201">
        <f t="shared" si="3"/>
        <v>0</v>
      </c>
      <c r="N71" s="201">
        <f t="shared" si="4"/>
        <v>0</v>
      </c>
      <c r="O71" s="301"/>
      <c r="P71" s="201">
        <f t="shared" si="5"/>
        <v>735078</v>
      </c>
      <c r="Q71" s="234">
        <f t="shared" si="6"/>
        <v>825492.59</v>
      </c>
      <c r="R71" s="234">
        <f t="shared" si="7"/>
        <v>858512.29</v>
      </c>
    </row>
    <row r="72" spans="1:18" s="60" customFormat="1" ht="25.5" outlineLevel="1" x14ac:dyDescent="0.2">
      <c r="A72" s="62" t="s">
        <v>232</v>
      </c>
      <c r="B72" s="56" t="s">
        <v>229</v>
      </c>
      <c r="C72" s="56" t="s">
        <v>230</v>
      </c>
      <c r="D72" s="57">
        <v>1.06</v>
      </c>
      <c r="E72" s="57">
        <v>70.040000000000006</v>
      </c>
      <c r="F72" s="57">
        <v>5946.63</v>
      </c>
      <c r="G72" s="58"/>
      <c r="H72" s="59">
        <f t="shared" si="0"/>
        <v>6017.73</v>
      </c>
      <c r="I72" s="59"/>
      <c r="L72" s="201">
        <f t="shared" si="2"/>
        <v>7592</v>
      </c>
      <c r="M72" s="201">
        <f t="shared" si="3"/>
        <v>501655</v>
      </c>
      <c r="N72" s="201">
        <f t="shared" si="4"/>
        <v>24321717</v>
      </c>
      <c r="O72" s="301"/>
      <c r="P72" s="201">
        <f t="shared" si="5"/>
        <v>24830964</v>
      </c>
      <c r="Q72" s="234">
        <f t="shared" si="6"/>
        <v>27885172.57</v>
      </c>
      <c r="R72" s="234">
        <f t="shared" si="7"/>
        <v>29000579.469999999</v>
      </c>
    </row>
    <row r="73" spans="1:18" ht="15.75" customHeight="1" x14ac:dyDescent="0.2">
      <c r="A73" s="35">
        <v>11</v>
      </c>
      <c r="B73" s="45" t="s">
        <v>41</v>
      </c>
      <c r="C73" s="45" t="s">
        <v>42</v>
      </c>
      <c r="D73" s="19">
        <f>SUM(D74:D75)</f>
        <v>102.61</v>
      </c>
      <c r="E73" s="19">
        <f t="shared" ref="E73:F73" si="22">SUM(E74:E75)</f>
        <v>72.11</v>
      </c>
      <c r="F73" s="19">
        <f t="shared" si="22"/>
        <v>7220.91</v>
      </c>
      <c r="G73" s="18"/>
      <c r="H73" s="19">
        <f t="shared" si="0"/>
        <v>7395.63</v>
      </c>
      <c r="I73" s="19">
        <v>7395.63</v>
      </c>
      <c r="J73" s="5" t="b">
        <f t="shared" si="1"/>
        <v>1</v>
      </c>
      <c r="L73" s="451">
        <f>SUM(L74:L75)</f>
        <v>734935</v>
      </c>
      <c r="M73" s="451">
        <f t="shared" ref="M73" si="23">SUM(M74:M75)</f>
        <v>516481</v>
      </c>
      <c r="N73" s="451">
        <f t="shared" ref="N73" si="24">SUM(N74:N75)</f>
        <v>29533522</v>
      </c>
      <c r="O73" s="452"/>
      <c r="P73" s="201">
        <f t="shared" si="5"/>
        <v>30784938</v>
      </c>
      <c r="Q73" s="234">
        <f t="shared" si="6"/>
        <v>34571485.369999997</v>
      </c>
      <c r="R73" s="234">
        <f t="shared" si="7"/>
        <v>35954344.780000001</v>
      </c>
    </row>
    <row r="74" spans="1:18" s="60" customFormat="1" ht="25.5" outlineLevel="1" x14ac:dyDescent="0.2">
      <c r="A74" s="62" t="s">
        <v>237</v>
      </c>
      <c r="B74" s="56" t="s">
        <v>233</v>
      </c>
      <c r="C74" s="56" t="s">
        <v>234</v>
      </c>
      <c r="D74" s="57">
        <v>101.55</v>
      </c>
      <c r="E74" s="58"/>
      <c r="F74" s="58"/>
      <c r="G74" s="58"/>
      <c r="H74" s="59">
        <f t="shared" si="0"/>
        <v>101.55</v>
      </c>
      <c r="I74" s="59"/>
      <c r="L74" s="201">
        <f t="shared" si="2"/>
        <v>727343</v>
      </c>
      <c r="M74" s="201">
        <f t="shared" si="3"/>
        <v>0</v>
      </c>
      <c r="N74" s="201">
        <f t="shared" si="4"/>
        <v>0</v>
      </c>
      <c r="O74" s="301"/>
      <c r="P74" s="201">
        <f t="shared" si="5"/>
        <v>727343</v>
      </c>
      <c r="Q74" s="234">
        <f t="shared" si="6"/>
        <v>816806.19</v>
      </c>
      <c r="R74" s="234">
        <f t="shared" si="7"/>
        <v>849478.44</v>
      </c>
    </row>
    <row r="75" spans="1:18" s="60" customFormat="1" ht="25.5" outlineLevel="1" x14ac:dyDescent="0.2">
      <c r="A75" s="62" t="s">
        <v>238</v>
      </c>
      <c r="B75" s="56" t="s">
        <v>235</v>
      </c>
      <c r="C75" s="56" t="s">
        <v>236</v>
      </c>
      <c r="D75" s="57">
        <v>1.06</v>
      </c>
      <c r="E75" s="57">
        <v>72.11</v>
      </c>
      <c r="F75" s="57">
        <v>7220.91</v>
      </c>
      <c r="G75" s="58"/>
      <c r="H75" s="59">
        <f t="shared" si="0"/>
        <v>7294.08</v>
      </c>
      <c r="I75" s="59"/>
      <c r="L75" s="201">
        <f t="shared" si="2"/>
        <v>7592</v>
      </c>
      <c r="M75" s="201">
        <f t="shared" si="3"/>
        <v>516481</v>
      </c>
      <c r="N75" s="201">
        <f t="shared" si="4"/>
        <v>29533522</v>
      </c>
      <c r="O75" s="301"/>
      <c r="P75" s="201">
        <f t="shared" si="5"/>
        <v>30057595</v>
      </c>
      <c r="Q75" s="234">
        <f t="shared" si="6"/>
        <v>33754679.189999998</v>
      </c>
      <c r="R75" s="234">
        <f t="shared" si="7"/>
        <v>35104866.359999999</v>
      </c>
    </row>
    <row r="76" spans="1:18" ht="27.95" customHeight="1" x14ac:dyDescent="0.2">
      <c r="A76" s="36"/>
      <c r="B76" s="669" t="s">
        <v>43</v>
      </c>
      <c r="C76" s="675"/>
      <c r="D76" s="19">
        <f>D68+D69+D70+D73</f>
        <v>2262.5500000000002</v>
      </c>
      <c r="E76" s="19">
        <f t="shared" ref="E76:F76" si="25">E68+E69+E70+E73</f>
        <v>3003.42</v>
      </c>
      <c r="F76" s="19">
        <f t="shared" si="25"/>
        <v>13167.9</v>
      </c>
      <c r="G76" s="18"/>
      <c r="H76" s="19">
        <f t="shared" si="0"/>
        <v>18433.87</v>
      </c>
      <c r="I76" s="19">
        <v>18433.87</v>
      </c>
      <c r="J76" s="5" t="b">
        <f t="shared" si="1"/>
        <v>1</v>
      </c>
      <c r="L76" s="77">
        <f>L68+L69+L70+L73</f>
        <v>16205302</v>
      </c>
      <c r="M76" s="77">
        <f t="shared" ref="M76:N76" si="26">M68+M69+M70+M73</f>
        <v>21511684</v>
      </c>
      <c r="N76" s="77">
        <f t="shared" si="26"/>
        <v>53856711</v>
      </c>
      <c r="O76" s="78"/>
      <c r="P76" s="72">
        <f t="shared" si="5"/>
        <v>91573697</v>
      </c>
      <c r="Q76" s="234">
        <f t="shared" si="6"/>
        <v>102837261.73</v>
      </c>
      <c r="R76" s="234">
        <f t="shared" si="7"/>
        <v>106950752.2</v>
      </c>
    </row>
    <row r="77" spans="1:18" ht="12.75" customHeight="1" x14ac:dyDescent="0.2">
      <c r="A77" s="51" t="s">
        <v>44</v>
      </c>
      <c r="B77" s="52"/>
      <c r="C77" s="52"/>
      <c r="D77" s="54"/>
      <c r="E77" s="54"/>
      <c r="F77" s="54"/>
      <c r="G77" s="54"/>
      <c r="H77" s="19"/>
      <c r="I77" s="55"/>
      <c r="J77" s="5" t="b">
        <f t="shared" si="1"/>
        <v>1</v>
      </c>
      <c r="L77" s="72"/>
      <c r="M77" s="72"/>
      <c r="N77" s="72"/>
      <c r="O77" s="72"/>
      <c r="P77" s="72"/>
      <c r="Q77" s="234">
        <f t="shared" si="6"/>
        <v>0</v>
      </c>
      <c r="R77" s="234">
        <f t="shared" si="7"/>
        <v>0</v>
      </c>
    </row>
    <row r="78" spans="1:18" ht="21" customHeight="1" x14ac:dyDescent="0.2">
      <c r="A78" s="35">
        <v>12</v>
      </c>
      <c r="B78" s="45" t="s">
        <v>45</v>
      </c>
      <c r="C78" s="45" t="s">
        <v>46</v>
      </c>
      <c r="D78" s="19">
        <v>18.12</v>
      </c>
      <c r="E78" s="19">
        <v>268.88</v>
      </c>
      <c r="F78" s="19">
        <v>4.9000000000000004</v>
      </c>
      <c r="G78" s="18"/>
      <c r="H78" s="19">
        <f t="shared" si="0"/>
        <v>291.89999999999998</v>
      </c>
      <c r="I78" s="19">
        <v>291.89999999999998</v>
      </c>
      <c r="J78" s="5" t="b">
        <f t="shared" si="1"/>
        <v>1</v>
      </c>
      <c r="L78" s="201">
        <f t="shared" si="2"/>
        <v>129783</v>
      </c>
      <c r="M78" s="201">
        <f t="shared" si="3"/>
        <v>1925828</v>
      </c>
      <c r="N78" s="201">
        <f t="shared" si="4"/>
        <v>20041</v>
      </c>
      <c r="O78" s="201"/>
      <c r="P78" s="201">
        <f t="shared" si="5"/>
        <v>2075652</v>
      </c>
      <c r="Q78" s="234">
        <f t="shared" si="6"/>
        <v>2330957.2000000002</v>
      </c>
      <c r="R78" s="234">
        <f t="shared" si="7"/>
        <v>2424195.4900000002</v>
      </c>
    </row>
    <row r="79" spans="1:18" ht="27.95" customHeight="1" x14ac:dyDescent="0.2">
      <c r="A79" s="36"/>
      <c r="B79" s="669" t="s">
        <v>47</v>
      </c>
      <c r="C79" s="675"/>
      <c r="D79" s="19">
        <f>D78</f>
        <v>18.12</v>
      </c>
      <c r="E79" s="19">
        <f t="shared" ref="E79:F79" si="27">E78</f>
        <v>268.88</v>
      </c>
      <c r="F79" s="19">
        <f t="shared" si="27"/>
        <v>4.9000000000000004</v>
      </c>
      <c r="G79" s="18"/>
      <c r="H79" s="19">
        <f t="shared" si="0"/>
        <v>291.89999999999998</v>
      </c>
      <c r="I79" s="19">
        <v>291.89999999999998</v>
      </c>
      <c r="J79" s="5" t="b">
        <f t="shared" si="1"/>
        <v>1</v>
      </c>
      <c r="L79" s="451">
        <f>L78</f>
        <v>129783</v>
      </c>
      <c r="M79" s="451">
        <f t="shared" ref="M79" si="28">M78</f>
        <v>1925828</v>
      </c>
      <c r="N79" s="451">
        <f t="shared" ref="N79" si="29">N78</f>
        <v>20041</v>
      </c>
      <c r="O79" s="452"/>
      <c r="P79" s="201">
        <f t="shared" si="5"/>
        <v>2075652</v>
      </c>
      <c r="Q79" s="234">
        <f t="shared" si="6"/>
        <v>2330957.2000000002</v>
      </c>
      <c r="R79" s="234">
        <f t="shared" si="7"/>
        <v>2424195.4900000002</v>
      </c>
    </row>
    <row r="80" spans="1:18" ht="12.75" customHeight="1" x14ac:dyDescent="0.2">
      <c r="A80" s="51" t="s">
        <v>48</v>
      </c>
      <c r="B80" s="52"/>
      <c r="C80" s="52"/>
      <c r="D80" s="54"/>
      <c r="E80" s="54"/>
      <c r="F80" s="54"/>
      <c r="G80" s="54"/>
      <c r="H80" s="19"/>
      <c r="I80" s="55"/>
      <c r="J80" s="5" t="b">
        <f t="shared" si="1"/>
        <v>1</v>
      </c>
      <c r="L80" s="72"/>
      <c r="M80" s="72"/>
      <c r="N80" s="72"/>
      <c r="O80" s="72"/>
      <c r="P80" s="72"/>
      <c r="Q80" s="234">
        <f t="shared" si="6"/>
        <v>0</v>
      </c>
      <c r="R80" s="234">
        <f t="shared" si="7"/>
        <v>0</v>
      </c>
    </row>
    <row r="81" spans="1:18" ht="17.25" customHeight="1" x14ac:dyDescent="0.2">
      <c r="A81" s="35">
        <v>13</v>
      </c>
      <c r="B81" s="45" t="s">
        <v>49</v>
      </c>
      <c r="C81" s="45" t="s">
        <v>50</v>
      </c>
      <c r="D81" s="19">
        <f>SUM(D82:D84)</f>
        <v>10797.24</v>
      </c>
      <c r="E81" s="19">
        <f t="shared" ref="E81:F81" si="30">SUM(E82:E84)</f>
        <v>30.81</v>
      </c>
      <c r="F81" s="19">
        <f t="shared" si="30"/>
        <v>5984.14</v>
      </c>
      <c r="G81" s="18"/>
      <c r="H81" s="19">
        <f t="shared" si="0"/>
        <v>16812.189999999999</v>
      </c>
      <c r="I81" s="19">
        <v>16812.189999999999</v>
      </c>
      <c r="J81" s="5" t="b">
        <f t="shared" si="1"/>
        <v>1</v>
      </c>
      <c r="L81" s="77">
        <f>SUM(L82:L84)</f>
        <v>77334242</v>
      </c>
      <c r="M81" s="77">
        <f t="shared" ref="M81" si="31">SUM(M82:M84)</f>
        <v>220674</v>
      </c>
      <c r="N81" s="77">
        <f t="shared" ref="N81" si="32">SUM(N82:N84)</f>
        <v>24475118</v>
      </c>
      <c r="O81" s="78"/>
      <c r="P81" s="72">
        <f t="shared" si="5"/>
        <v>102030034</v>
      </c>
      <c r="Q81" s="234">
        <f t="shared" si="6"/>
        <v>114579728.18000001</v>
      </c>
      <c r="R81" s="234">
        <f t="shared" si="7"/>
        <v>119162917.31</v>
      </c>
    </row>
    <row r="82" spans="1:18" s="60" customFormat="1" ht="17.25" customHeight="1" outlineLevel="1" x14ac:dyDescent="0.2">
      <c r="A82" s="62" t="s">
        <v>245</v>
      </c>
      <c r="B82" s="56" t="s">
        <v>239</v>
      </c>
      <c r="C82" s="56" t="s">
        <v>240</v>
      </c>
      <c r="D82" s="57">
        <v>10003.879999999999</v>
      </c>
      <c r="E82" s="57">
        <v>23.14</v>
      </c>
      <c r="F82" s="58"/>
      <c r="G82" s="58"/>
      <c r="H82" s="59">
        <f t="shared" si="0"/>
        <v>10027.02</v>
      </c>
      <c r="I82" s="59"/>
      <c r="L82" s="201">
        <f t="shared" si="2"/>
        <v>71651874</v>
      </c>
      <c r="M82" s="201">
        <f t="shared" si="3"/>
        <v>165738</v>
      </c>
      <c r="N82" s="201">
        <f t="shared" si="4"/>
        <v>0</v>
      </c>
      <c r="O82" s="301"/>
      <c r="P82" s="201">
        <f t="shared" si="5"/>
        <v>71817612</v>
      </c>
      <c r="Q82" s="234">
        <f t="shared" si="6"/>
        <v>80651178.280000001</v>
      </c>
      <c r="R82" s="234">
        <f t="shared" si="7"/>
        <v>83877225.409999996</v>
      </c>
    </row>
    <row r="83" spans="1:18" s="60" customFormat="1" ht="17.25" customHeight="1" outlineLevel="1" x14ac:dyDescent="0.2">
      <c r="A83" s="62" t="s">
        <v>246</v>
      </c>
      <c r="B83" s="56" t="s">
        <v>241</v>
      </c>
      <c r="C83" s="56" t="s">
        <v>242</v>
      </c>
      <c r="D83" s="58"/>
      <c r="E83" s="57">
        <v>7.67</v>
      </c>
      <c r="F83" s="57">
        <v>5984.14</v>
      </c>
      <c r="G83" s="58"/>
      <c r="H83" s="59">
        <f t="shared" si="0"/>
        <v>5991.81</v>
      </c>
      <c r="I83" s="59"/>
      <c r="L83" s="201">
        <f t="shared" si="2"/>
        <v>0</v>
      </c>
      <c r="M83" s="201">
        <f t="shared" si="3"/>
        <v>54936</v>
      </c>
      <c r="N83" s="201">
        <f>F83*4.09*1000-15</f>
        <v>24475118</v>
      </c>
      <c r="O83" s="301"/>
      <c r="P83" s="201">
        <f t="shared" si="5"/>
        <v>24530054</v>
      </c>
      <c r="Q83" s="234">
        <f t="shared" si="6"/>
        <v>27547250.640000001</v>
      </c>
      <c r="R83" s="234">
        <f t="shared" si="7"/>
        <v>28649140.670000002</v>
      </c>
    </row>
    <row r="84" spans="1:18" s="60" customFormat="1" ht="25.5" outlineLevel="1" x14ac:dyDescent="0.2">
      <c r="A84" s="62" t="s">
        <v>247</v>
      </c>
      <c r="B84" s="56" t="s">
        <v>243</v>
      </c>
      <c r="C84" s="56" t="s">
        <v>244</v>
      </c>
      <c r="D84" s="57">
        <v>793.36</v>
      </c>
      <c r="E84" s="58"/>
      <c r="F84" s="58"/>
      <c r="G84" s="58"/>
      <c r="H84" s="59">
        <f t="shared" si="0"/>
        <v>793.36</v>
      </c>
      <c r="I84" s="59"/>
      <c r="L84" s="201">
        <f t="shared" si="2"/>
        <v>5682368</v>
      </c>
      <c r="M84" s="201">
        <f t="shared" si="3"/>
        <v>0</v>
      </c>
      <c r="N84" s="201">
        <f t="shared" si="4"/>
        <v>0</v>
      </c>
      <c r="O84" s="301"/>
      <c r="P84" s="201">
        <f t="shared" si="5"/>
        <v>5682368</v>
      </c>
      <c r="Q84" s="234">
        <f t="shared" si="6"/>
        <v>6381299.2599999998</v>
      </c>
      <c r="R84" s="234">
        <f t="shared" si="7"/>
        <v>6636551.2300000004</v>
      </c>
    </row>
    <row r="85" spans="1:18" ht="20.25" customHeight="1" x14ac:dyDescent="0.2">
      <c r="A85" s="35">
        <v>14</v>
      </c>
      <c r="B85" s="45" t="s">
        <v>51</v>
      </c>
      <c r="C85" s="45" t="s">
        <v>138</v>
      </c>
      <c r="D85" s="19">
        <v>8879.36</v>
      </c>
      <c r="E85" s="19">
        <v>59.06</v>
      </c>
      <c r="F85" s="19">
        <v>498.29</v>
      </c>
      <c r="G85" s="18"/>
      <c r="H85" s="19">
        <f t="shared" si="0"/>
        <v>9436.7099999999991</v>
      </c>
      <c r="I85" s="19">
        <v>9436.7099999999991</v>
      </c>
      <c r="J85" s="5" t="b">
        <f t="shared" si="1"/>
        <v>1</v>
      </c>
      <c r="L85" s="201">
        <f t="shared" si="2"/>
        <v>63597602</v>
      </c>
      <c r="M85" s="201">
        <f t="shared" si="3"/>
        <v>423012</v>
      </c>
      <c r="N85" s="201">
        <f t="shared" si="4"/>
        <v>2038006</v>
      </c>
      <c r="O85" s="201"/>
      <c r="P85" s="201">
        <f t="shared" si="5"/>
        <v>66058620</v>
      </c>
      <c r="Q85" s="234">
        <f t="shared" si="6"/>
        <v>74183830.260000005</v>
      </c>
      <c r="R85" s="234">
        <f t="shared" si="7"/>
        <v>77151183.469999999</v>
      </c>
    </row>
    <row r="86" spans="1:18" ht="27.95" customHeight="1" x14ac:dyDescent="0.2">
      <c r="A86" s="36"/>
      <c r="B86" s="669" t="s">
        <v>52</v>
      </c>
      <c r="C86" s="675"/>
      <c r="D86" s="19">
        <f>D81+D85</f>
        <v>19676.599999999999</v>
      </c>
      <c r="E86" s="19">
        <f t="shared" ref="E86:F86" si="33">E81+E85</f>
        <v>89.87</v>
      </c>
      <c r="F86" s="19">
        <f t="shared" si="33"/>
        <v>6482.43</v>
      </c>
      <c r="G86" s="18"/>
      <c r="H86" s="19">
        <f t="shared" si="0"/>
        <v>26248.9</v>
      </c>
      <c r="I86" s="19">
        <v>26248.9</v>
      </c>
      <c r="J86" s="5" t="b">
        <f t="shared" si="1"/>
        <v>1</v>
      </c>
      <c r="L86" s="77">
        <f>L81+L85</f>
        <v>140931844</v>
      </c>
      <c r="M86" s="77">
        <f t="shared" ref="M86" si="34">M81+M85</f>
        <v>643686</v>
      </c>
      <c r="N86" s="77">
        <f t="shared" ref="N86" si="35">N81+N85</f>
        <v>26513124</v>
      </c>
      <c r="O86" s="78"/>
      <c r="P86" s="72">
        <f t="shared" si="5"/>
        <v>168088654</v>
      </c>
      <c r="Q86" s="234">
        <f t="shared" si="6"/>
        <v>188763558.44</v>
      </c>
      <c r="R86" s="234">
        <f t="shared" si="7"/>
        <v>196314100.78</v>
      </c>
    </row>
    <row r="87" spans="1:18" ht="12.75" customHeight="1" x14ac:dyDescent="0.2">
      <c r="A87" s="51" t="s">
        <v>53</v>
      </c>
      <c r="B87" s="52"/>
      <c r="C87" s="52"/>
      <c r="D87" s="54"/>
      <c r="E87" s="54"/>
      <c r="F87" s="54"/>
      <c r="G87" s="54"/>
      <c r="H87" s="19"/>
      <c r="I87" s="55"/>
      <c r="J87" s="5" t="b">
        <f t="shared" si="1"/>
        <v>1</v>
      </c>
      <c r="L87" s="72"/>
      <c r="M87" s="72"/>
      <c r="N87" s="72"/>
      <c r="O87" s="72"/>
      <c r="P87" s="72"/>
      <c r="Q87" s="234">
        <f t="shared" si="6"/>
        <v>0</v>
      </c>
      <c r="R87" s="234">
        <f t="shared" si="7"/>
        <v>0</v>
      </c>
    </row>
    <row r="88" spans="1:18" ht="19.5" customHeight="1" x14ac:dyDescent="0.2">
      <c r="A88" s="35">
        <v>15</v>
      </c>
      <c r="B88" s="45" t="s">
        <v>54</v>
      </c>
      <c r="C88" s="45" t="s">
        <v>137</v>
      </c>
      <c r="D88" s="19">
        <v>333.52</v>
      </c>
      <c r="E88" s="18"/>
      <c r="F88" s="18"/>
      <c r="G88" s="18"/>
      <c r="H88" s="19">
        <f t="shared" si="0"/>
        <v>333.52</v>
      </c>
      <c r="I88" s="19">
        <v>333.52</v>
      </c>
      <c r="J88" s="5" t="b">
        <f t="shared" si="1"/>
        <v>1</v>
      </c>
      <c r="L88" s="201">
        <f t="shared" si="2"/>
        <v>2388806</v>
      </c>
      <c r="M88" s="201">
        <f t="shared" si="3"/>
        <v>0</v>
      </c>
      <c r="N88" s="201">
        <f t="shared" si="4"/>
        <v>0</v>
      </c>
      <c r="O88" s="201"/>
      <c r="P88" s="201">
        <f t="shared" si="5"/>
        <v>2388806</v>
      </c>
      <c r="Q88" s="234">
        <f t="shared" si="6"/>
        <v>2682629.14</v>
      </c>
      <c r="R88" s="234">
        <f t="shared" si="7"/>
        <v>2789934.31</v>
      </c>
    </row>
    <row r="89" spans="1:18" ht="27.95" customHeight="1" x14ac:dyDescent="0.2">
      <c r="A89" s="36"/>
      <c r="B89" s="669" t="s">
        <v>55</v>
      </c>
      <c r="C89" s="675"/>
      <c r="D89" s="19">
        <f>D88</f>
        <v>333.52</v>
      </c>
      <c r="E89" s="18"/>
      <c r="F89" s="18"/>
      <c r="G89" s="18"/>
      <c r="H89" s="19">
        <f t="shared" si="0"/>
        <v>333.52</v>
      </c>
      <c r="I89" s="19">
        <v>333.52</v>
      </c>
      <c r="J89" s="5" t="b">
        <f t="shared" si="1"/>
        <v>1</v>
      </c>
      <c r="L89" s="451">
        <f>L88</f>
        <v>2388806</v>
      </c>
      <c r="M89" s="452"/>
      <c r="N89" s="452"/>
      <c r="O89" s="452"/>
      <c r="P89" s="201">
        <f t="shared" si="5"/>
        <v>2388806</v>
      </c>
      <c r="Q89" s="234">
        <f t="shared" si="6"/>
        <v>2682629.14</v>
      </c>
      <c r="R89" s="234">
        <f t="shared" si="7"/>
        <v>2789934.31</v>
      </c>
    </row>
    <row r="90" spans="1:18" x14ac:dyDescent="0.2">
      <c r="A90" s="36"/>
      <c r="B90" s="669" t="s">
        <v>56</v>
      </c>
      <c r="C90" s="675"/>
      <c r="D90" s="19">
        <f>D32+D66+D76+D79+D86+D89</f>
        <v>79765.350000000006</v>
      </c>
      <c r="E90" s="19">
        <f t="shared" ref="E90:G90" si="36">E32+E66+E76+E79+E86+E89</f>
        <v>6323.28</v>
      </c>
      <c r="F90" s="19">
        <f t="shared" si="36"/>
        <v>43058.239999999998</v>
      </c>
      <c r="G90" s="19">
        <f t="shared" si="36"/>
        <v>0</v>
      </c>
      <c r="H90" s="19">
        <f t="shared" si="0"/>
        <v>129146.87</v>
      </c>
      <c r="I90" s="19">
        <v>301699.95</v>
      </c>
      <c r="J90" s="5" t="b">
        <f t="shared" si="1"/>
        <v>0</v>
      </c>
      <c r="L90" s="77">
        <f>L32+L66+L76+L79+L86+L89</f>
        <v>571312004</v>
      </c>
      <c r="M90" s="77">
        <f t="shared" ref="M90" si="37">M32+M66+M76+M79+M86+M89</f>
        <v>45289877</v>
      </c>
      <c r="N90" s="77">
        <f t="shared" ref="N90" si="38">N32+N66+N76+N79+N86+N89</f>
        <v>176108186</v>
      </c>
      <c r="O90" s="77">
        <f t="shared" ref="O90" si="39">O32+O66+O76+O79+O86+O89</f>
        <v>0</v>
      </c>
      <c r="P90" s="72">
        <f t="shared" si="5"/>
        <v>792710067</v>
      </c>
      <c r="Q90" s="234">
        <f t="shared" si="6"/>
        <v>890213405.24000001</v>
      </c>
      <c r="R90" s="234">
        <f t="shared" si="7"/>
        <v>925821941.45000005</v>
      </c>
    </row>
    <row r="91" spans="1:18" ht="12.75" customHeight="1" x14ac:dyDescent="0.2">
      <c r="A91" s="51" t="s">
        <v>57</v>
      </c>
      <c r="B91" s="52"/>
      <c r="C91" s="52"/>
      <c r="D91" s="54"/>
      <c r="E91" s="54"/>
      <c r="F91" s="54"/>
      <c r="G91" s="54"/>
      <c r="H91" s="19"/>
      <c r="I91" s="55"/>
      <c r="J91" s="5" t="b">
        <f t="shared" si="1"/>
        <v>1</v>
      </c>
      <c r="L91" s="72"/>
      <c r="M91" s="72"/>
      <c r="N91" s="72"/>
      <c r="O91" s="72"/>
      <c r="P91" s="72"/>
      <c r="Q91" s="234">
        <f t="shared" si="6"/>
        <v>0</v>
      </c>
      <c r="R91" s="234">
        <f t="shared" si="7"/>
        <v>0</v>
      </c>
    </row>
    <row r="92" spans="1:18" ht="25.5" x14ac:dyDescent="0.2">
      <c r="A92" s="35">
        <v>16</v>
      </c>
      <c r="B92" s="45" t="s">
        <v>58</v>
      </c>
      <c r="C92" s="45" t="s">
        <v>59</v>
      </c>
      <c r="D92" s="19">
        <f>D90*2.3%</f>
        <v>1834.6</v>
      </c>
      <c r="E92" s="19">
        <f>E90*2.3%</f>
        <v>145.44</v>
      </c>
      <c r="F92" s="18"/>
      <c r="G92" s="18"/>
      <c r="H92" s="19">
        <f t="shared" si="0"/>
        <v>1980.04</v>
      </c>
      <c r="I92" s="19">
        <v>1980.04</v>
      </c>
      <c r="J92" s="5" t="b">
        <f t="shared" si="1"/>
        <v>1</v>
      </c>
      <c r="L92" s="72"/>
      <c r="M92" s="72"/>
      <c r="N92" s="72"/>
      <c r="O92" s="72"/>
      <c r="P92" s="72"/>
      <c r="Q92" s="234">
        <f t="shared" si="6"/>
        <v>0</v>
      </c>
      <c r="R92" s="234">
        <f t="shared" si="7"/>
        <v>0</v>
      </c>
    </row>
    <row r="93" spans="1:18" x14ac:dyDescent="0.2">
      <c r="A93" s="36"/>
      <c r="B93" s="669" t="s">
        <v>60</v>
      </c>
      <c r="C93" s="675"/>
      <c r="D93" s="19">
        <f>D92</f>
        <v>1834.6</v>
      </c>
      <c r="E93" s="19">
        <f>E92</f>
        <v>145.44</v>
      </c>
      <c r="F93" s="18"/>
      <c r="G93" s="18"/>
      <c r="H93" s="19">
        <f t="shared" ref="H93:H151" si="40">SUM(D93:G93)</f>
        <v>1980.04</v>
      </c>
      <c r="I93" s="19">
        <v>1980.04</v>
      </c>
      <c r="J93" s="5" t="b">
        <f t="shared" ref="J93:J151" si="41">H93=I93</f>
        <v>1</v>
      </c>
      <c r="L93" s="77">
        <f>L92</f>
        <v>0</v>
      </c>
      <c r="M93" s="77">
        <f>M92</f>
        <v>0</v>
      </c>
      <c r="N93" s="78"/>
      <c r="O93" s="78"/>
      <c r="P93" s="72"/>
      <c r="Q93" s="234">
        <f t="shared" ref="Q93:Q148" si="42">P93*$Q$24</f>
        <v>0</v>
      </c>
      <c r="R93" s="234">
        <f t="shared" ref="R93:R148" si="43">Q93*$R$24</f>
        <v>0</v>
      </c>
    </row>
    <row r="94" spans="1:18" x14ac:dyDescent="0.2">
      <c r="A94" s="36"/>
      <c r="B94" s="669" t="s">
        <v>61</v>
      </c>
      <c r="C94" s="675"/>
      <c r="D94" s="19">
        <f>D90+D93</f>
        <v>81599.95</v>
      </c>
      <c r="E94" s="19">
        <f t="shared" ref="E94:G94" si="44">E90+E93</f>
        <v>6468.72</v>
      </c>
      <c r="F94" s="19">
        <f t="shared" si="44"/>
        <v>43058.239999999998</v>
      </c>
      <c r="G94" s="19">
        <f t="shared" si="44"/>
        <v>0</v>
      </c>
      <c r="H94" s="19">
        <f t="shared" si="40"/>
        <v>131126.91</v>
      </c>
      <c r="I94" s="19">
        <v>303679.99</v>
      </c>
      <c r="J94" s="5" t="b">
        <f t="shared" si="41"/>
        <v>0</v>
      </c>
      <c r="L94" s="77">
        <f>L90+L93</f>
        <v>571312004</v>
      </c>
      <c r="M94" s="77">
        <f t="shared" ref="M94" si="45">M90+M93</f>
        <v>45289877</v>
      </c>
      <c r="N94" s="77">
        <f t="shared" ref="N94" si="46">N90+N93</f>
        <v>176108186</v>
      </c>
      <c r="O94" s="77">
        <f t="shared" ref="O94" si="47">O90+O93</f>
        <v>0</v>
      </c>
      <c r="P94" s="72"/>
      <c r="Q94" s="234">
        <f t="shared" si="42"/>
        <v>0</v>
      </c>
      <c r="R94" s="234">
        <f t="shared" si="43"/>
        <v>0</v>
      </c>
    </row>
    <row r="95" spans="1:18" ht="12.75" customHeight="1" x14ac:dyDescent="0.2">
      <c r="A95" s="51" t="s">
        <v>62</v>
      </c>
      <c r="B95" s="52"/>
      <c r="C95" s="52"/>
      <c r="D95" s="54"/>
      <c r="E95" s="54"/>
      <c r="F95" s="54"/>
      <c r="G95" s="54"/>
      <c r="H95" s="19"/>
      <c r="I95" s="55"/>
      <c r="J95" s="5" t="b">
        <f t="shared" si="41"/>
        <v>1</v>
      </c>
      <c r="L95" s="72"/>
      <c r="M95" s="72"/>
      <c r="N95" s="72"/>
      <c r="O95" s="72"/>
      <c r="P95" s="72"/>
      <c r="Q95" s="234">
        <f t="shared" si="42"/>
        <v>0</v>
      </c>
      <c r="R95" s="234">
        <f t="shared" si="43"/>
        <v>0</v>
      </c>
    </row>
    <row r="96" spans="1:18" x14ac:dyDescent="0.2">
      <c r="A96" s="35">
        <v>17</v>
      </c>
      <c r="B96" s="45" t="s">
        <v>63</v>
      </c>
      <c r="C96" s="45" t="s">
        <v>64</v>
      </c>
      <c r="D96" s="19">
        <f>D94*0.5%</f>
        <v>408</v>
      </c>
      <c r="E96" s="19">
        <f>E94*0.5%</f>
        <v>32.340000000000003</v>
      </c>
      <c r="F96" s="18"/>
      <c r="G96" s="18"/>
      <c r="H96" s="19">
        <f t="shared" si="40"/>
        <v>440.34</v>
      </c>
      <c r="I96" s="19">
        <v>440.34</v>
      </c>
      <c r="J96" s="5" t="b">
        <f t="shared" si="41"/>
        <v>1</v>
      </c>
      <c r="L96" s="72"/>
      <c r="M96" s="72"/>
      <c r="N96" s="72"/>
      <c r="O96" s="72"/>
      <c r="P96" s="72">
        <f t="shared" ref="P96:P151" si="48">SUM(L96:O96)</f>
        <v>0</v>
      </c>
      <c r="Q96" s="234">
        <f t="shared" si="42"/>
        <v>0</v>
      </c>
      <c r="R96" s="234">
        <f t="shared" si="43"/>
        <v>0</v>
      </c>
    </row>
    <row r="97" spans="1:20" ht="18.75" customHeight="1" x14ac:dyDescent="0.2">
      <c r="A97" s="35">
        <v>18</v>
      </c>
      <c r="B97" s="45" t="s">
        <v>65</v>
      </c>
      <c r="C97" s="45" t="s">
        <v>66</v>
      </c>
      <c r="D97" s="18"/>
      <c r="E97" s="18"/>
      <c r="F97" s="18"/>
      <c r="G97" s="19">
        <v>96.82</v>
      </c>
      <c r="H97" s="19">
        <f t="shared" si="40"/>
        <v>96.82</v>
      </c>
      <c r="I97" s="19">
        <v>96.82</v>
      </c>
      <c r="J97" s="5" t="b">
        <f t="shared" si="41"/>
        <v>1</v>
      </c>
      <c r="L97" s="201"/>
      <c r="M97" s="201"/>
      <c r="N97" s="201"/>
      <c r="O97" s="201">
        <f>G97*10.79*1000</f>
        <v>1044688</v>
      </c>
      <c r="P97" s="201">
        <f t="shared" si="48"/>
        <v>1044688</v>
      </c>
      <c r="Q97" s="234">
        <f t="shared" si="42"/>
        <v>1173184.6200000001</v>
      </c>
      <c r="R97" s="234">
        <f t="shared" si="43"/>
        <v>1220112</v>
      </c>
    </row>
    <row r="98" spans="1:20" ht="18.75" customHeight="1" x14ac:dyDescent="0.2">
      <c r="A98" s="35">
        <v>19</v>
      </c>
      <c r="B98" s="45" t="s">
        <v>67</v>
      </c>
      <c r="C98" s="45" t="s">
        <v>68</v>
      </c>
      <c r="D98" s="18"/>
      <c r="E98" s="18"/>
      <c r="F98" s="18"/>
      <c r="G98" s="19">
        <v>113.67</v>
      </c>
      <c r="H98" s="19">
        <f t="shared" si="40"/>
        <v>113.67</v>
      </c>
      <c r="I98" s="19">
        <v>113.67</v>
      </c>
      <c r="J98" s="5" t="b">
        <f t="shared" si="41"/>
        <v>1</v>
      </c>
      <c r="L98" s="201"/>
      <c r="M98" s="201"/>
      <c r="N98" s="201"/>
      <c r="O98" s="201">
        <f>G98*1.266*4.35*1000</f>
        <v>625992</v>
      </c>
      <c r="P98" s="201">
        <f t="shared" si="48"/>
        <v>625992</v>
      </c>
      <c r="Q98" s="234">
        <f t="shared" si="42"/>
        <v>702989.02</v>
      </c>
      <c r="R98" s="234">
        <f t="shared" si="43"/>
        <v>731108.58</v>
      </c>
    </row>
    <row r="99" spans="1:20" ht="18.75" customHeight="1" x14ac:dyDescent="0.2">
      <c r="A99" s="35">
        <v>20</v>
      </c>
      <c r="B99" s="45" t="s">
        <v>69</v>
      </c>
      <c r="C99" s="45" t="s">
        <v>70</v>
      </c>
      <c r="D99" s="18"/>
      <c r="E99" s="18"/>
      <c r="F99" s="18"/>
      <c r="G99" s="19">
        <f>SUM(G100:G107)</f>
        <v>75.98</v>
      </c>
      <c r="H99" s="19">
        <f t="shared" si="40"/>
        <v>75.98</v>
      </c>
      <c r="I99" s="19">
        <v>75.98</v>
      </c>
      <c r="J99" s="5" t="b">
        <f t="shared" si="41"/>
        <v>1</v>
      </c>
      <c r="L99" s="452"/>
      <c r="M99" s="452"/>
      <c r="N99" s="452"/>
      <c r="O99" s="451">
        <f>SUM(O100:O107)</f>
        <v>939112</v>
      </c>
      <c r="P99" s="201">
        <f t="shared" si="48"/>
        <v>939112</v>
      </c>
      <c r="Q99" s="234">
        <f t="shared" si="42"/>
        <v>1054622.78</v>
      </c>
      <c r="R99" s="234">
        <f t="shared" si="43"/>
        <v>1096807.69</v>
      </c>
      <c r="S99" s="5" t="s">
        <v>1803</v>
      </c>
      <c r="T99" s="5">
        <f>O99/(L112+M112+O99)</f>
        <v>1.52072819560984E-3</v>
      </c>
    </row>
    <row r="100" spans="1:20" s="60" customFormat="1" ht="25.5" outlineLevel="1" x14ac:dyDescent="0.2">
      <c r="A100" s="62" t="s">
        <v>264</v>
      </c>
      <c r="B100" s="56" t="s">
        <v>248</v>
      </c>
      <c r="C100" s="56" t="s">
        <v>249</v>
      </c>
      <c r="D100" s="58"/>
      <c r="E100" s="58"/>
      <c r="F100" s="58"/>
      <c r="G100" s="63">
        <f xml:space="preserve">
3.74*0.8</f>
        <v>2.99</v>
      </c>
      <c r="H100" s="59">
        <f t="shared" si="40"/>
        <v>2.99</v>
      </c>
      <c r="I100" s="59"/>
      <c r="L100" s="201"/>
      <c r="M100" s="201"/>
      <c r="N100" s="201"/>
      <c r="O100" s="301">
        <f>G100*12.36*1000</f>
        <v>36956</v>
      </c>
      <c r="P100" s="201">
        <f t="shared" si="48"/>
        <v>36956</v>
      </c>
      <c r="Q100" s="234">
        <f t="shared" si="42"/>
        <v>41501.589999999997</v>
      </c>
      <c r="R100" s="234">
        <f t="shared" si="43"/>
        <v>43161.65</v>
      </c>
    </row>
    <row r="101" spans="1:20" s="60" customFormat="1" ht="25.5" outlineLevel="1" x14ac:dyDescent="0.2">
      <c r="A101" s="62" t="s">
        <v>265</v>
      </c>
      <c r="B101" s="56" t="s">
        <v>250</v>
      </c>
      <c r="C101" s="56" t="s">
        <v>251</v>
      </c>
      <c r="D101" s="58"/>
      <c r="E101" s="58"/>
      <c r="F101" s="58"/>
      <c r="G101" s="63">
        <f>11.054*0.8</f>
        <v>8.84</v>
      </c>
      <c r="H101" s="59">
        <f t="shared" si="40"/>
        <v>8.84</v>
      </c>
      <c r="I101" s="59"/>
      <c r="L101" s="201"/>
      <c r="M101" s="201"/>
      <c r="N101" s="201"/>
      <c r="O101" s="301">
        <f t="shared" ref="O101:O107" si="49">G101*12.36*1000</f>
        <v>109262</v>
      </c>
      <c r="P101" s="201">
        <f t="shared" si="48"/>
        <v>109262</v>
      </c>
      <c r="Q101" s="234">
        <f t="shared" si="42"/>
        <v>122701.23</v>
      </c>
      <c r="R101" s="234">
        <f t="shared" si="43"/>
        <v>127609.28</v>
      </c>
    </row>
    <row r="102" spans="1:20" s="60" customFormat="1" ht="25.5" outlineLevel="1" x14ac:dyDescent="0.2">
      <c r="A102" s="62" t="s">
        <v>266</v>
      </c>
      <c r="B102" s="56" t="s">
        <v>252</v>
      </c>
      <c r="C102" s="56" t="s">
        <v>253</v>
      </c>
      <c r="D102" s="58"/>
      <c r="E102" s="58"/>
      <c r="F102" s="58"/>
      <c r="G102" s="63">
        <f>4.842*0.8</f>
        <v>3.87</v>
      </c>
      <c r="H102" s="59">
        <f t="shared" si="40"/>
        <v>3.87</v>
      </c>
      <c r="I102" s="59"/>
      <c r="L102" s="201"/>
      <c r="M102" s="201"/>
      <c r="N102" s="201"/>
      <c r="O102" s="301">
        <f t="shared" si="49"/>
        <v>47833</v>
      </c>
      <c r="P102" s="201">
        <f t="shared" si="48"/>
        <v>47833</v>
      </c>
      <c r="Q102" s="234">
        <f t="shared" si="42"/>
        <v>53716.46</v>
      </c>
      <c r="R102" s="234">
        <f t="shared" si="43"/>
        <v>55865.120000000003</v>
      </c>
    </row>
    <row r="103" spans="1:20" s="60" customFormat="1" ht="25.5" outlineLevel="1" x14ac:dyDescent="0.2">
      <c r="A103" s="62" t="s">
        <v>267</v>
      </c>
      <c r="B103" s="56" t="s">
        <v>254</v>
      </c>
      <c r="C103" s="56" t="s">
        <v>255</v>
      </c>
      <c r="D103" s="58"/>
      <c r="E103" s="58"/>
      <c r="F103" s="58"/>
      <c r="G103" s="63">
        <f>5.371*0.8</f>
        <v>4.3</v>
      </c>
      <c r="H103" s="59">
        <f t="shared" si="40"/>
        <v>4.3</v>
      </c>
      <c r="I103" s="59"/>
      <c r="L103" s="201"/>
      <c r="M103" s="201"/>
      <c r="N103" s="201"/>
      <c r="O103" s="301">
        <f t="shared" si="49"/>
        <v>53148</v>
      </c>
      <c r="P103" s="201">
        <f t="shared" si="48"/>
        <v>53148</v>
      </c>
      <c r="Q103" s="234">
        <f t="shared" si="42"/>
        <v>59685.2</v>
      </c>
      <c r="R103" s="234">
        <f t="shared" si="43"/>
        <v>62072.61</v>
      </c>
    </row>
    <row r="104" spans="1:20" s="60" customFormat="1" ht="38.25" outlineLevel="1" x14ac:dyDescent="0.2">
      <c r="A104" s="62" t="s">
        <v>268</v>
      </c>
      <c r="B104" s="56" t="s">
        <v>256</v>
      </c>
      <c r="C104" s="56" t="s">
        <v>257</v>
      </c>
      <c r="D104" s="58"/>
      <c r="E104" s="58"/>
      <c r="F104" s="58"/>
      <c r="G104" s="63">
        <f>12.203*0.8</f>
        <v>9.76</v>
      </c>
      <c r="H104" s="59">
        <f t="shared" si="40"/>
        <v>9.76</v>
      </c>
      <c r="I104" s="59"/>
      <c r="L104" s="201"/>
      <c r="M104" s="201"/>
      <c r="N104" s="201"/>
      <c r="O104" s="301">
        <f t="shared" si="49"/>
        <v>120634</v>
      </c>
      <c r="P104" s="201">
        <f t="shared" si="48"/>
        <v>120634</v>
      </c>
      <c r="Q104" s="234">
        <f t="shared" si="42"/>
        <v>135471.98000000001</v>
      </c>
      <c r="R104" s="234">
        <f t="shared" si="43"/>
        <v>140890.85999999999</v>
      </c>
    </row>
    <row r="105" spans="1:20" s="60" customFormat="1" ht="25.5" outlineLevel="1" x14ac:dyDescent="0.2">
      <c r="A105" s="62" t="s">
        <v>269</v>
      </c>
      <c r="B105" s="56" t="s">
        <v>258</v>
      </c>
      <c r="C105" s="56" t="s">
        <v>259</v>
      </c>
      <c r="D105" s="58"/>
      <c r="E105" s="58"/>
      <c r="F105" s="58"/>
      <c r="G105" s="63">
        <f>49.509*0.8</f>
        <v>39.61</v>
      </c>
      <c r="H105" s="59">
        <f t="shared" si="40"/>
        <v>39.61</v>
      </c>
      <c r="I105" s="59"/>
      <c r="L105" s="201"/>
      <c r="M105" s="201"/>
      <c r="N105" s="201"/>
      <c r="O105" s="301">
        <f t="shared" si="49"/>
        <v>489580</v>
      </c>
      <c r="P105" s="201">
        <f t="shared" si="48"/>
        <v>489580</v>
      </c>
      <c r="Q105" s="234">
        <f t="shared" si="42"/>
        <v>549798.34</v>
      </c>
      <c r="R105" s="234">
        <f t="shared" si="43"/>
        <v>571790.27</v>
      </c>
    </row>
    <row r="106" spans="1:20" s="60" customFormat="1" ht="25.5" outlineLevel="1" x14ac:dyDescent="0.2">
      <c r="A106" s="62" t="s">
        <v>270</v>
      </c>
      <c r="B106" s="56" t="s">
        <v>260</v>
      </c>
      <c r="C106" s="56" t="s">
        <v>261</v>
      </c>
      <c r="D106" s="58"/>
      <c r="E106" s="58"/>
      <c r="F106" s="58"/>
      <c r="G106" s="63">
        <f>3.487*0.8</f>
        <v>2.79</v>
      </c>
      <c r="H106" s="59">
        <f t="shared" si="40"/>
        <v>2.79</v>
      </c>
      <c r="I106" s="59"/>
      <c r="L106" s="201"/>
      <c r="M106" s="201"/>
      <c r="N106" s="201"/>
      <c r="O106" s="301">
        <f t="shared" si="49"/>
        <v>34484</v>
      </c>
      <c r="P106" s="201">
        <f t="shared" si="48"/>
        <v>34484</v>
      </c>
      <c r="Q106" s="234">
        <f t="shared" si="42"/>
        <v>38725.53</v>
      </c>
      <c r="R106" s="234">
        <f t="shared" si="43"/>
        <v>40274.550000000003</v>
      </c>
    </row>
    <row r="107" spans="1:20" s="60" customFormat="1" ht="25.5" outlineLevel="1" x14ac:dyDescent="0.2">
      <c r="A107" s="62" t="s">
        <v>271</v>
      </c>
      <c r="B107" s="56" t="s">
        <v>262</v>
      </c>
      <c r="C107" s="56" t="s">
        <v>263</v>
      </c>
      <c r="D107" s="58"/>
      <c r="E107" s="58"/>
      <c r="F107" s="58"/>
      <c r="G107" s="63">
        <f>4.771*0.8</f>
        <v>3.82</v>
      </c>
      <c r="H107" s="59">
        <f t="shared" si="40"/>
        <v>3.82</v>
      </c>
      <c r="I107" s="59"/>
      <c r="L107" s="201"/>
      <c r="M107" s="201"/>
      <c r="N107" s="201"/>
      <c r="O107" s="301">
        <f t="shared" si="49"/>
        <v>47215</v>
      </c>
      <c r="P107" s="201">
        <f t="shared" si="48"/>
        <v>47215</v>
      </c>
      <c r="Q107" s="234">
        <f t="shared" si="42"/>
        <v>53022.45</v>
      </c>
      <c r="R107" s="234">
        <f t="shared" si="43"/>
        <v>55143.35</v>
      </c>
    </row>
    <row r="108" spans="1:20" ht="18.75" customHeight="1" x14ac:dyDescent="0.2">
      <c r="A108" s="35">
        <v>21</v>
      </c>
      <c r="B108" s="45" t="s">
        <v>71</v>
      </c>
      <c r="C108" s="45" t="s">
        <v>72</v>
      </c>
      <c r="D108" s="18"/>
      <c r="E108" s="18"/>
      <c r="F108" s="18"/>
      <c r="G108" s="19">
        <f>SUM(G109:G110)</f>
        <v>1216.8599999999999</v>
      </c>
      <c r="H108" s="19">
        <f t="shared" si="40"/>
        <v>1216.8599999999999</v>
      </c>
      <c r="I108" s="19">
        <v>1216.8599999999999</v>
      </c>
      <c r="J108" s="5" t="b">
        <f t="shared" si="41"/>
        <v>1</v>
      </c>
      <c r="L108" s="452"/>
      <c r="M108" s="452"/>
      <c r="N108" s="452"/>
      <c r="O108" s="451">
        <f>SUM(O109:O110)</f>
        <v>13129932</v>
      </c>
      <c r="P108" s="201">
        <f t="shared" si="48"/>
        <v>13129932</v>
      </c>
      <c r="Q108" s="234">
        <f t="shared" si="42"/>
        <v>14744913.640000001</v>
      </c>
      <c r="R108" s="234">
        <f t="shared" si="43"/>
        <v>15334710.189999999</v>
      </c>
    </row>
    <row r="109" spans="1:20" s="60" customFormat="1" ht="18.75" customHeight="1" outlineLevel="1" x14ac:dyDescent="0.2">
      <c r="A109" s="62" t="s">
        <v>276</v>
      </c>
      <c r="B109" s="56" t="s">
        <v>272</v>
      </c>
      <c r="C109" s="56" t="s">
        <v>273</v>
      </c>
      <c r="D109" s="58"/>
      <c r="E109" s="58"/>
      <c r="F109" s="58"/>
      <c r="G109" s="57">
        <v>1046.3599999999999</v>
      </c>
      <c r="H109" s="59">
        <f t="shared" si="40"/>
        <v>1046.3599999999999</v>
      </c>
      <c r="I109" s="59"/>
      <c r="L109" s="72"/>
      <c r="M109" s="72"/>
      <c r="N109" s="72"/>
      <c r="O109" s="73">
        <f>G109*10.79*1000+13</f>
        <v>11290237</v>
      </c>
      <c r="P109" s="72">
        <f t="shared" si="48"/>
        <v>11290237</v>
      </c>
      <c r="Q109" s="234">
        <f t="shared" si="42"/>
        <v>12678936.15</v>
      </c>
      <c r="R109" s="234">
        <f t="shared" si="43"/>
        <v>13186093.6</v>
      </c>
    </row>
    <row r="110" spans="1:20" s="60" customFormat="1" ht="18.75" customHeight="1" outlineLevel="1" x14ac:dyDescent="0.2">
      <c r="A110" s="62" t="s">
        <v>277</v>
      </c>
      <c r="B110" s="56" t="s">
        <v>274</v>
      </c>
      <c r="C110" s="56" t="s">
        <v>275</v>
      </c>
      <c r="D110" s="58"/>
      <c r="E110" s="58"/>
      <c r="F110" s="58"/>
      <c r="G110" s="57">
        <v>170.5</v>
      </c>
      <c r="H110" s="59">
        <f t="shared" si="40"/>
        <v>170.5</v>
      </c>
      <c r="I110" s="59"/>
      <c r="L110" s="72"/>
      <c r="M110" s="72"/>
      <c r="N110" s="72"/>
      <c r="O110" s="73">
        <f>G110*10.79*1000</f>
        <v>1839695</v>
      </c>
      <c r="P110" s="72">
        <f t="shared" si="48"/>
        <v>1839695</v>
      </c>
      <c r="Q110" s="234">
        <f t="shared" si="42"/>
        <v>2065977.49</v>
      </c>
      <c r="R110" s="234">
        <f t="shared" si="43"/>
        <v>2148616.59</v>
      </c>
    </row>
    <row r="111" spans="1:20" ht="25.5" customHeight="1" x14ac:dyDescent="0.2">
      <c r="A111" s="36"/>
      <c r="B111" s="669" t="s">
        <v>73</v>
      </c>
      <c r="C111" s="675"/>
      <c r="D111" s="19">
        <f>D96+D97+D98+D99+D108</f>
        <v>408</v>
      </c>
      <c r="E111" s="19">
        <f t="shared" ref="E111:G111" si="50">E96+E97+E98+E99+E108</f>
        <v>32.340000000000003</v>
      </c>
      <c r="F111" s="19"/>
      <c r="G111" s="19">
        <f t="shared" si="50"/>
        <v>1503.33</v>
      </c>
      <c r="H111" s="19">
        <f t="shared" si="40"/>
        <v>1943.67</v>
      </c>
      <c r="I111" s="19">
        <v>1943.67</v>
      </c>
      <c r="J111" s="5" t="b">
        <f t="shared" si="41"/>
        <v>1</v>
      </c>
      <c r="L111" s="77">
        <f>L96+L97+L98+L99+L108</f>
        <v>0</v>
      </c>
      <c r="M111" s="77">
        <f t="shared" ref="M111:O111" si="51">M96+M97+M98+M99+M108</f>
        <v>0</v>
      </c>
      <c r="N111" s="77"/>
      <c r="O111" s="77">
        <f t="shared" si="51"/>
        <v>15739724</v>
      </c>
      <c r="P111" s="72">
        <f t="shared" si="48"/>
        <v>15739724</v>
      </c>
      <c r="Q111" s="234">
        <f t="shared" si="42"/>
        <v>17675710.050000001</v>
      </c>
      <c r="R111" s="234">
        <f t="shared" si="43"/>
        <v>18382738.449999999</v>
      </c>
    </row>
    <row r="112" spans="1:20" x14ac:dyDescent="0.2">
      <c r="A112" s="36"/>
      <c r="B112" s="669" t="s">
        <v>74</v>
      </c>
      <c r="C112" s="675"/>
      <c r="D112" s="19">
        <f>D94+D111</f>
        <v>82007.95</v>
      </c>
      <c r="E112" s="19">
        <f t="shared" ref="E112:G112" si="52">E94+E111</f>
        <v>6501.06</v>
      </c>
      <c r="F112" s="19">
        <f t="shared" si="52"/>
        <v>43058.239999999998</v>
      </c>
      <c r="G112" s="19">
        <f t="shared" si="52"/>
        <v>1503.33</v>
      </c>
      <c r="H112" s="19">
        <f t="shared" si="40"/>
        <v>133070.57999999999</v>
      </c>
      <c r="I112" s="19">
        <v>305623.65999999997</v>
      </c>
      <c r="J112" s="5" t="b">
        <f t="shared" si="41"/>
        <v>0</v>
      </c>
      <c r="L112" s="77">
        <f>L94+L111</f>
        <v>571312004</v>
      </c>
      <c r="M112" s="77">
        <f t="shared" ref="M112" si="53">M94+M111</f>
        <v>45289877</v>
      </c>
      <c r="N112" s="77">
        <f t="shared" ref="N112" si="54">N94+N111</f>
        <v>176108186</v>
      </c>
      <c r="O112" s="77">
        <f t="shared" ref="O112" si="55">O94+O111</f>
        <v>15739724</v>
      </c>
      <c r="P112" s="72">
        <f t="shared" si="48"/>
        <v>808449791</v>
      </c>
      <c r="Q112" s="234">
        <f t="shared" si="42"/>
        <v>907889115.28999996</v>
      </c>
      <c r="R112" s="234">
        <f t="shared" si="43"/>
        <v>944204679.89999998</v>
      </c>
    </row>
    <row r="113" spans="1:21" ht="12.75" customHeight="1" x14ac:dyDescent="0.2">
      <c r="A113" s="51" t="s">
        <v>75</v>
      </c>
      <c r="B113" s="52"/>
      <c r="C113" s="52"/>
      <c r="D113" s="54"/>
      <c r="E113" s="54"/>
      <c r="F113" s="54"/>
      <c r="G113" s="54"/>
      <c r="H113" s="19"/>
      <c r="I113" s="55"/>
      <c r="J113" s="5" t="b">
        <f t="shared" si="41"/>
        <v>1</v>
      </c>
      <c r="L113" s="72"/>
      <c r="M113" s="72"/>
      <c r="N113" s="72"/>
      <c r="O113" s="72"/>
      <c r="P113" s="72"/>
      <c r="Q113" s="234">
        <f t="shared" si="42"/>
        <v>0</v>
      </c>
      <c r="R113" s="234">
        <f t="shared" si="43"/>
        <v>0</v>
      </c>
    </row>
    <row r="114" spans="1:21" ht="38.25" x14ac:dyDescent="0.25">
      <c r="A114" s="35">
        <v>22</v>
      </c>
      <c r="B114" s="45" t="s">
        <v>76</v>
      </c>
      <c r="C114" s="45" t="s">
        <v>77</v>
      </c>
      <c r="D114" s="18"/>
      <c r="E114" s="18"/>
      <c r="F114" s="18"/>
      <c r="G114" s="106">
        <f>(I112+I122)*1.28%*0</f>
        <v>0</v>
      </c>
      <c r="H114" s="19">
        <f t="shared" si="40"/>
        <v>0</v>
      </c>
      <c r="I114" s="19">
        <v>4073.46</v>
      </c>
      <c r="J114" s="5" t="b">
        <f t="shared" si="41"/>
        <v>0</v>
      </c>
      <c r="K114" s="64">
        <f>(H112+H122)*1.28%</f>
        <v>1759.37</v>
      </c>
      <c r="L114" s="72"/>
      <c r="M114" s="72"/>
      <c r="N114" s="72"/>
      <c r="O114" s="108">
        <f>(G114+0.07)*10.79*1000*0</f>
        <v>0</v>
      </c>
      <c r="P114" s="72">
        <f t="shared" si="48"/>
        <v>0</v>
      </c>
      <c r="Q114" s="234">
        <f t="shared" si="42"/>
        <v>0</v>
      </c>
      <c r="R114" s="234">
        <f t="shared" si="43"/>
        <v>0</v>
      </c>
    </row>
    <row r="115" spans="1:21" ht="27.95" customHeight="1" x14ac:dyDescent="0.2">
      <c r="A115" s="36"/>
      <c r="B115" s="669" t="s">
        <v>78</v>
      </c>
      <c r="C115" s="675"/>
      <c r="D115" s="18"/>
      <c r="E115" s="18"/>
      <c r="F115" s="18"/>
      <c r="G115" s="19">
        <f>G114</f>
        <v>0</v>
      </c>
      <c r="H115" s="19">
        <f t="shared" si="40"/>
        <v>0</v>
      </c>
      <c r="I115" s="19">
        <v>4073.46</v>
      </c>
      <c r="J115" s="5" t="b">
        <f t="shared" si="41"/>
        <v>0</v>
      </c>
      <c r="L115" s="78"/>
      <c r="M115" s="78"/>
      <c r="N115" s="78"/>
      <c r="O115" s="77">
        <f>O114</f>
        <v>0</v>
      </c>
      <c r="P115" s="72">
        <f t="shared" si="48"/>
        <v>0</v>
      </c>
      <c r="Q115" s="234">
        <f t="shared" si="42"/>
        <v>0</v>
      </c>
      <c r="R115" s="234">
        <f t="shared" si="43"/>
        <v>0</v>
      </c>
    </row>
    <row r="116" spans="1:21" ht="38.25" customHeight="1" x14ac:dyDescent="0.2">
      <c r="A116" s="51" t="s">
        <v>139</v>
      </c>
      <c r="B116" s="52"/>
      <c r="C116" s="52"/>
      <c r="D116" s="54"/>
      <c r="E116" s="54"/>
      <c r="F116" s="54"/>
      <c r="G116" s="54"/>
      <c r="H116" s="19"/>
      <c r="I116" s="55"/>
      <c r="J116" s="5" t="b">
        <f t="shared" si="41"/>
        <v>1</v>
      </c>
      <c r="L116" s="72"/>
      <c r="M116" s="72"/>
      <c r="N116" s="72"/>
      <c r="O116" s="72"/>
      <c r="P116" s="72"/>
      <c r="Q116" s="234">
        <f t="shared" si="42"/>
        <v>0</v>
      </c>
      <c r="R116" s="234">
        <f t="shared" si="43"/>
        <v>0</v>
      </c>
    </row>
    <row r="117" spans="1:21" ht="15" x14ac:dyDescent="0.2">
      <c r="A117" s="35">
        <v>23</v>
      </c>
      <c r="B117" s="45" t="s">
        <v>79</v>
      </c>
      <c r="C117" s="45" t="s">
        <v>80</v>
      </c>
      <c r="D117" s="18"/>
      <c r="E117" s="18"/>
      <c r="F117" s="18"/>
      <c r="G117" s="106">
        <f xml:space="preserve">
(8286.39312-4380.17315)*0</f>
        <v>0</v>
      </c>
      <c r="H117" s="19">
        <f t="shared" si="40"/>
        <v>0</v>
      </c>
      <c r="I117" s="19">
        <v>3906.22</v>
      </c>
      <c r="J117" s="5" t="b">
        <f t="shared" si="41"/>
        <v>0</v>
      </c>
      <c r="L117" s="72"/>
      <c r="M117" s="72"/>
      <c r="N117" s="72"/>
      <c r="O117" s="72">
        <f>G117*1.19*4.27*1000</f>
        <v>0</v>
      </c>
      <c r="P117" s="72">
        <f t="shared" si="48"/>
        <v>0</v>
      </c>
      <c r="Q117" s="234">
        <f t="shared" si="42"/>
        <v>0</v>
      </c>
      <c r="R117" s="234">
        <f t="shared" si="43"/>
        <v>0</v>
      </c>
    </row>
    <row r="118" spans="1:21" x14ac:dyDescent="0.2">
      <c r="A118" s="35">
        <v>24</v>
      </c>
      <c r="B118" s="45" t="s">
        <v>79</v>
      </c>
      <c r="C118" s="45" t="s">
        <v>81</v>
      </c>
      <c r="D118" s="18"/>
      <c r="E118" s="18"/>
      <c r="F118" s="18"/>
      <c r="G118" s="19">
        <v>4380.17</v>
      </c>
      <c r="H118" s="19">
        <f t="shared" si="40"/>
        <v>4380.17</v>
      </c>
      <c r="I118" s="19">
        <v>4380.17</v>
      </c>
      <c r="J118" s="5" t="b">
        <f t="shared" si="41"/>
        <v>1</v>
      </c>
      <c r="L118" s="201"/>
      <c r="M118" s="201"/>
      <c r="N118" s="201"/>
      <c r="O118" s="201">
        <f>G118*1.19*4.27*1000</f>
        <v>22256958</v>
      </c>
      <c r="P118" s="201">
        <f t="shared" si="48"/>
        <v>22256958</v>
      </c>
      <c r="Q118" s="234">
        <f t="shared" si="42"/>
        <v>24994563.829999998</v>
      </c>
      <c r="R118" s="234">
        <f t="shared" si="43"/>
        <v>25994346.379999999</v>
      </c>
    </row>
    <row r="119" spans="1:21" ht="15" x14ac:dyDescent="0.2">
      <c r="A119" s="35">
        <v>25</v>
      </c>
      <c r="B119" s="45" t="s">
        <v>82</v>
      </c>
      <c r="C119" s="45" t="s">
        <v>83</v>
      </c>
      <c r="D119" s="18"/>
      <c r="E119" s="18"/>
      <c r="F119" s="18"/>
      <c r="G119" s="106">
        <f>(3934.11306-87.327)*0</f>
        <v>0</v>
      </c>
      <c r="H119" s="19">
        <f t="shared" si="40"/>
        <v>0</v>
      </c>
      <c r="I119" s="19">
        <v>3846.79</v>
      </c>
      <c r="J119" s="5" t="b">
        <f t="shared" si="41"/>
        <v>0</v>
      </c>
      <c r="L119" s="72"/>
      <c r="M119" s="72"/>
      <c r="N119" s="72"/>
      <c r="O119" s="72">
        <f>G119*1.266*4.35*1000</f>
        <v>0</v>
      </c>
      <c r="P119" s="72">
        <f t="shared" si="48"/>
        <v>0</v>
      </c>
      <c r="Q119" s="234">
        <f t="shared" si="42"/>
        <v>0</v>
      </c>
      <c r="R119" s="234">
        <f t="shared" si="43"/>
        <v>0</v>
      </c>
    </row>
    <row r="120" spans="1:21" ht="53.25" customHeight="1" x14ac:dyDescent="0.2">
      <c r="A120" s="35">
        <v>26</v>
      </c>
      <c r="B120" s="45" t="s">
        <v>84</v>
      </c>
      <c r="C120" s="45" t="s">
        <v>85</v>
      </c>
      <c r="D120" s="18"/>
      <c r="E120" s="18"/>
      <c r="F120" s="18"/>
      <c r="G120" s="106">
        <f>(3906.21997+3934.11306-87.327)*0.0615*0</f>
        <v>0</v>
      </c>
      <c r="H120" s="19">
        <f t="shared" si="40"/>
        <v>0</v>
      </c>
      <c r="I120" s="19">
        <v>476.81</v>
      </c>
      <c r="J120" s="5" t="b">
        <f t="shared" si="41"/>
        <v>0</v>
      </c>
      <c r="L120" s="72"/>
      <c r="M120" s="72"/>
      <c r="N120" s="72"/>
      <c r="O120" s="72">
        <f>(G117*1.19+G119*1.266)*0.0615*5.29*1000</f>
        <v>0</v>
      </c>
      <c r="P120" s="72">
        <f t="shared" si="48"/>
        <v>0</v>
      </c>
      <c r="Q120" s="234">
        <f t="shared" si="42"/>
        <v>0</v>
      </c>
      <c r="R120" s="234">
        <f t="shared" si="43"/>
        <v>0</v>
      </c>
    </row>
    <row r="121" spans="1:21" ht="24" customHeight="1" x14ac:dyDescent="0.2">
      <c r="A121" s="466"/>
      <c r="B121" s="467"/>
      <c r="C121" s="467" t="s">
        <v>2930</v>
      </c>
      <c r="D121" s="468"/>
      <c r="E121" s="468"/>
      <c r="F121" s="468"/>
      <c r="G121" s="469">
        <f>'ССР EL6'!M114*0</f>
        <v>0</v>
      </c>
      <c r="H121" s="470">
        <f>SUM(D121:G121)</f>
        <v>0</v>
      </c>
      <c r="I121" s="470"/>
      <c r="J121" s="471"/>
      <c r="K121" s="471"/>
      <c r="L121" s="472"/>
      <c r="M121" s="472"/>
      <c r="N121" s="472"/>
      <c r="O121" s="472">
        <f>'ССР EL6'!M136*1000*0</f>
        <v>0</v>
      </c>
      <c r="P121" s="472">
        <f t="shared" si="48"/>
        <v>0</v>
      </c>
      <c r="Q121" s="234"/>
      <c r="R121" s="234"/>
      <c r="U121" s="5" t="s">
        <v>2935</v>
      </c>
    </row>
    <row r="122" spans="1:21" ht="122.25" customHeight="1" x14ac:dyDescent="0.2">
      <c r="A122" s="36"/>
      <c r="B122" s="669" t="s">
        <v>86</v>
      </c>
      <c r="C122" s="675"/>
      <c r="D122" s="18"/>
      <c r="E122" s="18"/>
      <c r="F122" s="18"/>
      <c r="G122" s="19">
        <f>G117+G118+G119+G120+G121</f>
        <v>4380.17</v>
      </c>
      <c r="H122" s="19">
        <f t="shared" si="40"/>
        <v>4380.17</v>
      </c>
      <c r="I122" s="19">
        <v>12609.99</v>
      </c>
      <c r="J122" s="5" t="b">
        <f t="shared" si="41"/>
        <v>0</v>
      </c>
      <c r="L122" s="78"/>
      <c r="M122" s="78"/>
      <c r="N122" s="78"/>
      <c r="O122" s="77">
        <f>O117+O118+O119+O120+O121</f>
        <v>22256958</v>
      </c>
      <c r="P122" s="72">
        <f t="shared" si="48"/>
        <v>22256958</v>
      </c>
      <c r="Q122" s="234">
        <f t="shared" si="42"/>
        <v>24994563.829999998</v>
      </c>
      <c r="R122" s="234">
        <f t="shared" si="43"/>
        <v>25994346.379999999</v>
      </c>
    </row>
    <row r="123" spans="1:21" x14ac:dyDescent="0.2">
      <c r="A123" s="36"/>
      <c r="B123" s="669" t="s">
        <v>87</v>
      </c>
      <c r="C123" s="675"/>
      <c r="D123" s="19">
        <f>D112+D115+D122</f>
        <v>82007.95</v>
      </c>
      <c r="E123" s="19">
        <f t="shared" ref="E123:G123" si="56">E112+E115+E122</f>
        <v>6501.06</v>
      </c>
      <c r="F123" s="19">
        <f t="shared" si="56"/>
        <v>43058.239999999998</v>
      </c>
      <c r="G123" s="19">
        <f t="shared" si="56"/>
        <v>5883.5</v>
      </c>
      <c r="H123" s="19">
        <f t="shared" si="40"/>
        <v>137450.75</v>
      </c>
      <c r="I123" s="19">
        <v>322307.03999999998</v>
      </c>
      <c r="J123" s="5" t="b">
        <f t="shared" si="41"/>
        <v>0</v>
      </c>
      <c r="L123" s="77">
        <f>L112+L115+L122</f>
        <v>571312004</v>
      </c>
      <c r="M123" s="77">
        <f t="shared" ref="M123" si="57">M112+M115+M122</f>
        <v>45289877</v>
      </c>
      <c r="N123" s="77">
        <f t="shared" ref="N123" si="58">N112+N115+N122</f>
        <v>176108186</v>
      </c>
      <c r="O123" s="77">
        <f t="shared" ref="O123" si="59">O112+O115+O122</f>
        <v>37996682</v>
      </c>
      <c r="P123" s="72">
        <f t="shared" si="48"/>
        <v>830706749</v>
      </c>
      <c r="Q123" s="234">
        <f t="shared" si="42"/>
        <v>932883679.13</v>
      </c>
      <c r="R123" s="234">
        <f t="shared" si="43"/>
        <v>970199026.29999995</v>
      </c>
    </row>
    <row r="124" spans="1:21" ht="12.75" customHeight="1" x14ac:dyDescent="0.2">
      <c r="A124" s="51" t="s">
        <v>88</v>
      </c>
      <c r="B124" s="52"/>
      <c r="C124" s="52"/>
      <c r="D124" s="54"/>
      <c r="E124" s="54"/>
      <c r="F124" s="54"/>
      <c r="G124" s="54"/>
      <c r="H124" s="19"/>
      <c r="I124" s="55"/>
      <c r="J124" s="5" t="b">
        <f t="shared" si="41"/>
        <v>1</v>
      </c>
      <c r="L124" s="72"/>
      <c r="M124" s="72"/>
      <c r="N124" s="72"/>
      <c r="O124" s="72"/>
      <c r="P124" s="72"/>
      <c r="Q124" s="234">
        <f t="shared" si="42"/>
        <v>0</v>
      </c>
      <c r="R124" s="234">
        <f t="shared" si="43"/>
        <v>0</v>
      </c>
    </row>
    <row r="125" spans="1:21" ht="25.5" x14ac:dyDescent="0.2">
      <c r="A125" s="35">
        <v>27</v>
      </c>
      <c r="B125" s="45" t="s">
        <v>89</v>
      </c>
      <c r="C125" s="45" t="s">
        <v>90</v>
      </c>
      <c r="D125" s="19">
        <f>D123*2%</f>
        <v>1640.16</v>
      </c>
      <c r="E125" s="19">
        <f t="shared" ref="E125:G125" si="60">E123*2%</f>
        <v>130.02000000000001</v>
      </c>
      <c r="F125" s="19">
        <f t="shared" si="60"/>
        <v>861.16</v>
      </c>
      <c r="G125" s="19">
        <f t="shared" si="60"/>
        <v>117.67</v>
      </c>
      <c r="H125" s="19">
        <f t="shared" si="40"/>
        <v>2749.01</v>
      </c>
      <c r="I125" s="19">
        <v>6446.14</v>
      </c>
      <c r="J125" s="5" t="b">
        <f t="shared" si="41"/>
        <v>0</v>
      </c>
      <c r="L125" s="201">
        <f>(L123-D129*6.99*1000)*2%</f>
        <v>11464712</v>
      </c>
      <c r="M125" s="201">
        <f>(M123-E129*6.99*1000)*2%</f>
        <v>908848</v>
      </c>
      <c r="N125" s="201">
        <f>N123*2%</f>
        <v>3522164</v>
      </c>
      <c r="O125" s="201">
        <f>O123*2%</f>
        <v>759934</v>
      </c>
      <c r="P125" s="201">
        <f t="shared" si="48"/>
        <v>16655658</v>
      </c>
      <c r="Q125" s="234">
        <f t="shared" si="42"/>
        <v>18704303.93</v>
      </c>
      <c r="R125" s="234">
        <f t="shared" si="43"/>
        <v>19452476.09</v>
      </c>
    </row>
    <row r="126" spans="1:21" ht="25.5" customHeight="1" x14ac:dyDescent="0.2">
      <c r="A126" s="36"/>
      <c r="B126" s="669" t="s">
        <v>91</v>
      </c>
      <c r="C126" s="675"/>
      <c r="D126" s="19">
        <f>D125</f>
        <v>1640.16</v>
      </c>
      <c r="E126" s="19">
        <f t="shared" ref="E126:G126" si="61">E125</f>
        <v>130.02000000000001</v>
      </c>
      <c r="F126" s="19">
        <f t="shared" si="61"/>
        <v>861.16</v>
      </c>
      <c r="G126" s="19">
        <f t="shared" si="61"/>
        <v>117.67</v>
      </c>
      <c r="H126" s="19">
        <f t="shared" si="40"/>
        <v>2749.01</v>
      </c>
      <c r="I126" s="19">
        <v>6446.14</v>
      </c>
      <c r="J126" s="5" t="b">
        <f t="shared" si="41"/>
        <v>0</v>
      </c>
      <c r="L126" s="451">
        <f>L125</f>
        <v>11464712</v>
      </c>
      <c r="M126" s="451">
        <f t="shared" ref="M126" si="62">M125</f>
        <v>908848</v>
      </c>
      <c r="N126" s="451">
        <f t="shared" ref="N126" si="63">N125</f>
        <v>3522164</v>
      </c>
      <c r="O126" s="451">
        <f t="shared" ref="O126" si="64">O125</f>
        <v>759934</v>
      </c>
      <c r="P126" s="201">
        <f t="shared" si="48"/>
        <v>16655658</v>
      </c>
      <c r="Q126" s="234">
        <f t="shared" si="42"/>
        <v>18704303.93</v>
      </c>
      <c r="R126" s="234">
        <f t="shared" si="43"/>
        <v>19452476.09</v>
      </c>
    </row>
    <row r="127" spans="1:21" ht="27.95" customHeight="1" x14ac:dyDescent="0.2">
      <c r="A127" s="36"/>
      <c r="B127" s="669" t="s">
        <v>92</v>
      </c>
      <c r="C127" s="675"/>
      <c r="D127" s="19">
        <f>D123+D126</f>
        <v>83648.11</v>
      </c>
      <c r="E127" s="19">
        <f t="shared" ref="E127:G127" si="65">E123+E126</f>
        <v>6631.08</v>
      </c>
      <c r="F127" s="19">
        <f t="shared" si="65"/>
        <v>43919.4</v>
      </c>
      <c r="G127" s="19">
        <f t="shared" si="65"/>
        <v>6001.17</v>
      </c>
      <c r="H127" s="19">
        <f t="shared" si="40"/>
        <v>140199.76</v>
      </c>
      <c r="I127" s="19">
        <v>328753.18</v>
      </c>
      <c r="J127" s="5" t="b">
        <f t="shared" si="41"/>
        <v>0</v>
      </c>
      <c r="L127" s="77">
        <f>L123+L126</f>
        <v>582776716</v>
      </c>
      <c r="M127" s="77">
        <f t="shared" ref="M127" si="66">M123+M126</f>
        <v>46198725</v>
      </c>
      <c r="N127" s="77">
        <f t="shared" ref="N127" si="67">N123+N126</f>
        <v>179630350</v>
      </c>
      <c r="O127" s="77">
        <f t="shared" ref="O127" si="68">O123+O126</f>
        <v>38756616</v>
      </c>
      <c r="P127" s="72">
        <f t="shared" si="48"/>
        <v>847362407</v>
      </c>
      <c r="Q127" s="234">
        <f t="shared" si="42"/>
        <v>951587983.05999994</v>
      </c>
      <c r="R127" s="234">
        <f t="shared" si="43"/>
        <v>989651502.38</v>
      </c>
    </row>
    <row r="128" spans="1:21" ht="12.75" customHeight="1" x14ac:dyDescent="0.2">
      <c r="A128" s="51" t="s">
        <v>121</v>
      </c>
      <c r="B128" s="52"/>
      <c r="C128" s="52"/>
      <c r="D128" s="54"/>
      <c r="E128" s="54"/>
      <c r="F128" s="54"/>
      <c r="G128" s="54"/>
      <c r="H128" s="19"/>
      <c r="I128" s="55"/>
      <c r="J128" s="5" t="b">
        <f t="shared" si="41"/>
        <v>1</v>
      </c>
      <c r="L128" s="72"/>
      <c r="M128" s="72"/>
      <c r="N128" s="72"/>
      <c r="O128" s="72"/>
      <c r="P128" s="72">
        <f t="shared" si="48"/>
        <v>0</v>
      </c>
      <c r="Q128" s="234">
        <f t="shared" si="42"/>
        <v>0</v>
      </c>
      <c r="R128" s="234">
        <f t="shared" si="43"/>
        <v>0</v>
      </c>
    </row>
    <row r="129" spans="1:20" ht="25.5" x14ac:dyDescent="0.2">
      <c r="A129" s="35">
        <v>28</v>
      </c>
      <c r="B129" s="45" t="s">
        <v>93</v>
      </c>
      <c r="C129" s="45" t="s">
        <v>94</v>
      </c>
      <c r="D129" s="19">
        <f>-D92*15%</f>
        <v>-275.19</v>
      </c>
      <c r="E129" s="19">
        <f>-E92*15%</f>
        <v>-21.82</v>
      </c>
      <c r="F129" s="18"/>
      <c r="G129" s="18"/>
      <c r="H129" s="19">
        <f t="shared" si="40"/>
        <v>-297.01</v>
      </c>
      <c r="I129" s="19">
        <v>-297.01</v>
      </c>
      <c r="J129" s="5" t="b">
        <f t="shared" si="41"/>
        <v>1</v>
      </c>
      <c r="L129" s="112">
        <f>D129*6.99*1000</f>
        <v>-1923578</v>
      </c>
      <c r="M129" s="112">
        <f>E129*6.99*1000</f>
        <v>-152522</v>
      </c>
      <c r="N129" s="112"/>
      <c r="O129" s="112"/>
      <c r="P129" s="112">
        <f t="shared" si="48"/>
        <v>-2076100</v>
      </c>
      <c r="Q129" s="234">
        <f t="shared" si="42"/>
        <v>-2331460.2999999998</v>
      </c>
      <c r="R129" s="234">
        <f t="shared" si="43"/>
        <v>-2424718.71</v>
      </c>
    </row>
    <row r="130" spans="1:20" ht="147" customHeight="1" x14ac:dyDescent="0.2">
      <c r="A130" s="36"/>
      <c r="B130" s="667" t="s">
        <v>99</v>
      </c>
      <c r="C130" s="668"/>
      <c r="D130" s="18"/>
      <c r="E130" s="18"/>
      <c r="F130" s="18"/>
      <c r="G130" s="18"/>
      <c r="H130" s="19"/>
      <c r="I130" s="18"/>
      <c r="J130" s="5" t="b">
        <f t="shared" si="41"/>
        <v>1</v>
      </c>
      <c r="K130"/>
      <c r="L130" s="72"/>
      <c r="M130" s="72"/>
      <c r="N130" s="72"/>
      <c r="O130" s="72"/>
      <c r="P130" s="72">
        <f t="shared" si="48"/>
        <v>0</v>
      </c>
      <c r="Q130" s="234">
        <f t="shared" si="42"/>
        <v>0</v>
      </c>
      <c r="R130" s="234">
        <f t="shared" si="43"/>
        <v>0</v>
      </c>
    </row>
    <row r="131" spans="1:20" x14ac:dyDescent="0.2">
      <c r="A131" s="36">
        <v>29</v>
      </c>
      <c r="B131" s="17"/>
      <c r="C131" s="17" t="s">
        <v>126</v>
      </c>
      <c r="D131" s="18">
        <f>D127*6.99</f>
        <v>584700.29</v>
      </c>
      <c r="E131" s="18"/>
      <c r="F131" s="18"/>
      <c r="G131" s="18"/>
      <c r="H131" s="19">
        <f t="shared" si="40"/>
        <v>584700.29</v>
      </c>
      <c r="I131" s="18">
        <v>584700.29</v>
      </c>
      <c r="J131" s="5" t="b">
        <f t="shared" si="41"/>
        <v>1</v>
      </c>
      <c r="K131" s="38"/>
      <c r="L131" s="72"/>
      <c r="M131" s="72"/>
      <c r="N131" s="72"/>
      <c r="O131" s="74"/>
      <c r="P131" s="72">
        <f t="shared" si="48"/>
        <v>0</v>
      </c>
      <c r="Q131" s="234">
        <f t="shared" si="42"/>
        <v>0</v>
      </c>
      <c r="R131" s="234">
        <f t="shared" si="43"/>
        <v>0</v>
      </c>
      <c r="S131" s="39"/>
      <c r="T131" s="39"/>
    </row>
    <row r="132" spans="1:20" x14ac:dyDescent="0.2">
      <c r="A132" s="36">
        <v>30</v>
      </c>
      <c r="B132" s="17"/>
      <c r="C132" s="17" t="s">
        <v>122</v>
      </c>
      <c r="D132" s="18"/>
      <c r="E132" s="18">
        <f>E127*6.99</f>
        <v>46351.25</v>
      </c>
      <c r="F132" s="18"/>
      <c r="G132" s="18"/>
      <c r="H132" s="19">
        <f t="shared" si="40"/>
        <v>46351.25</v>
      </c>
      <c r="I132" s="18">
        <v>46351.25</v>
      </c>
      <c r="J132" s="5" t="b">
        <f t="shared" si="41"/>
        <v>1</v>
      </c>
      <c r="K132" s="38"/>
      <c r="L132" s="72"/>
      <c r="M132" s="72"/>
      <c r="N132" s="72"/>
      <c r="O132" s="74"/>
      <c r="P132" s="72">
        <f t="shared" si="48"/>
        <v>0</v>
      </c>
      <c r="Q132" s="234">
        <f t="shared" si="42"/>
        <v>0</v>
      </c>
      <c r="R132" s="234">
        <f t="shared" si="43"/>
        <v>0</v>
      </c>
      <c r="S132" s="39"/>
      <c r="T132" s="39"/>
    </row>
    <row r="133" spans="1:20" x14ac:dyDescent="0.2">
      <c r="A133" s="36">
        <v>31</v>
      </c>
      <c r="B133" s="17"/>
      <c r="C133" s="17" t="s">
        <v>123</v>
      </c>
      <c r="D133" s="18"/>
      <c r="E133" s="18"/>
      <c r="F133" s="18">
        <f>F127*4.09</f>
        <v>179630.35</v>
      </c>
      <c r="G133" s="18"/>
      <c r="H133" s="19">
        <f t="shared" si="40"/>
        <v>179630.35</v>
      </c>
      <c r="I133" s="18">
        <v>899112.88</v>
      </c>
      <c r="J133" s="5" t="b">
        <f t="shared" si="41"/>
        <v>0</v>
      </c>
      <c r="K133" s="38"/>
      <c r="L133" s="72"/>
      <c r="M133" s="72"/>
      <c r="N133" s="72"/>
      <c r="O133" s="74"/>
      <c r="P133" s="72">
        <f t="shared" si="48"/>
        <v>0</v>
      </c>
      <c r="Q133" s="234">
        <f t="shared" si="42"/>
        <v>0</v>
      </c>
      <c r="R133" s="234">
        <f t="shared" si="43"/>
        <v>0</v>
      </c>
      <c r="S133" s="39"/>
      <c r="T133" s="39"/>
    </row>
    <row r="134" spans="1:20" x14ac:dyDescent="0.2">
      <c r="A134" s="36">
        <v>32</v>
      </c>
      <c r="B134" s="45"/>
      <c r="C134" s="45" t="s">
        <v>124</v>
      </c>
      <c r="D134" s="18"/>
      <c r="E134" s="18"/>
      <c r="F134" s="18"/>
      <c r="G134" s="19">
        <f>G99*12.36*1.02</f>
        <v>957.9</v>
      </c>
      <c r="H134" s="19">
        <f t="shared" si="40"/>
        <v>957.9</v>
      </c>
      <c r="I134" s="18">
        <v>957.9</v>
      </c>
      <c r="J134" s="5" t="b">
        <f t="shared" si="41"/>
        <v>1</v>
      </c>
      <c r="K134" s="38"/>
      <c r="L134" s="72"/>
      <c r="M134" s="72"/>
      <c r="N134" s="72"/>
      <c r="O134" s="74"/>
      <c r="P134" s="72">
        <f t="shared" si="48"/>
        <v>0</v>
      </c>
      <c r="Q134" s="234">
        <f t="shared" si="42"/>
        <v>0</v>
      </c>
      <c r="R134" s="234">
        <f t="shared" si="43"/>
        <v>0</v>
      </c>
      <c r="S134" s="39"/>
      <c r="T134" s="39"/>
    </row>
    <row r="135" spans="1:20" ht="25.5" x14ac:dyDescent="0.2">
      <c r="A135" s="36">
        <v>33</v>
      </c>
      <c r="B135" s="42"/>
      <c r="C135" s="45" t="s">
        <v>131</v>
      </c>
      <c r="D135" s="18"/>
      <c r="E135" s="18"/>
      <c r="F135" s="18"/>
      <c r="G135" s="31">
        <f>G28*10.79*1.02+G31*1.266*4.35*1.02</f>
        <v>0</v>
      </c>
      <c r="H135" s="19">
        <f t="shared" si="40"/>
        <v>0</v>
      </c>
      <c r="I135" s="32">
        <v>517.19000000000005</v>
      </c>
      <c r="J135" s="5" t="b">
        <f t="shared" si="41"/>
        <v>0</v>
      </c>
      <c r="K135" s="38"/>
      <c r="L135" s="72"/>
      <c r="M135" s="72"/>
      <c r="N135" s="72"/>
      <c r="O135" s="74"/>
      <c r="P135" s="72">
        <f t="shared" si="48"/>
        <v>0</v>
      </c>
      <c r="Q135" s="234">
        <f t="shared" si="42"/>
        <v>0</v>
      </c>
      <c r="R135" s="234">
        <f t="shared" si="43"/>
        <v>0</v>
      </c>
      <c r="S135" s="39"/>
      <c r="T135" s="39"/>
    </row>
    <row r="136" spans="1:20" ht="25.5" x14ac:dyDescent="0.2">
      <c r="A136" s="36">
        <v>34</v>
      </c>
      <c r="B136" s="42"/>
      <c r="C136" s="45" t="s">
        <v>132</v>
      </c>
      <c r="D136" s="18"/>
      <c r="E136" s="18"/>
      <c r="F136" s="18"/>
      <c r="G136" s="31">
        <f>(G97+G108)*10.79*1.02+G98*1.266*4.35*1.02</f>
        <v>15096.61</v>
      </c>
      <c r="H136" s="19">
        <f t="shared" si="40"/>
        <v>15096.61</v>
      </c>
      <c r="I136" s="32">
        <v>15096.61</v>
      </c>
      <c r="J136" s="5" t="b">
        <f t="shared" si="41"/>
        <v>1</v>
      </c>
      <c r="K136" s="38"/>
      <c r="L136" s="72"/>
      <c r="M136" s="72"/>
      <c r="N136" s="72"/>
      <c r="O136" s="74"/>
      <c r="P136" s="72">
        <f t="shared" si="48"/>
        <v>0</v>
      </c>
      <c r="Q136" s="234">
        <f t="shared" si="42"/>
        <v>0</v>
      </c>
      <c r="R136" s="234">
        <f t="shared" si="43"/>
        <v>0</v>
      </c>
      <c r="S136" s="39"/>
      <c r="T136" s="39"/>
    </row>
    <row r="137" spans="1:20" ht="17.25" customHeight="1" x14ac:dyDescent="0.2">
      <c r="A137" s="36">
        <v>35</v>
      </c>
      <c r="B137" s="42"/>
      <c r="C137" s="42" t="s">
        <v>133</v>
      </c>
      <c r="D137" s="32"/>
      <c r="E137" s="32"/>
      <c r="F137" s="32"/>
      <c r="G137" s="106">
        <f>(G114+0.07)*10.79*1.02*0</f>
        <v>0</v>
      </c>
      <c r="H137" s="19">
        <f t="shared" si="40"/>
        <v>0</v>
      </c>
      <c r="I137" s="32">
        <v>44831.69</v>
      </c>
      <c r="J137" s="5" t="b">
        <f t="shared" si="41"/>
        <v>0</v>
      </c>
      <c r="K137" s="38">
        <f>K114*10.79*1.02</f>
        <v>19363.27</v>
      </c>
      <c r="L137" s="72"/>
      <c r="M137" s="72"/>
      <c r="N137" s="72"/>
      <c r="O137" s="74"/>
      <c r="P137" s="72">
        <f t="shared" si="48"/>
        <v>0</v>
      </c>
      <c r="Q137" s="234">
        <f t="shared" si="42"/>
        <v>0</v>
      </c>
      <c r="R137" s="234">
        <f t="shared" si="43"/>
        <v>0</v>
      </c>
      <c r="S137" s="39"/>
      <c r="T137" s="39"/>
    </row>
    <row r="138" spans="1:20" ht="14.25" customHeight="1" x14ac:dyDescent="0.2">
      <c r="A138" s="36">
        <v>36</v>
      </c>
      <c r="B138" s="42"/>
      <c r="C138" s="45" t="s">
        <v>127</v>
      </c>
      <c r="D138" s="18"/>
      <c r="E138" s="18"/>
      <c r="F138" s="18"/>
      <c r="G138" s="18">
        <f>G117*1.19*4.27*1.02</f>
        <v>0</v>
      </c>
      <c r="H138" s="19">
        <f t="shared" si="40"/>
        <v>0</v>
      </c>
      <c r="I138" s="18">
        <v>20245.650000000001</v>
      </c>
      <c r="J138" s="5" t="b">
        <f t="shared" si="41"/>
        <v>0</v>
      </c>
      <c r="K138" s="37"/>
      <c r="L138" s="72"/>
      <c r="M138" s="72"/>
      <c r="N138" s="72"/>
      <c r="O138" s="74"/>
      <c r="P138" s="72">
        <f t="shared" si="48"/>
        <v>0</v>
      </c>
      <c r="Q138" s="234">
        <f t="shared" si="42"/>
        <v>0</v>
      </c>
      <c r="R138" s="234">
        <f t="shared" si="43"/>
        <v>0</v>
      </c>
      <c r="S138" s="39"/>
      <c r="T138" s="39"/>
    </row>
    <row r="139" spans="1:20" ht="15" x14ac:dyDescent="0.2">
      <c r="A139" s="36">
        <v>37</v>
      </c>
      <c r="B139" s="42"/>
      <c r="C139" s="45" t="s">
        <v>128</v>
      </c>
      <c r="D139" s="18"/>
      <c r="E139" s="18"/>
      <c r="F139" s="18"/>
      <c r="G139" s="68">
        <f>G118*1.19*4.27*1.02+0.01</f>
        <v>22702.11</v>
      </c>
      <c r="H139" s="19">
        <f t="shared" si="40"/>
        <v>22702.11</v>
      </c>
      <c r="I139" s="18">
        <v>22702.11</v>
      </c>
      <c r="J139" s="5" t="b">
        <f t="shared" si="41"/>
        <v>1</v>
      </c>
      <c r="K139" s="67">
        <f>G118*1.19*4.27*1.02</f>
        <v>22702.1</v>
      </c>
      <c r="L139" s="72"/>
      <c r="M139" s="72"/>
      <c r="N139" s="72"/>
      <c r="O139" s="74"/>
      <c r="P139" s="72">
        <f t="shared" si="48"/>
        <v>0</v>
      </c>
      <c r="Q139" s="234">
        <f t="shared" si="42"/>
        <v>0</v>
      </c>
      <c r="R139" s="234">
        <f t="shared" si="43"/>
        <v>0</v>
      </c>
      <c r="S139" s="39"/>
      <c r="T139" s="39"/>
    </row>
    <row r="140" spans="1:20" ht="15" customHeight="1" x14ac:dyDescent="0.2">
      <c r="A140" s="36">
        <v>38</v>
      </c>
      <c r="B140" s="42"/>
      <c r="C140" s="45" t="s">
        <v>129</v>
      </c>
      <c r="D140" s="18"/>
      <c r="E140" s="18"/>
      <c r="F140" s="18"/>
      <c r="G140" s="109">
        <f>(G119*1.266*4.35*1.02-0.02)*0</f>
        <v>0</v>
      </c>
      <c r="H140" s="19">
        <f t="shared" si="40"/>
        <v>0</v>
      </c>
      <c r="I140" s="18">
        <v>21608.33</v>
      </c>
      <c r="J140" s="5" t="b">
        <f t="shared" si="41"/>
        <v>0</v>
      </c>
      <c r="K140" s="38">
        <f>G119*1.266*4.35*1.02</f>
        <v>0</v>
      </c>
      <c r="L140" s="72"/>
      <c r="M140" s="72"/>
      <c r="N140" s="72"/>
      <c r="O140" s="74"/>
      <c r="P140" s="72">
        <f t="shared" si="48"/>
        <v>0</v>
      </c>
      <c r="Q140" s="234">
        <f t="shared" si="42"/>
        <v>0</v>
      </c>
      <c r="R140" s="234">
        <f t="shared" si="43"/>
        <v>0</v>
      </c>
      <c r="S140" s="39"/>
      <c r="T140" s="39"/>
    </row>
    <row r="141" spans="1:20" ht="25.5" x14ac:dyDescent="0.2">
      <c r="A141" s="36">
        <v>39</v>
      </c>
      <c r="B141" s="42"/>
      <c r="C141" s="45" t="s">
        <v>130</v>
      </c>
      <c r="D141" s="18"/>
      <c r="E141" s="18"/>
      <c r="F141" s="18"/>
      <c r="G141" s="18">
        <f>(G117*1.19+G119*1.266)*0.0615*5.29*1.02</f>
        <v>0</v>
      </c>
      <c r="H141" s="19">
        <f t="shared" si="40"/>
        <v>0</v>
      </c>
      <c r="I141" s="18">
        <v>3158.61</v>
      </c>
      <c r="J141" s="5" t="b">
        <f t="shared" si="41"/>
        <v>0</v>
      </c>
      <c r="K141" s="38"/>
      <c r="L141" s="72"/>
      <c r="M141" s="72"/>
      <c r="N141" s="72"/>
      <c r="O141" s="74"/>
      <c r="P141" s="72">
        <f t="shared" si="48"/>
        <v>0</v>
      </c>
      <c r="Q141" s="234">
        <f t="shared" si="42"/>
        <v>0</v>
      </c>
      <c r="R141" s="234">
        <f t="shared" si="43"/>
        <v>0</v>
      </c>
      <c r="S141" s="39"/>
      <c r="T141" s="39"/>
    </row>
    <row r="142" spans="1:20" s="471" customFormat="1" x14ac:dyDescent="0.2">
      <c r="A142" s="519"/>
      <c r="B142" s="467"/>
      <c r="C142" s="467" t="s">
        <v>2930</v>
      </c>
      <c r="D142" s="468"/>
      <c r="E142" s="468"/>
      <c r="F142" s="468"/>
      <c r="G142" s="468">
        <f>'ССР EL6'!M136*1.02*0</f>
        <v>0</v>
      </c>
      <c r="H142" s="470">
        <f>SUM(D142:G142)</f>
        <v>0</v>
      </c>
      <c r="I142" s="468"/>
      <c r="K142" s="520"/>
      <c r="L142" s="472"/>
      <c r="M142" s="472"/>
      <c r="N142" s="472"/>
      <c r="O142" s="472"/>
      <c r="P142" s="472"/>
      <c r="Q142" s="521"/>
      <c r="R142" s="521"/>
    </row>
    <row r="143" spans="1:20" ht="26.25" customHeight="1" x14ac:dyDescent="0.2">
      <c r="A143" s="36"/>
      <c r="B143" s="669" t="s">
        <v>100</v>
      </c>
      <c r="C143" s="670"/>
      <c r="D143" s="34">
        <f>SUM(D131:D142)</f>
        <v>584700.29</v>
      </c>
      <c r="E143" s="34">
        <f t="shared" ref="E143:G143" si="69">SUM(E131:E142)</f>
        <v>46351.25</v>
      </c>
      <c r="F143" s="34">
        <f t="shared" si="69"/>
        <v>179630.35</v>
      </c>
      <c r="G143" s="34">
        <f t="shared" si="69"/>
        <v>38756.620000000003</v>
      </c>
      <c r="H143" s="19">
        <f t="shared" si="40"/>
        <v>849438.51</v>
      </c>
      <c r="I143" s="34">
        <f>SUM(I131:I141)</f>
        <v>1659282.51</v>
      </c>
      <c r="J143" s="5" t="b">
        <f t="shared" si="41"/>
        <v>0</v>
      </c>
      <c r="K143" s="38"/>
      <c r="L143" s="72">
        <f>L127</f>
        <v>582776716</v>
      </c>
      <c r="M143" s="72">
        <f t="shared" ref="M143:O143" si="70">M127</f>
        <v>46198725</v>
      </c>
      <c r="N143" s="72">
        <f t="shared" si="70"/>
        <v>179630350</v>
      </c>
      <c r="O143" s="72">
        <f t="shared" si="70"/>
        <v>38756616</v>
      </c>
      <c r="P143" s="72">
        <f t="shared" si="48"/>
        <v>847362407</v>
      </c>
      <c r="Q143" s="234">
        <f t="shared" si="42"/>
        <v>951587983.05999994</v>
      </c>
      <c r="R143" s="234">
        <f t="shared" si="43"/>
        <v>989651502.38</v>
      </c>
      <c r="S143" s="39"/>
      <c r="T143" s="39"/>
    </row>
    <row r="144" spans="1:20" ht="25.5" x14ac:dyDescent="0.2">
      <c r="A144" s="36">
        <v>40</v>
      </c>
      <c r="B144" s="45" t="s">
        <v>101</v>
      </c>
      <c r="C144" s="45" t="s">
        <v>102</v>
      </c>
      <c r="D144" s="31">
        <f>D143*20%</f>
        <v>116940.06</v>
      </c>
      <c r="E144" s="31">
        <f>E143*20%</f>
        <v>9270.25</v>
      </c>
      <c r="F144" s="31">
        <f>F143*20%</f>
        <v>35926.07</v>
      </c>
      <c r="G144" s="65">
        <f>G143*20%</f>
        <v>7751.32</v>
      </c>
      <c r="H144" s="66">
        <f t="shared" si="40"/>
        <v>169887.7</v>
      </c>
      <c r="I144" s="32">
        <v>331856.5</v>
      </c>
      <c r="J144" s="5" t="b">
        <f t="shared" si="41"/>
        <v>0</v>
      </c>
      <c r="K144" s="40">
        <v>25823.62</v>
      </c>
      <c r="L144" s="76">
        <f>L143*20%</f>
        <v>116555343.2</v>
      </c>
      <c r="M144" s="76">
        <f t="shared" ref="M144:O144" si="71">M143*20%</f>
        <v>9239745</v>
      </c>
      <c r="N144" s="76">
        <f t="shared" si="71"/>
        <v>35926070</v>
      </c>
      <c r="O144" s="76">
        <f t="shared" si="71"/>
        <v>7751323.2000000002</v>
      </c>
      <c r="P144" s="76">
        <f t="shared" si="48"/>
        <v>169472481.40000001</v>
      </c>
      <c r="Q144" s="234">
        <f t="shared" si="42"/>
        <v>190317596.61000001</v>
      </c>
      <c r="R144" s="234">
        <f t="shared" si="43"/>
        <v>197930300.47</v>
      </c>
      <c r="S144" s="39"/>
      <c r="T144" s="39"/>
    </row>
    <row r="145" spans="1:20" ht="26.25" customHeight="1" x14ac:dyDescent="0.2">
      <c r="A145" s="36">
        <v>41</v>
      </c>
      <c r="B145" s="669" t="s">
        <v>103</v>
      </c>
      <c r="C145" s="675"/>
      <c r="D145" s="34">
        <f>D143+D144</f>
        <v>701640.35</v>
      </c>
      <c r="E145" s="34">
        <f t="shared" ref="E145:G145" si="72">E143+E144</f>
        <v>55621.5</v>
      </c>
      <c r="F145" s="34">
        <f t="shared" si="72"/>
        <v>215556.42</v>
      </c>
      <c r="G145" s="34">
        <f t="shared" si="72"/>
        <v>46507.94</v>
      </c>
      <c r="H145" s="19">
        <f t="shared" si="40"/>
        <v>1019326.21</v>
      </c>
      <c r="I145" s="34">
        <f>I143+I144</f>
        <v>1991139.01</v>
      </c>
      <c r="J145" s="5" t="b">
        <f t="shared" si="41"/>
        <v>0</v>
      </c>
      <c r="K145" s="40"/>
      <c r="L145" s="76">
        <f>L143+L144</f>
        <v>699332059.20000005</v>
      </c>
      <c r="M145" s="76">
        <f t="shared" ref="M145:O145" si="73">M143+M144</f>
        <v>55438470</v>
      </c>
      <c r="N145" s="76">
        <f t="shared" si="73"/>
        <v>215556420</v>
      </c>
      <c r="O145" s="76">
        <f t="shared" si="73"/>
        <v>46507939.200000003</v>
      </c>
      <c r="P145" s="76">
        <f t="shared" si="48"/>
        <v>1016834888.4</v>
      </c>
      <c r="Q145" s="234">
        <f t="shared" si="42"/>
        <v>1141905579.6700001</v>
      </c>
      <c r="R145" s="235">
        <f t="shared" si="43"/>
        <v>1187581802.8599999</v>
      </c>
      <c r="S145" s="39"/>
      <c r="T145" s="39"/>
    </row>
    <row r="146" spans="1:20" ht="25.5" x14ac:dyDescent="0.2">
      <c r="A146" s="20"/>
      <c r="B146" s="21"/>
      <c r="C146" s="45" t="s">
        <v>104</v>
      </c>
      <c r="D146" s="18"/>
      <c r="E146" s="18"/>
      <c r="F146" s="18"/>
      <c r="G146" s="19"/>
      <c r="H146" s="19"/>
      <c r="I146" s="18"/>
      <c r="J146" s="5" t="b">
        <f t="shared" si="41"/>
        <v>1</v>
      </c>
      <c r="K146" s="41"/>
      <c r="L146" s="72"/>
      <c r="M146" s="72"/>
      <c r="N146" s="72"/>
      <c r="O146" s="74"/>
      <c r="P146" s="72"/>
      <c r="Q146" s="234">
        <f t="shared" si="42"/>
        <v>0</v>
      </c>
      <c r="R146" s="234">
        <f t="shared" si="43"/>
        <v>0</v>
      </c>
      <c r="S146" s="39"/>
      <c r="T146" s="39"/>
    </row>
    <row r="147" spans="1:20" x14ac:dyDescent="0.2">
      <c r="A147" s="20"/>
      <c r="B147" s="21"/>
      <c r="C147" s="45" t="s">
        <v>105</v>
      </c>
      <c r="D147" s="18">
        <f>-D129</f>
        <v>275.19</v>
      </c>
      <c r="E147" s="18">
        <f>-E129</f>
        <v>21.82</v>
      </c>
      <c r="F147" s="18"/>
      <c r="G147" s="18"/>
      <c r="H147" s="19">
        <f t="shared" si="40"/>
        <v>297.01</v>
      </c>
      <c r="I147" s="18">
        <v>297.01</v>
      </c>
      <c r="J147" s="5" t="b">
        <f t="shared" si="41"/>
        <v>1</v>
      </c>
      <c r="K147" s="22"/>
      <c r="L147" s="72">
        <f t="shared" ref="L147:L150" si="74">D147*(1.023*1.005-2.3%*15%)*6.99*1000</f>
        <v>1971023</v>
      </c>
      <c r="M147" s="72">
        <f t="shared" ref="M147:M150" si="75">E147*(1.023*1.005-2.3%*15%)*6.99*1000</f>
        <v>156284</v>
      </c>
      <c r="N147" s="72">
        <f t="shared" ref="N147:N151" si="76">F147*4.09*1000</f>
        <v>0</v>
      </c>
      <c r="O147" s="72"/>
      <c r="P147" s="72">
        <f t="shared" si="48"/>
        <v>2127307</v>
      </c>
      <c r="Q147" s="234">
        <f t="shared" si="42"/>
        <v>2388965.7599999998</v>
      </c>
      <c r="R147" s="234">
        <f t="shared" si="43"/>
        <v>2484524.39</v>
      </c>
    </row>
    <row r="148" spans="1:20" x14ac:dyDescent="0.2">
      <c r="A148" s="20"/>
      <c r="B148" s="21"/>
      <c r="C148" s="45" t="s">
        <v>106</v>
      </c>
      <c r="D148" s="18">
        <f>D147*6.99*1.2</f>
        <v>2308.29</v>
      </c>
      <c r="E148" s="18">
        <f>E147*6.99*1.2</f>
        <v>183.03</v>
      </c>
      <c r="F148" s="18"/>
      <c r="G148" s="18"/>
      <c r="H148" s="19">
        <f t="shared" si="40"/>
        <v>2491.3200000000002</v>
      </c>
      <c r="I148" s="18">
        <v>2491.3200000000002</v>
      </c>
      <c r="J148" s="5" t="b">
        <f t="shared" si="41"/>
        <v>1</v>
      </c>
      <c r="K148" s="22"/>
      <c r="L148" s="72">
        <f t="shared" si="74"/>
        <v>16532916</v>
      </c>
      <c r="M148" s="72">
        <f t="shared" si="75"/>
        <v>1310936</v>
      </c>
      <c r="N148" s="72">
        <f t="shared" si="76"/>
        <v>0</v>
      </c>
      <c r="O148" s="72"/>
      <c r="P148" s="72">
        <f t="shared" si="48"/>
        <v>17843852</v>
      </c>
      <c r="Q148" s="234">
        <f t="shared" si="42"/>
        <v>20038645.800000001</v>
      </c>
      <c r="R148" s="234">
        <f t="shared" si="43"/>
        <v>20840191.629999999</v>
      </c>
    </row>
    <row r="149" spans="1:20" ht="25.5" x14ac:dyDescent="0.2">
      <c r="A149" s="20"/>
      <c r="B149" s="21"/>
      <c r="C149" s="45" t="s">
        <v>107</v>
      </c>
      <c r="D149" s="18"/>
      <c r="E149" s="18"/>
      <c r="F149" s="18"/>
      <c r="G149" s="19"/>
      <c r="H149" s="19"/>
      <c r="I149" s="18"/>
      <c r="J149" s="5" t="b">
        <f t="shared" si="41"/>
        <v>1</v>
      </c>
      <c r="K149" s="22"/>
      <c r="L149" s="72">
        <f t="shared" si="74"/>
        <v>0</v>
      </c>
      <c r="M149" s="72">
        <f t="shared" si="75"/>
        <v>0</v>
      </c>
      <c r="N149" s="72">
        <f t="shared" si="76"/>
        <v>0</v>
      </c>
      <c r="O149" s="72"/>
      <c r="P149" s="72">
        <f t="shared" si="48"/>
        <v>0</v>
      </c>
    </row>
    <row r="150" spans="1:20" x14ac:dyDescent="0.2">
      <c r="A150" s="20"/>
      <c r="B150" s="21"/>
      <c r="C150" s="45" t="s">
        <v>108</v>
      </c>
      <c r="D150" s="18"/>
      <c r="E150" s="18"/>
      <c r="F150" s="18"/>
      <c r="G150" s="18">
        <f>G117+G118+G119</f>
        <v>4380.17</v>
      </c>
      <c r="H150" s="19">
        <f t="shared" si="40"/>
        <v>4380.17</v>
      </c>
      <c r="I150" s="18">
        <v>12133.18</v>
      </c>
      <c r="J150" s="5" t="b">
        <f t="shared" si="41"/>
        <v>0</v>
      </c>
      <c r="K150" s="22"/>
      <c r="L150" s="72">
        <f t="shared" si="74"/>
        <v>0</v>
      </c>
      <c r="M150" s="72">
        <f t="shared" si="75"/>
        <v>0</v>
      </c>
      <c r="N150" s="72">
        <f t="shared" si="76"/>
        <v>0</v>
      </c>
      <c r="O150" s="72"/>
      <c r="P150" s="72">
        <f t="shared" si="48"/>
        <v>0</v>
      </c>
    </row>
    <row r="151" spans="1:20" x14ac:dyDescent="0.2">
      <c r="A151" s="20"/>
      <c r="B151" s="21"/>
      <c r="C151" s="45" t="s">
        <v>109</v>
      </c>
      <c r="D151" s="18"/>
      <c r="E151" s="18"/>
      <c r="F151" s="18"/>
      <c r="G151" s="18">
        <f>(G138+G139+G140)/1.02*1.2</f>
        <v>26708.36</v>
      </c>
      <c r="H151" s="19">
        <f t="shared" si="40"/>
        <v>26708.36</v>
      </c>
      <c r="I151" s="18">
        <v>75948.34</v>
      </c>
      <c r="J151" s="5" t="b">
        <f t="shared" si="41"/>
        <v>0</v>
      </c>
      <c r="K151" s="22"/>
      <c r="L151" s="75"/>
      <c r="M151" s="75"/>
      <c r="N151" s="72">
        <f t="shared" si="76"/>
        <v>0</v>
      </c>
      <c r="O151" s="72"/>
      <c r="P151" s="72">
        <f t="shared" si="48"/>
        <v>0</v>
      </c>
    </row>
    <row r="153" spans="1:20" hidden="1" x14ac:dyDescent="0.2"/>
    <row r="154" spans="1:20" x14ac:dyDescent="0.2">
      <c r="C154" s="2" t="s">
        <v>282</v>
      </c>
      <c r="D154" s="79">
        <f>D145-D148</f>
        <v>699332.06</v>
      </c>
      <c r="E154" s="79">
        <f t="shared" ref="E154:G154" si="77">E145-E148</f>
        <v>55438.47</v>
      </c>
      <c r="F154" s="79">
        <f t="shared" si="77"/>
        <v>215556.42</v>
      </c>
      <c r="G154" s="79">
        <f t="shared" si="77"/>
        <v>46507.94</v>
      </c>
      <c r="H154" s="79">
        <f>SUM(D154:G154)</f>
        <v>1016834.89</v>
      </c>
      <c r="I154" s="79"/>
      <c r="L154" s="80">
        <f>D154*1000</f>
        <v>699332060</v>
      </c>
      <c r="M154" s="80">
        <f t="shared" ref="M154:O154" si="78">E154*1000</f>
        <v>55438470</v>
      </c>
      <c r="N154" s="80">
        <f t="shared" si="78"/>
        <v>215556420</v>
      </c>
      <c r="O154" s="80">
        <f t="shared" si="78"/>
        <v>46507940</v>
      </c>
      <c r="P154" s="80">
        <f>SUM(L154:O154)</f>
        <v>1016834890</v>
      </c>
    </row>
    <row r="155" spans="1:20" x14ac:dyDescent="0.2">
      <c r="A155"/>
      <c r="B155" s="5"/>
      <c r="C155" s="674" t="s">
        <v>110</v>
      </c>
      <c r="D155" s="674"/>
      <c r="E155" s="23"/>
      <c r="F155" s="23"/>
      <c r="G155" s="664" t="s">
        <v>111</v>
      </c>
      <c r="H155" s="664"/>
      <c r="I155" s="44"/>
      <c r="J155"/>
      <c r="K155"/>
      <c r="L155" t="b">
        <f>L145=L154</f>
        <v>0</v>
      </c>
      <c r="M155" t="b">
        <f t="shared" ref="M155:P155" si="79">M145=M154</f>
        <v>1</v>
      </c>
      <c r="N155" t="b">
        <f t="shared" si="79"/>
        <v>1</v>
      </c>
      <c r="O155" t="b">
        <f t="shared" si="79"/>
        <v>0</v>
      </c>
      <c r="P155" t="b">
        <f t="shared" si="79"/>
        <v>0</v>
      </c>
    </row>
    <row r="156" spans="1:20" ht="63.75" x14ac:dyDescent="0.2">
      <c r="A156"/>
      <c r="B156" s="24"/>
      <c r="C156" s="25" t="s">
        <v>112</v>
      </c>
      <c r="D156" s="26"/>
      <c r="E156" s="46" t="s">
        <v>113</v>
      </c>
      <c r="F156" s="27"/>
      <c r="G156" s="651" t="s">
        <v>114</v>
      </c>
      <c r="H156" s="651"/>
      <c r="I156" s="46"/>
      <c r="J156"/>
      <c r="K156" s="82" t="s">
        <v>283</v>
      </c>
      <c r="L156" s="81">
        <f>L145-L154</f>
        <v>-0.8</v>
      </c>
      <c r="M156" s="81">
        <f t="shared" ref="M156:P156" si="80">M145-M154</f>
        <v>0</v>
      </c>
      <c r="N156" s="81">
        <f t="shared" si="80"/>
        <v>0</v>
      </c>
      <c r="O156" s="81">
        <f t="shared" si="80"/>
        <v>-0.8</v>
      </c>
      <c r="P156" s="81">
        <f t="shared" si="80"/>
        <v>-1.6</v>
      </c>
    </row>
    <row r="157" spans="1:20" x14ac:dyDescent="0.2">
      <c r="A157"/>
      <c r="B157" s="24"/>
      <c r="C157" s="25"/>
      <c r="D157" s="26"/>
      <c r="E157" s="46"/>
      <c r="F157" s="27"/>
      <c r="G157" s="46"/>
      <c r="H157" s="46"/>
      <c r="I157" s="46"/>
      <c r="J157"/>
      <c r="K157"/>
      <c r="L157"/>
      <c r="M157"/>
      <c r="N157"/>
    </row>
    <row r="158" spans="1:20" x14ac:dyDescent="0.2">
      <c r="A158"/>
      <c r="B158" s="24"/>
      <c r="C158" s="25"/>
      <c r="D158" s="26"/>
      <c r="E158" s="46"/>
      <c r="F158" s="27"/>
      <c r="G158" s="46"/>
      <c r="H158" s="46"/>
      <c r="I158" s="46"/>
      <c r="J158"/>
      <c r="K158"/>
      <c r="L158"/>
      <c r="M158"/>
      <c r="N158"/>
    </row>
    <row r="159" spans="1:20" x14ac:dyDescent="0.2">
      <c r="A159"/>
      <c r="B159" s="24"/>
      <c r="C159" s="25"/>
      <c r="D159" s="26"/>
      <c r="E159" s="46"/>
      <c r="F159" s="27"/>
      <c r="G159" s="46"/>
      <c r="H159" s="46"/>
      <c r="I159" s="46"/>
      <c r="J159"/>
      <c r="K159"/>
      <c r="L159"/>
      <c r="M159"/>
      <c r="N159"/>
    </row>
    <row r="160" spans="1:20" x14ac:dyDescent="0.2">
      <c r="A160"/>
      <c r="B160" s="5"/>
      <c r="C160" s="28"/>
      <c r="D160" s="29"/>
      <c r="E160" s="30"/>
      <c r="F160" s="30"/>
      <c r="G160" s="30"/>
      <c r="H160" s="30"/>
      <c r="I160" s="30"/>
      <c r="J160"/>
      <c r="K160"/>
      <c r="L160"/>
      <c r="M160"/>
      <c r="N160"/>
    </row>
    <row r="161" spans="1:14" x14ac:dyDescent="0.2">
      <c r="A161"/>
      <c r="B161" s="5" t="s">
        <v>115</v>
      </c>
      <c r="C161" s="43" t="s">
        <v>116</v>
      </c>
      <c r="D161" s="29"/>
      <c r="E161" s="30"/>
      <c r="F161" s="30"/>
      <c r="G161" s="30"/>
      <c r="H161" s="30"/>
      <c r="I161" s="30"/>
      <c r="J161"/>
      <c r="K161"/>
      <c r="L161"/>
      <c r="M161"/>
      <c r="N161"/>
    </row>
    <row r="162" spans="1:14" x14ac:dyDescent="0.2">
      <c r="A162"/>
      <c r="B162" s="5"/>
      <c r="C162" s="673" t="s">
        <v>117</v>
      </c>
      <c r="D162" s="673"/>
      <c r="E162" s="23"/>
      <c r="F162" s="23"/>
      <c r="G162" s="665" t="s">
        <v>118</v>
      </c>
      <c r="H162" s="665"/>
      <c r="I162" s="47"/>
      <c r="J162"/>
      <c r="K162"/>
      <c r="L162"/>
      <c r="M162"/>
      <c r="N162"/>
    </row>
    <row r="163" spans="1:14" ht="19.5" customHeight="1" x14ac:dyDescent="0.2">
      <c r="A163"/>
      <c r="B163" s="24"/>
      <c r="C163" s="25" t="s">
        <v>112</v>
      </c>
      <c r="D163" s="26"/>
      <c r="E163" s="46" t="s">
        <v>113</v>
      </c>
      <c r="F163" s="27"/>
      <c r="G163" s="666" t="s">
        <v>119</v>
      </c>
      <c r="H163" s="666"/>
      <c r="I163" s="48"/>
      <c r="J163"/>
      <c r="K163"/>
      <c r="L163"/>
      <c r="M163"/>
      <c r="N163"/>
    </row>
    <row r="164" spans="1:14" x14ac:dyDescent="0.2">
      <c r="A164"/>
      <c r="B164" s="24"/>
      <c r="C164" s="25"/>
      <c r="D164" s="26"/>
      <c r="E164" s="46"/>
      <c r="F164" s="27"/>
      <c r="G164" s="48"/>
      <c r="H164" s="48"/>
      <c r="I164" s="48"/>
      <c r="J164"/>
      <c r="K164"/>
      <c r="L164"/>
      <c r="M164"/>
      <c r="N164"/>
    </row>
    <row r="165" spans="1:14" x14ac:dyDescent="0.2">
      <c r="A165"/>
      <c r="B165" s="5"/>
      <c r="C165" s="673" t="s">
        <v>120</v>
      </c>
      <c r="D165" s="673"/>
      <c r="E165" s="23"/>
      <c r="F165" s="23"/>
      <c r="G165" s="664"/>
      <c r="H165" s="664"/>
      <c r="I165" s="44"/>
      <c r="J165"/>
      <c r="K165"/>
      <c r="L165"/>
      <c r="M165"/>
      <c r="N165"/>
    </row>
    <row r="166" spans="1:14" x14ac:dyDescent="0.2">
      <c r="A166"/>
      <c r="B166" s="24"/>
      <c r="C166" s="25" t="s">
        <v>112</v>
      </c>
      <c r="D166" s="26"/>
      <c r="E166" s="46" t="s">
        <v>113</v>
      </c>
      <c r="F166" s="27"/>
      <c r="G166" s="651" t="s">
        <v>114</v>
      </c>
      <c r="H166" s="651"/>
      <c r="I166" s="46"/>
      <c r="J166"/>
      <c r="K166"/>
      <c r="L166"/>
      <c r="M166"/>
      <c r="N166"/>
    </row>
  </sheetData>
  <mergeCells count="46">
    <mergeCell ref="A17:H17"/>
    <mergeCell ref="A22:A25"/>
    <mergeCell ref="B22:B25"/>
    <mergeCell ref="C22:C25"/>
    <mergeCell ref="D22:G22"/>
    <mergeCell ref="H22:H25"/>
    <mergeCell ref="B126:C126"/>
    <mergeCell ref="B127:C127"/>
    <mergeCell ref="I22:I25"/>
    <mergeCell ref="D23:D25"/>
    <mergeCell ref="E23:E25"/>
    <mergeCell ref="F23:F25"/>
    <mergeCell ref="G23:G25"/>
    <mergeCell ref="B32:C32"/>
    <mergeCell ref="B94:C94"/>
    <mergeCell ref="B111:C111"/>
    <mergeCell ref="B112:C112"/>
    <mergeCell ref="B115:C115"/>
    <mergeCell ref="B123:C123"/>
    <mergeCell ref="B130:C130"/>
    <mergeCell ref="B143:C143"/>
    <mergeCell ref="Q22:R22"/>
    <mergeCell ref="C165:D165"/>
    <mergeCell ref="G165:H165"/>
    <mergeCell ref="C155:D155"/>
    <mergeCell ref="C162:D162"/>
    <mergeCell ref="B145:C145"/>
    <mergeCell ref="B122:C122"/>
    <mergeCell ref="B66:C66"/>
    <mergeCell ref="B76:C76"/>
    <mergeCell ref="B79:C79"/>
    <mergeCell ref="B86:C86"/>
    <mergeCell ref="B89:C89"/>
    <mergeCell ref="B90:C90"/>
    <mergeCell ref="B93:C93"/>
    <mergeCell ref="G166:H166"/>
    <mergeCell ref="L22:P23"/>
    <mergeCell ref="L24:L25"/>
    <mergeCell ref="M24:M25"/>
    <mergeCell ref="N24:N25"/>
    <mergeCell ref="O24:O25"/>
    <mergeCell ref="P24:P25"/>
    <mergeCell ref="G155:H155"/>
    <mergeCell ref="G156:H156"/>
    <mergeCell ref="G162:H162"/>
    <mergeCell ref="G163:H163"/>
  </mergeCells>
  <conditionalFormatting sqref="J28:J151">
    <cfRule type="containsText" dxfId="5" priority="3" operator="containsText" text="истина">
      <formula>NOT(ISERROR(SEARCH("истина",J28)))</formula>
    </cfRule>
    <cfRule type="containsText" dxfId="4" priority="4" operator="containsText" text="ложь">
      <formula>NOT(ISERROR(SEARCH("ложь",J28)))</formula>
    </cfRule>
  </conditionalFormatting>
  <conditionalFormatting sqref="L155:P155">
    <cfRule type="containsText" dxfId="3" priority="1" operator="containsText" text="истина">
      <formula>NOT(ISERROR(SEARCH("истина",L155)))</formula>
    </cfRule>
    <cfRule type="containsText" dxfId="2" priority="2" operator="containsText" text="ложь">
      <formula>NOT(ISERROR(SEARCH("ложь",L155)))</formula>
    </cfRule>
  </conditionalFormatting>
  <pageMargins left="0.42" right="0.25" top="0.5" bottom="0.52" header="0.3" footer="0.3"/>
  <pageSetup paperSize="9" scale="52" fitToHeight="0" orientation="landscape" r:id="rId1"/>
  <headerFooter alignWithMargins="0">
    <oddHeader>&amp;LГранд-СМЕТА</oddHeader>
    <oddFooter>&amp;RСтраница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164"/>
  <sheetViews>
    <sheetView showGridLines="0" view="pageBreakPreview" topLeftCell="A18" zoomScaleNormal="100" zoomScaleSheetLayoutView="100" workbookViewId="0">
      <pane ySplit="9" topLeftCell="A91" activePane="bottomLeft" state="frozen"/>
      <selection activeCell="A18" sqref="A18"/>
      <selection pane="bottomLeft" activeCell="M114" sqref="M114"/>
    </sheetView>
  </sheetViews>
  <sheetFormatPr defaultRowHeight="12.75" outlineLevelRow="1" x14ac:dyDescent="0.2"/>
  <cols>
    <col min="1" max="1" width="5" style="1" customWidth="1"/>
    <col min="2" max="2" width="19.28515625" style="2" customWidth="1"/>
    <col min="3" max="3" width="51.28515625" style="2" customWidth="1"/>
    <col min="4" max="4" width="13.140625" style="8" customWidth="1"/>
    <col min="5" max="5" width="13" style="8" customWidth="1"/>
    <col min="6" max="6" width="13.42578125" style="8" customWidth="1"/>
    <col min="7" max="7" width="13.28515625" style="8" customWidth="1"/>
    <col min="8" max="9" width="13.85546875" style="8" customWidth="1"/>
    <col min="10" max="11" width="11.7109375" style="5" bestFit="1" customWidth="1"/>
    <col min="12" max="12" width="30.140625" style="5" customWidth="1"/>
    <col min="13" max="16384" width="9.140625" style="5"/>
  </cols>
  <sheetData>
    <row r="1" spans="2:9" x14ac:dyDescent="0.2">
      <c r="D1" s="3"/>
      <c r="E1" s="3"/>
      <c r="F1" s="3"/>
      <c r="G1" s="3"/>
      <c r="H1" s="4" t="s">
        <v>5</v>
      </c>
      <c r="I1" s="4" t="s">
        <v>5</v>
      </c>
    </row>
    <row r="2" spans="2:9" x14ac:dyDescent="0.2">
      <c r="B2" s="2" t="s">
        <v>7</v>
      </c>
      <c r="C2" s="13" t="s">
        <v>95</v>
      </c>
      <c r="D2" s="6"/>
      <c r="E2" s="6"/>
      <c r="F2" s="6"/>
      <c r="G2" s="6"/>
      <c r="H2" s="3"/>
      <c r="I2" s="3"/>
    </row>
    <row r="3" spans="2:9" x14ac:dyDescent="0.2">
      <c r="D3" s="7" t="s">
        <v>8</v>
      </c>
      <c r="F3" s="3"/>
      <c r="G3" s="3"/>
      <c r="H3" s="3"/>
      <c r="I3" s="3"/>
    </row>
    <row r="4" spans="2:9" x14ac:dyDescent="0.2">
      <c r="B4" s="2" t="s">
        <v>96</v>
      </c>
      <c r="D4" s="3"/>
      <c r="E4" s="7"/>
      <c r="F4" s="3"/>
      <c r="G4" s="3"/>
      <c r="H4" s="3"/>
      <c r="I4" s="3"/>
    </row>
    <row r="5" spans="2:9" x14ac:dyDescent="0.2">
      <c r="D5" s="3"/>
      <c r="E5" s="7"/>
      <c r="F5" s="3"/>
      <c r="G5" s="3"/>
      <c r="H5" s="3"/>
      <c r="I5" s="3"/>
    </row>
    <row r="6" spans="2:9" x14ac:dyDescent="0.2">
      <c r="B6" s="33" t="s">
        <v>134</v>
      </c>
      <c r="D6" s="3"/>
      <c r="E6" s="7"/>
      <c r="F6" s="3"/>
      <c r="G6" s="3"/>
      <c r="H6" s="3"/>
      <c r="I6" s="3"/>
    </row>
    <row r="7" spans="2:9" x14ac:dyDescent="0.2">
      <c r="B7" s="33" t="s">
        <v>125</v>
      </c>
      <c r="D7" s="3"/>
      <c r="E7" s="3"/>
      <c r="F7" s="3"/>
      <c r="G7" s="3"/>
      <c r="H7" s="3"/>
      <c r="I7" s="3"/>
    </row>
    <row r="8" spans="2:9" x14ac:dyDescent="0.2">
      <c r="B8" s="33" t="s">
        <v>136</v>
      </c>
      <c r="D8" s="3"/>
      <c r="E8" s="7"/>
      <c r="F8" s="3"/>
      <c r="G8" s="3"/>
      <c r="H8" s="3"/>
      <c r="I8" s="3"/>
    </row>
    <row r="9" spans="2:9" x14ac:dyDescent="0.2">
      <c r="B9" s="33" t="s">
        <v>135</v>
      </c>
      <c r="D9" s="3"/>
      <c r="E9" s="3"/>
      <c r="F9" s="3"/>
      <c r="G9" s="3"/>
      <c r="H9" s="3"/>
      <c r="I9" s="3"/>
    </row>
    <row r="10" spans="2:9" x14ac:dyDescent="0.2">
      <c r="C10" s="13"/>
      <c r="D10" s="6"/>
      <c r="E10" s="9"/>
      <c r="F10" s="6"/>
      <c r="G10" s="6"/>
      <c r="H10" s="3"/>
      <c r="I10" s="3"/>
    </row>
    <row r="11" spans="2:9" x14ac:dyDescent="0.2">
      <c r="D11" s="7" t="s">
        <v>9</v>
      </c>
      <c r="F11" s="3"/>
      <c r="G11" s="3"/>
      <c r="H11" s="3"/>
      <c r="I11" s="3"/>
    </row>
    <row r="12" spans="2:9" x14ac:dyDescent="0.2">
      <c r="D12" s="3"/>
      <c r="E12" s="7"/>
      <c r="F12" s="3"/>
      <c r="G12" s="3"/>
      <c r="H12" s="3"/>
      <c r="I12" s="3"/>
    </row>
    <row r="13" spans="2:9" x14ac:dyDescent="0.2">
      <c r="B13" s="2" t="s">
        <v>97</v>
      </c>
      <c r="H13" s="3"/>
      <c r="I13" s="3"/>
    </row>
    <row r="14" spans="2:9" x14ac:dyDescent="0.2">
      <c r="G14" s="3"/>
      <c r="H14" s="3"/>
      <c r="I14" s="3"/>
    </row>
    <row r="15" spans="2:9" x14ac:dyDescent="0.2">
      <c r="D15" s="10" t="s">
        <v>6</v>
      </c>
      <c r="F15" s="3"/>
      <c r="G15" s="3"/>
      <c r="H15" s="3"/>
      <c r="I15" s="3"/>
    </row>
    <row r="16" spans="2:9" x14ac:dyDescent="0.2">
      <c r="D16" s="11"/>
      <c r="F16" s="3"/>
      <c r="G16" s="3"/>
      <c r="H16" s="3"/>
      <c r="I16" s="3"/>
    </row>
    <row r="17" spans="1:15" x14ac:dyDescent="0.2">
      <c r="A17" s="677" t="s">
        <v>13</v>
      </c>
      <c r="B17" s="677"/>
      <c r="C17" s="677"/>
      <c r="D17" s="677"/>
      <c r="E17" s="677"/>
      <c r="F17" s="677"/>
      <c r="G17" s="677"/>
      <c r="H17" s="677"/>
      <c r="I17" s="49"/>
      <c r="J17"/>
      <c r="K17"/>
      <c r="L17"/>
      <c r="M17"/>
      <c r="N17"/>
      <c r="O17"/>
    </row>
    <row r="18" spans="1:15" x14ac:dyDescent="0.2">
      <c r="D18" s="12" t="s">
        <v>0</v>
      </c>
      <c r="F18" s="3"/>
      <c r="G18" s="3"/>
      <c r="H18" s="3"/>
      <c r="I18" s="3"/>
    </row>
    <row r="19" spans="1:15" x14ac:dyDescent="0.2">
      <c r="H19" s="3"/>
      <c r="I19" s="3"/>
    </row>
    <row r="20" spans="1:15" x14ac:dyDescent="0.2">
      <c r="D20" s="11"/>
      <c r="E20" s="3"/>
      <c r="F20" s="3"/>
      <c r="G20" s="3"/>
      <c r="H20" s="3"/>
      <c r="I20" s="3"/>
    </row>
    <row r="21" spans="1:15" x14ac:dyDescent="0.2">
      <c r="A21" s="16" t="s">
        <v>98</v>
      </c>
      <c r="B21"/>
      <c r="C21"/>
      <c r="D21" s="11"/>
      <c r="E21" s="3"/>
      <c r="F21" s="3"/>
      <c r="G21" s="3"/>
      <c r="H21" s="3"/>
      <c r="I21" s="3"/>
      <c r="J21"/>
      <c r="K21"/>
      <c r="L21"/>
      <c r="M21"/>
      <c r="N21"/>
      <c r="O21"/>
    </row>
    <row r="22" spans="1:15" ht="12.75" customHeight="1" x14ac:dyDescent="0.2">
      <c r="A22" s="676" t="s">
        <v>1</v>
      </c>
      <c r="B22" s="678" t="s">
        <v>10</v>
      </c>
      <c r="C22" s="678" t="s">
        <v>11</v>
      </c>
      <c r="D22" s="679" t="s">
        <v>14</v>
      </c>
      <c r="E22" s="679"/>
      <c r="F22" s="679"/>
      <c r="G22" s="679"/>
      <c r="H22" s="676" t="s">
        <v>15</v>
      </c>
      <c r="I22" s="676" t="s">
        <v>15</v>
      </c>
    </row>
    <row r="23" spans="1:15" x14ac:dyDescent="0.2">
      <c r="A23" s="676"/>
      <c r="B23" s="678"/>
      <c r="C23" s="678"/>
      <c r="D23" s="676" t="s">
        <v>12</v>
      </c>
      <c r="E23" s="676" t="s">
        <v>2</v>
      </c>
      <c r="F23" s="676" t="s">
        <v>3</v>
      </c>
      <c r="G23" s="676" t="s">
        <v>4</v>
      </c>
      <c r="H23" s="676"/>
      <c r="I23" s="676"/>
    </row>
    <row r="24" spans="1:15" x14ac:dyDescent="0.2">
      <c r="A24" s="676"/>
      <c r="B24" s="678"/>
      <c r="C24" s="678"/>
      <c r="D24" s="676"/>
      <c r="E24" s="676"/>
      <c r="F24" s="676"/>
      <c r="G24" s="676"/>
      <c r="H24" s="676"/>
      <c r="I24" s="676"/>
    </row>
    <row r="25" spans="1:15" x14ac:dyDescent="0.2">
      <c r="A25" s="676"/>
      <c r="B25" s="678"/>
      <c r="C25" s="678"/>
      <c r="D25" s="676"/>
      <c r="E25" s="676"/>
      <c r="F25" s="676"/>
      <c r="G25" s="676"/>
      <c r="H25" s="676"/>
      <c r="I25" s="676"/>
    </row>
    <row r="26" spans="1:15" x14ac:dyDescent="0.2">
      <c r="A26" s="14">
        <v>1</v>
      </c>
      <c r="B26" s="15">
        <v>2</v>
      </c>
      <c r="C26" s="15">
        <v>3</v>
      </c>
      <c r="D26" s="14">
        <v>4</v>
      </c>
      <c r="E26" s="14">
        <v>5</v>
      </c>
      <c r="F26" s="14">
        <v>6</v>
      </c>
      <c r="G26" s="14">
        <v>7</v>
      </c>
      <c r="H26" s="14">
        <v>8</v>
      </c>
      <c r="I26" s="14">
        <v>8</v>
      </c>
    </row>
    <row r="27" spans="1:15" ht="12.75" customHeight="1" x14ac:dyDescent="0.2">
      <c r="A27" s="51" t="s">
        <v>16</v>
      </c>
      <c r="B27" s="52"/>
      <c r="C27" s="52"/>
      <c r="D27" s="52"/>
      <c r="E27" s="52"/>
      <c r="F27" s="52"/>
      <c r="G27" s="52"/>
      <c r="H27" s="53"/>
      <c r="I27" s="50"/>
    </row>
    <row r="28" spans="1:15" ht="14.25" customHeight="1" x14ac:dyDescent="0.2">
      <c r="A28" s="35">
        <v>1</v>
      </c>
      <c r="B28" s="45" t="s">
        <v>17</v>
      </c>
      <c r="C28" s="45" t="s">
        <v>18</v>
      </c>
      <c r="D28" s="18"/>
      <c r="E28" s="18"/>
      <c r="F28" s="18"/>
      <c r="G28" s="19">
        <v>2.42</v>
      </c>
      <c r="H28" s="19">
        <f>SUM(D28:G28)</f>
        <v>2.42</v>
      </c>
      <c r="I28" s="19">
        <v>2.42</v>
      </c>
      <c r="J28" s="5" t="b">
        <f>H28=I28</f>
        <v>1</v>
      </c>
    </row>
    <row r="29" spans="1:15" ht="25.5" x14ac:dyDescent="0.2">
      <c r="A29" s="35">
        <v>2</v>
      </c>
      <c r="B29" s="45" t="s">
        <v>19</v>
      </c>
      <c r="C29" s="45" t="s">
        <v>20</v>
      </c>
      <c r="D29" s="19">
        <v>6.91</v>
      </c>
      <c r="E29" s="18"/>
      <c r="F29" s="18"/>
      <c r="G29" s="18"/>
      <c r="H29" s="19">
        <f t="shared" ref="H29:H138" si="0">SUM(D29:G29)</f>
        <v>6.91</v>
      </c>
      <c r="I29" s="19">
        <v>6.91</v>
      </c>
      <c r="J29" s="5" t="b">
        <f t="shared" ref="J29:J138" si="1">H29=I29</f>
        <v>1</v>
      </c>
    </row>
    <row r="30" spans="1:15" ht="16.5" customHeight="1" x14ac:dyDescent="0.2">
      <c r="A30" s="35">
        <v>3</v>
      </c>
      <c r="B30" s="45" t="s">
        <v>21</v>
      </c>
      <c r="C30" s="45" t="s">
        <v>22</v>
      </c>
      <c r="D30" s="19">
        <v>2.78</v>
      </c>
      <c r="E30" s="18"/>
      <c r="F30" s="18"/>
      <c r="G30" s="18"/>
      <c r="H30" s="19">
        <f t="shared" si="0"/>
        <v>2.78</v>
      </c>
      <c r="I30" s="19">
        <v>2.78</v>
      </c>
      <c r="J30" s="5" t="b">
        <f t="shared" si="1"/>
        <v>1</v>
      </c>
    </row>
    <row r="31" spans="1:15" ht="25.5" x14ac:dyDescent="0.2">
      <c r="A31" s="35">
        <v>4</v>
      </c>
      <c r="B31" s="45" t="s">
        <v>23</v>
      </c>
      <c r="C31" s="45" t="s">
        <v>24</v>
      </c>
      <c r="D31" s="18"/>
      <c r="E31" s="18"/>
      <c r="F31" s="18"/>
      <c r="G31" s="19">
        <v>87.33</v>
      </c>
      <c r="H31" s="19">
        <f t="shared" si="0"/>
        <v>87.33</v>
      </c>
      <c r="I31" s="19">
        <v>87.33</v>
      </c>
      <c r="J31" s="5" t="b">
        <f t="shared" si="1"/>
        <v>1</v>
      </c>
    </row>
    <row r="32" spans="1:15" ht="27.95" customHeight="1" x14ac:dyDescent="0.2">
      <c r="A32" s="36"/>
      <c r="B32" s="669" t="s">
        <v>25</v>
      </c>
      <c r="C32" s="675"/>
      <c r="D32" s="19">
        <f>D28+D29+D30+D31</f>
        <v>9.69</v>
      </c>
      <c r="E32" s="18"/>
      <c r="F32" s="18"/>
      <c r="G32" s="19">
        <f>G28+G29+G30+G31</f>
        <v>89.75</v>
      </c>
      <c r="H32" s="19">
        <f t="shared" si="0"/>
        <v>99.44</v>
      </c>
      <c r="I32" s="19">
        <v>99.44</v>
      </c>
      <c r="J32" s="5" t="b">
        <f t="shared" si="1"/>
        <v>1</v>
      </c>
    </row>
    <row r="33" spans="1:10" ht="12.75" customHeight="1" x14ac:dyDescent="0.2">
      <c r="A33" s="51" t="s">
        <v>26</v>
      </c>
      <c r="B33" s="52"/>
      <c r="C33" s="52"/>
      <c r="D33" s="54"/>
      <c r="E33" s="54"/>
      <c r="F33" s="54"/>
      <c r="G33" s="54"/>
      <c r="H33" s="19"/>
      <c r="I33" s="55"/>
      <c r="J33" s="5" t="b">
        <f t="shared" si="1"/>
        <v>1</v>
      </c>
    </row>
    <row r="34" spans="1:10" ht="17.25" customHeight="1" x14ac:dyDescent="0.2">
      <c r="A34" s="35">
        <v>5</v>
      </c>
      <c r="B34" s="45" t="s">
        <v>27</v>
      </c>
      <c r="C34" s="45" t="s">
        <v>28</v>
      </c>
      <c r="D34" s="19">
        <f>SUM(D35:D43)</f>
        <v>25102.05</v>
      </c>
      <c r="E34" s="19">
        <f t="shared" ref="E34:F34" si="2">SUM(E35:E43)</f>
        <v>1207.6300000000001</v>
      </c>
      <c r="F34" s="19">
        <f t="shared" si="2"/>
        <v>177723.26</v>
      </c>
      <c r="G34" s="18"/>
      <c r="H34" s="19">
        <f t="shared" si="0"/>
        <v>204032.94</v>
      </c>
      <c r="I34" s="19">
        <v>204032.94</v>
      </c>
      <c r="J34" s="5" t="b">
        <f t="shared" si="1"/>
        <v>1</v>
      </c>
    </row>
    <row r="35" spans="1:10" s="60" customFormat="1" ht="25.5" hidden="1" outlineLevel="1" x14ac:dyDescent="0.2">
      <c r="A35" s="61" t="s">
        <v>190</v>
      </c>
      <c r="B35" s="56" t="s">
        <v>140</v>
      </c>
      <c r="C35" s="56" t="s">
        <v>141</v>
      </c>
      <c r="D35" s="57">
        <v>492.75</v>
      </c>
      <c r="E35" s="57">
        <v>637.78</v>
      </c>
      <c r="F35" s="57">
        <v>172463.33</v>
      </c>
      <c r="G35" s="58"/>
      <c r="H35" s="59">
        <f t="shared" si="0"/>
        <v>173593.86</v>
      </c>
      <c r="I35" s="59"/>
    </row>
    <row r="36" spans="1:10" s="60" customFormat="1" ht="25.5" hidden="1" outlineLevel="1" x14ac:dyDescent="0.2">
      <c r="A36" s="61" t="s">
        <v>191</v>
      </c>
      <c r="B36" s="56" t="s">
        <v>142</v>
      </c>
      <c r="C36" s="56" t="s">
        <v>143</v>
      </c>
      <c r="D36" s="57">
        <v>9203.08</v>
      </c>
      <c r="E36" s="58"/>
      <c r="F36" s="58"/>
      <c r="G36" s="58"/>
      <c r="H36" s="59">
        <f t="shared" si="0"/>
        <v>9203.08</v>
      </c>
      <c r="I36" s="59"/>
    </row>
    <row r="37" spans="1:10" s="60" customFormat="1" ht="38.25" hidden="1" outlineLevel="1" x14ac:dyDescent="0.2">
      <c r="A37" s="61" t="s">
        <v>192</v>
      </c>
      <c r="B37" s="56" t="s">
        <v>144</v>
      </c>
      <c r="C37" s="56" t="s">
        <v>145</v>
      </c>
      <c r="D37" s="57">
        <v>94.55</v>
      </c>
      <c r="E37" s="57">
        <v>208</v>
      </c>
      <c r="F37" s="58"/>
      <c r="G37" s="58"/>
      <c r="H37" s="59">
        <f t="shared" si="0"/>
        <v>302.55</v>
      </c>
      <c r="I37" s="59"/>
    </row>
    <row r="38" spans="1:10" s="60" customFormat="1" ht="25.5" hidden="1" outlineLevel="1" x14ac:dyDescent="0.2">
      <c r="A38" s="61" t="s">
        <v>193</v>
      </c>
      <c r="B38" s="56" t="s">
        <v>146</v>
      </c>
      <c r="C38" s="56" t="s">
        <v>147</v>
      </c>
      <c r="D38" s="57">
        <v>7.16</v>
      </c>
      <c r="E38" s="57">
        <v>0.52</v>
      </c>
      <c r="F38" s="58"/>
      <c r="G38" s="58"/>
      <c r="H38" s="59">
        <f t="shared" si="0"/>
        <v>7.68</v>
      </c>
      <c r="I38" s="59"/>
    </row>
    <row r="39" spans="1:10" s="60" customFormat="1" ht="25.5" hidden="1" outlineLevel="1" x14ac:dyDescent="0.2">
      <c r="A39" s="61" t="s">
        <v>194</v>
      </c>
      <c r="B39" s="56" t="s">
        <v>148</v>
      </c>
      <c r="C39" s="56" t="s">
        <v>149</v>
      </c>
      <c r="D39" s="58"/>
      <c r="E39" s="57">
        <v>85.4</v>
      </c>
      <c r="F39" s="57">
        <v>4116.21</v>
      </c>
      <c r="G39" s="58"/>
      <c r="H39" s="59">
        <f t="shared" si="0"/>
        <v>4201.6099999999997</v>
      </c>
      <c r="I39" s="59"/>
    </row>
    <row r="40" spans="1:10" s="60" customFormat="1" ht="38.25" hidden="1" outlineLevel="1" x14ac:dyDescent="0.2">
      <c r="A40" s="61" t="s">
        <v>195</v>
      </c>
      <c r="B40" s="56" t="s">
        <v>150</v>
      </c>
      <c r="C40" s="56" t="s">
        <v>151</v>
      </c>
      <c r="D40" s="58"/>
      <c r="E40" s="57">
        <v>72.38</v>
      </c>
      <c r="F40" s="57">
        <v>162.56</v>
      </c>
      <c r="G40" s="58"/>
      <c r="H40" s="59">
        <f t="shared" si="0"/>
        <v>234.94</v>
      </c>
      <c r="I40" s="59"/>
    </row>
    <row r="41" spans="1:10" s="60" customFormat="1" ht="25.5" hidden="1" outlineLevel="1" x14ac:dyDescent="0.2">
      <c r="A41" s="61" t="s">
        <v>196</v>
      </c>
      <c r="B41" s="56" t="s">
        <v>152</v>
      </c>
      <c r="C41" s="56" t="s">
        <v>153</v>
      </c>
      <c r="D41" s="58"/>
      <c r="E41" s="57">
        <v>186.7</v>
      </c>
      <c r="F41" s="57">
        <v>981.16</v>
      </c>
      <c r="G41" s="58"/>
      <c r="H41" s="59">
        <f t="shared" si="0"/>
        <v>1167.8599999999999</v>
      </c>
      <c r="I41" s="59"/>
    </row>
    <row r="42" spans="1:10" s="60" customFormat="1" hidden="1" outlineLevel="1" x14ac:dyDescent="0.2">
      <c r="A42" s="61" t="s">
        <v>197</v>
      </c>
      <c r="B42" s="56" t="s">
        <v>154</v>
      </c>
      <c r="C42" s="56" t="s">
        <v>155</v>
      </c>
      <c r="D42" s="57">
        <v>15304.51</v>
      </c>
      <c r="E42" s="57">
        <v>8.1199999999999992</v>
      </c>
      <c r="F42" s="58"/>
      <c r="G42" s="58"/>
      <c r="H42" s="59">
        <f t="shared" si="0"/>
        <v>15312.63</v>
      </c>
      <c r="I42" s="59"/>
    </row>
    <row r="43" spans="1:10" s="60" customFormat="1" ht="25.5" hidden="1" outlineLevel="1" x14ac:dyDescent="0.2">
      <c r="A43" s="61" t="s">
        <v>198</v>
      </c>
      <c r="B43" s="56" t="s">
        <v>156</v>
      </c>
      <c r="C43" s="56" t="s">
        <v>157</v>
      </c>
      <c r="D43" s="58"/>
      <c r="E43" s="57">
        <v>8.73</v>
      </c>
      <c r="F43" s="58"/>
      <c r="G43" s="58"/>
      <c r="H43" s="59">
        <f t="shared" si="0"/>
        <v>8.73</v>
      </c>
      <c r="I43" s="59"/>
    </row>
    <row r="44" spans="1:10" ht="25.5" collapsed="1" x14ac:dyDescent="0.2">
      <c r="A44" s="35">
        <v>6</v>
      </c>
      <c r="B44" s="45" t="s">
        <v>29</v>
      </c>
      <c r="C44" s="45" t="s">
        <v>30</v>
      </c>
      <c r="D44" s="19">
        <f>SUM(D45:D60)</f>
        <v>27492.95</v>
      </c>
      <c r="E44" s="19">
        <f t="shared" ref="E44:F44" si="3">SUM(E45:E60)</f>
        <v>1672.83</v>
      </c>
      <c r="F44" s="19">
        <f t="shared" si="3"/>
        <v>17387.150000000001</v>
      </c>
      <c r="G44" s="18"/>
      <c r="H44" s="19">
        <f t="shared" si="0"/>
        <v>46552.93</v>
      </c>
      <c r="I44" s="19">
        <v>46552.93</v>
      </c>
      <c r="J44" s="5" t="b">
        <f t="shared" si="1"/>
        <v>1</v>
      </c>
    </row>
    <row r="45" spans="1:10" s="60" customFormat="1" ht="25.5" hidden="1" outlineLevel="1" x14ac:dyDescent="0.2">
      <c r="A45" s="62" t="s">
        <v>199</v>
      </c>
      <c r="B45" s="56" t="s">
        <v>158</v>
      </c>
      <c r="C45" s="56" t="s">
        <v>159</v>
      </c>
      <c r="D45" s="57">
        <v>745.52</v>
      </c>
      <c r="E45" s="58"/>
      <c r="F45" s="57">
        <v>482.38</v>
      </c>
      <c r="G45" s="58"/>
      <c r="H45" s="59">
        <f t="shared" si="0"/>
        <v>1227.9000000000001</v>
      </c>
      <c r="I45" s="59"/>
    </row>
    <row r="46" spans="1:10" s="60" customFormat="1" ht="25.5" hidden="1" outlineLevel="1" x14ac:dyDescent="0.2">
      <c r="A46" s="62" t="s">
        <v>200</v>
      </c>
      <c r="B46" s="56" t="s">
        <v>160</v>
      </c>
      <c r="C46" s="56" t="s">
        <v>161</v>
      </c>
      <c r="D46" s="57">
        <v>11570.42</v>
      </c>
      <c r="E46" s="58"/>
      <c r="F46" s="58"/>
      <c r="G46" s="58"/>
      <c r="H46" s="59">
        <f t="shared" si="0"/>
        <v>11570.42</v>
      </c>
      <c r="I46" s="59"/>
    </row>
    <row r="47" spans="1:10" s="60" customFormat="1" ht="38.25" hidden="1" outlineLevel="1" x14ac:dyDescent="0.2">
      <c r="A47" s="62" t="s">
        <v>201</v>
      </c>
      <c r="B47" s="56" t="s">
        <v>162</v>
      </c>
      <c r="C47" s="56" t="s">
        <v>163</v>
      </c>
      <c r="D47" s="57">
        <v>3112.12</v>
      </c>
      <c r="E47" s="58"/>
      <c r="F47" s="58"/>
      <c r="G47" s="58"/>
      <c r="H47" s="59">
        <f t="shared" si="0"/>
        <v>3112.12</v>
      </c>
      <c r="I47" s="59"/>
    </row>
    <row r="48" spans="1:10" s="60" customFormat="1" ht="38.25" hidden="1" outlineLevel="1" x14ac:dyDescent="0.2">
      <c r="A48" s="62" t="s">
        <v>202</v>
      </c>
      <c r="B48" s="56" t="s">
        <v>164</v>
      </c>
      <c r="C48" s="56" t="s">
        <v>165</v>
      </c>
      <c r="D48" s="57">
        <v>10092.56</v>
      </c>
      <c r="E48" s="58"/>
      <c r="F48" s="58"/>
      <c r="G48" s="58"/>
      <c r="H48" s="59">
        <f t="shared" si="0"/>
        <v>10092.56</v>
      </c>
      <c r="I48" s="59"/>
    </row>
    <row r="49" spans="1:10" s="60" customFormat="1" ht="25.5" hidden="1" outlineLevel="1" x14ac:dyDescent="0.2">
      <c r="A49" s="62" t="s">
        <v>203</v>
      </c>
      <c r="B49" s="56" t="s">
        <v>166</v>
      </c>
      <c r="C49" s="56" t="s">
        <v>167</v>
      </c>
      <c r="D49" s="58"/>
      <c r="E49" s="57">
        <v>81.53</v>
      </c>
      <c r="F49" s="57">
        <v>454.1</v>
      </c>
      <c r="G49" s="58"/>
      <c r="H49" s="59">
        <f t="shared" si="0"/>
        <v>535.63</v>
      </c>
      <c r="I49" s="59"/>
    </row>
    <row r="50" spans="1:10" s="60" customFormat="1" ht="25.5" hidden="1" outlineLevel="1" x14ac:dyDescent="0.2">
      <c r="A50" s="62" t="s">
        <v>204</v>
      </c>
      <c r="B50" s="56" t="s">
        <v>168</v>
      </c>
      <c r="C50" s="56" t="s">
        <v>169</v>
      </c>
      <c r="D50" s="57">
        <v>0.1</v>
      </c>
      <c r="E50" s="57">
        <v>69.849999999999994</v>
      </c>
      <c r="F50" s="57">
        <v>83.87</v>
      </c>
      <c r="G50" s="58"/>
      <c r="H50" s="59">
        <f t="shared" si="0"/>
        <v>153.82</v>
      </c>
      <c r="I50" s="59"/>
    </row>
    <row r="51" spans="1:10" s="60" customFormat="1" ht="25.5" hidden="1" outlineLevel="1" x14ac:dyDescent="0.2">
      <c r="A51" s="62" t="s">
        <v>205</v>
      </c>
      <c r="B51" s="56" t="s">
        <v>170</v>
      </c>
      <c r="C51" s="56" t="s">
        <v>171</v>
      </c>
      <c r="D51" s="58"/>
      <c r="E51" s="57">
        <v>1027.0899999999999</v>
      </c>
      <c r="F51" s="57">
        <v>5085.87</v>
      </c>
      <c r="G51" s="58"/>
      <c r="H51" s="59">
        <f t="shared" si="0"/>
        <v>6112.96</v>
      </c>
      <c r="I51" s="59"/>
    </row>
    <row r="52" spans="1:10" s="60" customFormat="1" ht="38.25" hidden="1" outlineLevel="1" x14ac:dyDescent="0.2">
      <c r="A52" s="62" t="s">
        <v>206</v>
      </c>
      <c r="B52" s="56" t="s">
        <v>172</v>
      </c>
      <c r="C52" s="56" t="s">
        <v>173</v>
      </c>
      <c r="D52" s="57">
        <v>67.819999999999993</v>
      </c>
      <c r="E52" s="57">
        <v>30.72</v>
      </c>
      <c r="F52" s="58"/>
      <c r="G52" s="58"/>
      <c r="H52" s="59">
        <f t="shared" si="0"/>
        <v>98.54</v>
      </c>
      <c r="I52" s="59"/>
    </row>
    <row r="53" spans="1:10" s="60" customFormat="1" ht="25.5" hidden="1" outlineLevel="1" x14ac:dyDescent="0.2">
      <c r="A53" s="62" t="s">
        <v>207</v>
      </c>
      <c r="B53" s="56" t="s">
        <v>174</v>
      </c>
      <c r="C53" s="56" t="s">
        <v>175</v>
      </c>
      <c r="D53" s="57">
        <v>235.13</v>
      </c>
      <c r="E53" s="57">
        <v>28.05</v>
      </c>
      <c r="F53" s="57">
        <v>4768.78</v>
      </c>
      <c r="G53" s="58"/>
      <c r="H53" s="59">
        <f t="shared" si="0"/>
        <v>5031.96</v>
      </c>
      <c r="I53" s="59"/>
    </row>
    <row r="54" spans="1:10" s="60" customFormat="1" hidden="1" outlineLevel="1" x14ac:dyDescent="0.2">
      <c r="A54" s="62" t="s">
        <v>208</v>
      </c>
      <c r="B54" s="56" t="s">
        <v>176</v>
      </c>
      <c r="C54" s="56" t="s">
        <v>177</v>
      </c>
      <c r="D54" s="57">
        <v>13.2</v>
      </c>
      <c r="E54" s="57">
        <v>80.81</v>
      </c>
      <c r="F54" s="57">
        <v>176.25</v>
      </c>
      <c r="G54" s="58"/>
      <c r="H54" s="59">
        <f t="shared" si="0"/>
        <v>270.26</v>
      </c>
      <c r="I54" s="59"/>
    </row>
    <row r="55" spans="1:10" s="60" customFormat="1" ht="25.5" hidden="1" outlineLevel="1" x14ac:dyDescent="0.2">
      <c r="A55" s="62" t="s">
        <v>209</v>
      </c>
      <c r="B55" s="56" t="s">
        <v>178</v>
      </c>
      <c r="C55" s="56" t="s">
        <v>179</v>
      </c>
      <c r="D55" s="57">
        <v>90.92</v>
      </c>
      <c r="E55" s="58"/>
      <c r="F55" s="57">
        <v>17.29</v>
      </c>
      <c r="G55" s="58"/>
      <c r="H55" s="59">
        <f t="shared" si="0"/>
        <v>108.21</v>
      </c>
      <c r="I55" s="59"/>
    </row>
    <row r="56" spans="1:10" s="60" customFormat="1" ht="38.25" hidden="1" outlineLevel="1" x14ac:dyDescent="0.2">
      <c r="A56" s="62" t="s">
        <v>210</v>
      </c>
      <c r="B56" s="56" t="s">
        <v>180</v>
      </c>
      <c r="C56" s="56" t="s">
        <v>181</v>
      </c>
      <c r="D56" s="57">
        <v>1559.46</v>
      </c>
      <c r="E56" s="57">
        <v>9.4499999999999993</v>
      </c>
      <c r="F56" s="57">
        <v>5303.88</v>
      </c>
      <c r="G56" s="58"/>
      <c r="H56" s="59">
        <f t="shared" si="0"/>
        <v>6872.79</v>
      </c>
      <c r="I56" s="59"/>
    </row>
    <row r="57" spans="1:10" s="60" customFormat="1" ht="25.5" hidden="1" outlineLevel="1" x14ac:dyDescent="0.2">
      <c r="A57" s="62" t="s">
        <v>211</v>
      </c>
      <c r="B57" s="56" t="s">
        <v>182</v>
      </c>
      <c r="C57" s="56" t="s">
        <v>183</v>
      </c>
      <c r="D57" s="58"/>
      <c r="E57" s="57">
        <v>68.31</v>
      </c>
      <c r="F57" s="57">
        <v>810.64</v>
      </c>
      <c r="G57" s="58"/>
      <c r="H57" s="59">
        <f t="shared" si="0"/>
        <v>878.95</v>
      </c>
      <c r="I57" s="59"/>
    </row>
    <row r="58" spans="1:10" s="60" customFormat="1" ht="25.5" hidden="1" outlineLevel="1" x14ac:dyDescent="0.2">
      <c r="A58" s="62" t="s">
        <v>212</v>
      </c>
      <c r="B58" s="56" t="s">
        <v>184</v>
      </c>
      <c r="C58" s="56" t="s">
        <v>185</v>
      </c>
      <c r="D58" s="57">
        <v>5.7</v>
      </c>
      <c r="E58" s="58"/>
      <c r="F58" s="58"/>
      <c r="G58" s="58"/>
      <c r="H58" s="59">
        <f t="shared" si="0"/>
        <v>5.7</v>
      </c>
      <c r="I58" s="59"/>
    </row>
    <row r="59" spans="1:10" s="60" customFormat="1" ht="38.25" hidden="1" outlineLevel="1" x14ac:dyDescent="0.2">
      <c r="A59" s="62" t="s">
        <v>213</v>
      </c>
      <c r="B59" s="56" t="s">
        <v>186</v>
      </c>
      <c r="C59" s="56" t="s">
        <v>187</v>
      </c>
      <c r="D59" s="58"/>
      <c r="E59" s="57">
        <v>254.49</v>
      </c>
      <c r="F59" s="57">
        <v>199.88</v>
      </c>
      <c r="G59" s="58"/>
      <c r="H59" s="59">
        <f t="shared" si="0"/>
        <v>454.37</v>
      </c>
      <c r="I59" s="59"/>
    </row>
    <row r="60" spans="1:10" s="60" customFormat="1" ht="25.5" hidden="1" outlineLevel="1" x14ac:dyDescent="0.2">
      <c r="A60" s="62" t="s">
        <v>214</v>
      </c>
      <c r="B60" s="56" t="s">
        <v>188</v>
      </c>
      <c r="C60" s="56" t="s">
        <v>189</v>
      </c>
      <c r="D60" s="58"/>
      <c r="E60" s="57">
        <v>22.53</v>
      </c>
      <c r="F60" s="57">
        <v>4.21</v>
      </c>
      <c r="G60" s="58"/>
      <c r="H60" s="59">
        <f t="shared" si="0"/>
        <v>26.74</v>
      </c>
      <c r="I60" s="59"/>
    </row>
    <row r="61" spans="1:10" ht="25.5" collapsed="1" x14ac:dyDescent="0.2">
      <c r="A61" s="35">
        <v>7</v>
      </c>
      <c r="B61" s="45" t="s">
        <v>31</v>
      </c>
      <c r="C61" s="45" t="s">
        <v>32</v>
      </c>
      <c r="D61" s="19">
        <f>SUM(D62:D65)</f>
        <v>4869.87</v>
      </c>
      <c r="E61" s="19">
        <f t="shared" ref="E61:F61" si="4">SUM(E62:E65)</f>
        <v>80.650000000000006</v>
      </c>
      <c r="F61" s="19">
        <f t="shared" si="4"/>
        <v>755.93</v>
      </c>
      <c r="G61" s="18"/>
      <c r="H61" s="19">
        <f t="shared" si="0"/>
        <v>5706.45</v>
      </c>
      <c r="I61" s="19">
        <v>5706.45</v>
      </c>
      <c r="J61" s="5" t="b">
        <f t="shared" si="1"/>
        <v>1</v>
      </c>
    </row>
    <row r="62" spans="1:10" s="60" customFormat="1" ht="25.5" hidden="1" outlineLevel="1" x14ac:dyDescent="0.2">
      <c r="A62" s="62" t="s">
        <v>223</v>
      </c>
      <c r="B62" s="56" t="s">
        <v>215</v>
      </c>
      <c r="C62" s="56" t="s">
        <v>216</v>
      </c>
      <c r="D62" s="57">
        <v>1633.14</v>
      </c>
      <c r="E62" s="58"/>
      <c r="F62" s="57">
        <v>689.64</v>
      </c>
      <c r="G62" s="58"/>
      <c r="H62" s="59">
        <f t="shared" si="0"/>
        <v>2322.7800000000002</v>
      </c>
      <c r="I62" s="59"/>
    </row>
    <row r="63" spans="1:10" s="60" customFormat="1" ht="38.25" hidden="1" outlineLevel="1" x14ac:dyDescent="0.2">
      <c r="A63" s="62" t="s">
        <v>224</v>
      </c>
      <c r="B63" s="56" t="s">
        <v>217</v>
      </c>
      <c r="C63" s="56" t="s">
        <v>218</v>
      </c>
      <c r="D63" s="57">
        <v>3140.77</v>
      </c>
      <c r="E63" s="58"/>
      <c r="F63" s="58"/>
      <c r="G63" s="58"/>
      <c r="H63" s="59">
        <f t="shared" si="0"/>
        <v>3140.77</v>
      </c>
      <c r="I63" s="59"/>
    </row>
    <row r="64" spans="1:10" s="60" customFormat="1" ht="38.25" hidden="1" outlineLevel="1" x14ac:dyDescent="0.2">
      <c r="A64" s="62" t="s">
        <v>225</v>
      </c>
      <c r="B64" s="56" t="s">
        <v>219</v>
      </c>
      <c r="C64" s="56" t="s">
        <v>220</v>
      </c>
      <c r="D64" s="57">
        <v>0.78</v>
      </c>
      <c r="E64" s="57">
        <v>80.52</v>
      </c>
      <c r="F64" s="57">
        <v>66.290000000000006</v>
      </c>
      <c r="G64" s="58"/>
      <c r="H64" s="59">
        <f t="shared" si="0"/>
        <v>147.59</v>
      </c>
      <c r="I64" s="59"/>
    </row>
    <row r="65" spans="1:10" s="60" customFormat="1" ht="25.5" hidden="1" outlineLevel="1" x14ac:dyDescent="0.2">
      <c r="A65" s="62" t="s">
        <v>226</v>
      </c>
      <c r="B65" s="56" t="s">
        <v>221</v>
      </c>
      <c r="C65" s="56" t="s">
        <v>222</v>
      </c>
      <c r="D65" s="57">
        <v>95.18</v>
      </c>
      <c r="E65" s="57">
        <v>0.13</v>
      </c>
      <c r="F65" s="58"/>
      <c r="G65" s="58"/>
      <c r="H65" s="59">
        <f t="shared" si="0"/>
        <v>95.31</v>
      </c>
      <c r="I65" s="59"/>
    </row>
    <row r="66" spans="1:10" ht="27.95" customHeight="1" collapsed="1" x14ac:dyDescent="0.2">
      <c r="A66" s="36"/>
      <c r="B66" s="669" t="s">
        <v>33</v>
      </c>
      <c r="C66" s="675"/>
      <c r="D66" s="19">
        <f>D34+D44+D61</f>
        <v>57464.87</v>
      </c>
      <c r="E66" s="19">
        <f t="shared" ref="E66:F66" si="5">E34+E44+E61</f>
        <v>2961.11</v>
      </c>
      <c r="F66" s="19">
        <f t="shared" si="5"/>
        <v>195866.34</v>
      </c>
      <c r="G66" s="18"/>
      <c r="H66" s="19">
        <f t="shared" si="0"/>
        <v>256292.32</v>
      </c>
      <c r="I66" s="19">
        <v>256292.32</v>
      </c>
      <c r="J66" s="5" t="b">
        <f t="shared" si="1"/>
        <v>1</v>
      </c>
    </row>
    <row r="67" spans="1:10" ht="12.75" customHeight="1" x14ac:dyDescent="0.2">
      <c r="A67" s="51" t="s">
        <v>34</v>
      </c>
      <c r="B67" s="52"/>
      <c r="C67" s="52"/>
      <c r="D67" s="54"/>
      <c r="E67" s="54"/>
      <c r="F67" s="54"/>
      <c r="G67" s="54"/>
      <c r="H67" s="19"/>
      <c r="I67" s="55"/>
      <c r="J67" s="5" t="b">
        <f t="shared" si="1"/>
        <v>1</v>
      </c>
    </row>
    <row r="68" spans="1:10" ht="25.5" x14ac:dyDescent="0.2">
      <c r="A68" s="35">
        <v>8</v>
      </c>
      <c r="B68" s="45" t="s">
        <v>35</v>
      </c>
      <c r="C68" s="45" t="s">
        <v>36</v>
      </c>
      <c r="D68" s="19">
        <v>1251.17</v>
      </c>
      <c r="E68" s="19">
        <v>692.28</v>
      </c>
      <c r="F68" s="18"/>
      <c r="G68" s="18"/>
      <c r="H68" s="19">
        <f t="shared" si="0"/>
        <v>1943.45</v>
      </c>
      <c r="I68" s="19">
        <v>1943.45</v>
      </c>
      <c r="J68" s="5" t="b">
        <f t="shared" si="1"/>
        <v>1</v>
      </c>
    </row>
    <row r="69" spans="1:10" ht="25.5" x14ac:dyDescent="0.2">
      <c r="A69" s="35">
        <v>9</v>
      </c>
      <c r="B69" s="45" t="s">
        <v>37</v>
      </c>
      <c r="C69" s="45" t="s">
        <v>38</v>
      </c>
      <c r="D69" s="19">
        <v>805.08</v>
      </c>
      <c r="E69" s="19">
        <v>2168.9899999999998</v>
      </c>
      <c r="F69" s="19">
        <v>0.36</v>
      </c>
      <c r="G69" s="18"/>
      <c r="H69" s="19">
        <f t="shared" si="0"/>
        <v>2974.43</v>
      </c>
      <c r="I69" s="19">
        <v>2974.43</v>
      </c>
      <c r="J69" s="5" t="b">
        <f t="shared" si="1"/>
        <v>1</v>
      </c>
    </row>
    <row r="70" spans="1:10" ht="17.25" customHeight="1" x14ac:dyDescent="0.2">
      <c r="A70" s="35">
        <v>10</v>
      </c>
      <c r="B70" s="45" t="s">
        <v>39</v>
      </c>
      <c r="C70" s="45" t="s">
        <v>40</v>
      </c>
      <c r="D70" s="19">
        <f>SUM(D71:D72)</f>
        <v>103.69</v>
      </c>
      <c r="E70" s="19">
        <f t="shared" ref="E70:F70" si="6">SUM(E71:E72)</f>
        <v>70.040000000000006</v>
      </c>
      <c r="F70" s="19">
        <f t="shared" si="6"/>
        <v>5946.63</v>
      </c>
      <c r="G70" s="18"/>
      <c r="H70" s="19">
        <f t="shared" si="0"/>
        <v>6120.36</v>
      </c>
      <c r="I70" s="19">
        <v>6120.36</v>
      </c>
      <c r="J70" s="5" t="b">
        <f t="shared" si="1"/>
        <v>1</v>
      </c>
    </row>
    <row r="71" spans="1:10" s="60" customFormat="1" ht="25.5" hidden="1" outlineLevel="1" x14ac:dyDescent="0.2">
      <c r="A71" s="62" t="s">
        <v>231</v>
      </c>
      <c r="B71" s="56" t="s">
        <v>227</v>
      </c>
      <c r="C71" s="56" t="s">
        <v>228</v>
      </c>
      <c r="D71" s="57">
        <v>102.63</v>
      </c>
      <c r="E71" s="58"/>
      <c r="F71" s="58"/>
      <c r="G71" s="58"/>
      <c r="H71" s="59">
        <f t="shared" si="0"/>
        <v>102.63</v>
      </c>
      <c r="I71" s="59"/>
    </row>
    <row r="72" spans="1:10" s="60" customFormat="1" ht="25.5" hidden="1" outlineLevel="1" x14ac:dyDescent="0.2">
      <c r="A72" s="62" t="s">
        <v>232</v>
      </c>
      <c r="B72" s="56" t="s">
        <v>229</v>
      </c>
      <c r="C72" s="56" t="s">
        <v>230</v>
      </c>
      <c r="D72" s="57">
        <v>1.06</v>
      </c>
      <c r="E72" s="57">
        <v>70.040000000000006</v>
      </c>
      <c r="F72" s="57">
        <v>5946.63</v>
      </c>
      <c r="G72" s="58"/>
      <c r="H72" s="59">
        <f t="shared" si="0"/>
        <v>6017.73</v>
      </c>
      <c r="I72" s="59"/>
    </row>
    <row r="73" spans="1:10" ht="15.75" customHeight="1" collapsed="1" x14ac:dyDescent="0.2">
      <c r="A73" s="35">
        <v>11</v>
      </c>
      <c r="B73" s="45" t="s">
        <v>41</v>
      </c>
      <c r="C73" s="45" t="s">
        <v>42</v>
      </c>
      <c r="D73" s="19">
        <f>SUM(D74:D75)</f>
        <v>102.61</v>
      </c>
      <c r="E73" s="19">
        <f t="shared" ref="E73:F73" si="7">SUM(E74:E75)</f>
        <v>72.11</v>
      </c>
      <c r="F73" s="19">
        <f t="shared" si="7"/>
        <v>7220.91</v>
      </c>
      <c r="G73" s="18"/>
      <c r="H73" s="19">
        <f t="shared" si="0"/>
        <v>7395.63</v>
      </c>
      <c r="I73" s="19">
        <v>7395.63</v>
      </c>
      <c r="J73" s="5" t="b">
        <f t="shared" si="1"/>
        <v>1</v>
      </c>
    </row>
    <row r="74" spans="1:10" s="60" customFormat="1" ht="25.5" hidden="1" outlineLevel="1" x14ac:dyDescent="0.2">
      <c r="A74" s="62" t="s">
        <v>237</v>
      </c>
      <c r="B74" s="56" t="s">
        <v>233</v>
      </c>
      <c r="C74" s="56" t="s">
        <v>234</v>
      </c>
      <c r="D74" s="57">
        <v>101.55</v>
      </c>
      <c r="E74" s="58"/>
      <c r="F74" s="58"/>
      <c r="G74" s="58"/>
      <c r="H74" s="59">
        <f t="shared" si="0"/>
        <v>101.55</v>
      </c>
      <c r="I74" s="59"/>
    </row>
    <row r="75" spans="1:10" s="60" customFormat="1" ht="25.5" hidden="1" outlineLevel="1" x14ac:dyDescent="0.2">
      <c r="A75" s="62" t="s">
        <v>238</v>
      </c>
      <c r="B75" s="56" t="s">
        <v>235</v>
      </c>
      <c r="C75" s="56" t="s">
        <v>236</v>
      </c>
      <c r="D75" s="57">
        <v>1.06</v>
      </c>
      <c r="E75" s="57">
        <v>72.11</v>
      </c>
      <c r="F75" s="57">
        <v>7220.91</v>
      </c>
      <c r="G75" s="58"/>
      <c r="H75" s="59">
        <f t="shared" si="0"/>
        <v>7294.08</v>
      </c>
      <c r="I75" s="59"/>
    </row>
    <row r="76" spans="1:10" ht="27.95" customHeight="1" collapsed="1" x14ac:dyDescent="0.2">
      <c r="A76" s="36"/>
      <c r="B76" s="669" t="s">
        <v>43</v>
      </c>
      <c r="C76" s="675"/>
      <c r="D76" s="19">
        <f>D68+D69+D70+D73</f>
        <v>2262.5500000000002</v>
      </c>
      <c r="E76" s="19">
        <f t="shared" ref="E76:F76" si="8">E68+E69+E70+E73</f>
        <v>3003.42</v>
      </c>
      <c r="F76" s="19">
        <f t="shared" si="8"/>
        <v>13167.9</v>
      </c>
      <c r="G76" s="18"/>
      <c r="H76" s="19">
        <f t="shared" si="0"/>
        <v>18433.87</v>
      </c>
      <c r="I76" s="19">
        <v>18433.87</v>
      </c>
      <c r="J76" s="5" t="b">
        <f t="shared" si="1"/>
        <v>1</v>
      </c>
    </row>
    <row r="77" spans="1:10" ht="12.75" customHeight="1" x14ac:dyDescent="0.2">
      <c r="A77" s="51" t="s">
        <v>44</v>
      </c>
      <c r="B77" s="52"/>
      <c r="C77" s="52"/>
      <c r="D77" s="54"/>
      <c r="E77" s="54"/>
      <c r="F77" s="54"/>
      <c r="G77" s="54"/>
      <c r="H77" s="19"/>
      <c r="I77" s="55"/>
      <c r="J77" s="5" t="b">
        <f t="shared" si="1"/>
        <v>1</v>
      </c>
    </row>
    <row r="78" spans="1:10" ht="21" customHeight="1" x14ac:dyDescent="0.2">
      <c r="A78" s="35">
        <v>12</v>
      </c>
      <c r="B78" s="45" t="s">
        <v>45</v>
      </c>
      <c r="C78" s="45" t="s">
        <v>46</v>
      </c>
      <c r="D78" s="19">
        <v>18.12</v>
      </c>
      <c r="E78" s="19">
        <v>268.88</v>
      </c>
      <c r="F78" s="19">
        <v>4.9000000000000004</v>
      </c>
      <c r="G78" s="18"/>
      <c r="H78" s="19">
        <f t="shared" si="0"/>
        <v>291.89999999999998</v>
      </c>
      <c r="I78" s="19">
        <v>291.89999999999998</v>
      </c>
      <c r="J78" s="5" t="b">
        <f t="shared" si="1"/>
        <v>1</v>
      </c>
    </row>
    <row r="79" spans="1:10" ht="27.95" customHeight="1" x14ac:dyDescent="0.2">
      <c r="A79" s="36"/>
      <c r="B79" s="669" t="s">
        <v>47</v>
      </c>
      <c r="C79" s="675"/>
      <c r="D79" s="19">
        <f>D78</f>
        <v>18.12</v>
      </c>
      <c r="E79" s="19">
        <f t="shared" ref="E79:F79" si="9">E78</f>
        <v>268.88</v>
      </c>
      <c r="F79" s="19">
        <f t="shared" si="9"/>
        <v>4.9000000000000004</v>
      </c>
      <c r="G79" s="18"/>
      <c r="H79" s="19">
        <f t="shared" si="0"/>
        <v>291.89999999999998</v>
      </c>
      <c r="I79" s="19">
        <v>291.89999999999998</v>
      </c>
      <c r="J79" s="5" t="b">
        <f t="shared" si="1"/>
        <v>1</v>
      </c>
    </row>
    <row r="80" spans="1:10" ht="12.75" customHeight="1" x14ac:dyDescent="0.2">
      <c r="A80" s="51" t="s">
        <v>48</v>
      </c>
      <c r="B80" s="52"/>
      <c r="C80" s="52"/>
      <c r="D80" s="54"/>
      <c r="E80" s="54"/>
      <c r="F80" s="54"/>
      <c r="G80" s="54"/>
      <c r="H80" s="19"/>
      <c r="I80" s="55"/>
      <c r="J80" s="5" t="b">
        <f t="shared" si="1"/>
        <v>1</v>
      </c>
    </row>
    <row r="81" spans="1:10" ht="17.25" customHeight="1" x14ac:dyDescent="0.2">
      <c r="A81" s="35">
        <v>13</v>
      </c>
      <c r="B81" s="45" t="s">
        <v>49</v>
      </c>
      <c r="C81" s="45" t="s">
        <v>50</v>
      </c>
      <c r="D81" s="19">
        <f>SUM(D82:D84)</f>
        <v>10797.24</v>
      </c>
      <c r="E81" s="19">
        <f t="shared" ref="E81:F81" si="10">SUM(E82:E84)</f>
        <v>30.81</v>
      </c>
      <c r="F81" s="19">
        <f t="shared" si="10"/>
        <v>5984.14</v>
      </c>
      <c r="G81" s="18"/>
      <c r="H81" s="19">
        <f t="shared" si="0"/>
        <v>16812.189999999999</v>
      </c>
      <c r="I81" s="19">
        <v>16812.189999999999</v>
      </c>
      <c r="J81" s="5" t="b">
        <f t="shared" si="1"/>
        <v>1</v>
      </c>
    </row>
    <row r="82" spans="1:10" s="60" customFormat="1" ht="17.25" hidden="1" customHeight="1" outlineLevel="1" x14ac:dyDescent="0.2">
      <c r="A82" s="62" t="s">
        <v>245</v>
      </c>
      <c r="B82" s="56" t="s">
        <v>239</v>
      </c>
      <c r="C82" s="56" t="s">
        <v>240</v>
      </c>
      <c r="D82" s="57">
        <v>10003.879999999999</v>
      </c>
      <c r="E82" s="57">
        <v>23.14</v>
      </c>
      <c r="F82" s="58"/>
      <c r="G82" s="58"/>
      <c r="H82" s="59">
        <f t="shared" si="0"/>
        <v>10027.02</v>
      </c>
      <c r="I82" s="59"/>
    </row>
    <row r="83" spans="1:10" s="60" customFormat="1" ht="17.25" hidden="1" customHeight="1" outlineLevel="1" x14ac:dyDescent="0.2">
      <c r="A83" s="62" t="s">
        <v>246</v>
      </c>
      <c r="B83" s="56" t="s">
        <v>241</v>
      </c>
      <c r="C83" s="56" t="s">
        <v>242</v>
      </c>
      <c r="D83" s="58"/>
      <c r="E83" s="57">
        <v>7.67</v>
      </c>
      <c r="F83" s="57">
        <v>5984.14</v>
      </c>
      <c r="G83" s="58"/>
      <c r="H83" s="59">
        <f t="shared" si="0"/>
        <v>5991.81</v>
      </c>
      <c r="I83" s="59"/>
    </row>
    <row r="84" spans="1:10" s="60" customFormat="1" ht="17.25" hidden="1" customHeight="1" outlineLevel="1" x14ac:dyDescent="0.2">
      <c r="A84" s="62" t="s">
        <v>247</v>
      </c>
      <c r="B84" s="56" t="s">
        <v>243</v>
      </c>
      <c r="C84" s="56" t="s">
        <v>244</v>
      </c>
      <c r="D84" s="57">
        <v>793.36</v>
      </c>
      <c r="E84" s="58"/>
      <c r="F84" s="58"/>
      <c r="G84" s="58"/>
      <c r="H84" s="59">
        <f t="shared" si="0"/>
        <v>793.36</v>
      </c>
      <c r="I84" s="59"/>
    </row>
    <row r="85" spans="1:10" ht="20.25" customHeight="1" collapsed="1" x14ac:dyDescent="0.2">
      <c r="A85" s="35">
        <v>14</v>
      </c>
      <c r="B85" s="45" t="s">
        <v>51</v>
      </c>
      <c r="C85" s="45" t="s">
        <v>138</v>
      </c>
      <c r="D85" s="19">
        <v>8879.36</v>
      </c>
      <c r="E85" s="19">
        <v>59.06</v>
      </c>
      <c r="F85" s="19">
        <v>498.29</v>
      </c>
      <c r="G85" s="18"/>
      <c r="H85" s="19">
        <f t="shared" si="0"/>
        <v>9436.7099999999991</v>
      </c>
      <c r="I85" s="19">
        <v>9436.7099999999991</v>
      </c>
      <c r="J85" s="5" t="b">
        <f t="shared" si="1"/>
        <v>1</v>
      </c>
    </row>
    <row r="86" spans="1:10" ht="27.95" customHeight="1" x14ac:dyDescent="0.2">
      <c r="A86" s="36"/>
      <c r="B86" s="669" t="s">
        <v>52</v>
      </c>
      <c r="C86" s="675"/>
      <c r="D86" s="19">
        <f>D81+D85</f>
        <v>19676.599999999999</v>
      </c>
      <c r="E86" s="19">
        <f t="shared" ref="E86:F86" si="11">E81+E85</f>
        <v>89.87</v>
      </c>
      <c r="F86" s="19">
        <f t="shared" si="11"/>
        <v>6482.43</v>
      </c>
      <c r="G86" s="18"/>
      <c r="H86" s="19">
        <f t="shared" si="0"/>
        <v>26248.9</v>
      </c>
      <c r="I86" s="19">
        <v>26248.9</v>
      </c>
      <c r="J86" s="5" t="b">
        <f t="shared" si="1"/>
        <v>1</v>
      </c>
    </row>
    <row r="87" spans="1:10" ht="12.75" customHeight="1" x14ac:dyDescent="0.2">
      <c r="A87" s="51" t="s">
        <v>53</v>
      </c>
      <c r="B87" s="52"/>
      <c r="C87" s="52"/>
      <c r="D87" s="54"/>
      <c r="E87" s="54"/>
      <c r="F87" s="54"/>
      <c r="G87" s="54"/>
      <c r="H87" s="19"/>
      <c r="I87" s="55"/>
      <c r="J87" s="5" t="b">
        <f t="shared" si="1"/>
        <v>1</v>
      </c>
    </row>
    <row r="88" spans="1:10" ht="19.5" customHeight="1" x14ac:dyDescent="0.2">
      <c r="A88" s="35">
        <v>15</v>
      </c>
      <c r="B88" s="45" t="s">
        <v>54</v>
      </c>
      <c r="C88" s="45" t="s">
        <v>137</v>
      </c>
      <c r="D88" s="19">
        <v>333.52</v>
      </c>
      <c r="E88" s="18"/>
      <c r="F88" s="18"/>
      <c r="G88" s="18"/>
      <c r="H88" s="19">
        <f t="shared" si="0"/>
        <v>333.52</v>
      </c>
      <c r="I88" s="19">
        <v>333.52</v>
      </c>
      <c r="J88" s="5" t="b">
        <f t="shared" si="1"/>
        <v>1</v>
      </c>
    </row>
    <row r="89" spans="1:10" ht="27.95" customHeight="1" x14ac:dyDescent="0.2">
      <c r="A89" s="36"/>
      <c r="B89" s="669" t="s">
        <v>55</v>
      </c>
      <c r="C89" s="675"/>
      <c r="D89" s="19">
        <f>D88</f>
        <v>333.52</v>
      </c>
      <c r="E89" s="18"/>
      <c r="F89" s="18"/>
      <c r="G89" s="18"/>
      <c r="H89" s="19">
        <f t="shared" si="0"/>
        <v>333.52</v>
      </c>
      <c r="I89" s="19">
        <v>333.52</v>
      </c>
      <c r="J89" s="5" t="b">
        <f t="shared" si="1"/>
        <v>1</v>
      </c>
    </row>
    <row r="90" spans="1:10" x14ac:dyDescent="0.2">
      <c r="A90" s="36"/>
      <c r="B90" s="669" t="s">
        <v>56</v>
      </c>
      <c r="C90" s="675"/>
      <c r="D90" s="19">
        <f>D32+D66+D76+D79+D86+D89</f>
        <v>79765.350000000006</v>
      </c>
      <c r="E90" s="19">
        <f t="shared" ref="E90:G90" si="12">E32+E66+E76+E79+E86+E89</f>
        <v>6323.28</v>
      </c>
      <c r="F90" s="19">
        <f t="shared" si="12"/>
        <v>215521.57</v>
      </c>
      <c r="G90" s="19">
        <f t="shared" si="12"/>
        <v>89.75</v>
      </c>
      <c r="H90" s="19">
        <f t="shared" si="0"/>
        <v>301699.95</v>
      </c>
      <c r="I90" s="19">
        <v>301699.95</v>
      </c>
      <c r="J90" s="5" t="b">
        <f t="shared" si="1"/>
        <v>1</v>
      </c>
    </row>
    <row r="91" spans="1:10" ht="12.75" customHeight="1" x14ac:dyDescent="0.2">
      <c r="A91" s="51" t="s">
        <v>57</v>
      </c>
      <c r="B91" s="52"/>
      <c r="C91" s="52"/>
      <c r="D91" s="54"/>
      <c r="E91" s="54"/>
      <c r="F91" s="54"/>
      <c r="G91" s="54"/>
      <c r="H91" s="19"/>
      <c r="I91" s="55"/>
      <c r="J91" s="5" t="b">
        <f t="shared" si="1"/>
        <v>1</v>
      </c>
    </row>
    <row r="92" spans="1:10" ht="25.5" x14ac:dyDescent="0.2">
      <c r="A92" s="35">
        <v>16</v>
      </c>
      <c r="B92" s="45" t="s">
        <v>58</v>
      </c>
      <c r="C92" s="45" t="s">
        <v>59</v>
      </c>
      <c r="D92" s="19">
        <f>D90*2.3%</f>
        <v>1834.6</v>
      </c>
      <c r="E92" s="19">
        <f>E90*2.3%</f>
        <v>145.44</v>
      </c>
      <c r="F92" s="18"/>
      <c r="G92" s="18"/>
      <c r="H92" s="19">
        <f t="shared" si="0"/>
        <v>1980.04</v>
      </c>
      <c r="I92" s="19">
        <v>1980.04</v>
      </c>
      <c r="J92" s="5" t="b">
        <f t="shared" si="1"/>
        <v>1</v>
      </c>
    </row>
    <row r="93" spans="1:10" x14ac:dyDescent="0.2">
      <c r="A93" s="36"/>
      <c r="B93" s="669" t="s">
        <v>60</v>
      </c>
      <c r="C93" s="675"/>
      <c r="D93" s="19">
        <f>D92</f>
        <v>1834.6</v>
      </c>
      <c r="E93" s="19">
        <f>E92</f>
        <v>145.44</v>
      </c>
      <c r="F93" s="18"/>
      <c r="G93" s="18"/>
      <c r="H93" s="19">
        <f t="shared" si="0"/>
        <v>1980.04</v>
      </c>
      <c r="I93" s="19">
        <v>1980.04</v>
      </c>
      <c r="J93" s="5" t="b">
        <f t="shared" si="1"/>
        <v>1</v>
      </c>
    </row>
    <row r="94" spans="1:10" x14ac:dyDescent="0.2">
      <c r="A94" s="36"/>
      <c r="B94" s="669" t="s">
        <v>61</v>
      </c>
      <c r="C94" s="675"/>
      <c r="D94" s="19">
        <f>D90+D93</f>
        <v>81599.95</v>
      </c>
      <c r="E94" s="19">
        <f t="shared" ref="E94:G94" si="13">E90+E93</f>
        <v>6468.72</v>
      </c>
      <c r="F94" s="19">
        <f t="shared" si="13"/>
        <v>215521.57</v>
      </c>
      <c r="G94" s="19">
        <f t="shared" si="13"/>
        <v>89.75</v>
      </c>
      <c r="H94" s="19">
        <f t="shared" si="0"/>
        <v>303679.99</v>
      </c>
      <c r="I94" s="19">
        <v>303679.99</v>
      </c>
      <c r="J94" s="5" t="b">
        <f t="shared" si="1"/>
        <v>1</v>
      </c>
    </row>
    <row r="95" spans="1:10" ht="12.75" customHeight="1" x14ac:dyDescent="0.2">
      <c r="A95" s="51" t="s">
        <v>62</v>
      </c>
      <c r="B95" s="52"/>
      <c r="C95" s="52"/>
      <c r="D95" s="54"/>
      <c r="E95" s="54"/>
      <c r="F95" s="54"/>
      <c r="G95" s="54"/>
      <c r="H95" s="19"/>
      <c r="I95" s="55"/>
      <c r="J95" s="5" t="b">
        <f t="shared" si="1"/>
        <v>1</v>
      </c>
    </row>
    <row r="96" spans="1:10" x14ac:dyDescent="0.2">
      <c r="A96" s="35">
        <v>17</v>
      </c>
      <c r="B96" s="45" t="s">
        <v>63</v>
      </c>
      <c r="C96" s="45" t="s">
        <v>64</v>
      </c>
      <c r="D96" s="19">
        <f>D94*0.5%</f>
        <v>408</v>
      </c>
      <c r="E96" s="19">
        <f>E94*0.5%</f>
        <v>32.340000000000003</v>
      </c>
      <c r="F96" s="18"/>
      <c r="G96" s="18"/>
      <c r="H96" s="19">
        <f t="shared" si="0"/>
        <v>440.34</v>
      </c>
      <c r="I96" s="19">
        <v>440.34</v>
      </c>
      <c r="J96" s="5" t="b">
        <f t="shared" si="1"/>
        <v>1</v>
      </c>
    </row>
    <row r="97" spans="1:10" ht="18.75" customHeight="1" x14ac:dyDescent="0.2">
      <c r="A97" s="35">
        <v>18</v>
      </c>
      <c r="B97" s="45" t="s">
        <v>65</v>
      </c>
      <c r="C97" s="45" t="s">
        <v>66</v>
      </c>
      <c r="D97" s="18"/>
      <c r="E97" s="18"/>
      <c r="F97" s="18"/>
      <c r="G97" s="19">
        <v>96.82</v>
      </c>
      <c r="H97" s="19">
        <f t="shared" si="0"/>
        <v>96.82</v>
      </c>
      <c r="I97" s="19">
        <v>96.82</v>
      </c>
      <c r="J97" s="5" t="b">
        <f t="shared" si="1"/>
        <v>1</v>
      </c>
    </row>
    <row r="98" spans="1:10" ht="18.75" customHeight="1" x14ac:dyDescent="0.2">
      <c r="A98" s="35">
        <v>19</v>
      </c>
      <c r="B98" s="45" t="s">
        <v>67</v>
      </c>
      <c r="C98" s="45" t="s">
        <v>68</v>
      </c>
      <c r="D98" s="18"/>
      <c r="E98" s="18"/>
      <c r="F98" s="18"/>
      <c r="G98" s="19">
        <v>113.67</v>
      </c>
      <c r="H98" s="19">
        <f t="shared" si="0"/>
        <v>113.67</v>
      </c>
      <c r="I98" s="19">
        <v>113.67</v>
      </c>
      <c r="J98" s="5" t="b">
        <f t="shared" si="1"/>
        <v>1</v>
      </c>
    </row>
    <row r="99" spans="1:10" ht="18.75" customHeight="1" x14ac:dyDescent="0.2">
      <c r="A99" s="35">
        <v>20</v>
      </c>
      <c r="B99" s="45" t="s">
        <v>69</v>
      </c>
      <c r="C99" s="45" t="s">
        <v>70</v>
      </c>
      <c r="D99" s="18"/>
      <c r="E99" s="18"/>
      <c r="F99" s="18"/>
      <c r="G99" s="19">
        <f>SUM(G100:G107)</f>
        <v>75.98</v>
      </c>
      <c r="H99" s="19">
        <f t="shared" si="0"/>
        <v>75.98</v>
      </c>
      <c r="I99" s="19">
        <v>75.98</v>
      </c>
      <c r="J99" s="5" t="b">
        <f t="shared" si="1"/>
        <v>1</v>
      </c>
    </row>
    <row r="100" spans="1:10" s="60" customFormat="1" ht="25.5" hidden="1" outlineLevel="1" x14ac:dyDescent="0.2">
      <c r="A100" s="62" t="s">
        <v>264</v>
      </c>
      <c r="B100" s="56" t="s">
        <v>248</v>
      </c>
      <c r="C100" s="56" t="s">
        <v>249</v>
      </c>
      <c r="D100" s="58"/>
      <c r="E100" s="58"/>
      <c r="F100" s="58"/>
      <c r="G100" s="63">
        <f xml:space="preserve">
3.74*0.8</f>
        <v>2.99</v>
      </c>
      <c r="H100" s="59">
        <f t="shared" si="0"/>
        <v>2.99</v>
      </c>
      <c r="I100" s="59"/>
    </row>
    <row r="101" spans="1:10" s="60" customFormat="1" ht="25.5" hidden="1" outlineLevel="1" x14ac:dyDescent="0.2">
      <c r="A101" s="62" t="s">
        <v>265</v>
      </c>
      <c r="B101" s="56" t="s">
        <v>250</v>
      </c>
      <c r="C101" s="56" t="s">
        <v>251</v>
      </c>
      <c r="D101" s="58"/>
      <c r="E101" s="58"/>
      <c r="F101" s="58"/>
      <c r="G101" s="63">
        <f>11.054*0.8</f>
        <v>8.84</v>
      </c>
      <c r="H101" s="59">
        <f t="shared" si="0"/>
        <v>8.84</v>
      </c>
      <c r="I101" s="59"/>
    </row>
    <row r="102" spans="1:10" s="60" customFormat="1" ht="25.5" hidden="1" outlineLevel="1" x14ac:dyDescent="0.2">
      <c r="A102" s="62" t="s">
        <v>266</v>
      </c>
      <c r="B102" s="56" t="s">
        <v>252</v>
      </c>
      <c r="C102" s="56" t="s">
        <v>253</v>
      </c>
      <c r="D102" s="58"/>
      <c r="E102" s="58"/>
      <c r="F102" s="58"/>
      <c r="G102" s="63">
        <f>4.842*0.8</f>
        <v>3.87</v>
      </c>
      <c r="H102" s="59">
        <f t="shared" si="0"/>
        <v>3.87</v>
      </c>
      <c r="I102" s="59"/>
    </row>
    <row r="103" spans="1:10" s="60" customFormat="1" ht="25.5" hidden="1" outlineLevel="1" x14ac:dyDescent="0.2">
      <c r="A103" s="62" t="s">
        <v>267</v>
      </c>
      <c r="B103" s="56" t="s">
        <v>254</v>
      </c>
      <c r="C103" s="56" t="s">
        <v>255</v>
      </c>
      <c r="D103" s="58"/>
      <c r="E103" s="58"/>
      <c r="F103" s="58"/>
      <c r="G103" s="63">
        <f>5.371*0.8</f>
        <v>4.3</v>
      </c>
      <c r="H103" s="59">
        <f t="shared" si="0"/>
        <v>4.3</v>
      </c>
      <c r="I103" s="59"/>
    </row>
    <row r="104" spans="1:10" s="60" customFormat="1" ht="38.25" hidden="1" outlineLevel="1" x14ac:dyDescent="0.2">
      <c r="A104" s="62" t="s">
        <v>268</v>
      </c>
      <c r="B104" s="56" t="s">
        <v>256</v>
      </c>
      <c r="C104" s="56" t="s">
        <v>257</v>
      </c>
      <c r="D104" s="58"/>
      <c r="E104" s="58"/>
      <c r="F104" s="58"/>
      <c r="G104" s="63">
        <f>12.203*0.8</f>
        <v>9.76</v>
      </c>
      <c r="H104" s="59">
        <f t="shared" si="0"/>
        <v>9.76</v>
      </c>
      <c r="I104" s="59"/>
    </row>
    <row r="105" spans="1:10" s="60" customFormat="1" ht="25.5" hidden="1" outlineLevel="1" x14ac:dyDescent="0.2">
      <c r="A105" s="62" t="s">
        <v>269</v>
      </c>
      <c r="B105" s="56" t="s">
        <v>258</v>
      </c>
      <c r="C105" s="56" t="s">
        <v>259</v>
      </c>
      <c r="D105" s="58"/>
      <c r="E105" s="58"/>
      <c r="F105" s="58"/>
      <c r="G105" s="63">
        <f>49.509*0.8</f>
        <v>39.61</v>
      </c>
      <c r="H105" s="59">
        <f t="shared" si="0"/>
        <v>39.61</v>
      </c>
      <c r="I105" s="59"/>
    </row>
    <row r="106" spans="1:10" s="60" customFormat="1" ht="25.5" hidden="1" outlineLevel="1" x14ac:dyDescent="0.2">
      <c r="A106" s="62" t="s">
        <v>270</v>
      </c>
      <c r="B106" s="56" t="s">
        <v>260</v>
      </c>
      <c r="C106" s="56" t="s">
        <v>261</v>
      </c>
      <c r="D106" s="58"/>
      <c r="E106" s="58"/>
      <c r="F106" s="58"/>
      <c r="G106" s="63">
        <f>3.487*0.8</f>
        <v>2.79</v>
      </c>
      <c r="H106" s="59">
        <f t="shared" si="0"/>
        <v>2.79</v>
      </c>
      <c r="I106" s="59"/>
    </row>
    <row r="107" spans="1:10" s="60" customFormat="1" ht="25.5" hidden="1" outlineLevel="1" x14ac:dyDescent="0.2">
      <c r="A107" s="62" t="s">
        <v>271</v>
      </c>
      <c r="B107" s="56" t="s">
        <v>262</v>
      </c>
      <c r="C107" s="56" t="s">
        <v>263</v>
      </c>
      <c r="D107" s="58"/>
      <c r="E107" s="58"/>
      <c r="F107" s="58"/>
      <c r="G107" s="63">
        <f>4.771*0.8</f>
        <v>3.82</v>
      </c>
      <c r="H107" s="59">
        <f t="shared" si="0"/>
        <v>3.82</v>
      </c>
      <c r="I107" s="59"/>
    </row>
    <row r="108" spans="1:10" ht="18.75" customHeight="1" collapsed="1" x14ac:dyDescent="0.2">
      <c r="A108" s="35">
        <v>21</v>
      </c>
      <c r="B108" s="45" t="s">
        <v>71</v>
      </c>
      <c r="C108" s="45" t="s">
        <v>72</v>
      </c>
      <c r="D108" s="18"/>
      <c r="E108" s="18"/>
      <c r="F108" s="18"/>
      <c r="G108" s="19">
        <f>SUM(G109:G110)</f>
        <v>1216.8599999999999</v>
      </c>
      <c r="H108" s="19">
        <f t="shared" si="0"/>
        <v>1216.8599999999999</v>
      </c>
      <c r="I108" s="19">
        <v>1216.8599999999999</v>
      </c>
      <c r="J108" s="5" t="b">
        <f t="shared" si="1"/>
        <v>1</v>
      </c>
    </row>
    <row r="109" spans="1:10" s="60" customFormat="1" ht="18.75" hidden="1" customHeight="1" outlineLevel="1" x14ac:dyDescent="0.2">
      <c r="A109" s="62" t="s">
        <v>276</v>
      </c>
      <c r="B109" s="56" t="s">
        <v>272</v>
      </c>
      <c r="C109" s="56" t="s">
        <v>273</v>
      </c>
      <c r="D109" s="58"/>
      <c r="E109" s="58"/>
      <c r="F109" s="58"/>
      <c r="G109" s="57">
        <v>1046.3599999999999</v>
      </c>
      <c r="H109" s="59">
        <f t="shared" si="0"/>
        <v>1046.3599999999999</v>
      </c>
      <c r="I109" s="59"/>
    </row>
    <row r="110" spans="1:10" s="60" customFormat="1" ht="18.75" hidden="1" customHeight="1" outlineLevel="1" x14ac:dyDescent="0.2">
      <c r="A110" s="62" t="s">
        <v>277</v>
      </c>
      <c r="B110" s="56" t="s">
        <v>274</v>
      </c>
      <c r="C110" s="56" t="s">
        <v>275</v>
      </c>
      <c r="D110" s="58"/>
      <c r="E110" s="58"/>
      <c r="F110" s="58"/>
      <c r="G110" s="57">
        <v>170.5</v>
      </c>
      <c r="H110" s="59">
        <f t="shared" si="0"/>
        <v>170.5</v>
      </c>
      <c r="I110" s="59"/>
    </row>
    <row r="111" spans="1:10" ht="25.5" customHeight="1" collapsed="1" x14ac:dyDescent="0.2">
      <c r="A111" s="36"/>
      <c r="B111" s="669" t="s">
        <v>73</v>
      </c>
      <c r="C111" s="675"/>
      <c r="D111" s="19">
        <f>D96+D97+D98+D99+D108</f>
        <v>408</v>
      </c>
      <c r="E111" s="19">
        <f t="shared" ref="E111:G111" si="14">E96+E97+E98+E99+E108</f>
        <v>32.340000000000003</v>
      </c>
      <c r="F111" s="19"/>
      <c r="G111" s="19">
        <f t="shared" si="14"/>
        <v>1503.33</v>
      </c>
      <c r="H111" s="19">
        <f t="shared" si="0"/>
        <v>1943.67</v>
      </c>
      <c r="I111" s="19">
        <v>1943.67</v>
      </c>
      <c r="J111" s="5" t="b">
        <f t="shared" si="1"/>
        <v>1</v>
      </c>
    </row>
    <row r="112" spans="1:10" x14ac:dyDescent="0.2">
      <c r="A112" s="36"/>
      <c r="B112" s="669" t="s">
        <v>74</v>
      </c>
      <c r="C112" s="675"/>
      <c r="D112" s="19">
        <f>D94+D111</f>
        <v>82007.95</v>
      </c>
      <c r="E112" s="19">
        <f t="shared" ref="E112:G112" si="15">E94+E111</f>
        <v>6501.06</v>
      </c>
      <c r="F112" s="19">
        <f t="shared" si="15"/>
        <v>215521.57</v>
      </c>
      <c r="G112" s="19">
        <f t="shared" si="15"/>
        <v>1593.08</v>
      </c>
      <c r="H112" s="19">
        <f t="shared" si="0"/>
        <v>305623.65999999997</v>
      </c>
      <c r="I112" s="19">
        <v>305623.65999999997</v>
      </c>
      <c r="J112" s="5" t="b">
        <f t="shared" si="1"/>
        <v>1</v>
      </c>
    </row>
    <row r="113" spans="1:13" ht="12.75" customHeight="1" x14ac:dyDescent="0.2">
      <c r="A113" s="51" t="s">
        <v>75</v>
      </c>
      <c r="B113" s="52"/>
      <c r="C113" s="52"/>
      <c r="D113" s="54"/>
      <c r="E113" s="54"/>
      <c r="F113" s="54"/>
      <c r="G113" s="54"/>
      <c r="H113" s="19"/>
      <c r="I113" s="55"/>
      <c r="J113" s="5" t="b">
        <f t="shared" si="1"/>
        <v>1</v>
      </c>
    </row>
    <row r="114" spans="1:13" ht="38.25" x14ac:dyDescent="0.2">
      <c r="A114" s="35">
        <v>22</v>
      </c>
      <c r="B114" s="45" t="s">
        <v>76</v>
      </c>
      <c r="C114" s="45" t="s">
        <v>77</v>
      </c>
      <c r="D114" s="18"/>
      <c r="E114" s="18"/>
      <c r="F114" s="18"/>
      <c r="G114" s="66">
        <f>(I112+I121)*1.28%</f>
        <v>4073.39</v>
      </c>
      <c r="H114" s="19">
        <f t="shared" si="0"/>
        <v>4073.39</v>
      </c>
      <c r="I114" s="19">
        <v>4073.46</v>
      </c>
      <c r="J114" s="5" t="b">
        <f t="shared" si="1"/>
        <v>0</v>
      </c>
      <c r="K114" s="64">
        <f>(H112+H121)*1.28%</f>
        <v>4073.39</v>
      </c>
      <c r="L114" s="465" t="s">
        <v>2934</v>
      </c>
      <c r="M114" s="356">
        <f>I112*0.2%</f>
        <v>611.25</v>
      </c>
    </row>
    <row r="115" spans="1:13" ht="27.95" customHeight="1" x14ac:dyDescent="0.2">
      <c r="A115" s="36"/>
      <c r="B115" s="669" t="s">
        <v>78</v>
      </c>
      <c r="C115" s="675"/>
      <c r="D115" s="18"/>
      <c r="E115" s="18"/>
      <c r="F115" s="18"/>
      <c r="G115" s="19">
        <f>G114</f>
        <v>4073.39</v>
      </c>
      <c r="H115" s="19">
        <f t="shared" si="0"/>
        <v>4073.39</v>
      </c>
      <c r="I115" s="19">
        <v>4073.46</v>
      </c>
      <c r="J115" s="5" t="b">
        <f t="shared" si="1"/>
        <v>0</v>
      </c>
    </row>
    <row r="116" spans="1:13" ht="38.25" customHeight="1" x14ac:dyDescent="0.2">
      <c r="A116" s="51" t="s">
        <v>139</v>
      </c>
      <c r="B116" s="52"/>
      <c r="C116" s="52"/>
      <c r="D116" s="54"/>
      <c r="E116" s="54"/>
      <c r="F116" s="54"/>
      <c r="G116" s="54"/>
      <c r="H116" s="19"/>
      <c r="I116" s="55"/>
      <c r="J116" s="5" t="b">
        <f t="shared" si="1"/>
        <v>1</v>
      </c>
    </row>
    <row r="117" spans="1:13" x14ac:dyDescent="0.2">
      <c r="A117" s="35">
        <v>23</v>
      </c>
      <c r="B117" s="45" t="s">
        <v>79</v>
      </c>
      <c r="C117" s="45" t="s">
        <v>80</v>
      </c>
      <c r="D117" s="18"/>
      <c r="E117" s="18"/>
      <c r="F117" s="18"/>
      <c r="G117" s="19">
        <f xml:space="preserve">
8286.39312-4380.17315</f>
        <v>3906.22</v>
      </c>
      <c r="H117" s="19">
        <f t="shared" si="0"/>
        <v>3906.22</v>
      </c>
      <c r="I117" s="19">
        <v>3906.22</v>
      </c>
      <c r="J117" s="5" t="b">
        <f t="shared" si="1"/>
        <v>1</v>
      </c>
    </row>
    <row r="118" spans="1:13" x14ac:dyDescent="0.2">
      <c r="A118" s="35">
        <v>24</v>
      </c>
      <c r="B118" s="45" t="s">
        <v>79</v>
      </c>
      <c r="C118" s="45" t="s">
        <v>81</v>
      </c>
      <c r="D118" s="18"/>
      <c r="E118" s="18"/>
      <c r="F118" s="18"/>
      <c r="G118" s="19">
        <v>4380.17</v>
      </c>
      <c r="H118" s="19">
        <f t="shared" si="0"/>
        <v>4380.17</v>
      </c>
      <c r="I118" s="19">
        <v>4380.17</v>
      </c>
      <c r="J118" s="5" t="b">
        <f t="shared" si="1"/>
        <v>1</v>
      </c>
    </row>
    <row r="119" spans="1:13" x14ac:dyDescent="0.2">
      <c r="A119" s="35">
        <v>25</v>
      </c>
      <c r="B119" s="45" t="s">
        <v>82</v>
      </c>
      <c r="C119" s="45" t="s">
        <v>83</v>
      </c>
      <c r="D119" s="18"/>
      <c r="E119" s="18"/>
      <c r="F119" s="18"/>
      <c r="G119" s="19">
        <f>3934.11306-87.327</f>
        <v>3846.79</v>
      </c>
      <c r="H119" s="19">
        <f t="shared" si="0"/>
        <v>3846.79</v>
      </c>
      <c r="I119" s="19">
        <v>3846.79</v>
      </c>
      <c r="J119" s="5" t="b">
        <f t="shared" si="1"/>
        <v>1</v>
      </c>
    </row>
    <row r="120" spans="1:13" ht="53.25" customHeight="1" x14ac:dyDescent="0.2">
      <c r="A120" s="35">
        <v>26</v>
      </c>
      <c r="B120" s="45" t="s">
        <v>84</v>
      </c>
      <c r="C120" s="45" t="s">
        <v>85</v>
      </c>
      <c r="D120" s="18"/>
      <c r="E120" s="18"/>
      <c r="F120" s="18"/>
      <c r="G120" s="19">
        <f>(3906.21997+3934.11306-87.327)*0.0615</f>
        <v>476.81</v>
      </c>
      <c r="H120" s="19">
        <f t="shared" si="0"/>
        <v>476.81</v>
      </c>
      <c r="I120" s="19">
        <v>476.81</v>
      </c>
      <c r="J120" s="5" t="b">
        <f t="shared" si="1"/>
        <v>1</v>
      </c>
    </row>
    <row r="121" spans="1:13" ht="122.25" customHeight="1" x14ac:dyDescent="0.2">
      <c r="A121" s="36"/>
      <c r="B121" s="669" t="s">
        <v>86</v>
      </c>
      <c r="C121" s="675"/>
      <c r="D121" s="18"/>
      <c r="E121" s="18"/>
      <c r="F121" s="18"/>
      <c r="G121" s="19">
        <f>G117+G118+G119+G120</f>
        <v>12609.99</v>
      </c>
      <c r="H121" s="19">
        <f t="shared" si="0"/>
        <v>12609.99</v>
      </c>
      <c r="I121" s="19">
        <v>12609.99</v>
      </c>
      <c r="J121" s="5" t="b">
        <f t="shared" si="1"/>
        <v>1</v>
      </c>
    </row>
    <row r="122" spans="1:13" x14ac:dyDescent="0.2">
      <c r="A122" s="36"/>
      <c r="B122" s="669" t="s">
        <v>87</v>
      </c>
      <c r="C122" s="675"/>
      <c r="D122" s="19">
        <f>D112+D115+D121</f>
        <v>82007.95</v>
      </c>
      <c r="E122" s="19">
        <f t="shared" ref="E122:G122" si="16">E112+E115+E121</f>
        <v>6501.06</v>
      </c>
      <c r="F122" s="19">
        <f t="shared" si="16"/>
        <v>215521.57</v>
      </c>
      <c r="G122" s="19">
        <f t="shared" si="16"/>
        <v>18276.46</v>
      </c>
      <c r="H122" s="19">
        <f t="shared" si="0"/>
        <v>322307.03999999998</v>
      </c>
      <c r="I122" s="19">
        <v>322307.03999999998</v>
      </c>
      <c r="J122" s="5" t="b">
        <f t="shared" si="1"/>
        <v>1</v>
      </c>
    </row>
    <row r="123" spans="1:13" ht="12.75" customHeight="1" x14ac:dyDescent="0.2">
      <c r="A123" s="51" t="s">
        <v>88</v>
      </c>
      <c r="B123" s="52"/>
      <c r="C123" s="52"/>
      <c r="D123" s="54"/>
      <c r="E123" s="54"/>
      <c r="F123" s="54"/>
      <c r="G123" s="54"/>
      <c r="H123" s="19"/>
      <c r="I123" s="55"/>
      <c r="J123" s="5" t="b">
        <f t="shared" si="1"/>
        <v>1</v>
      </c>
    </row>
    <row r="124" spans="1:13" ht="25.5" x14ac:dyDescent="0.2">
      <c r="A124" s="35">
        <v>27</v>
      </c>
      <c r="B124" s="45" t="s">
        <v>89</v>
      </c>
      <c r="C124" s="45" t="s">
        <v>90</v>
      </c>
      <c r="D124" s="19">
        <f>D122*2%</f>
        <v>1640.16</v>
      </c>
      <c r="E124" s="19">
        <f t="shared" ref="E124:G124" si="17">E122*2%</f>
        <v>130.02000000000001</v>
      </c>
      <c r="F124" s="19">
        <f t="shared" si="17"/>
        <v>4310.43</v>
      </c>
      <c r="G124" s="19">
        <f t="shared" si="17"/>
        <v>365.53</v>
      </c>
      <c r="H124" s="19">
        <f t="shared" si="0"/>
        <v>6446.14</v>
      </c>
      <c r="I124" s="19">
        <v>6446.14</v>
      </c>
      <c r="J124" s="5" t="b">
        <f t="shared" si="1"/>
        <v>1</v>
      </c>
    </row>
    <row r="125" spans="1:13" ht="25.5" customHeight="1" x14ac:dyDescent="0.2">
      <c r="A125" s="36"/>
      <c r="B125" s="669" t="s">
        <v>91</v>
      </c>
      <c r="C125" s="675"/>
      <c r="D125" s="19">
        <f>D124</f>
        <v>1640.16</v>
      </c>
      <c r="E125" s="19">
        <f t="shared" ref="E125:G125" si="18">E124</f>
        <v>130.02000000000001</v>
      </c>
      <c r="F125" s="19">
        <f t="shared" si="18"/>
        <v>4310.43</v>
      </c>
      <c r="G125" s="19">
        <f t="shared" si="18"/>
        <v>365.53</v>
      </c>
      <c r="H125" s="19">
        <f t="shared" si="0"/>
        <v>6446.14</v>
      </c>
      <c r="I125" s="19">
        <v>6446.14</v>
      </c>
      <c r="J125" s="5" t="b">
        <f t="shared" si="1"/>
        <v>1</v>
      </c>
    </row>
    <row r="126" spans="1:13" ht="27.95" customHeight="1" x14ac:dyDescent="0.2">
      <c r="A126" s="36"/>
      <c r="B126" s="669" t="s">
        <v>92</v>
      </c>
      <c r="C126" s="675"/>
      <c r="D126" s="19">
        <f>D122+D125</f>
        <v>83648.11</v>
      </c>
      <c r="E126" s="19">
        <f t="shared" ref="E126:G126" si="19">E122+E125</f>
        <v>6631.08</v>
      </c>
      <c r="F126" s="19">
        <f t="shared" si="19"/>
        <v>219832</v>
      </c>
      <c r="G126" s="19">
        <f t="shared" si="19"/>
        <v>18641.990000000002</v>
      </c>
      <c r="H126" s="19">
        <f t="shared" si="0"/>
        <v>328753.18</v>
      </c>
      <c r="I126" s="19">
        <v>328753.18</v>
      </c>
      <c r="J126" s="5" t="b">
        <f t="shared" si="1"/>
        <v>1</v>
      </c>
    </row>
    <row r="127" spans="1:13" ht="12.75" customHeight="1" x14ac:dyDescent="0.2">
      <c r="A127" s="51" t="s">
        <v>121</v>
      </c>
      <c r="B127" s="52"/>
      <c r="C127" s="52"/>
      <c r="D127" s="54"/>
      <c r="E127" s="54"/>
      <c r="F127" s="54"/>
      <c r="G127" s="54"/>
      <c r="H127" s="19"/>
      <c r="I127" s="55"/>
      <c r="J127" s="5" t="b">
        <f t="shared" si="1"/>
        <v>1</v>
      </c>
    </row>
    <row r="128" spans="1:13" ht="25.5" x14ac:dyDescent="0.2">
      <c r="A128" s="35">
        <v>28</v>
      </c>
      <c r="B128" s="45" t="s">
        <v>93</v>
      </c>
      <c r="C128" s="45" t="s">
        <v>94</v>
      </c>
      <c r="D128" s="19">
        <f>-D92*15%</f>
        <v>-275.19</v>
      </c>
      <c r="E128" s="19">
        <f>-E92*15%</f>
        <v>-21.82</v>
      </c>
      <c r="F128" s="18"/>
      <c r="G128" s="18"/>
      <c r="H128" s="19">
        <f t="shared" si="0"/>
        <v>-297.01</v>
      </c>
      <c r="I128" s="19">
        <v>-297.01</v>
      </c>
      <c r="J128" s="5" t="b">
        <f t="shared" si="1"/>
        <v>1</v>
      </c>
    </row>
    <row r="129" spans="1:20" ht="147" customHeight="1" x14ac:dyDescent="0.2">
      <c r="A129" s="36"/>
      <c r="B129" s="667" t="s">
        <v>99</v>
      </c>
      <c r="C129" s="668"/>
      <c r="D129" s="18"/>
      <c r="E129" s="18"/>
      <c r="F129" s="18"/>
      <c r="G129" s="18"/>
      <c r="H129" s="19"/>
      <c r="I129" s="18"/>
      <c r="J129" s="5" t="b">
        <f t="shared" si="1"/>
        <v>1</v>
      </c>
      <c r="K129"/>
      <c r="L129"/>
      <c r="M129"/>
      <c r="N129"/>
    </row>
    <row r="130" spans="1:20" x14ac:dyDescent="0.2">
      <c r="A130" s="36">
        <v>29</v>
      </c>
      <c r="B130" s="17"/>
      <c r="C130" s="17" t="s">
        <v>126</v>
      </c>
      <c r="D130" s="18">
        <f>D126*6.99</f>
        <v>584700.29</v>
      </c>
      <c r="E130" s="18"/>
      <c r="F130" s="18"/>
      <c r="G130" s="18"/>
      <c r="H130" s="19">
        <f t="shared" si="0"/>
        <v>584700.29</v>
      </c>
      <c r="I130" s="18">
        <v>584700.29</v>
      </c>
      <c r="J130" s="5" t="b">
        <f t="shared" si="1"/>
        <v>1</v>
      </c>
      <c r="K130" s="38"/>
      <c r="L130" s="37"/>
      <c r="M130" s="37"/>
      <c r="N130" s="37"/>
      <c r="O130" s="39"/>
      <c r="P130" s="39"/>
      <c r="Q130" s="39"/>
      <c r="R130" s="39"/>
      <c r="S130" s="39"/>
      <c r="T130" s="39"/>
    </row>
    <row r="131" spans="1:20" x14ac:dyDescent="0.2">
      <c r="A131" s="36">
        <v>30</v>
      </c>
      <c r="B131" s="17"/>
      <c r="C131" s="17" t="s">
        <v>122</v>
      </c>
      <c r="D131" s="18"/>
      <c r="E131" s="18">
        <f>E126*6.99</f>
        <v>46351.25</v>
      </c>
      <c r="F131" s="18"/>
      <c r="G131" s="18"/>
      <c r="H131" s="19">
        <f t="shared" si="0"/>
        <v>46351.25</v>
      </c>
      <c r="I131" s="18">
        <v>46351.25</v>
      </c>
      <c r="J131" s="5" t="b">
        <f t="shared" si="1"/>
        <v>1</v>
      </c>
      <c r="K131" s="38"/>
      <c r="L131" s="37"/>
      <c r="M131" s="37"/>
      <c r="N131" s="37"/>
      <c r="O131" s="39"/>
      <c r="P131" s="39"/>
      <c r="Q131" s="39"/>
      <c r="R131" s="39"/>
      <c r="S131" s="39"/>
      <c r="T131" s="39"/>
    </row>
    <row r="132" spans="1:20" x14ac:dyDescent="0.2">
      <c r="A132" s="36">
        <v>31</v>
      </c>
      <c r="B132" s="17"/>
      <c r="C132" s="17" t="s">
        <v>123</v>
      </c>
      <c r="D132" s="18"/>
      <c r="E132" s="18"/>
      <c r="F132" s="18">
        <f>F126*4.09</f>
        <v>899112.88</v>
      </c>
      <c r="G132" s="18"/>
      <c r="H132" s="19">
        <f t="shared" si="0"/>
        <v>899112.88</v>
      </c>
      <c r="I132" s="18">
        <v>899112.88</v>
      </c>
      <c r="J132" s="5" t="b">
        <f t="shared" si="1"/>
        <v>1</v>
      </c>
      <c r="K132" s="38"/>
      <c r="L132" s="37"/>
      <c r="M132" s="37"/>
      <c r="N132" s="37"/>
      <c r="O132" s="39"/>
      <c r="P132" s="39"/>
      <c r="Q132" s="39"/>
      <c r="R132" s="39"/>
      <c r="S132" s="39"/>
      <c r="T132" s="39"/>
    </row>
    <row r="133" spans="1:20" x14ac:dyDescent="0.2">
      <c r="A133" s="36">
        <v>32</v>
      </c>
      <c r="B133" s="45"/>
      <c r="C133" s="45" t="s">
        <v>124</v>
      </c>
      <c r="D133" s="18"/>
      <c r="E133" s="18"/>
      <c r="F133" s="18"/>
      <c r="G133" s="19">
        <f>G99*12.36*1.02</f>
        <v>957.9</v>
      </c>
      <c r="H133" s="19">
        <f t="shared" si="0"/>
        <v>957.9</v>
      </c>
      <c r="I133" s="18">
        <v>957.9</v>
      </c>
      <c r="J133" s="5" t="b">
        <f t="shared" si="1"/>
        <v>1</v>
      </c>
      <c r="K133" s="38"/>
      <c r="L133" s="37"/>
      <c r="M133" s="37"/>
      <c r="N133" s="37"/>
      <c r="O133" s="39"/>
      <c r="P133" s="39"/>
      <c r="Q133" s="39"/>
      <c r="R133" s="39"/>
      <c r="S133" s="39"/>
      <c r="T133" s="39"/>
    </row>
    <row r="134" spans="1:20" ht="25.5" x14ac:dyDescent="0.2">
      <c r="A134" s="36">
        <v>33</v>
      </c>
      <c r="B134" s="42"/>
      <c r="C134" s="45" t="s">
        <v>131</v>
      </c>
      <c r="D134" s="18"/>
      <c r="E134" s="18"/>
      <c r="F134" s="18"/>
      <c r="G134" s="31">
        <f>G28*10.79*1.02+G31*1.266*4.35*1.02</f>
        <v>517.19000000000005</v>
      </c>
      <c r="H134" s="19">
        <f t="shared" si="0"/>
        <v>517.19000000000005</v>
      </c>
      <c r="I134" s="32">
        <v>517.19000000000005</v>
      </c>
      <c r="J134" s="5" t="b">
        <f t="shared" si="1"/>
        <v>1</v>
      </c>
      <c r="K134" s="38"/>
      <c r="L134" s="37"/>
      <c r="M134" s="37"/>
      <c r="N134" s="37"/>
      <c r="O134" s="39"/>
      <c r="P134" s="39"/>
      <c r="Q134" s="39"/>
      <c r="R134" s="39"/>
      <c r="S134" s="39"/>
      <c r="T134" s="39"/>
    </row>
    <row r="135" spans="1:20" ht="25.5" x14ac:dyDescent="0.2">
      <c r="A135" s="36">
        <v>34</v>
      </c>
      <c r="B135" s="42"/>
      <c r="C135" s="45" t="s">
        <v>132</v>
      </c>
      <c r="D135" s="18"/>
      <c r="E135" s="18"/>
      <c r="F135" s="18"/>
      <c r="G135" s="31">
        <f>(G97+G108)*10.79*1.02+G98*1.266*4.35*1.02</f>
        <v>15096.61</v>
      </c>
      <c r="H135" s="19">
        <f t="shared" si="0"/>
        <v>15096.61</v>
      </c>
      <c r="I135" s="32">
        <v>15096.61</v>
      </c>
      <c r="J135" s="5" t="b">
        <f t="shared" si="1"/>
        <v>1</v>
      </c>
      <c r="K135" s="38"/>
      <c r="L135" s="37"/>
      <c r="M135" s="37"/>
      <c r="N135" s="37"/>
      <c r="O135" s="39"/>
      <c r="P135" s="39"/>
      <c r="Q135" s="39"/>
      <c r="R135" s="39"/>
      <c r="S135" s="39"/>
      <c r="T135" s="39"/>
    </row>
    <row r="136" spans="1:20" ht="40.5" customHeight="1" x14ac:dyDescent="0.2">
      <c r="A136" s="36">
        <v>35</v>
      </c>
      <c r="B136" s="42"/>
      <c r="C136" s="42" t="s">
        <v>133</v>
      </c>
      <c r="D136" s="32"/>
      <c r="E136" s="32"/>
      <c r="F136" s="32"/>
      <c r="G136" s="65">
        <f>(G114+0.07)*10.79*1.02</f>
        <v>44831.69</v>
      </c>
      <c r="H136" s="19">
        <f t="shared" si="0"/>
        <v>44831.69</v>
      </c>
      <c r="I136" s="32">
        <v>44831.69</v>
      </c>
      <c r="J136" s="5" t="b">
        <f t="shared" si="1"/>
        <v>1</v>
      </c>
      <c r="K136" s="38">
        <f>K114*10.79*1.02</f>
        <v>44830.92</v>
      </c>
      <c r="L136" s="465" t="s">
        <v>2934</v>
      </c>
      <c r="M136" s="356">
        <f>(I130+I131+I132+I133+I134+I135)/1.02*0.2%</f>
        <v>3032.82</v>
      </c>
      <c r="N136" s="37"/>
      <c r="O136" s="39"/>
      <c r="P136" s="39"/>
      <c r="Q136" s="39"/>
      <c r="R136" s="39"/>
      <c r="S136" s="39"/>
      <c r="T136" s="39"/>
    </row>
    <row r="137" spans="1:20" ht="14.25" customHeight="1" x14ac:dyDescent="0.2">
      <c r="A137" s="36">
        <v>36</v>
      </c>
      <c r="B137" s="42"/>
      <c r="C137" s="45" t="s">
        <v>127</v>
      </c>
      <c r="D137" s="18"/>
      <c r="E137" s="18"/>
      <c r="F137" s="18"/>
      <c r="G137" s="18">
        <f>G117*1.19*4.27*1.02</f>
        <v>20245.650000000001</v>
      </c>
      <c r="H137" s="19">
        <f t="shared" si="0"/>
        <v>20245.650000000001</v>
      </c>
      <c r="I137" s="18">
        <v>20245.650000000001</v>
      </c>
      <c r="J137" s="5" t="b">
        <f t="shared" si="1"/>
        <v>1</v>
      </c>
      <c r="K137" s="37"/>
      <c r="M137" s="37"/>
      <c r="N137" s="37"/>
      <c r="O137" s="39"/>
      <c r="P137" s="37"/>
      <c r="Q137" s="39"/>
      <c r="R137" s="39"/>
      <c r="S137" s="39"/>
      <c r="T137" s="39"/>
    </row>
    <row r="138" spans="1:20" ht="15" x14ac:dyDescent="0.2">
      <c r="A138" s="36">
        <v>37</v>
      </c>
      <c r="B138" s="42"/>
      <c r="C138" s="45" t="s">
        <v>128</v>
      </c>
      <c r="D138" s="18"/>
      <c r="E138" s="18"/>
      <c r="F138" s="18"/>
      <c r="G138" s="68">
        <f>G118*1.19*4.27*1.02+0.01</f>
        <v>22702.11</v>
      </c>
      <c r="H138" s="19">
        <f t="shared" si="0"/>
        <v>22702.11</v>
      </c>
      <c r="I138" s="18">
        <v>22702.11</v>
      </c>
      <c r="J138" s="5" t="b">
        <f t="shared" si="1"/>
        <v>1</v>
      </c>
      <c r="K138" s="67">
        <f>G118*1.19*4.27*1.02</f>
        <v>22702.1</v>
      </c>
      <c r="M138" s="37"/>
      <c r="N138" s="37"/>
      <c r="O138" s="39"/>
      <c r="P138" s="37"/>
      <c r="Q138" s="39"/>
      <c r="R138" s="39"/>
      <c r="S138" s="39"/>
      <c r="T138" s="39"/>
    </row>
    <row r="139" spans="1:20" ht="15" customHeight="1" x14ac:dyDescent="0.2">
      <c r="A139" s="36">
        <v>38</v>
      </c>
      <c r="B139" s="42"/>
      <c r="C139" s="45" t="s">
        <v>129</v>
      </c>
      <c r="D139" s="18"/>
      <c r="E139" s="18"/>
      <c r="F139" s="18"/>
      <c r="G139" s="68">
        <f>G119*1.266*4.35*1.02-0.02</f>
        <v>21608.33</v>
      </c>
      <c r="H139" s="19">
        <f t="shared" ref="H139:H149" si="20">SUM(D139:G139)</f>
        <v>21608.33</v>
      </c>
      <c r="I139" s="18">
        <v>21608.33</v>
      </c>
      <c r="J139" s="5" t="b">
        <f t="shared" ref="J139:J149" si="21">H139=I139</f>
        <v>1</v>
      </c>
      <c r="K139" s="38">
        <f>G119*1.266*4.35*1.02</f>
        <v>21608.35</v>
      </c>
      <c r="L139" s="37"/>
      <c r="M139" s="37"/>
      <c r="N139" s="37"/>
      <c r="O139" s="39"/>
      <c r="P139" s="37"/>
      <c r="Q139" s="39"/>
      <c r="R139" s="39"/>
      <c r="S139" s="39"/>
      <c r="T139" s="39"/>
    </row>
    <row r="140" spans="1:20" ht="25.5" x14ac:dyDescent="0.2">
      <c r="A140" s="36">
        <v>39</v>
      </c>
      <c r="B140" s="42"/>
      <c r="C140" s="45" t="s">
        <v>130</v>
      </c>
      <c r="D140" s="18"/>
      <c r="E140" s="18"/>
      <c r="F140" s="18"/>
      <c r="G140" s="18">
        <f>(G117*1.19+G119*1.266)*0.0615*5.29*1.02</f>
        <v>3158.61</v>
      </c>
      <c r="H140" s="19">
        <f t="shared" si="20"/>
        <v>3158.61</v>
      </c>
      <c r="I140" s="18">
        <v>3158.61</v>
      </c>
      <c r="J140" s="5" t="b">
        <f t="shared" si="21"/>
        <v>1</v>
      </c>
      <c r="K140" s="38"/>
      <c r="L140" s="37"/>
      <c r="M140" s="37"/>
      <c r="N140" s="37"/>
      <c r="O140" s="39"/>
      <c r="P140" s="39"/>
      <c r="Q140" s="39"/>
      <c r="R140" s="39"/>
      <c r="S140" s="39"/>
      <c r="T140" s="39"/>
    </row>
    <row r="141" spans="1:20" ht="26.25" customHeight="1" x14ac:dyDescent="0.2">
      <c r="A141" s="36"/>
      <c r="B141" s="669" t="s">
        <v>100</v>
      </c>
      <c r="C141" s="670"/>
      <c r="D141" s="34">
        <f>SUM(D130:D140)</f>
        <v>584700.29</v>
      </c>
      <c r="E141" s="34">
        <f t="shared" ref="E141:G141" si="22">SUM(E130:E140)</f>
        <v>46351.25</v>
      </c>
      <c r="F141" s="34">
        <f t="shared" si="22"/>
        <v>899112.88</v>
      </c>
      <c r="G141" s="34">
        <f t="shared" si="22"/>
        <v>129118.09</v>
      </c>
      <c r="H141" s="19">
        <f t="shared" si="20"/>
        <v>1659282.51</v>
      </c>
      <c r="I141" s="34">
        <f>SUM(I130:I140)</f>
        <v>1659282.51</v>
      </c>
      <c r="J141" s="5" t="b">
        <f t="shared" si="21"/>
        <v>1</v>
      </c>
      <c r="K141" s="38"/>
      <c r="L141" s="37"/>
      <c r="M141" s="38"/>
      <c r="N141" s="37"/>
      <c r="O141" s="39"/>
      <c r="P141" s="39"/>
      <c r="Q141" s="39"/>
      <c r="R141" s="39"/>
      <c r="S141" s="39"/>
      <c r="T141" s="39"/>
    </row>
    <row r="142" spans="1:20" ht="25.5" x14ac:dyDescent="0.2">
      <c r="A142" s="36">
        <v>40</v>
      </c>
      <c r="B142" s="45" t="s">
        <v>101</v>
      </c>
      <c r="C142" s="45" t="s">
        <v>102</v>
      </c>
      <c r="D142" s="31">
        <f>D141*20%</f>
        <v>116940.06</v>
      </c>
      <c r="E142" s="31">
        <f>E141*20%</f>
        <v>9270.25</v>
      </c>
      <c r="F142" s="31">
        <f>F141*20%</f>
        <v>179822.58</v>
      </c>
      <c r="G142" s="65">
        <f>G141*20%-0.01</f>
        <v>25823.61</v>
      </c>
      <c r="H142" s="66">
        <f t="shared" si="20"/>
        <v>331856.5</v>
      </c>
      <c r="I142" s="32">
        <v>331856.5</v>
      </c>
      <c r="J142" s="5" t="b">
        <f t="shared" si="21"/>
        <v>1</v>
      </c>
      <c r="K142" s="40">
        <v>25823.62</v>
      </c>
      <c r="L142" s="40"/>
      <c r="M142" s="40"/>
      <c r="N142" s="40"/>
      <c r="O142" s="39"/>
      <c r="P142" s="39"/>
      <c r="Q142" s="39"/>
      <c r="R142" s="39"/>
      <c r="S142" s="39"/>
      <c r="T142" s="39"/>
    </row>
    <row r="143" spans="1:20" ht="26.25" customHeight="1" x14ac:dyDescent="0.2">
      <c r="A143" s="36">
        <v>41</v>
      </c>
      <c r="B143" s="669" t="s">
        <v>103</v>
      </c>
      <c r="C143" s="675"/>
      <c r="D143" s="34">
        <f>D141+D142</f>
        <v>701640.35</v>
      </c>
      <c r="E143" s="34">
        <f t="shared" ref="E143:G143" si="23">E141+E142</f>
        <v>55621.5</v>
      </c>
      <c r="F143" s="34">
        <f t="shared" si="23"/>
        <v>1078935.46</v>
      </c>
      <c r="G143" s="34">
        <f t="shared" si="23"/>
        <v>154941.70000000001</v>
      </c>
      <c r="H143" s="19">
        <f t="shared" si="20"/>
        <v>1991139.01</v>
      </c>
      <c r="I143" s="34">
        <f>I141+I142</f>
        <v>1991139.01</v>
      </c>
      <c r="J143" s="5" t="b">
        <f t="shared" si="21"/>
        <v>1</v>
      </c>
      <c r="K143" s="40"/>
      <c r="L143" s="40"/>
      <c r="M143" s="40"/>
      <c r="N143" s="40"/>
      <c r="O143" s="39"/>
      <c r="P143" s="39"/>
      <c r="Q143" s="39"/>
      <c r="R143" s="39"/>
      <c r="S143" s="39"/>
      <c r="T143" s="39"/>
    </row>
    <row r="144" spans="1:20" ht="25.5" x14ac:dyDescent="0.2">
      <c r="A144" s="20"/>
      <c r="B144" s="21"/>
      <c r="C144" s="45" t="s">
        <v>104</v>
      </c>
      <c r="D144" s="18"/>
      <c r="E144" s="18"/>
      <c r="F144" s="18"/>
      <c r="G144" s="19"/>
      <c r="H144" s="19"/>
      <c r="I144" s="18"/>
      <c r="J144" s="5" t="b">
        <f t="shared" si="21"/>
        <v>1</v>
      </c>
      <c r="K144" s="41"/>
      <c r="L144" s="41"/>
      <c r="M144" s="41"/>
      <c r="N144" s="41"/>
      <c r="O144" s="39"/>
      <c r="P144" s="39"/>
      <c r="Q144" s="39"/>
      <c r="R144" s="39"/>
      <c r="S144" s="39"/>
      <c r="T144" s="39"/>
    </row>
    <row r="145" spans="1:14" x14ac:dyDescent="0.2">
      <c r="A145" s="20"/>
      <c r="B145" s="21"/>
      <c r="C145" s="45" t="s">
        <v>105</v>
      </c>
      <c r="D145" s="18">
        <f>-D128</f>
        <v>275.19</v>
      </c>
      <c r="E145" s="18">
        <f>-E128</f>
        <v>21.82</v>
      </c>
      <c r="F145" s="18"/>
      <c r="G145" s="18"/>
      <c r="H145" s="19">
        <f t="shared" si="20"/>
        <v>297.01</v>
      </c>
      <c r="I145" s="18">
        <v>297.01</v>
      </c>
      <c r="J145" s="5" t="b">
        <f t="shared" si="21"/>
        <v>1</v>
      </c>
      <c r="K145" s="22"/>
      <c r="L145" s="22"/>
      <c r="M145" s="22"/>
      <c r="N145" s="22"/>
    </row>
    <row r="146" spans="1:14" x14ac:dyDescent="0.2">
      <c r="A146" s="20"/>
      <c r="B146" s="21"/>
      <c r="C146" s="45" t="s">
        <v>106</v>
      </c>
      <c r="D146" s="18">
        <f>D145*6.99*1.2</f>
        <v>2308.29</v>
      </c>
      <c r="E146" s="18">
        <f>E145*6.99*1.2</f>
        <v>183.03</v>
      </c>
      <c r="F146" s="18"/>
      <c r="G146" s="18"/>
      <c r="H146" s="19">
        <f t="shared" si="20"/>
        <v>2491.3200000000002</v>
      </c>
      <c r="I146" s="18">
        <v>2491.3200000000002</v>
      </c>
      <c r="J146" s="5" t="b">
        <f t="shared" si="21"/>
        <v>1</v>
      </c>
      <c r="K146" s="22"/>
      <c r="L146" s="22"/>
      <c r="M146" s="22"/>
      <c r="N146" s="22"/>
    </row>
    <row r="147" spans="1:14" ht="25.5" x14ac:dyDescent="0.2">
      <c r="A147" s="20"/>
      <c r="B147" s="21"/>
      <c r="C147" s="45" t="s">
        <v>107</v>
      </c>
      <c r="D147" s="18"/>
      <c r="E147" s="18"/>
      <c r="F147" s="18"/>
      <c r="G147" s="19"/>
      <c r="H147" s="19"/>
      <c r="I147" s="18"/>
      <c r="J147" s="5" t="b">
        <f t="shared" si="21"/>
        <v>1</v>
      </c>
      <c r="K147" s="22"/>
      <c r="L147" s="22"/>
      <c r="M147" s="22"/>
      <c r="N147" s="22"/>
    </row>
    <row r="148" spans="1:14" x14ac:dyDescent="0.2">
      <c r="A148" s="20"/>
      <c r="B148" s="21"/>
      <c r="C148" s="45" t="s">
        <v>108</v>
      </c>
      <c r="D148" s="18"/>
      <c r="E148" s="18"/>
      <c r="F148" s="18"/>
      <c r="G148" s="18">
        <f>G117+G118+G119</f>
        <v>12133.18</v>
      </c>
      <c r="H148" s="19">
        <f t="shared" si="20"/>
        <v>12133.18</v>
      </c>
      <c r="I148" s="18">
        <v>12133.18</v>
      </c>
      <c r="J148" s="5" t="b">
        <f t="shared" si="21"/>
        <v>1</v>
      </c>
      <c r="K148" s="22"/>
      <c r="L148" s="22"/>
      <c r="M148" s="22"/>
      <c r="N148" s="22"/>
    </row>
    <row r="149" spans="1:14" x14ac:dyDescent="0.2">
      <c r="A149" s="20"/>
      <c r="B149" s="21"/>
      <c r="C149" s="45" t="s">
        <v>109</v>
      </c>
      <c r="D149" s="18"/>
      <c r="E149" s="18"/>
      <c r="F149" s="18"/>
      <c r="G149" s="18">
        <f>(G137+G138+G139)/1.02*1.2</f>
        <v>75948.34</v>
      </c>
      <c r="H149" s="19">
        <f t="shared" si="20"/>
        <v>75948.34</v>
      </c>
      <c r="I149" s="18">
        <v>75948.34</v>
      </c>
      <c r="J149" s="5" t="b">
        <f t="shared" si="21"/>
        <v>1</v>
      </c>
      <c r="K149" s="22"/>
      <c r="L149" s="22"/>
      <c r="M149" s="22"/>
      <c r="N149" s="22"/>
    </row>
    <row r="151" spans="1:14" hidden="1" x14ac:dyDescent="0.2"/>
    <row r="153" spans="1:14" x14ac:dyDescent="0.2">
      <c r="A153"/>
      <c r="B153" s="5"/>
      <c r="C153" s="674" t="s">
        <v>110</v>
      </c>
      <c r="D153" s="674"/>
      <c r="E153" s="23"/>
      <c r="F153" s="23"/>
      <c r="G153" s="664" t="s">
        <v>111</v>
      </c>
      <c r="H153" s="664"/>
      <c r="I153" s="44"/>
      <c r="J153"/>
      <c r="K153"/>
      <c r="L153"/>
      <c r="M153"/>
      <c r="N153"/>
    </row>
    <row r="154" spans="1:14" x14ac:dyDescent="0.2">
      <c r="A154"/>
      <c r="B154" s="24"/>
      <c r="C154" s="25" t="s">
        <v>112</v>
      </c>
      <c r="D154" s="26"/>
      <c r="E154" s="46" t="s">
        <v>113</v>
      </c>
      <c r="F154" s="27"/>
      <c r="G154" s="651" t="s">
        <v>114</v>
      </c>
      <c r="H154" s="651"/>
      <c r="I154" s="46"/>
      <c r="J154"/>
      <c r="K154"/>
      <c r="L154"/>
      <c r="M154"/>
      <c r="N154"/>
    </row>
    <row r="155" spans="1:14" x14ac:dyDescent="0.2">
      <c r="A155"/>
      <c r="B155" s="24"/>
      <c r="C155" s="25"/>
      <c r="D155" s="26"/>
      <c r="E155" s="46"/>
      <c r="F155" s="27"/>
      <c r="G155" s="46"/>
      <c r="H155" s="46"/>
      <c r="I155" s="46"/>
      <c r="J155"/>
      <c r="K155"/>
      <c r="L155"/>
      <c r="M155"/>
      <c r="N155"/>
    </row>
    <row r="156" spans="1:14" x14ac:dyDescent="0.2">
      <c r="A156"/>
      <c r="B156" s="24"/>
      <c r="C156" s="25"/>
      <c r="D156" s="26"/>
      <c r="E156" s="46"/>
      <c r="F156" s="27"/>
      <c r="G156" s="46"/>
      <c r="H156" s="46"/>
      <c r="I156" s="46"/>
      <c r="J156"/>
      <c r="K156"/>
      <c r="L156"/>
      <c r="M156"/>
      <c r="N156"/>
    </row>
    <row r="157" spans="1:14" x14ac:dyDescent="0.2">
      <c r="A157"/>
      <c r="B157" s="24"/>
      <c r="C157" s="25"/>
      <c r="D157" s="26"/>
      <c r="E157" s="46"/>
      <c r="F157" s="27"/>
      <c r="G157" s="46"/>
      <c r="H157" s="46"/>
      <c r="I157" s="46"/>
      <c r="J157"/>
      <c r="K157"/>
      <c r="L157"/>
      <c r="M157"/>
      <c r="N157"/>
    </row>
    <row r="158" spans="1:14" x14ac:dyDescent="0.2">
      <c r="A158"/>
      <c r="B158" s="5"/>
      <c r="C158" s="28"/>
      <c r="D158" s="29"/>
      <c r="E158" s="30"/>
      <c r="F158" s="30"/>
      <c r="G158" s="30"/>
      <c r="H158" s="30"/>
      <c r="I158" s="30"/>
      <c r="J158"/>
      <c r="K158"/>
      <c r="L158"/>
      <c r="M158"/>
      <c r="N158"/>
    </row>
    <row r="159" spans="1:14" x14ac:dyDescent="0.2">
      <c r="A159"/>
      <c r="B159" s="5" t="s">
        <v>115</v>
      </c>
      <c r="C159" s="43" t="s">
        <v>116</v>
      </c>
      <c r="D159" s="29"/>
      <c r="E159" s="30"/>
      <c r="F159" s="30"/>
      <c r="G159" s="30"/>
      <c r="H159" s="30"/>
      <c r="I159" s="30"/>
      <c r="J159"/>
      <c r="K159"/>
      <c r="L159"/>
      <c r="M159"/>
      <c r="N159"/>
    </row>
    <row r="160" spans="1:14" x14ac:dyDescent="0.2">
      <c r="A160"/>
      <c r="B160" s="5"/>
      <c r="C160" s="673" t="s">
        <v>117</v>
      </c>
      <c r="D160" s="673"/>
      <c r="E160" s="23"/>
      <c r="F160" s="23"/>
      <c r="G160" s="665" t="s">
        <v>118</v>
      </c>
      <c r="H160" s="665"/>
      <c r="I160" s="47"/>
      <c r="J160"/>
      <c r="K160"/>
      <c r="L160"/>
      <c r="M160"/>
      <c r="N160"/>
    </row>
    <row r="161" spans="1:14" ht="19.5" customHeight="1" x14ac:dyDescent="0.2">
      <c r="A161"/>
      <c r="B161" s="24"/>
      <c r="C161" s="25" t="s">
        <v>112</v>
      </c>
      <c r="D161" s="26"/>
      <c r="E161" s="46" t="s">
        <v>113</v>
      </c>
      <c r="F161" s="27"/>
      <c r="G161" s="666" t="s">
        <v>119</v>
      </c>
      <c r="H161" s="666"/>
      <c r="I161" s="48"/>
      <c r="J161"/>
      <c r="K161"/>
      <c r="L161"/>
      <c r="M161"/>
      <c r="N161"/>
    </row>
    <row r="162" spans="1:14" x14ac:dyDescent="0.2">
      <c r="A162"/>
      <c r="B162" s="24"/>
      <c r="C162" s="25"/>
      <c r="D162" s="26"/>
      <c r="E162" s="46"/>
      <c r="F162" s="27"/>
      <c r="G162" s="48"/>
      <c r="H162" s="48"/>
      <c r="I162" s="48"/>
      <c r="J162"/>
      <c r="K162"/>
      <c r="L162"/>
      <c r="M162"/>
      <c r="N162"/>
    </row>
    <row r="163" spans="1:14" x14ac:dyDescent="0.2">
      <c r="A163"/>
      <c r="B163" s="5"/>
      <c r="C163" s="673" t="s">
        <v>120</v>
      </c>
      <c r="D163" s="673"/>
      <c r="E163" s="23"/>
      <c r="F163" s="23"/>
      <c r="G163" s="664"/>
      <c r="H163" s="664"/>
      <c r="I163" s="44"/>
      <c r="J163"/>
      <c r="K163"/>
      <c r="L163"/>
      <c r="M163"/>
      <c r="N163"/>
    </row>
    <row r="164" spans="1:14" x14ac:dyDescent="0.2">
      <c r="A164"/>
      <c r="B164" s="24"/>
      <c r="C164" s="25" t="s">
        <v>112</v>
      </c>
      <c r="D164" s="26"/>
      <c r="E164" s="46" t="s">
        <v>113</v>
      </c>
      <c r="F164" s="27"/>
      <c r="G164" s="651" t="s">
        <v>114</v>
      </c>
      <c r="H164" s="651"/>
      <c r="I164" s="46"/>
      <c r="J164"/>
      <c r="K164"/>
      <c r="L164"/>
      <c r="M164"/>
      <c r="N164"/>
    </row>
  </sheetData>
  <mergeCells count="39">
    <mergeCell ref="A17:H17"/>
    <mergeCell ref="A22:A25"/>
    <mergeCell ref="B22:B25"/>
    <mergeCell ref="C22:C25"/>
    <mergeCell ref="D22:G22"/>
    <mergeCell ref="H22:H25"/>
    <mergeCell ref="D23:D25"/>
    <mergeCell ref="E23:E25"/>
    <mergeCell ref="F23:F25"/>
    <mergeCell ref="G23:G25"/>
    <mergeCell ref="B79:C79"/>
    <mergeCell ref="B86:C86"/>
    <mergeCell ref="B89:C89"/>
    <mergeCell ref="B32:C32"/>
    <mergeCell ref="B66:C66"/>
    <mergeCell ref="B76:C76"/>
    <mergeCell ref="B115:C115"/>
    <mergeCell ref="B121:C121"/>
    <mergeCell ref="B122:C122"/>
    <mergeCell ref="B90:C90"/>
    <mergeCell ref="B93:C93"/>
    <mergeCell ref="B94:C94"/>
    <mergeCell ref="B111:C111"/>
    <mergeCell ref="G161:H161"/>
    <mergeCell ref="C163:D163"/>
    <mergeCell ref="G163:H163"/>
    <mergeCell ref="G164:H164"/>
    <mergeCell ref="I22:I25"/>
    <mergeCell ref="B143:C143"/>
    <mergeCell ref="C153:D153"/>
    <mergeCell ref="G153:H153"/>
    <mergeCell ref="G154:H154"/>
    <mergeCell ref="C160:D160"/>
    <mergeCell ref="G160:H160"/>
    <mergeCell ref="B125:C125"/>
    <mergeCell ref="B126:C126"/>
    <mergeCell ref="B129:C129"/>
    <mergeCell ref="B141:C141"/>
    <mergeCell ref="B112:C112"/>
  </mergeCells>
  <conditionalFormatting sqref="J28:J149">
    <cfRule type="containsText" dxfId="1" priority="1" operator="containsText" text="истина">
      <formula>NOT(ISERROR(SEARCH("истина",J28)))</formula>
    </cfRule>
    <cfRule type="containsText" dxfId="0" priority="2" operator="containsText" text="ложь">
      <formula>NOT(ISERROR(SEARCH("ложь",J28)))</formula>
    </cfRule>
  </conditionalFormatting>
  <pageMargins left="0.42" right="0.25" top="0.5" bottom="0.52" header="0.3" footer="0.3"/>
  <pageSetup paperSize="9" scale="65" fitToHeight="0" orientation="landscape" r:id="rId1"/>
  <headerFooter alignWithMargins="0">
    <oddHeader>&amp;LГранд-СМЕТА</oddHeader>
    <oddFooter>&amp;RСтраница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1:S34"/>
  <sheetViews>
    <sheetView workbookViewId="0">
      <selection activeCell="L35" sqref="L35"/>
    </sheetView>
  </sheetViews>
  <sheetFormatPr defaultRowHeight="12.75" x14ac:dyDescent="0.2"/>
  <cols>
    <col min="8" max="8" width="10.5703125" customWidth="1"/>
    <col min="9" max="9" width="18.28515625" customWidth="1"/>
    <col min="10" max="10" width="16.42578125" bestFit="1" customWidth="1"/>
    <col min="11" max="11" width="21.140625" customWidth="1"/>
    <col min="12" max="12" width="15.85546875" customWidth="1"/>
    <col min="13" max="13" width="12.85546875" customWidth="1"/>
    <col min="15" max="15" width="11.140625" customWidth="1"/>
    <col min="16" max="16" width="25.7109375" customWidth="1"/>
  </cols>
  <sheetData>
    <row r="11" spans="7:14" x14ac:dyDescent="0.2">
      <c r="M11" s="680" t="s">
        <v>732</v>
      </c>
      <c r="N11" s="680"/>
    </row>
    <row r="12" spans="7:14" ht="38.25" x14ac:dyDescent="0.2">
      <c r="G12" s="71"/>
      <c r="H12" s="206" t="s">
        <v>731</v>
      </c>
      <c r="I12" s="207" t="s">
        <v>738</v>
      </c>
      <c r="J12" s="206" t="s">
        <v>732</v>
      </c>
      <c r="K12" s="213" t="s">
        <v>740</v>
      </c>
      <c r="L12" s="217" t="s">
        <v>741</v>
      </c>
      <c r="M12" s="207" t="s">
        <v>751</v>
      </c>
      <c r="N12" s="216" t="s">
        <v>752</v>
      </c>
    </row>
    <row r="13" spans="7:14" x14ac:dyDescent="0.2">
      <c r="G13" s="71" t="s">
        <v>730</v>
      </c>
      <c r="H13" s="208">
        <v>5432</v>
      </c>
      <c r="I13" s="208">
        <v>1109</v>
      </c>
      <c r="J13" s="208">
        <v>3823</v>
      </c>
      <c r="K13" s="212">
        <f>H13/$H$19*$K$19-0.1</f>
        <v>271.5</v>
      </c>
      <c r="L13" s="218">
        <f>K13</f>
        <v>271.5</v>
      </c>
      <c r="M13" s="71">
        <v>4932</v>
      </c>
      <c r="N13" s="71">
        <f>'НМЦК (с разбивкой по объектам)'!E28</f>
        <v>4115</v>
      </c>
    </row>
    <row r="14" spans="7:14" x14ac:dyDescent="0.2">
      <c r="G14" s="71" t="s">
        <v>733</v>
      </c>
      <c r="H14" s="208">
        <v>989</v>
      </c>
      <c r="I14" s="208">
        <v>323</v>
      </c>
      <c r="J14" s="208">
        <v>588</v>
      </c>
      <c r="K14" s="212">
        <f t="shared" ref="K14:K18" si="0">H14/$H$19*$K$19</f>
        <v>49.5</v>
      </c>
      <c r="L14" s="218">
        <f t="shared" ref="L14:L18" si="1">K14</f>
        <v>49.5</v>
      </c>
      <c r="M14" s="71">
        <v>911</v>
      </c>
      <c r="N14" s="71">
        <f>'НМЦК (с разбивкой по объектам)'!E141</f>
        <v>863</v>
      </c>
    </row>
    <row r="15" spans="7:14" x14ac:dyDescent="0.2">
      <c r="G15" s="71" t="s">
        <v>734</v>
      </c>
      <c r="H15" s="208">
        <v>2476</v>
      </c>
      <c r="I15" s="208">
        <v>323</v>
      </c>
      <c r="J15" s="208">
        <v>2053</v>
      </c>
      <c r="K15" s="212">
        <f t="shared" si="0"/>
        <v>123.8</v>
      </c>
      <c r="L15" s="218">
        <f t="shared" si="1"/>
        <v>123.8</v>
      </c>
      <c r="M15" s="71">
        <v>2376</v>
      </c>
      <c r="N15" s="71">
        <f>'НМЦК (с разбивкой по объектам)'!E149</f>
        <v>2250.9</v>
      </c>
    </row>
    <row r="16" spans="7:14" x14ac:dyDescent="0.2">
      <c r="G16" s="71" t="s">
        <v>735</v>
      </c>
      <c r="H16" s="208">
        <v>3310</v>
      </c>
      <c r="I16" s="208">
        <v>323</v>
      </c>
      <c r="J16" s="208">
        <v>2847</v>
      </c>
      <c r="K16" s="212">
        <f t="shared" si="0"/>
        <v>165.5</v>
      </c>
      <c r="L16" s="218">
        <f t="shared" si="1"/>
        <v>165.5</v>
      </c>
      <c r="M16" s="71">
        <v>3196</v>
      </c>
      <c r="N16" s="71">
        <f>'НМЦК (с разбивкой по объектам)'!E157</f>
        <v>3027.7</v>
      </c>
    </row>
    <row r="17" spans="7:19" x14ac:dyDescent="0.2">
      <c r="G17" s="71" t="s">
        <v>736</v>
      </c>
      <c r="H17" s="208">
        <v>2315</v>
      </c>
      <c r="I17" s="208">
        <v>323</v>
      </c>
      <c r="J17" s="208">
        <v>1894</v>
      </c>
      <c r="K17" s="212">
        <f t="shared" si="0"/>
        <v>115.8</v>
      </c>
      <c r="L17" s="218">
        <f t="shared" si="1"/>
        <v>115.8</v>
      </c>
      <c r="M17" s="71">
        <v>2203</v>
      </c>
      <c r="N17" s="71">
        <f>'НМЦК (с разбивкой по объектам)'!E165</f>
        <v>2087</v>
      </c>
    </row>
    <row r="18" spans="7:19" x14ac:dyDescent="0.2">
      <c r="G18" s="71" t="s">
        <v>737</v>
      </c>
      <c r="H18" s="208">
        <v>8100</v>
      </c>
      <c r="I18" s="208">
        <v>7656</v>
      </c>
      <c r="J18" s="208"/>
      <c r="K18" s="212">
        <f t="shared" si="0"/>
        <v>405</v>
      </c>
      <c r="L18" s="218">
        <f t="shared" si="1"/>
        <v>405</v>
      </c>
      <c r="M18" s="71">
        <v>7600</v>
      </c>
      <c r="N18" s="71">
        <f>'НМЦК (с разбивкой по объектам)'!E492</f>
        <v>6422.4</v>
      </c>
    </row>
    <row r="19" spans="7:19" x14ac:dyDescent="0.2">
      <c r="G19" s="209" t="s">
        <v>739</v>
      </c>
      <c r="H19" s="210">
        <f>SUM(H13:H18)</f>
        <v>22622</v>
      </c>
      <c r="I19" s="210">
        <f t="shared" ref="I19:J19" si="2">SUM(I13:I18)</f>
        <v>10057</v>
      </c>
      <c r="J19" s="210">
        <f t="shared" si="2"/>
        <v>11205</v>
      </c>
      <c r="K19" s="211">
        <f>1131.1</f>
        <v>1131.0999999999999</v>
      </c>
      <c r="L19" s="219">
        <f>SUM(L13:L18)</f>
        <v>1131.0999999999999</v>
      </c>
      <c r="M19" s="71">
        <f>SUM(M13:M18)</f>
        <v>21218</v>
      </c>
      <c r="N19" s="71">
        <f>SUM(N13:N18)</f>
        <v>18766</v>
      </c>
    </row>
    <row r="20" spans="7:19" x14ac:dyDescent="0.2">
      <c r="K20" t="s">
        <v>742</v>
      </c>
      <c r="L20" t="s">
        <v>742</v>
      </c>
    </row>
    <row r="24" spans="7:19" ht="25.5" x14ac:dyDescent="0.2">
      <c r="N24" t="s">
        <v>767</v>
      </c>
      <c r="O24" t="s">
        <v>768</v>
      </c>
      <c r="P24" s="82" t="s">
        <v>769</v>
      </c>
      <c r="Q24" t="s">
        <v>770</v>
      </c>
      <c r="R24" t="s">
        <v>771</v>
      </c>
    </row>
    <row r="25" spans="7:19" x14ac:dyDescent="0.2">
      <c r="L25" s="221">
        <f>9203082*(1.023*1.005-2.3%*15%)*6.99</f>
        <v>65916231</v>
      </c>
      <c r="N25">
        <f>5702140*(1.023*1.005-2.3%*15%)*6.99</f>
        <v>40841055.148869</v>
      </c>
      <c r="O25">
        <f>4511030*(1.023*1.005-2.3%*15%)*6.99</f>
        <v>32309838.9391005</v>
      </c>
      <c r="P25" s="221">
        <f>(370936+320904)*(1.023*1.005-2.3%*15%)*6.99</f>
        <v>4955241</v>
      </c>
      <c r="Q25" s="221">
        <f>(139109+18545)*(1.023*1.005-2.3%*15%)*6.99</f>
        <v>1129182</v>
      </c>
      <c r="R25" s="221">
        <f>(39510)*(1.023*1.005-2.3%*15%)*6.99</f>
        <v>282987</v>
      </c>
      <c r="S25" s="221">
        <f>(60641+30320+211146)*(1.023*1.005-2.3%*15%)*6.99</f>
        <v>2163814</v>
      </c>
    </row>
    <row r="28" spans="7:19" x14ac:dyDescent="0.2">
      <c r="N28">
        <v>38542617</v>
      </c>
    </row>
    <row r="29" spans="7:19" x14ac:dyDescent="0.2">
      <c r="L29">
        <v>65916253</v>
      </c>
      <c r="N29">
        <f>N25-N28</f>
        <v>2298438.1488689999</v>
      </c>
    </row>
    <row r="31" spans="7:19" x14ac:dyDescent="0.2">
      <c r="L31" s="221">
        <f>L25-L29</f>
        <v>-22</v>
      </c>
    </row>
    <row r="34" spans="12:12" x14ac:dyDescent="0.2">
      <c r="L34" s="221">
        <f>(69849+101)*(1.023*1.005-2.3%*15%)*6.99+83874*4.09</f>
        <v>844055</v>
      </c>
    </row>
  </sheetData>
  <mergeCells count="1">
    <mergeCell ref="M11:N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</sheetPr>
  <dimension ref="A1:Q774"/>
  <sheetViews>
    <sheetView view="pageBreakPreview" topLeftCell="A34" zoomScaleNormal="100" zoomScaleSheetLayoutView="100" workbookViewId="0">
      <selection activeCell="F45" sqref="F45:F48"/>
    </sheetView>
  </sheetViews>
  <sheetFormatPr defaultRowHeight="12.75" outlineLevelRow="3" x14ac:dyDescent="0.2"/>
  <cols>
    <col min="1" max="1" width="11.28515625" style="37" bestFit="1" customWidth="1"/>
    <col min="2" max="2" width="21.85546875" customWidth="1"/>
    <col min="3" max="3" width="54.42578125" customWidth="1"/>
    <col min="4" max="4" width="19" customWidth="1"/>
    <col min="5" max="5" width="14.85546875" style="105" customWidth="1"/>
    <col min="6" max="6" width="18" style="105" customWidth="1"/>
    <col min="7" max="7" width="14.85546875" style="105" customWidth="1"/>
    <col min="8" max="8" width="19.7109375" customWidth="1"/>
    <col min="9" max="9" width="14.85546875" style="105" customWidth="1"/>
    <col min="10" max="11" width="19.7109375" customWidth="1"/>
    <col min="12" max="12" width="38.7109375" customWidth="1"/>
    <col min="13" max="13" width="15" customWidth="1"/>
    <col min="14" max="14" width="9.140625" customWidth="1"/>
    <col min="15" max="15" width="14" customWidth="1"/>
    <col min="16" max="16" width="14.85546875" customWidth="1"/>
    <col min="17" max="17" width="12.85546875" customWidth="1"/>
  </cols>
  <sheetData>
    <row r="1" spans="1:17" ht="29.25" customHeight="1" x14ac:dyDescent="0.2">
      <c r="A1" s="622" t="s">
        <v>537</v>
      </c>
      <c r="B1" s="622"/>
      <c r="C1" s="622"/>
      <c r="D1" s="622"/>
      <c r="E1" s="622"/>
      <c r="F1" s="622"/>
      <c r="G1" s="622"/>
      <c r="H1" s="622"/>
      <c r="I1"/>
    </row>
    <row r="2" spans="1:17" ht="29.25" customHeight="1" x14ac:dyDescent="0.2">
      <c r="A2" s="214"/>
      <c r="B2" s="214"/>
      <c r="C2" s="214"/>
      <c r="D2" s="113"/>
      <c r="E2" s="214"/>
      <c r="F2" s="113"/>
      <c r="G2" s="214"/>
      <c r="H2" s="214"/>
      <c r="I2" s="214"/>
      <c r="J2" s="214"/>
      <c r="K2" s="214"/>
    </row>
    <row r="3" spans="1:17" ht="29.25" customHeight="1" x14ac:dyDescent="0.2">
      <c r="A3" s="114" t="s">
        <v>538</v>
      </c>
      <c r="B3" s="623" t="s">
        <v>536</v>
      </c>
      <c r="C3" s="632"/>
      <c r="D3" s="632"/>
      <c r="E3" s="632"/>
      <c r="F3" s="632"/>
      <c r="G3" s="632"/>
      <c r="H3" s="632"/>
      <c r="I3"/>
    </row>
    <row r="4" spans="1:17" ht="29.25" customHeight="1" x14ac:dyDescent="0.25">
      <c r="A4" s="115" t="s">
        <v>540</v>
      </c>
      <c r="B4" s="115" t="s">
        <v>541</v>
      </c>
      <c r="C4" s="115"/>
      <c r="D4" s="116"/>
      <c r="E4" s="115"/>
      <c r="F4" s="116"/>
      <c r="G4" s="115"/>
      <c r="H4" s="117"/>
      <c r="I4" s="115"/>
      <c r="J4" s="117"/>
      <c r="K4" s="117"/>
    </row>
    <row r="5" spans="1:17" ht="29.25" customHeight="1" x14ac:dyDescent="0.25">
      <c r="A5" s="118" t="s">
        <v>542</v>
      </c>
      <c r="B5" s="83"/>
      <c r="C5" s="83"/>
      <c r="D5" s="84"/>
      <c r="E5" s="83"/>
      <c r="F5" s="84"/>
      <c r="G5" s="83"/>
      <c r="H5" s="117"/>
      <c r="I5" s="83"/>
      <c r="J5" s="117"/>
      <c r="K5" s="117"/>
    </row>
    <row r="6" spans="1:17" ht="29.25" customHeight="1" x14ac:dyDescent="0.2">
      <c r="A6" s="119" t="s">
        <v>543</v>
      </c>
      <c r="B6" s="119"/>
      <c r="C6" s="120"/>
      <c r="D6" s="120"/>
      <c r="E6" s="120"/>
      <c r="F6" s="120"/>
      <c r="G6" s="121"/>
      <c r="H6" s="121"/>
      <c r="I6" s="121"/>
      <c r="J6" s="121"/>
      <c r="K6" s="121"/>
    </row>
    <row r="7" spans="1:17" ht="29.25" customHeight="1" x14ac:dyDescent="0.2">
      <c r="A7" s="624" t="s">
        <v>2221</v>
      </c>
      <c r="B7" s="624"/>
      <c r="C7" s="624"/>
      <c r="D7" s="624"/>
      <c r="E7" s="624"/>
      <c r="F7" s="624"/>
      <c r="G7" s="624"/>
      <c r="H7" s="624"/>
      <c r="I7"/>
    </row>
    <row r="8" spans="1:17" ht="29.25" customHeight="1" x14ac:dyDescent="0.2">
      <c r="A8" s="624" t="s">
        <v>2220</v>
      </c>
      <c r="B8" s="624"/>
      <c r="C8" s="624"/>
      <c r="D8" s="624"/>
      <c r="E8" s="624"/>
      <c r="F8" s="624"/>
      <c r="G8" s="624"/>
      <c r="H8" s="624"/>
      <c r="I8"/>
    </row>
    <row r="9" spans="1:17" ht="29.25" customHeight="1" x14ac:dyDescent="0.25">
      <c r="A9" s="83"/>
      <c r="B9" s="83"/>
      <c r="C9" s="83"/>
      <c r="D9" s="84"/>
      <c r="E9" s="83"/>
      <c r="G9" s="83"/>
      <c r="I9" s="83"/>
      <c r="K9" t="s">
        <v>546</v>
      </c>
    </row>
    <row r="10" spans="1:17" ht="184.9" customHeight="1" x14ac:dyDescent="0.2">
      <c r="A10" s="85" t="s">
        <v>1</v>
      </c>
      <c r="B10" s="85" t="s">
        <v>285</v>
      </c>
      <c r="C10" s="86" t="s">
        <v>286</v>
      </c>
      <c r="D10" s="86" t="s">
        <v>287</v>
      </c>
      <c r="E10" s="86" t="s">
        <v>288</v>
      </c>
      <c r="F10" s="86" t="s">
        <v>547</v>
      </c>
      <c r="G10" s="86" t="s">
        <v>548</v>
      </c>
      <c r="H10" s="86" t="s">
        <v>2358</v>
      </c>
      <c r="I10" s="86" t="s">
        <v>550</v>
      </c>
      <c r="J10" s="86" t="s">
        <v>551</v>
      </c>
      <c r="K10" s="86" t="s">
        <v>552</v>
      </c>
      <c r="L10" s="86" t="s">
        <v>289</v>
      </c>
      <c r="M10" s="86" t="s">
        <v>290</v>
      </c>
      <c r="N10" s="86" t="s">
        <v>291</v>
      </c>
      <c r="O10" s="123" t="s">
        <v>553</v>
      </c>
      <c r="P10" s="123" t="s">
        <v>554</v>
      </c>
      <c r="Q10" s="123" t="s">
        <v>555</v>
      </c>
    </row>
    <row r="11" spans="1:17" ht="15.75" x14ac:dyDescent="0.2">
      <c r="A11" s="85">
        <v>1</v>
      </c>
      <c r="B11" s="85">
        <v>2</v>
      </c>
      <c r="C11" s="85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6"/>
      <c r="M11" s="86"/>
      <c r="N11" s="86"/>
      <c r="O11" s="124"/>
      <c r="P11" s="124"/>
      <c r="Q11" s="124"/>
    </row>
    <row r="12" spans="1:17" s="131" customFormat="1" ht="22.15" customHeight="1" x14ac:dyDescent="0.2">
      <c r="A12" s="88">
        <v>1</v>
      </c>
      <c r="B12" s="88"/>
      <c r="C12" s="89" t="s">
        <v>81</v>
      </c>
      <c r="D12" s="125" t="s">
        <v>292</v>
      </c>
      <c r="E12" s="126">
        <v>1</v>
      </c>
      <c r="F12" s="126">
        <f>F13+F14</f>
        <v>22702097</v>
      </c>
      <c r="G12" s="127">
        <f>$G$766</f>
        <v>1.139</v>
      </c>
      <c r="H12" s="128">
        <f>H13+H14</f>
        <v>25857688</v>
      </c>
      <c r="I12" s="127">
        <f>Дефляторы!$D$19</f>
        <v>1.016</v>
      </c>
      <c r="J12" s="128">
        <f>J13+J14</f>
        <v>26271411</v>
      </c>
      <c r="K12" s="128">
        <f>K13+K14</f>
        <v>26147294</v>
      </c>
      <c r="L12" s="129"/>
      <c r="M12" s="129"/>
      <c r="N12" s="129"/>
      <c r="O12" s="130">
        <v>44166</v>
      </c>
      <c r="P12" s="130">
        <v>44256</v>
      </c>
      <c r="Q12" s="131">
        <f>P12-O12</f>
        <v>90</v>
      </c>
    </row>
    <row r="13" spans="1:17" s="138" customFormat="1" ht="34.5" customHeight="1" outlineLevel="1" x14ac:dyDescent="0.2">
      <c r="A13" s="132" t="s">
        <v>293</v>
      </c>
      <c r="B13" s="132" t="s">
        <v>706</v>
      </c>
      <c r="C13" s="133" t="s">
        <v>294</v>
      </c>
      <c r="D13" s="134" t="s">
        <v>292</v>
      </c>
      <c r="E13" s="90">
        <v>1</v>
      </c>
      <c r="F13" s="90">
        <f>'Затраты подрядчика'!O118</f>
        <v>22256958</v>
      </c>
      <c r="G13" s="135">
        <f>$G$766</f>
        <v>1.139</v>
      </c>
      <c r="H13" s="136">
        <f>F13*G13</f>
        <v>25350675</v>
      </c>
      <c r="I13" s="135">
        <f>Дефляторы!$D$19</f>
        <v>1.016</v>
      </c>
      <c r="J13" s="136">
        <f>H13*I13</f>
        <v>25756286</v>
      </c>
      <c r="K13" s="136">
        <f>H13+(J13-H13)*(1-30/100)</f>
        <v>25634603</v>
      </c>
      <c r="L13" s="137"/>
      <c r="M13" s="137"/>
      <c r="N13" s="137"/>
    </row>
    <row r="14" spans="1:17" s="138" customFormat="1" ht="15.75" outlineLevel="1" x14ac:dyDescent="0.2">
      <c r="A14" s="132" t="s">
        <v>295</v>
      </c>
      <c r="B14" s="139"/>
      <c r="C14" s="133" t="s">
        <v>556</v>
      </c>
      <c r="D14" s="134" t="s">
        <v>292</v>
      </c>
      <c r="E14" s="90">
        <v>1</v>
      </c>
      <c r="F14" s="90">
        <f>F13*2%</f>
        <v>445139</v>
      </c>
      <c r="G14" s="135">
        <f>$G$766</f>
        <v>1.139</v>
      </c>
      <c r="H14" s="136">
        <f>F14*G14</f>
        <v>507013</v>
      </c>
      <c r="I14" s="135">
        <f>Дефляторы!$D$19</f>
        <v>1.016</v>
      </c>
      <c r="J14" s="136">
        <f>H14*I14</f>
        <v>515125</v>
      </c>
      <c r="K14" s="136">
        <f>H14+(J14-H14)*(1-30/100)</f>
        <v>512691</v>
      </c>
      <c r="L14" s="137"/>
      <c r="M14" s="137"/>
      <c r="N14" s="137"/>
    </row>
    <row r="15" spans="1:17" s="131" customFormat="1" ht="32.450000000000003" customHeight="1" x14ac:dyDescent="0.2">
      <c r="A15" s="92" t="s">
        <v>296</v>
      </c>
      <c r="B15" s="92"/>
      <c r="C15" s="89" t="s">
        <v>297</v>
      </c>
      <c r="D15" s="125" t="s">
        <v>292</v>
      </c>
      <c r="E15" s="126">
        <v>1</v>
      </c>
      <c r="F15" s="126">
        <f>F16+F19+F161+F427+F489+F504+F544+F559+F573+F574+F670+F713+F733+F734+F735+F739+F740+F741</f>
        <v>1529057104</v>
      </c>
      <c r="G15" s="127"/>
      <c r="H15" s="126">
        <f>H16+H19+H161+H427+H489+H504+H544+H559+H573+H574+H670+H713+H733+H734+H735+H739+H740+H741</f>
        <v>1740184210</v>
      </c>
      <c r="I15" s="350"/>
      <c r="J15" s="126">
        <f>J16+J19+J161+J427+J489+J504+J544+J559+J573+J574+J670+J713+J733+J734+J735+J739+J740+J741</f>
        <v>1830079525</v>
      </c>
      <c r="K15" s="126">
        <f>K16+K19+K161+K427+K489+K504+K544+K559+K573+K574+K670+K713+K733+K734+K735+K739+K740+K741</f>
        <v>1803110966</v>
      </c>
      <c r="L15" s="129"/>
      <c r="M15" s="129"/>
      <c r="N15" s="129"/>
    </row>
    <row r="16" spans="1:17" s="138" customFormat="1" ht="15.75" customHeight="1" outlineLevel="1" x14ac:dyDescent="0.2">
      <c r="A16" s="141" t="s">
        <v>298</v>
      </c>
      <c r="B16" s="141"/>
      <c r="C16" s="142" t="s">
        <v>557</v>
      </c>
      <c r="D16" s="134" t="s">
        <v>292</v>
      </c>
      <c r="E16" s="90">
        <v>1</v>
      </c>
      <c r="F16" s="90">
        <f>F17+F18</f>
        <v>69403</v>
      </c>
      <c r="G16" s="135">
        <f>$G$766</f>
        <v>1.139</v>
      </c>
      <c r="H16" s="136">
        <f>H17+H18</f>
        <v>79050</v>
      </c>
      <c r="I16" s="135">
        <f>Дефляторы!$D$25</f>
        <v>1.052</v>
      </c>
      <c r="J16" s="136">
        <f>J17+J18</f>
        <v>83160</v>
      </c>
      <c r="K16" s="136">
        <f>K17+K18</f>
        <v>81927</v>
      </c>
      <c r="L16" s="137"/>
      <c r="M16" s="137"/>
      <c r="N16" s="137"/>
      <c r="O16" s="353">
        <v>44287</v>
      </c>
      <c r="P16" s="353">
        <v>44348</v>
      </c>
      <c r="Q16" s="138">
        <f>P16-O16</f>
        <v>61</v>
      </c>
    </row>
    <row r="17" spans="1:15" s="148" customFormat="1" ht="33.75" customHeight="1" outlineLevel="2" x14ac:dyDescent="0.2">
      <c r="A17" s="95" t="s">
        <v>558</v>
      </c>
      <c r="B17" s="42" t="s">
        <v>19</v>
      </c>
      <c r="C17" s="202" t="str">
        <f>'Затраты подрядчика'!C29</f>
        <v>Затраты на проведение биологических мероприятий по рекультивации</v>
      </c>
      <c r="D17" s="143" t="s">
        <v>404</v>
      </c>
      <c r="E17" s="144">
        <v>246</v>
      </c>
      <c r="F17" s="144">
        <f>'Затраты подрядчика'!P29</f>
        <v>49492</v>
      </c>
      <c r="G17" s="145">
        <f>$G$766</f>
        <v>1.139</v>
      </c>
      <c r="H17" s="146">
        <f>F17*G17</f>
        <v>56371</v>
      </c>
      <c r="I17" s="145">
        <f>Дефляторы!$D$25</f>
        <v>1.052</v>
      </c>
      <c r="J17" s="146">
        <f t="shared" ref="J17:J18" si="0">H17*I17</f>
        <v>59302</v>
      </c>
      <c r="K17" s="146">
        <f>H17+(J17-H17)*(1-30/100)</f>
        <v>58423</v>
      </c>
      <c r="L17" s="147"/>
      <c r="M17" s="147"/>
      <c r="N17" s="147"/>
    </row>
    <row r="18" spans="1:15" s="148" customFormat="1" ht="15.75" outlineLevel="2" x14ac:dyDescent="0.2">
      <c r="A18" s="95" t="s">
        <v>299</v>
      </c>
      <c r="B18" s="42" t="s">
        <v>21</v>
      </c>
      <c r="C18" s="42" t="s">
        <v>22</v>
      </c>
      <c r="D18" s="100" t="s">
        <v>404</v>
      </c>
      <c r="E18" s="149">
        <v>492</v>
      </c>
      <c r="F18" s="149">
        <f>'Затраты подрядчика'!P30</f>
        <v>19911</v>
      </c>
      <c r="G18" s="145">
        <f>$G$766</f>
        <v>1.139</v>
      </c>
      <c r="H18" s="146">
        <f>F18*G18</f>
        <v>22679</v>
      </c>
      <c r="I18" s="145">
        <f>Дефляторы!$D$25</f>
        <v>1.052</v>
      </c>
      <c r="J18" s="146">
        <f t="shared" si="0"/>
        <v>23858</v>
      </c>
      <c r="K18" s="146">
        <f>H18+(J18-H18)*(1-30/100)</f>
        <v>23504</v>
      </c>
      <c r="L18" s="147"/>
      <c r="M18" s="147"/>
      <c r="N18" s="147"/>
    </row>
    <row r="19" spans="1:15" s="237" customFormat="1" ht="15.75" outlineLevel="1" x14ac:dyDescent="0.2">
      <c r="A19" s="244" t="s">
        <v>301</v>
      </c>
      <c r="B19" s="245" t="s">
        <v>27</v>
      </c>
      <c r="C19" s="245" t="s">
        <v>28</v>
      </c>
      <c r="D19" s="246" t="s">
        <v>292</v>
      </c>
      <c r="E19" s="247">
        <v>1</v>
      </c>
      <c r="F19" s="247">
        <f>F20+F49+F99+F111+F117+F124+F129+F139+F160</f>
        <v>209953785</v>
      </c>
      <c r="G19" s="248"/>
      <c r="H19" s="247">
        <f>H20+H49+H99+H111+H117+H124+H129+H139+H160</f>
        <v>239137359</v>
      </c>
      <c r="I19" s="351"/>
      <c r="J19" s="247">
        <f>J20+J49+J99+J111+J117+J124+J129+J139+J160</f>
        <v>251572503</v>
      </c>
      <c r="K19" s="247">
        <f>K20+K49+K99+K111+K117+K124+K129+K139+K160</f>
        <v>247841963</v>
      </c>
      <c r="L19" s="256"/>
      <c r="M19" s="256"/>
      <c r="N19" s="256"/>
    </row>
    <row r="20" spans="1:15" s="237" customFormat="1" ht="15.75" outlineLevel="2" x14ac:dyDescent="0.2">
      <c r="A20" s="238" t="s">
        <v>302</v>
      </c>
      <c r="B20" s="229" t="s">
        <v>140</v>
      </c>
      <c r="C20" s="229" t="s">
        <v>1804</v>
      </c>
      <c r="D20" s="239" t="s">
        <v>292</v>
      </c>
      <c r="E20" s="240">
        <v>1</v>
      </c>
      <c r="F20" s="240">
        <f>SUM(F21:F48)</f>
        <v>8097318</v>
      </c>
      <c r="G20" s="241"/>
      <c r="H20" s="240">
        <f>SUM(H21:H48)</f>
        <v>9222843</v>
      </c>
      <c r="I20" s="352"/>
      <c r="J20" s="240">
        <f>SUM(J21:J48)</f>
        <v>9702430</v>
      </c>
      <c r="K20" s="240">
        <f>SUM(K21:K48)</f>
        <v>9558555</v>
      </c>
      <c r="L20" s="256"/>
      <c r="M20" s="256"/>
      <c r="N20" s="256"/>
    </row>
    <row r="21" spans="1:15" s="131" customFormat="1" ht="25.5" outlineLevel="3" x14ac:dyDescent="0.2">
      <c r="A21" s="95" t="s">
        <v>303</v>
      </c>
      <c r="B21" s="42" t="s">
        <v>304</v>
      </c>
      <c r="C21" s="42" t="s">
        <v>707</v>
      </c>
      <c r="D21" s="143" t="s">
        <v>408</v>
      </c>
      <c r="E21" s="149">
        <v>1</v>
      </c>
      <c r="F21" s="149">
        <f>105070*(1.023*1.005-2.3%*15%)*6.99</f>
        <v>752554</v>
      </c>
      <c r="G21" s="145">
        <f>$G$766</f>
        <v>1.139</v>
      </c>
      <c r="H21" s="146">
        <f>F21*G21</f>
        <v>857159</v>
      </c>
      <c r="I21" s="145">
        <f>Дефляторы!$D$25</f>
        <v>1.052</v>
      </c>
      <c r="J21" s="146">
        <f>H21*I21</f>
        <v>901731</v>
      </c>
      <c r="K21" s="146">
        <f>H21+(J21-H21)*(1-30/100)</f>
        <v>888359</v>
      </c>
      <c r="L21" s="129"/>
      <c r="M21" s="126">
        <v>12794</v>
      </c>
      <c r="N21" s="129"/>
    </row>
    <row r="22" spans="1:15" s="148" customFormat="1" ht="79.5" customHeight="1" outlineLevel="3" x14ac:dyDescent="0.2">
      <c r="A22" s="95" t="s">
        <v>306</v>
      </c>
      <c r="B22" s="42" t="s">
        <v>307</v>
      </c>
      <c r="C22" s="42" t="s">
        <v>708</v>
      </c>
      <c r="D22" s="100" t="s">
        <v>305</v>
      </c>
      <c r="E22" s="149">
        <v>28</v>
      </c>
      <c r="F22" s="149">
        <f>97608*(1.023*1.005-2.3%*15%)*6.99+0*4.09</f>
        <v>699108</v>
      </c>
      <c r="G22" s="145">
        <f>$G$766</f>
        <v>1.139</v>
      </c>
      <c r="H22" s="146">
        <f>F22*G22</f>
        <v>796284</v>
      </c>
      <c r="I22" s="145">
        <f>Дефляторы!$D$25</f>
        <v>1.052</v>
      </c>
      <c r="J22" s="146">
        <f>H22*I22</f>
        <v>837691</v>
      </c>
      <c r="K22" s="146">
        <f>H22+(J22-H22)*(1-30/100)</f>
        <v>825269</v>
      </c>
      <c r="L22" s="204" t="s">
        <v>709</v>
      </c>
      <c r="M22" s="168">
        <v>823.2</v>
      </c>
      <c r="N22" s="147">
        <f>E22*M22</f>
        <v>23049.599999999999</v>
      </c>
      <c r="O22" s="205">
        <f>(97608-51003)*(1.023*1.005-2.3%*15%)*6.99*1.2</f>
        <v>400565</v>
      </c>
    </row>
    <row r="23" spans="1:15" s="148" customFormat="1" ht="69.75" customHeight="1" outlineLevel="3" x14ac:dyDescent="0.2">
      <c r="A23" s="95" t="s">
        <v>308</v>
      </c>
      <c r="B23" s="42" t="s">
        <v>311</v>
      </c>
      <c r="C23" s="42" t="s">
        <v>309</v>
      </c>
      <c r="D23" s="100" t="s">
        <v>305</v>
      </c>
      <c r="E23" s="149">
        <v>1</v>
      </c>
      <c r="F23" s="149">
        <f>1815*(1.023*1.005-2.3%*15%)*6.99+0*4.09</f>
        <v>13000</v>
      </c>
      <c r="G23" s="145">
        <f>$G$766</f>
        <v>1.139</v>
      </c>
      <c r="H23" s="146">
        <f>F23*G23</f>
        <v>14807</v>
      </c>
      <c r="I23" s="145">
        <f>Дефляторы!$D$25</f>
        <v>1.052</v>
      </c>
      <c r="J23" s="146">
        <f>H23*I23</f>
        <v>15577</v>
      </c>
      <c r="K23" s="146">
        <f>H23+(J23-H23)*(1-30/100)</f>
        <v>15346</v>
      </c>
      <c r="L23" s="203" t="s">
        <v>710</v>
      </c>
      <c r="M23" s="168">
        <v>475.5</v>
      </c>
      <c r="N23" s="147">
        <f>E23*M23</f>
        <v>475.5</v>
      </c>
      <c r="O23" s="205">
        <f>(1815-1542)*(1.023*1.005-2.3%*15%)*6.99*1.2</f>
        <v>2346</v>
      </c>
    </row>
    <row r="24" spans="1:15" s="237" customFormat="1" ht="15.75" outlineLevel="3" x14ac:dyDescent="0.2">
      <c r="A24" s="238"/>
      <c r="B24" s="229"/>
      <c r="C24" s="157" t="s">
        <v>614</v>
      </c>
      <c r="D24" s="239"/>
      <c r="E24" s="240"/>
      <c r="F24" s="240"/>
      <c r="G24" s="241"/>
      <c r="H24" s="242"/>
      <c r="I24" s="241">
        <f>Дефляторы!$D$25</f>
        <v>1.052</v>
      </c>
      <c r="J24" s="242"/>
      <c r="K24" s="242"/>
      <c r="L24" s="256"/>
      <c r="M24" s="256"/>
      <c r="N24" s="256"/>
    </row>
    <row r="25" spans="1:15" s="148" customFormat="1" ht="102" customHeight="1" outlineLevel="3" x14ac:dyDescent="0.2">
      <c r="A25" s="95" t="s">
        <v>310</v>
      </c>
      <c r="B25" s="42" t="s">
        <v>316</v>
      </c>
      <c r="C25" s="42" t="s">
        <v>312</v>
      </c>
      <c r="D25" s="100" t="s">
        <v>305</v>
      </c>
      <c r="E25" s="149">
        <v>1</v>
      </c>
      <c r="F25" s="149">
        <f>197776*(1.023*1.005-2.3%*15%)*6.99-17</f>
        <v>1416535</v>
      </c>
      <c r="G25" s="145">
        <f>$G$766</f>
        <v>1.139</v>
      </c>
      <c r="H25" s="146">
        <f>F25*G25</f>
        <v>1613433</v>
      </c>
      <c r="I25" s="145">
        <f>Дефляторы!$D$25</f>
        <v>1.052</v>
      </c>
      <c r="J25" s="146">
        <f t="shared" ref="J25:J34" si="1">H25*I25</f>
        <v>1697332</v>
      </c>
      <c r="K25" s="146">
        <f t="shared" ref="K25:K34" si="2">H25+(J25-H25)*(1-30/100)</f>
        <v>1672162</v>
      </c>
      <c r="L25" s="172" t="s">
        <v>711</v>
      </c>
      <c r="M25" s="149">
        <v>30000</v>
      </c>
      <c r="N25" s="147">
        <f>E25*M25</f>
        <v>30000</v>
      </c>
      <c r="O25" s="205">
        <f>(197776-158923)*(1.023*1.005-2.3%*15%)*6.99</f>
        <v>278281</v>
      </c>
    </row>
    <row r="26" spans="1:15" s="148" customFormat="1" ht="51" outlineLevel="3" x14ac:dyDescent="0.2">
      <c r="A26" s="95"/>
      <c r="B26" s="42"/>
      <c r="C26" s="42" t="s">
        <v>313</v>
      </c>
      <c r="D26" s="100"/>
      <c r="E26" s="149"/>
      <c r="F26" s="149"/>
      <c r="G26" s="145"/>
      <c r="H26" s="146"/>
      <c r="I26" s="145">
        <f>Дефляторы!$D$25</f>
        <v>1.052</v>
      </c>
      <c r="J26" s="146">
        <f t="shared" si="1"/>
        <v>0</v>
      </c>
      <c r="K26" s="146">
        <f t="shared" si="2"/>
        <v>0</v>
      </c>
      <c r="L26" s="172" t="s">
        <v>314</v>
      </c>
      <c r="M26" s="149">
        <f>9671</f>
        <v>9671</v>
      </c>
      <c r="N26" s="147"/>
    </row>
    <row r="27" spans="1:15" s="148" customFormat="1" ht="30.75" customHeight="1" outlineLevel="3" x14ac:dyDescent="0.2">
      <c r="A27" s="95" t="s">
        <v>315</v>
      </c>
      <c r="B27" s="42" t="s">
        <v>326</v>
      </c>
      <c r="C27" s="42" t="s">
        <v>317</v>
      </c>
      <c r="D27" s="100" t="s">
        <v>305</v>
      </c>
      <c r="E27" s="149">
        <v>1</v>
      </c>
      <c r="F27" s="149">
        <f>M27/SUM($M$27:$M$30)*126361*(1.023*1.005-2.3%*15%)*6.99</f>
        <v>259764</v>
      </c>
      <c r="G27" s="145">
        <f>$G$766</f>
        <v>1.139</v>
      </c>
      <c r="H27" s="146">
        <f>F27*G27</f>
        <v>295871</v>
      </c>
      <c r="I27" s="145">
        <f>Дефляторы!$D$25</f>
        <v>1.052</v>
      </c>
      <c r="J27" s="146">
        <f t="shared" si="1"/>
        <v>311256</v>
      </c>
      <c r="K27" s="146">
        <f t="shared" si="2"/>
        <v>306641</v>
      </c>
      <c r="L27" s="681" t="s">
        <v>712</v>
      </c>
      <c r="M27" s="149">
        <v>7587</v>
      </c>
      <c r="N27" s="147">
        <f>E27*M27</f>
        <v>7587</v>
      </c>
      <c r="O27" s="205">
        <f>(37340-10755)*(1.023*1.005-2.3%*15%)*6.99*1.2</f>
        <v>228495</v>
      </c>
    </row>
    <row r="28" spans="1:15" s="148" customFormat="1" ht="48.75" customHeight="1" outlineLevel="3" x14ac:dyDescent="0.2">
      <c r="A28" s="95" t="s">
        <v>318</v>
      </c>
      <c r="B28" s="42" t="s">
        <v>326</v>
      </c>
      <c r="C28" s="42" t="s">
        <v>319</v>
      </c>
      <c r="D28" s="100" t="s">
        <v>305</v>
      </c>
      <c r="E28" s="149">
        <v>1</v>
      </c>
      <c r="F28" s="149">
        <f>M28/SUM($M$27:$M$30)*126361*(1.023*1.005-2.3%*15%)*6.99</f>
        <v>7669</v>
      </c>
      <c r="G28" s="145">
        <f>$G$766</f>
        <v>1.139</v>
      </c>
      <c r="H28" s="146">
        <f>F28*G28</f>
        <v>8735</v>
      </c>
      <c r="I28" s="145">
        <f>Дефляторы!$D$25</f>
        <v>1.052</v>
      </c>
      <c r="J28" s="146">
        <f t="shared" si="1"/>
        <v>9189</v>
      </c>
      <c r="K28" s="146">
        <f t="shared" si="2"/>
        <v>9053</v>
      </c>
      <c r="L28" s="682"/>
      <c r="M28" s="149">
        <v>224</v>
      </c>
      <c r="N28" s="147">
        <f>E28*M28</f>
        <v>224</v>
      </c>
    </row>
    <row r="29" spans="1:15" s="148" customFormat="1" ht="76.5" outlineLevel="3" x14ac:dyDescent="0.2">
      <c r="A29" s="95" t="s">
        <v>320</v>
      </c>
      <c r="B29" s="42" t="s">
        <v>326</v>
      </c>
      <c r="C29" s="42" t="s">
        <v>321</v>
      </c>
      <c r="D29" s="100" t="s">
        <v>305</v>
      </c>
      <c r="E29" s="149">
        <v>1</v>
      </c>
      <c r="F29" s="149">
        <f>M29/SUM($M$27:$M$30)*126361*(1.023*1.005-2.3%*15%)*6.99</f>
        <v>211694</v>
      </c>
      <c r="G29" s="145">
        <f>$G$766</f>
        <v>1.139</v>
      </c>
      <c r="H29" s="146">
        <f>F29*G29</f>
        <v>241119</v>
      </c>
      <c r="I29" s="145">
        <f>Дефляторы!$D$25</f>
        <v>1.052</v>
      </c>
      <c r="J29" s="146">
        <f t="shared" si="1"/>
        <v>253657</v>
      </c>
      <c r="K29" s="146">
        <f t="shared" si="2"/>
        <v>249896</v>
      </c>
      <c r="L29" s="172" t="s">
        <v>713</v>
      </c>
      <c r="M29" s="149">
        <v>6183</v>
      </c>
      <c r="N29" s="147">
        <f>E29*M29</f>
        <v>6183</v>
      </c>
      <c r="O29" s="205">
        <f>(29556-9449)*(1.023*1.005-2.3%*15%)*6.99*1.2</f>
        <v>172817</v>
      </c>
    </row>
    <row r="30" spans="1:15" s="148" customFormat="1" ht="76.5" outlineLevel="3" x14ac:dyDescent="0.2">
      <c r="A30" s="95" t="s">
        <v>322</v>
      </c>
      <c r="B30" s="42" t="s">
        <v>326</v>
      </c>
      <c r="C30" s="42" t="s">
        <v>323</v>
      </c>
      <c r="D30" s="100" t="s">
        <v>305</v>
      </c>
      <c r="E30" s="149">
        <v>1</v>
      </c>
      <c r="F30" s="149">
        <f>M30/SUM($M$27:$M$30)*126361*(1.023*1.005-2.3%*15%)*6.99</f>
        <v>425922</v>
      </c>
      <c r="G30" s="145">
        <f>$G$766</f>
        <v>1.139</v>
      </c>
      <c r="H30" s="146">
        <f>F30*G30</f>
        <v>485125</v>
      </c>
      <c r="I30" s="145">
        <f>Дефляторы!$D$25</f>
        <v>1.052</v>
      </c>
      <c r="J30" s="146">
        <f t="shared" si="1"/>
        <v>510352</v>
      </c>
      <c r="K30" s="146">
        <f t="shared" si="2"/>
        <v>502784</v>
      </c>
      <c r="L30" s="172" t="s">
        <v>714</v>
      </c>
      <c r="M30" s="149">
        <v>12440</v>
      </c>
      <c r="N30" s="147">
        <f>E30*M30</f>
        <v>12440</v>
      </c>
      <c r="O30" s="205">
        <f>(59468-19945)*(1.023*1.005-2.3%*15%)*6.99*1.2</f>
        <v>339696</v>
      </c>
    </row>
    <row r="31" spans="1:15" s="148" customFormat="1" ht="15.75" outlineLevel="3" x14ac:dyDescent="0.2">
      <c r="A31" s="95"/>
      <c r="B31" s="42"/>
      <c r="C31" s="42" t="s">
        <v>324</v>
      </c>
      <c r="D31" s="100"/>
      <c r="E31" s="149"/>
      <c r="F31" s="149"/>
      <c r="G31" s="145"/>
      <c r="H31" s="146"/>
      <c r="I31" s="145">
        <f>Дефляторы!$D$25</f>
        <v>1.052</v>
      </c>
      <c r="J31" s="146">
        <f t="shared" si="1"/>
        <v>0</v>
      </c>
      <c r="K31" s="146">
        <f t="shared" si="2"/>
        <v>0</v>
      </c>
      <c r="L31" s="147"/>
      <c r="M31" s="149">
        <f>3732</f>
        <v>3732</v>
      </c>
      <c r="N31" s="147"/>
    </row>
    <row r="32" spans="1:15" s="148" customFormat="1" ht="15.75" outlineLevel="3" x14ac:dyDescent="0.2">
      <c r="A32" s="95" t="s">
        <v>325</v>
      </c>
      <c r="B32" s="42" t="s">
        <v>334</v>
      </c>
      <c r="C32" s="42" t="s">
        <v>327</v>
      </c>
      <c r="D32" s="100" t="s">
        <v>305</v>
      </c>
      <c r="E32" s="149">
        <v>2</v>
      </c>
      <c r="F32" s="149">
        <f>N32/SUM($N$32:$N$34)*3278*(1.023*1.005-2.3%*15%)*6.99</f>
        <v>7807</v>
      </c>
      <c r="G32" s="145">
        <f>$G$766</f>
        <v>1.139</v>
      </c>
      <c r="H32" s="146">
        <f>F32*G32</f>
        <v>8892</v>
      </c>
      <c r="I32" s="145">
        <f>Дефляторы!$D$25</f>
        <v>1.052</v>
      </c>
      <c r="J32" s="146">
        <f t="shared" si="1"/>
        <v>9354</v>
      </c>
      <c r="K32" s="146">
        <f t="shared" si="2"/>
        <v>9215</v>
      </c>
      <c r="L32" s="147"/>
      <c r="M32" s="149">
        <v>340</v>
      </c>
      <c r="N32" s="147">
        <f>E32*M32</f>
        <v>680</v>
      </c>
    </row>
    <row r="33" spans="1:15" s="148" customFormat="1" ht="15.75" outlineLevel="3" x14ac:dyDescent="0.2">
      <c r="A33" s="95" t="s">
        <v>328</v>
      </c>
      <c r="B33" s="42" t="s">
        <v>334</v>
      </c>
      <c r="C33" s="42" t="s">
        <v>329</v>
      </c>
      <c r="D33" s="100" t="s">
        <v>305</v>
      </c>
      <c r="E33" s="149">
        <v>1</v>
      </c>
      <c r="F33" s="149">
        <f>N33/SUM($N$32:$N$34)*3278*(1.023*1.005-2.3%*15%)*6.99</f>
        <v>5740</v>
      </c>
      <c r="G33" s="145">
        <f>$G$766</f>
        <v>1.139</v>
      </c>
      <c r="H33" s="146">
        <f>F33*G33</f>
        <v>6538</v>
      </c>
      <c r="I33" s="145">
        <f>Дефляторы!$D$25</f>
        <v>1.052</v>
      </c>
      <c r="J33" s="146">
        <f t="shared" si="1"/>
        <v>6878</v>
      </c>
      <c r="K33" s="146">
        <f t="shared" si="2"/>
        <v>6776</v>
      </c>
      <c r="L33" s="147"/>
      <c r="M33" s="147">
        <v>500</v>
      </c>
      <c r="N33" s="171">
        <f>E33*M33</f>
        <v>500</v>
      </c>
    </row>
    <row r="34" spans="1:15" s="148" customFormat="1" ht="15.75" outlineLevel="3" x14ac:dyDescent="0.2">
      <c r="A34" s="95" t="s">
        <v>330</v>
      </c>
      <c r="B34" s="42" t="s">
        <v>334</v>
      </c>
      <c r="C34" s="42" t="s">
        <v>331</v>
      </c>
      <c r="D34" s="100" t="s">
        <v>305</v>
      </c>
      <c r="E34" s="149">
        <v>1</v>
      </c>
      <c r="F34" s="149">
        <f>N34/SUM($N$32:$N$34)*3278*(1.023*1.005-2.3%*15%)*6.99</f>
        <v>9931</v>
      </c>
      <c r="G34" s="145">
        <f>$G$766</f>
        <v>1.139</v>
      </c>
      <c r="H34" s="146">
        <f>F34*G34</f>
        <v>11311</v>
      </c>
      <c r="I34" s="145">
        <f>Дефляторы!$D$25</f>
        <v>1.052</v>
      </c>
      <c r="J34" s="146">
        <f t="shared" si="1"/>
        <v>11899</v>
      </c>
      <c r="K34" s="146">
        <f t="shared" si="2"/>
        <v>11723</v>
      </c>
      <c r="L34" s="147"/>
      <c r="M34" s="147">
        <v>865</v>
      </c>
      <c r="N34" s="171">
        <f>E34*M34</f>
        <v>865</v>
      </c>
    </row>
    <row r="35" spans="1:15" s="148" customFormat="1" ht="15.75" outlineLevel="3" x14ac:dyDescent="0.2">
      <c r="A35" s="95"/>
      <c r="B35" s="42"/>
      <c r="C35" s="157" t="s">
        <v>332</v>
      </c>
      <c r="D35" s="100"/>
      <c r="E35" s="149"/>
      <c r="F35" s="149"/>
      <c r="G35" s="145"/>
      <c r="H35" s="146"/>
      <c r="I35" s="145">
        <f>Дефляторы!$D$25</f>
        <v>1.052</v>
      </c>
      <c r="J35" s="146"/>
      <c r="K35" s="146"/>
      <c r="L35" s="147"/>
      <c r="M35" s="147"/>
      <c r="N35" s="147"/>
    </row>
    <row r="36" spans="1:15" s="148" customFormat="1" ht="102" outlineLevel="3" x14ac:dyDescent="0.2">
      <c r="A36" s="95" t="s">
        <v>333</v>
      </c>
      <c r="B36" s="42" t="s">
        <v>337</v>
      </c>
      <c r="C36" s="42" t="s">
        <v>335</v>
      </c>
      <c r="D36" s="100" t="s">
        <v>305</v>
      </c>
      <c r="E36" s="149">
        <v>1</v>
      </c>
      <c r="F36" s="149">
        <f>98888*(1.023*1.005-2.3%*15%)*6.99</f>
        <v>708276</v>
      </c>
      <c r="G36" s="145">
        <f>$G$766</f>
        <v>1.139</v>
      </c>
      <c r="H36" s="146">
        <f>F36*G36</f>
        <v>806726</v>
      </c>
      <c r="I36" s="145">
        <f>Дефляторы!$D$25</f>
        <v>1.052</v>
      </c>
      <c r="J36" s="146">
        <f t="shared" ref="J36:J44" si="3">H36*I36</f>
        <v>848676</v>
      </c>
      <c r="K36" s="146">
        <f t="shared" ref="K36:K44" si="4">H36+(J36-H36)*(1-30/100)</f>
        <v>836091</v>
      </c>
      <c r="L36" s="172" t="s">
        <v>715</v>
      </c>
      <c r="M36" s="149">
        <v>15000</v>
      </c>
      <c r="N36" s="147">
        <f>E36*M36</f>
        <v>15000</v>
      </c>
      <c r="O36" s="205">
        <f>(98888-79462)*(1.023*1.005-2.3%*15%)*6.99</f>
        <v>139137</v>
      </c>
    </row>
    <row r="37" spans="1:15" s="148" customFormat="1" ht="56.25" customHeight="1" outlineLevel="3" x14ac:dyDescent="0.2">
      <c r="A37" s="95" t="s">
        <v>336</v>
      </c>
      <c r="B37" s="42" t="s">
        <v>346</v>
      </c>
      <c r="C37" s="42" t="s">
        <v>338</v>
      </c>
      <c r="D37" s="100" t="s">
        <v>305</v>
      </c>
      <c r="E37" s="149">
        <v>1</v>
      </c>
      <c r="F37" s="149">
        <f>6985*(1.023*1.005-2.3%*15%)*6.99</f>
        <v>50029</v>
      </c>
      <c r="G37" s="145">
        <f>$G$766</f>
        <v>1.139</v>
      </c>
      <c r="H37" s="146">
        <f>F37*G37</f>
        <v>56983</v>
      </c>
      <c r="I37" s="145">
        <f>Дефляторы!$D$25</f>
        <v>1.052</v>
      </c>
      <c r="J37" s="146">
        <f t="shared" si="3"/>
        <v>59946</v>
      </c>
      <c r="K37" s="146">
        <f t="shared" si="4"/>
        <v>59057</v>
      </c>
      <c r="L37" s="172" t="s">
        <v>716</v>
      </c>
      <c r="M37" s="147">
        <v>4466</v>
      </c>
      <c r="N37" s="147">
        <f>E37*M37</f>
        <v>4466</v>
      </c>
      <c r="O37" s="205">
        <f>(6985-8033)*(1.023*1.005-2.3%*15%)*6.99*1.2</f>
        <v>-9007</v>
      </c>
    </row>
    <row r="38" spans="1:15" s="148" customFormat="1" ht="15.75" outlineLevel="3" x14ac:dyDescent="0.2">
      <c r="A38" s="95"/>
      <c r="B38" s="42"/>
      <c r="C38" s="157" t="s">
        <v>339</v>
      </c>
      <c r="D38" s="100"/>
      <c r="E38" s="149"/>
      <c r="F38" s="149"/>
      <c r="G38" s="145"/>
      <c r="H38" s="146"/>
      <c r="I38" s="145">
        <f>Дефляторы!$D$25</f>
        <v>1.052</v>
      </c>
      <c r="J38" s="146">
        <f t="shared" si="3"/>
        <v>0</v>
      </c>
      <c r="K38" s="146">
        <f t="shared" si="4"/>
        <v>0</v>
      </c>
      <c r="L38" s="147"/>
      <c r="M38" s="147"/>
      <c r="N38" s="147"/>
    </row>
    <row r="39" spans="1:15" s="148" customFormat="1" ht="15.75" outlineLevel="3" x14ac:dyDescent="0.2">
      <c r="A39" s="95" t="s">
        <v>340</v>
      </c>
      <c r="B39" s="42" t="s">
        <v>688</v>
      </c>
      <c r="C39" s="42" t="s">
        <v>720</v>
      </c>
      <c r="D39" s="100" t="s">
        <v>305</v>
      </c>
      <c r="E39" s="149">
        <v>1</v>
      </c>
      <c r="F39" s="149">
        <f>N39/($N$39+$N$40+$N$41+$N$43+$N$44)*143108*(1.023*1.005-2.3%*15%)*6.99</f>
        <v>133969</v>
      </c>
      <c r="G39" s="145">
        <f t="shared" ref="G39:G48" si="5">$G$766</f>
        <v>1.139</v>
      </c>
      <c r="H39" s="146">
        <f>F39*G39</f>
        <v>152591</v>
      </c>
      <c r="I39" s="145">
        <f>Дефляторы!$D$25</f>
        <v>1.052</v>
      </c>
      <c r="J39" s="146">
        <f t="shared" si="3"/>
        <v>160526</v>
      </c>
      <c r="K39" s="146">
        <f t="shared" si="4"/>
        <v>158146</v>
      </c>
      <c r="L39" s="147"/>
      <c r="M39" s="147">
        <v>4590</v>
      </c>
      <c r="N39" s="147">
        <f t="shared" ref="N39:N48" si="6">E39*M39</f>
        <v>4590</v>
      </c>
    </row>
    <row r="40" spans="1:15" s="148" customFormat="1" ht="15.75" outlineLevel="3" x14ac:dyDescent="0.2">
      <c r="A40" s="95" t="s">
        <v>342</v>
      </c>
      <c r="B40" s="42" t="s">
        <v>688</v>
      </c>
      <c r="C40" s="42" t="s">
        <v>721</v>
      </c>
      <c r="D40" s="100" t="s">
        <v>305</v>
      </c>
      <c r="E40" s="149">
        <v>1</v>
      </c>
      <c r="F40" s="149">
        <f>N40/($N$39+$N$40+$N$41+$N$43+$N$44)*143108*(1.023*1.005-2.3%*15%)*6.99</f>
        <v>244472</v>
      </c>
      <c r="G40" s="145">
        <f t="shared" si="5"/>
        <v>1.139</v>
      </c>
      <c r="H40" s="146">
        <f>F40*G40</f>
        <v>278454</v>
      </c>
      <c r="I40" s="145">
        <f>Дефляторы!$D$25</f>
        <v>1.052</v>
      </c>
      <c r="J40" s="146">
        <f t="shared" si="3"/>
        <v>292934</v>
      </c>
      <c r="K40" s="146">
        <f t="shared" si="4"/>
        <v>288590</v>
      </c>
      <c r="L40" s="147"/>
      <c r="M40" s="147">
        <v>8376</v>
      </c>
      <c r="N40" s="147">
        <f t="shared" si="6"/>
        <v>8376</v>
      </c>
    </row>
    <row r="41" spans="1:15" s="148" customFormat="1" ht="15.75" outlineLevel="3" x14ac:dyDescent="0.2">
      <c r="A41" s="95" t="s">
        <v>343</v>
      </c>
      <c r="B41" s="42" t="s">
        <v>688</v>
      </c>
      <c r="C41" s="42" t="s">
        <v>722</v>
      </c>
      <c r="D41" s="100" t="s">
        <v>305</v>
      </c>
      <c r="E41" s="149">
        <v>1</v>
      </c>
      <c r="F41" s="149">
        <f>N41/($N$39+$N$40+$N$41+$N$43+$N$44)*143108*(1.023*1.005-2.3%*15%)*6.99</f>
        <v>231688</v>
      </c>
      <c r="G41" s="145">
        <f t="shared" si="5"/>
        <v>1.139</v>
      </c>
      <c r="H41" s="146">
        <f>F41*G41</f>
        <v>263893</v>
      </c>
      <c r="I41" s="145">
        <f>Дефляторы!$D$25</f>
        <v>1.052</v>
      </c>
      <c r="J41" s="146">
        <f t="shared" si="3"/>
        <v>277615</v>
      </c>
      <c r="K41" s="146">
        <f t="shared" si="4"/>
        <v>273498</v>
      </c>
      <c r="L41" s="147"/>
      <c r="M41" s="147">
        <v>7938</v>
      </c>
      <c r="N41" s="147">
        <f t="shared" si="6"/>
        <v>7938</v>
      </c>
    </row>
    <row r="42" spans="1:15" s="148" customFormat="1" ht="15.75" outlineLevel="3" x14ac:dyDescent="0.2">
      <c r="A42" s="95" t="s">
        <v>344</v>
      </c>
      <c r="B42" s="42" t="s">
        <v>719</v>
      </c>
      <c r="C42" s="42" t="s">
        <v>723</v>
      </c>
      <c r="D42" s="100" t="s">
        <v>305</v>
      </c>
      <c r="E42" s="149">
        <v>1</v>
      </c>
      <c r="F42" s="149">
        <f>48502*(1.023*1.005-2.3%*15%)*6.99</f>
        <v>347391</v>
      </c>
      <c r="G42" s="145">
        <f t="shared" si="5"/>
        <v>1.139</v>
      </c>
      <c r="H42" s="146">
        <f>F42*G42</f>
        <v>395678</v>
      </c>
      <c r="I42" s="145">
        <f>Дефляторы!$D$25</f>
        <v>1.052</v>
      </c>
      <c r="J42" s="146">
        <f t="shared" si="3"/>
        <v>416253</v>
      </c>
      <c r="K42" s="146">
        <f t="shared" si="4"/>
        <v>410081</v>
      </c>
      <c r="L42" s="147"/>
      <c r="M42" s="147">
        <v>12088</v>
      </c>
      <c r="N42" s="147">
        <f t="shared" si="6"/>
        <v>12088</v>
      </c>
    </row>
    <row r="43" spans="1:15" s="148" customFormat="1" ht="15.75" outlineLevel="3" x14ac:dyDescent="0.2">
      <c r="A43" s="95" t="s">
        <v>345</v>
      </c>
      <c r="B43" s="42" t="s">
        <v>688</v>
      </c>
      <c r="C43" s="42" t="s">
        <v>724</v>
      </c>
      <c r="D43" s="100" t="s">
        <v>305</v>
      </c>
      <c r="E43" s="149">
        <v>1</v>
      </c>
      <c r="F43" s="149">
        <f>N43/($N$39+$N$40+$N$41+$N$43+$N$44)*143108*(1.023*1.005-2.3%*15%)*6.99</f>
        <v>284809</v>
      </c>
      <c r="G43" s="145">
        <f t="shared" si="5"/>
        <v>1.139</v>
      </c>
      <c r="H43" s="146">
        <f t="shared" ref="H43:H44" si="7">F43*G43</f>
        <v>324397</v>
      </c>
      <c r="I43" s="145">
        <f>Дефляторы!$D$25</f>
        <v>1.052</v>
      </c>
      <c r="J43" s="146">
        <f t="shared" si="3"/>
        <v>341266</v>
      </c>
      <c r="K43" s="146">
        <f t="shared" si="4"/>
        <v>336205</v>
      </c>
      <c r="L43" s="147"/>
      <c r="M43" s="147">
        <v>9758</v>
      </c>
      <c r="N43" s="147">
        <f t="shared" si="6"/>
        <v>9758</v>
      </c>
    </row>
    <row r="44" spans="1:15" s="148" customFormat="1" ht="15.75" outlineLevel="3" x14ac:dyDescent="0.2">
      <c r="A44" s="95" t="s">
        <v>348</v>
      </c>
      <c r="B44" s="42" t="s">
        <v>688</v>
      </c>
      <c r="C44" s="42" t="s">
        <v>725</v>
      </c>
      <c r="D44" s="100" t="s">
        <v>305</v>
      </c>
      <c r="E44" s="149">
        <v>1</v>
      </c>
      <c r="F44" s="149">
        <f>N44/($N$39+$N$40+$N$41+$N$43+$N$44)*143108*(1.023*1.005-2.3%*15%)*6.99</f>
        <v>130058</v>
      </c>
      <c r="G44" s="145">
        <f t="shared" si="5"/>
        <v>1.139</v>
      </c>
      <c r="H44" s="146">
        <f t="shared" si="7"/>
        <v>148136</v>
      </c>
      <c r="I44" s="145">
        <f>Дефляторы!$D$25</f>
        <v>1.052</v>
      </c>
      <c r="J44" s="146">
        <f t="shared" si="3"/>
        <v>155839</v>
      </c>
      <c r="K44" s="146">
        <f t="shared" si="4"/>
        <v>153528</v>
      </c>
      <c r="L44" s="147"/>
      <c r="M44" s="147">
        <v>4456</v>
      </c>
      <c r="N44" s="147">
        <f t="shared" si="6"/>
        <v>4456</v>
      </c>
    </row>
    <row r="45" spans="1:15" s="148" customFormat="1" ht="15.75" outlineLevel="3" x14ac:dyDescent="0.2">
      <c r="A45" s="95" t="s">
        <v>349</v>
      </c>
      <c r="B45" s="42" t="s">
        <v>341</v>
      </c>
      <c r="C45" s="42" t="s">
        <v>726</v>
      </c>
      <c r="D45" s="100" t="s">
        <v>305</v>
      </c>
      <c r="E45" s="149">
        <v>6</v>
      </c>
      <c r="F45" s="149">
        <f>N45/SUM($N$45:$N$48)*301142*(1.023*1.005-2.3%*15%)*6.99</f>
        <v>598087</v>
      </c>
      <c r="G45" s="145">
        <f t="shared" si="5"/>
        <v>1.139</v>
      </c>
      <c r="H45" s="146">
        <f>F45*G45</f>
        <v>681221</v>
      </c>
      <c r="I45" s="145">
        <f>Дефляторы!$D$25</f>
        <v>1.052</v>
      </c>
      <c r="J45" s="146">
        <f>H45*I45</f>
        <v>716644</v>
      </c>
      <c r="K45" s="146">
        <f>H45+(J45-H45)*(1-30/100)</f>
        <v>706017</v>
      </c>
      <c r="L45" s="147"/>
      <c r="M45" s="147">
        <v>3000</v>
      </c>
      <c r="N45" s="147">
        <f>E45*M45</f>
        <v>18000</v>
      </c>
    </row>
    <row r="46" spans="1:15" s="148" customFormat="1" ht="15.75" outlineLevel="3" x14ac:dyDescent="0.2">
      <c r="A46" s="95" t="s">
        <v>351</v>
      </c>
      <c r="B46" s="42" t="s">
        <v>341</v>
      </c>
      <c r="C46" s="42" t="s">
        <v>350</v>
      </c>
      <c r="D46" s="100" t="s">
        <v>305</v>
      </c>
      <c r="E46" s="149">
        <v>6</v>
      </c>
      <c r="F46" s="149">
        <f>N46/SUM($N$45:$N$48)*301142*(1.023*1.005-2.3%*15%)*6.99</f>
        <v>350280</v>
      </c>
      <c r="G46" s="145">
        <f t="shared" si="5"/>
        <v>1.139</v>
      </c>
      <c r="H46" s="146">
        <f>F46*G46</f>
        <v>398969</v>
      </c>
      <c r="I46" s="145">
        <f>Дефляторы!$D$25</f>
        <v>1.052</v>
      </c>
      <c r="J46" s="146">
        <f>H46*I46</f>
        <v>419715</v>
      </c>
      <c r="K46" s="146">
        <f>H46+(J46-H46)*(1-30/100)</f>
        <v>413491</v>
      </c>
      <c r="L46" s="147"/>
      <c r="M46" s="147">
        <v>1757</v>
      </c>
      <c r="N46" s="147">
        <f>E46*M46</f>
        <v>10542</v>
      </c>
    </row>
    <row r="47" spans="1:15" s="148" customFormat="1" ht="15.75" outlineLevel="3" x14ac:dyDescent="0.2">
      <c r="A47" s="95" t="s">
        <v>1810</v>
      </c>
      <c r="B47" s="42" t="s">
        <v>341</v>
      </c>
      <c r="C47" s="42" t="s">
        <v>352</v>
      </c>
      <c r="D47" s="100" t="s">
        <v>305</v>
      </c>
      <c r="E47" s="149">
        <v>6</v>
      </c>
      <c r="F47" s="149">
        <f>N47/SUM($N$45:$N$48)*301142*(1.023*1.005-2.3%*15%)*6.99</f>
        <v>255981</v>
      </c>
      <c r="G47" s="145">
        <f t="shared" si="5"/>
        <v>1.139</v>
      </c>
      <c r="H47" s="146">
        <f>F47*G47</f>
        <v>291562</v>
      </c>
      <c r="I47" s="145">
        <f>Дефляторы!$D$25</f>
        <v>1.052</v>
      </c>
      <c r="J47" s="146">
        <f>H47*I47</f>
        <v>306723</v>
      </c>
      <c r="K47" s="146">
        <f>H47+(J47-H47)*(1-30/100)</f>
        <v>302175</v>
      </c>
      <c r="L47" s="147"/>
      <c r="M47" s="147">
        <v>1284</v>
      </c>
      <c r="N47" s="147">
        <f>E47*M47</f>
        <v>7704</v>
      </c>
    </row>
    <row r="48" spans="1:15" s="148" customFormat="1" ht="102" outlineLevel="3" x14ac:dyDescent="0.2">
      <c r="A48" s="95" t="s">
        <v>1811</v>
      </c>
      <c r="B48" s="42" t="s">
        <v>341</v>
      </c>
      <c r="C48" s="42" t="s">
        <v>347</v>
      </c>
      <c r="D48" s="100" t="s">
        <v>305</v>
      </c>
      <c r="E48" s="149">
        <v>12</v>
      </c>
      <c r="F48" s="149">
        <f>N48/SUM($N$45:$N$48)*301142*(1.023*1.005-2.3%*15%)*6.99</f>
        <v>952554</v>
      </c>
      <c r="G48" s="145">
        <f t="shared" si="5"/>
        <v>1.139</v>
      </c>
      <c r="H48" s="146">
        <f>F48*G48</f>
        <v>1084959</v>
      </c>
      <c r="I48" s="145">
        <f>Дефляторы!$D$25</f>
        <v>1.052</v>
      </c>
      <c r="J48" s="146">
        <f>H48*I48</f>
        <v>1141377</v>
      </c>
      <c r="K48" s="146">
        <f>H48+(J48-H48)*(1-30/100)</f>
        <v>1124452</v>
      </c>
      <c r="L48" s="172" t="s">
        <v>727</v>
      </c>
      <c r="M48" s="147">
        <v>2389</v>
      </c>
      <c r="N48" s="147">
        <f t="shared" si="6"/>
        <v>28668</v>
      </c>
    </row>
    <row r="49" spans="1:14" s="237" customFormat="1" ht="15.75" outlineLevel="2" x14ac:dyDescent="0.2">
      <c r="A49" s="238" t="s">
        <v>353</v>
      </c>
      <c r="B49" s="229" t="s">
        <v>142</v>
      </c>
      <c r="C49" s="229" t="s">
        <v>1805</v>
      </c>
      <c r="D49" s="239" t="s">
        <v>292</v>
      </c>
      <c r="E49" s="240">
        <v>1</v>
      </c>
      <c r="F49" s="240">
        <f>SUM(F50:F98)</f>
        <v>65916216</v>
      </c>
      <c r="G49" s="241"/>
      <c r="H49" s="240">
        <f>SUM(H50:H98)</f>
        <v>75078571</v>
      </c>
      <c r="I49" s="241">
        <f>Дефляторы!$D$25</f>
        <v>1.052</v>
      </c>
      <c r="J49" s="240">
        <f>SUM(J50:J98)</f>
        <v>78982658</v>
      </c>
      <c r="K49" s="240">
        <f>SUM(K50:K98)</f>
        <v>77811430</v>
      </c>
      <c r="L49" s="256"/>
      <c r="M49" s="256"/>
      <c r="N49" s="256"/>
    </row>
    <row r="50" spans="1:14" s="237" customFormat="1" ht="15.75" outlineLevel="3" x14ac:dyDescent="0.2">
      <c r="A50" s="238"/>
      <c r="B50" s="229"/>
      <c r="C50" s="156" t="s">
        <v>1801</v>
      </c>
      <c r="D50" s="239"/>
      <c r="E50" s="240"/>
      <c r="F50" s="240"/>
      <c r="G50" s="241"/>
      <c r="H50" s="242"/>
      <c r="I50" s="241">
        <f>Дефляторы!$D$25</f>
        <v>1.052</v>
      </c>
      <c r="J50" s="242"/>
      <c r="K50" s="242"/>
      <c r="L50" s="256"/>
      <c r="M50" s="256"/>
      <c r="N50" s="256"/>
    </row>
    <row r="51" spans="1:14" s="148" customFormat="1" ht="15.75" outlineLevel="3" x14ac:dyDescent="0.2">
      <c r="A51" s="95"/>
      <c r="B51" s="42"/>
      <c r="C51" s="229" t="s">
        <v>367</v>
      </c>
      <c r="D51" s="100"/>
      <c r="E51" s="149"/>
      <c r="F51" s="149"/>
      <c r="G51" s="145"/>
      <c r="H51" s="146"/>
      <c r="I51" s="145">
        <f>Дефляторы!$D$25</f>
        <v>1.052</v>
      </c>
      <c r="J51" s="146"/>
      <c r="K51" s="146"/>
      <c r="L51" s="147"/>
      <c r="M51" s="147"/>
      <c r="N51" s="147"/>
    </row>
    <row r="52" spans="1:14" s="148" customFormat="1" ht="15.75" outlineLevel="3" x14ac:dyDescent="0.2">
      <c r="A52" s="95"/>
      <c r="B52" s="42"/>
      <c r="C52" s="157" t="s">
        <v>559</v>
      </c>
      <c r="D52" s="100"/>
      <c r="E52" s="149"/>
      <c r="F52" s="149"/>
      <c r="G52" s="158"/>
      <c r="H52" s="159"/>
      <c r="I52" s="158">
        <f>Дефляторы!$D$25</f>
        <v>1.052</v>
      </c>
      <c r="J52" s="159"/>
      <c r="K52" s="159"/>
      <c r="L52" s="147"/>
      <c r="M52" s="147"/>
      <c r="N52" s="147"/>
    </row>
    <row r="53" spans="1:14" s="148" customFormat="1" ht="25.5" outlineLevel="3" x14ac:dyDescent="0.2">
      <c r="A53" s="95" t="s">
        <v>354</v>
      </c>
      <c r="B53" s="42" t="s">
        <v>355</v>
      </c>
      <c r="C53" s="42" t="s">
        <v>356</v>
      </c>
      <c r="D53" s="100" t="s">
        <v>300</v>
      </c>
      <c r="E53" s="149">
        <f>'Земляные работы'!H13</f>
        <v>5432</v>
      </c>
      <c r="F53" s="149">
        <f>'Земляные работы'!H13/'Земляные работы'!$H$19*4511030*(1.023*1.005-2.3%*15%)*6.99-37</f>
        <v>7758209</v>
      </c>
      <c r="G53" s="145">
        <f t="shared" ref="G53:G59" si="8">$G$766</f>
        <v>1.139</v>
      </c>
      <c r="H53" s="146">
        <f t="shared" ref="H53:H57" si="9">F53*G53</f>
        <v>8836600</v>
      </c>
      <c r="I53" s="145">
        <f>Дефляторы!$D$25</f>
        <v>1.052</v>
      </c>
      <c r="J53" s="146">
        <f>H53*I53</f>
        <v>9296103</v>
      </c>
      <c r="K53" s="146">
        <f>H53+(J53-H53)*(1-30/100)</f>
        <v>9158252</v>
      </c>
      <c r="L53" s="147"/>
      <c r="M53" s="147"/>
      <c r="N53" s="147"/>
    </row>
    <row r="54" spans="1:14" s="148" customFormat="1" ht="15.75" outlineLevel="3" x14ac:dyDescent="0.2">
      <c r="A54" s="95" t="s">
        <v>357</v>
      </c>
      <c r="B54" s="42" t="s">
        <v>560</v>
      </c>
      <c r="C54" s="42" t="s">
        <v>656</v>
      </c>
      <c r="D54" s="100" t="s">
        <v>300</v>
      </c>
      <c r="E54" s="149">
        <f>'Земляные работы'!H13</f>
        <v>5432</v>
      </c>
      <c r="F54" s="149">
        <f>'Земляные работы'!H13/'Земляные работы'!$H$19*(370936+320904)*(1.023*1.005-2.3%*15%)*6.99</f>
        <v>1189854</v>
      </c>
      <c r="G54" s="145">
        <f t="shared" si="8"/>
        <v>1.139</v>
      </c>
      <c r="H54" s="146">
        <f t="shared" si="9"/>
        <v>1355244</v>
      </c>
      <c r="I54" s="145">
        <f>Дефляторы!$D$25</f>
        <v>1.052</v>
      </c>
      <c r="J54" s="146">
        <f t="shared" ref="J54:J59" si="10">H54*I54</f>
        <v>1425717</v>
      </c>
      <c r="K54" s="146">
        <f>H54+(J54-H54)*(1-30/100)</f>
        <v>1404575</v>
      </c>
      <c r="L54" s="147"/>
      <c r="M54" s="147"/>
      <c r="N54" s="147"/>
    </row>
    <row r="55" spans="1:14" s="167" customFormat="1" ht="25.5" outlineLevel="3" x14ac:dyDescent="0.2">
      <c r="A55" s="160" t="s">
        <v>358</v>
      </c>
      <c r="B55" s="91" t="s">
        <v>561</v>
      </c>
      <c r="C55" s="91" t="s">
        <v>562</v>
      </c>
      <c r="D55" s="161" t="s">
        <v>300</v>
      </c>
      <c r="E55" s="162">
        <f>'Земляные работы'!K13</f>
        <v>271.5</v>
      </c>
      <c r="F55" s="149">
        <f>'Земляные работы'!K13/'Земляные работы'!K19*(139109+18545)*(1.023*1.005-2.3%*15%)*6.99</f>
        <v>271040</v>
      </c>
      <c r="G55" s="163">
        <f t="shared" si="8"/>
        <v>1.139</v>
      </c>
      <c r="H55" s="164">
        <f t="shared" si="9"/>
        <v>308715</v>
      </c>
      <c r="I55" s="163">
        <f>Дефляторы!$D$25</f>
        <v>1.052</v>
      </c>
      <c r="J55" s="164">
        <f t="shared" si="10"/>
        <v>324768</v>
      </c>
      <c r="K55" s="164">
        <f t="shared" ref="K55:K59" si="11">H55+(J55-H55)*(1-30/100)</f>
        <v>319952</v>
      </c>
      <c r="L55" s="165" t="s">
        <v>563</v>
      </c>
      <c r="M55" s="166"/>
      <c r="N55" s="165"/>
    </row>
    <row r="56" spans="1:14" s="167" customFormat="1" ht="15.75" outlineLevel="3" x14ac:dyDescent="0.2">
      <c r="A56" s="160" t="s">
        <v>361</v>
      </c>
      <c r="B56" s="91" t="s">
        <v>564</v>
      </c>
      <c r="C56" s="91" t="s">
        <v>565</v>
      </c>
      <c r="D56" s="161" t="s">
        <v>300</v>
      </c>
      <c r="E56" s="162">
        <f>'Земляные работы'!L13</f>
        <v>271.5</v>
      </c>
      <c r="F56" s="149">
        <f>'Земляные работы'!L13/'Земляные работы'!L19*(39510)*(1.023*1.005-2.3%*15%)*6.99</f>
        <v>67926</v>
      </c>
      <c r="G56" s="163">
        <f t="shared" si="8"/>
        <v>1.139</v>
      </c>
      <c r="H56" s="164">
        <f t="shared" si="9"/>
        <v>77368</v>
      </c>
      <c r="I56" s="163">
        <f>Дефляторы!$D$25</f>
        <v>1.052</v>
      </c>
      <c r="J56" s="164">
        <f t="shared" si="10"/>
        <v>81391</v>
      </c>
      <c r="K56" s="164">
        <f t="shared" si="11"/>
        <v>80184</v>
      </c>
      <c r="L56" s="165" t="s">
        <v>563</v>
      </c>
      <c r="M56" s="165"/>
      <c r="N56" s="165"/>
    </row>
    <row r="57" spans="1:14" s="148" customFormat="1" ht="25.5" outlineLevel="3" x14ac:dyDescent="0.2">
      <c r="A57" s="95" t="s">
        <v>363</v>
      </c>
      <c r="B57" s="42" t="s">
        <v>567</v>
      </c>
      <c r="C57" s="42" t="s">
        <v>750</v>
      </c>
      <c r="D57" s="100" t="s">
        <v>300</v>
      </c>
      <c r="E57" s="168">
        <f>20100.9*'Земляные работы'!M13/'Земляные работы'!$M$19</f>
        <v>4672.3</v>
      </c>
      <c r="F57" s="149">
        <f>'Земляные работы'!N13/'Земляные работы'!$N$19*(60641+30320+211146)*(1.023*1.005-2.3%*15%)*6.99</f>
        <v>474480</v>
      </c>
      <c r="G57" s="145">
        <f t="shared" si="8"/>
        <v>1.139</v>
      </c>
      <c r="H57" s="146">
        <f t="shared" si="9"/>
        <v>540433</v>
      </c>
      <c r="I57" s="145">
        <f>Дефляторы!$D$25</f>
        <v>1.052</v>
      </c>
      <c r="J57" s="146">
        <f t="shared" si="10"/>
        <v>568536</v>
      </c>
      <c r="K57" s="146">
        <f t="shared" si="11"/>
        <v>560105</v>
      </c>
      <c r="L57" s="147" t="s">
        <v>360</v>
      </c>
      <c r="M57" s="147"/>
      <c r="N57" s="147"/>
    </row>
    <row r="58" spans="1:14" s="148" customFormat="1" ht="15.75" outlineLevel="3" x14ac:dyDescent="0.2">
      <c r="A58" s="95" t="s">
        <v>364</v>
      </c>
      <c r="B58" s="42" t="s">
        <v>362</v>
      </c>
      <c r="C58" s="42" t="s">
        <v>573</v>
      </c>
      <c r="D58" s="100" t="s">
        <v>305</v>
      </c>
      <c r="E58" s="149">
        <v>1</v>
      </c>
      <c r="F58" s="149">
        <f>1071599*(1.023*1.005-2.3%*15%)*6.99</f>
        <v>7675230</v>
      </c>
      <c r="G58" s="145">
        <f t="shared" si="8"/>
        <v>1.139</v>
      </c>
      <c r="H58" s="146">
        <f>F58*G58</f>
        <v>8742087</v>
      </c>
      <c r="I58" s="145">
        <f>Дефляторы!$D$25</f>
        <v>1.052</v>
      </c>
      <c r="J58" s="146">
        <f t="shared" si="10"/>
        <v>9196676</v>
      </c>
      <c r="K58" s="146">
        <f t="shared" si="11"/>
        <v>9060299</v>
      </c>
      <c r="L58" s="147" t="s">
        <v>753</v>
      </c>
      <c r="M58" s="147"/>
      <c r="N58" s="147"/>
    </row>
    <row r="59" spans="1:14" s="148" customFormat="1" ht="15.75" outlineLevel="3" x14ac:dyDescent="0.2">
      <c r="A59" s="95" t="s">
        <v>365</v>
      </c>
      <c r="B59" s="42" t="s">
        <v>754</v>
      </c>
      <c r="C59" s="42" t="s">
        <v>575</v>
      </c>
      <c r="D59" s="100" t="s">
        <v>305</v>
      </c>
      <c r="E59" s="149">
        <v>1</v>
      </c>
      <c r="F59" s="149">
        <f>150092*(1.023*1.005-2.3%*15%)*6.99</f>
        <v>1075020</v>
      </c>
      <c r="G59" s="145">
        <f t="shared" si="8"/>
        <v>1.139</v>
      </c>
      <c r="H59" s="146">
        <f>F59*G59</f>
        <v>1224448</v>
      </c>
      <c r="I59" s="145">
        <f>Дефляторы!$D$25</f>
        <v>1.052</v>
      </c>
      <c r="J59" s="146">
        <f t="shared" si="10"/>
        <v>1288119</v>
      </c>
      <c r="K59" s="146">
        <f t="shared" si="11"/>
        <v>1269018</v>
      </c>
      <c r="L59" s="147" t="s">
        <v>755</v>
      </c>
      <c r="M59" s="147"/>
      <c r="N59" s="147"/>
    </row>
    <row r="60" spans="1:14" s="237" customFormat="1" ht="15.75" outlineLevel="3" x14ac:dyDescent="0.2">
      <c r="A60" s="238"/>
      <c r="B60" s="229"/>
      <c r="C60" s="156" t="s">
        <v>743</v>
      </c>
      <c r="D60" s="239"/>
      <c r="E60" s="240"/>
      <c r="F60" s="240"/>
      <c r="G60" s="241"/>
      <c r="H60" s="240"/>
      <c r="I60" s="241">
        <f>Дефляторы!$D$25</f>
        <v>1.052</v>
      </c>
      <c r="J60" s="240"/>
      <c r="K60" s="240"/>
      <c r="L60" s="256"/>
      <c r="M60" s="256"/>
      <c r="N60" s="256"/>
    </row>
    <row r="61" spans="1:14" s="148" customFormat="1" ht="15.75" outlineLevel="3" x14ac:dyDescent="0.2">
      <c r="A61" s="95"/>
      <c r="B61" s="42"/>
      <c r="C61" s="156" t="s">
        <v>367</v>
      </c>
      <c r="D61" s="100"/>
      <c r="E61" s="149"/>
      <c r="F61" s="149"/>
      <c r="G61" s="145"/>
      <c r="H61" s="146"/>
      <c r="I61" s="145">
        <f>Дефляторы!$D$25</f>
        <v>1.052</v>
      </c>
      <c r="J61" s="146"/>
      <c r="K61" s="146"/>
      <c r="L61" s="147"/>
      <c r="M61" s="147"/>
      <c r="N61" s="147"/>
    </row>
    <row r="62" spans="1:14" s="148" customFormat="1" ht="15.75" outlineLevel="3" x14ac:dyDescent="0.2">
      <c r="A62" s="95"/>
      <c r="B62" s="42"/>
      <c r="C62" s="157" t="s">
        <v>576</v>
      </c>
      <c r="D62" s="100"/>
      <c r="E62" s="149"/>
      <c r="F62" s="149"/>
      <c r="G62" s="145"/>
      <c r="H62" s="146"/>
      <c r="I62" s="145">
        <f>Дефляторы!$D$25</f>
        <v>1.052</v>
      </c>
      <c r="J62" s="146"/>
      <c r="K62" s="146"/>
      <c r="L62" s="147"/>
      <c r="M62" s="147"/>
      <c r="N62" s="147"/>
    </row>
    <row r="63" spans="1:14" s="148" customFormat="1" ht="25.5" outlineLevel="3" x14ac:dyDescent="0.2">
      <c r="A63" s="95" t="s">
        <v>2222</v>
      </c>
      <c r="B63" s="42" t="s">
        <v>355</v>
      </c>
      <c r="C63" s="42" t="s">
        <v>356</v>
      </c>
      <c r="D63" s="100" t="s">
        <v>300</v>
      </c>
      <c r="E63" s="149">
        <f>'Земляные работы'!H14</f>
        <v>989</v>
      </c>
      <c r="F63" s="149">
        <f>'Земляные работы'!H14/'Земляные работы'!$H$19*4511030*(1.023*1.005-2.3%*15%)*6.99</f>
        <v>1412538</v>
      </c>
      <c r="G63" s="145">
        <f>$G$766</f>
        <v>1.139</v>
      </c>
      <c r="H63" s="146">
        <f t="shared" ref="H63:H98" si="12">F63*G63</f>
        <v>1608881</v>
      </c>
      <c r="I63" s="145">
        <f>Дефляторы!$D$25</f>
        <v>1.052</v>
      </c>
      <c r="J63" s="146">
        <f>H63*I63</f>
        <v>1692543</v>
      </c>
      <c r="K63" s="146">
        <f t="shared" ref="K63:K89" si="13">H63+(J63-H63)*(1-30/100)</f>
        <v>1667444</v>
      </c>
      <c r="L63" s="147"/>
      <c r="M63" s="147"/>
      <c r="N63" s="147"/>
    </row>
    <row r="64" spans="1:14" s="148" customFormat="1" ht="15.75" outlineLevel="3" x14ac:dyDescent="0.2">
      <c r="A64" s="95" t="s">
        <v>2223</v>
      </c>
      <c r="B64" s="42" t="s">
        <v>560</v>
      </c>
      <c r="C64" s="42" t="s">
        <v>656</v>
      </c>
      <c r="D64" s="100" t="s">
        <v>300</v>
      </c>
      <c r="E64" s="149">
        <f>'Земляные работы'!H14</f>
        <v>989</v>
      </c>
      <c r="F64" s="149">
        <f>'Земляные работы'!H14/'Земляные работы'!$H$19*(370936+320904)*(1.023*1.005-2.3%*15%)*6.99</f>
        <v>216636</v>
      </c>
      <c r="G64" s="145">
        <f>$G$766</f>
        <v>1.139</v>
      </c>
      <c r="H64" s="146">
        <f t="shared" si="12"/>
        <v>246748</v>
      </c>
      <c r="I64" s="145">
        <f>Дефляторы!$D$25</f>
        <v>1.052</v>
      </c>
      <c r="J64" s="146">
        <f t="shared" ref="J64:J89" si="14">H64*I64</f>
        <v>259579</v>
      </c>
      <c r="K64" s="146">
        <f t="shared" si="13"/>
        <v>255730</v>
      </c>
      <c r="L64" s="147"/>
      <c r="M64" s="147"/>
      <c r="N64" s="147"/>
    </row>
    <row r="65" spans="1:14" s="167" customFormat="1" ht="25.5" outlineLevel="3" x14ac:dyDescent="0.2">
      <c r="A65" s="160" t="s">
        <v>2224</v>
      </c>
      <c r="B65" s="91" t="s">
        <v>561</v>
      </c>
      <c r="C65" s="91" t="s">
        <v>562</v>
      </c>
      <c r="D65" s="161" t="s">
        <v>300</v>
      </c>
      <c r="E65" s="162">
        <f>'Земляные работы'!K14</f>
        <v>49.5</v>
      </c>
      <c r="F65" s="149">
        <f>'Земляные работы'!K14/'Земляные работы'!K19*(139109+18545)*(1.023*1.005-2.3%*15%)*6.99</f>
        <v>49416</v>
      </c>
      <c r="G65" s="163">
        <f>$G$766</f>
        <v>1.139</v>
      </c>
      <c r="H65" s="164">
        <f t="shared" si="12"/>
        <v>56285</v>
      </c>
      <c r="I65" s="163">
        <f>Дефляторы!$D$25</f>
        <v>1.052</v>
      </c>
      <c r="J65" s="164">
        <f t="shared" si="14"/>
        <v>59212</v>
      </c>
      <c r="K65" s="164">
        <f t="shared" si="13"/>
        <v>58334</v>
      </c>
      <c r="L65" s="165" t="s">
        <v>563</v>
      </c>
      <c r="M65" s="165"/>
      <c r="N65" s="165"/>
    </row>
    <row r="66" spans="1:14" s="167" customFormat="1" ht="15.75" outlineLevel="3" x14ac:dyDescent="0.2">
      <c r="A66" s="160" t="s">
        <v>2225</v>
      </c>
      <c r="B66" s="91" t="s">
        <v>564</v>
      </c>
      <c r="C66" s="91" t="s">
        <v>565</v>
      </c>
      <c r="D66" s="161" t="s">
        <v>300</v>
      </c>
      <c r="E66" s="162">
        <f>'Земляные работы'!L14</f>
        <v>49.5</v>
      </c>
      <c r="F66" s="149">
        <f>'Земляные работы'!L14/'Земляные работы'!L19*(39510)*(1.023*1.005-2.3%*15%)*6.99</f>
        <v>12384</v>
      </c>
      <c r="G66" s="163">
        <f>$G$766</f>
        <v>1.139</v>
      </c>
      <c r="H66" s="164">
        <f t="shared" si="12"/>
        <v>14105</v>
      </c>
      <c r="I66" s="163">
        <f>Дефляторы!$D$25</f>
        <v>1.052</v>
      </c>
      <c r="J66" s="164">
        <f t="shared" si="14"/>
        <v>14838</v>
      </c>
      <c r="K66" s="164">
        <f t="shared" si="13"/>
        <v>14618</v>
      </c>
      <c r="L66" s="165" t="s">
        <v>563</v>
      </c>
      <c r="M66" s="165"/>
      <c r="N66" s="165"/>
    </row>
    <row r="67" spans="1:14" s="148" customFormat="1" ht="25.5" outlineLevel="3" x14ac:dyDescent="0.2">
      <c r="A67" s="95" t="s">
        <v>2226</v>
      </c>
      <c r="B67" s="42" t="s">
        <v>567</v>
      </c>
      <c r="C67" s="42" t="s">
        <v>750</v>
      </c>
      <c r="D67" s="100" t="s">
        <v>300</v>
      </c>
      <c r="E67" s="168">
        <f>20100.9*'Земляные работы'!M14/'Земляные работы'!$M$19</f>
        <v>863</v>
      </c>
      <c r="F67" s="149">
        <f>'Земляные работы'!N14/'Земляные работы'!$N$19*(60641+30320+211146)*(1.023*1.005-2.3%*15%)*6.99</f>
        <v>99508</v>
      </c>
      <c r="G67" s="145">
        <f>$G$766</f>
        <v>1.139</v>
      </c>
      <c r="H67" s="146">
        <f t="shared" si="12"/>
        <v>113340</v>
      </c>
      <c r="I67" s="145">
        <f>Дефляторы!$D$25</f>
        <v>1.052</v>
      </c>
      <c r="J67" s="146">
        <f t="shared" si="14"/>
        <v>119234</v>
      </c>
      <c r="K67" s="146">
        <f t="shared" si="13"/>
        <v>117466</v>
      </c>
      <c r="L67" s="147" t="s">
        <v>360</v>
      </c>
      <c r="M67" s="147"/>
      <c r="N67" s="147"/>
    </row>
    <row r="68" spans="1:14" s="148" customFormat="1" ht="15.75" outlineLevel="3" x14ac:dyDescent="0.2">
      <c r="A68" s="95"/>
      <c r="B68" s="42"/>
      <c r="C68" s="157" t="s">
        <v>577</v>
      </c>
      <c r="D68" s="100"/>
      <c r="E68" s="149"/>
      <c r="F68" s="149"/>
      <c r="G68" s="145"/>
      <c r="H68" s="146"/>
      <c r="I68" s="145">
        <f>Дефляторы!$D$25</f>
        <v>1.052</v>
      </c>
      <c r="J68" s="146">
        <f t="shared" si="14"/>
        <v>0</v>
      </c>
      <c r="K68" s="146">
        <f t="shared" si="13"/>
        <v>0</v>
      </c>
      <c r="L68" s="147"/>
      <c r="M68" s="147"/>
      <c r="N68" s="147"/>
    </row>
    <row r="69" spans="1:14" s="148" customFormat="1" ht="25.5" outlineLevel="3" x14ac:dyDescent="0.2">
      <c r="A69" s="95" t="s">
        <v>2227</v>
      </c>
      <c r="B69" s="42" t="s">
        <v>355</v>
      </c>
      <c r="C69" s="42" t="s">
        <v>356</v>
      </c>
      <c r="D69" s="100" t="s">
        <v>300</v>
      </c>
      <c r="E69" s="149">
        <f>'Земляные работы'!H15</f>
        <v>2476</v>
      </c>
      <c r="F69" s="149">
        <f>'Земляные работы'!H15/'Земляные работы'!$H$19*4511030*(1.023*1.005-2.3%*15%)*6.99</f>
        <v>3536343</v>
      </c>
      <c r="G69" s="145">
        <f>$G$766</f>
        <v>1.139</v>
      </c>
      <c r="H69" s="146">
        <f t="shared" si="12"/>
        <v>4027895</v>
      </c>
      <c r="I69" s="145">
        <f>Дефляторы!$D$25</f>
        <v>1.052</v>
      </c>
      <c r="J69" s="146">
        <f t="shared" si="14"/>
        <v>4237346</v>
      </c>
      <c r="K69" s="146">
        <f t="shared" si="13"/>
        <v>4174511</v>
      </c>
      <c r="L69" s="147"/>
      <c r="M69" s="147"/>
      <c r="N69" s="147"/>
    </row>
    <row r="70" spans="1:14" s="148" customFormat="1" ht="15.75" outlineLevel="3" x14ac:dyDescent="0.2">
      <c r="A70" s="95" t="s">
        <v>2228</v>
      </c>
      <c r="B70" s="42" t="s">
        <v>560</v>
      </c>
      <c r="C70" s="42" t="s">
        <v>656</v>
      </c>
      <c r="D70" s="100" t="s">
        <v>300</v>
      </c>
      <c r="E70" s="149">
        <f>'Земляные работы'!H15</f>
        <v>2476</v>
      </c>
      <c r="F70" s="149">
        <f>'Земляные работы'!H15/'Земляные работы'!$H$19*(370936+320904)*(1.023*1.005-2.3%*15%)*6.99</f>
        <v>542356</v>
      </c>
      <c r="G70" s="145">
        <f>$G$766</f>
        <v>1.139</v>
      </c>
      <c r="H70" s="146">
        <f t="shared" si="12"/>
        <v>617743</v>
      </c>
      <c r="I70" s="145">
        <f>Дефляторы!$D$25</f>
        <v>1.052</v>
      </c>
      <c r="J70" s="146">
        <f t="shared" si="14"/>
        <v>649866</v>
      </c>
      <c r="K70" s="146">
        <f t="shared" si="13"/>
        <v>640229</v>
      </c>
      <c r="L70" s="147"/>
      <c r="M70" s="147"/>
      <c r="N70" s="147"/>
    </row>
    <row r="71" spans="1:14" s="170" customFormat="1" ht="25.5" outlineLevel="3" x14ac:dyDescent="0.2">
      <c r="A71" s="160" t="s">
        <v>2229</v>
      </c>
      <c r="B71" s="91" t="s">
        <v>561</v>
      </c>
      <c r="C71" s="91" t="s">
        <v>562</v>
      </c>
      <c r="D71" s="161" t="s">
        <v>300</v>
      </c>
      <c r="E71" s="162">
        <f>'Земляные работы'!K15</f>
        <v>123.8</v>
      </c>
      <c r="F71" s="149">
        <f>'Земляные работы'!K15/'Земляные работы'!K19*(139109+18545)*(1.023*1.005-2.3%*15%)*6.99</f>
        <v>123590</v>
      </c>
      <c r="G71" s="163">
        <f>$G$766</f>
        <v>1.139</v>
      </c>
      <c r="H71" s="164">
        <f t="shared" si="12"/>
        <v>140769</v>
      </c>
      <c r="I71" s="163">
        <f>Дефляторы!$D$25</f>
        <v>1.052</v>
      </c>
      <c r="J71" s="164">
        <f t="shared" si="14"/>
        <v>148089</v>
      </c>
      <c r="K71" s="164">
        <f t="shared" si="13"/>
        <v>145893</v>
      </c>
      <c r="L71" s="169" t="s">
        <v>563</v>
      </c>
      <c r="M71" s="169"/>
      <c r="N71" s="169"/>
    </row>
    <row r="72" spans="1:14" s="170" customFormat="1" ht="15.75" outlineLevel="3" x14ac:dyDescent="0.2">
      <c r="A72" s="160" t="s">
        <v>2230</v>
      </c>
      <c r="B72" s="91" t="s">
        <v>564</v>
      </c>
      <c r="C72" s="91" t="s">
        <v>565</v>
      </c>
      <c r="D72" s="161" t="s">
        <v>300</v>
      </c>
      <c r="E72" s="162">
        <f>'Земляные работы'!L15</f>
        <v>123.8</v>
      </c>
      <c r="F72" s="149">
        <f>'Земляные работы'!L15/'Земляные работы'!L19*(39510)*(1.023*1.005-2.3%*15%)*6.99</f>
        <v>30973</v>
      </c>
      <c r="G72" s="163">
        <f>$G$766</f>
        <v>1.139</v>
      </c>
      <c r="H72" s="164">
        <f t="shared" si="12"/>
        <v>35278</v>
      </c>
      <c r="I72" s="163">
        <f>Дефляторы!$D$25</f>
        <v>1.052</v>
      </c>
      <c r="J72" s="164">
        <f t="shared" si="14"/>
        <v>37112</v>
      </c>
      <c r="K72" s="164">
        <f t="shared" si="13"/>
        <v>36562</v>
      </c>
      <c r="L72" s="169" t="s">
        <v>563</v>
      </c>
      <c r="M72" s="169"/>
      <c r="N72" s="169"/>
    </row>
    <row r="73" spans="1:14" s="148" customFormat="1" ht="25.5" outlineLevel="3" x14ac:dyDescent="0.2">
      <c r="A73" s="95" t="s">
        <v>2231</v>
      </c>
      <c r="B73" s="42" t="s">
        <v>567</v>
      </c>
      <c r="C73" s="42" t="s">
        <v>750</v>
      </c>
      <c r="D73" s="100" t="s">
        <v>300</v>
      </c>
      <c r="E73" s="168">
        <f>20100.9*'Земляные работы'!M15/'Земляные работы'!$M$19</f>
        <v>2250.9</v>
      </c>
      <c r="F73" s="149">
        <f>'Земляные работы'!N15/'Земляные работы'!$N$19*(60641+30320+211146)*(1.023*1.005-2.3%*15%)*6.99</f>
        <v>259540</v>
      </c>
      <c r="G73" s="145">
        <f>$G$766</f>
        <v>1.139</v>
      </c>
      <c r="H73" s="146">
        <f t="shared" si="12"/>
        <v>295616</v>
      </c>
      <c r="I73" s="145">
        <f>Дефляторы!$D$25</f>
        <v>1.052</v>
      </c>
      <c r="J73" s="146">
        <f t="shared" si="14"/>
        <v>310988</v>
      </c>
      <c r="K73" s="146">
        <f t="shared" si="13"/>
        <v>306376</v>
      </c>
      <c r="L73" s="147" t="s">
        <v>360</v>
      </c>
      <c r="M73" s="147"/>
      <c r="N73" s="147"/>
    </row>
    <row r="74" spans="1:14" s="148" customFormat="1" ht="15.75" outlineLevel="3" x14ac:dyDescent="0.2">
      <c r="A74" s="95"/>
      <c r="B74" s="42"/>
      <c r="C74" s="157" t="s">
        <v>746</v>
      </c>
      <c r="D74" s="100"/>
      <c r="E74" s="149"/>
      <c r="F74" s="149"/>
      <c r="G74" s="145"/>
      <c r="H74" s="146"/>
      <c r="I74" s="145">
        <f>Дефляторы!$D$25</f>
        <v>1.052</v>
      </c>
      <c r="J74" s="146">
        <f t="shared" si="14"/>
        <v>0</v>
      </c>
      <c r="K74" s="146">
        <f t="shared" si="13"/>
        <v>0</v>
      </c>
      <c r="L74" s="147"/>
      <c r="M74" s="147"/>
      <c r="N74" s="147"/>
    </row>
    <row r="75" spans="1:14" s="148" customFormat="1" ht="25.5" outlineLevel="3" x14ac:dyDescent="0.2">
      <c r="A75" s="95" t="s">
        <v>2232</v>
      </c>
      <c r="B75" s="42" t="s">
        <v>355</v>
      </c>
      <c r="C75" s="42" t="s">
        <v>356</v>
      </c>
      <c r="D75" s="100" t="s">
        <v>300</v>
      </c>
      <c r="E75" s="149">
        <f>'Земляные работы'!H16</f>
        <v>3310</v>
      </c>
      <c r="F75" s="149">
        <f>'Земляные работы'!H16/'Земляные работы'!$H$19*4511030*(1.023*1.005-2.3%*15%)*6.99</f>
        <v>4727503</v>
      </c>
      <c r="G75" s="145">
        <f>$G$766</f>
        <v>1.139</v>
      </c>
      <c r="H75" s="146">
        <f t="shared" ref="H75:H79" si="15">F75*G75</f>
        <v>5384626</v>
      </c>
      <c r="I75" s="145">
        <f>Дефляторы!$D$25</f>
        <v>1.052</v>
      </c>
      <c r="J75" s="146">
        <f t="shared" si="14"/>
        <v>5664627</v>
      </c>
      <c r="K75" s="146">
        <f t="shared" si="13"/>
        <v>5580627</v>
      </c>
      <c r="L75" s="147"/>
      <c r="M75" s="147"/>
      <c r="N75" s="147"/>
    </row>
    <row r="76" spans="1:14" s="148" customFormat="1" ht="15.75" outlineLevel="3" x14ac:dyDescent="0.2">
      <c r="A76" s="95" t="s">
        <v>2233</v>
      </c>
      <c r="B76" s="42" t="s">
        <v>560</v>
      </c>
      <c r="C76" s="42" t="s">
        <v>656</v>
      </c>
      <c r="D76" s="100" t="s">
        <v>300</v>
      </c>
      <c r="E76" s="149">
        <f>'Земляные работы'!H16</f>
        <v>3310</v>
      </c>
      <c r="F76" s="149">
        <f>'Земляные работы'!H16/'Земляные работы'!$H$19*(370936+320904)*(1.023*1.005-2.3%*15%)*6.99</f>
        <v>725040</v>
      </c>
      <c r="G76" s="145">
        <f>$G$766</f>
        <v>1.139</v>
      </c>
      <c r="H76" s="146">
        <f t="shared" si="15"/>
        <v>825821</v>
      </c>
      <c r="I76" s="145">
        <f>Дефляторы!$D$25</f>
        <v>1.052</v>
      </c>
      <c r="J76" s="146">
        <f t="shared" si="14"/>
        <v>868764</v>
      </c>
      <c r="K76" s="146">
        <f t="shared" si="13"/>
        <v>855881</v>
      </c>
      <c r="L76" s="147"/>
      <c r="M76" s="147"/>
      <c r="N76" s="147"/>
    </row>
    <row r="77" spans="1:14" s="170" customFormat="1" ht="25.5" outlineLevel="3" x14ac:dyDescent="0.2">
      <c r="A77" s="160" t="s">
        <v>2234</v>
      </c>
      <c r="B77" s="91" t="s">
        <v>561</v>
      </c>
      <c r="C77" s="91" t="s">
        <v>562</v>
      </c>
      <c r="D77" s="161" t="s">
        <v>300</v>
      </c>
      <c r="E77" s="162">
        <f>'Земляные работы'!K16</f>
        <v>165.5</v>
      </c>
      <c r="F77" s="149">
        <f>'Земляные работы'!K16/'Земляные работы'!K19*(139109+18545)*(1.023*1.005-2.3%*15%)*6.99</f>
        <v>165219</v>
      </c>
      <c r="G77" s="163">
        <f>$G$766</f>
        <v>1.139</v>
      </c>
      <c r="H77" s="164">
        <f t="shared" si="15"/>
        <v>188184</v>
      </c>
      <c r="I77" s="163">
        <f>Дефляторы!$D$25</f>
        <v>1.052</v>
      </c>
      <c r="J77" s="164">
        <f t="shared" si="14"/>
        <v>197970</v>
      </c>
      <c r="K77" s="164">
        <f t="shared" si="13"/>
        <v>195034</v>
      </c>
      <c r="L77" s="169" t="s">
        <v>563</v>
      </c>
      <c r="M77" s="169"/>
      <c r="N77" s="169"/>
    </row>
    <row r="78" spans="1:14" s="170" customFormat="1" ht="15.75" outlineLevel="3" x14ac:dyDescent="0.2">
      <c r="A78" s="160" t="s">
        <v>2235</v>
      </c>
      <c r="B78" s="91" t="s">
        <v>564</v>
      </c>
      <c r="C78" s="91" t="s">
        <v>565</v>
      </c>
      <c r="D78" s="161" t="s">
        <v>300</v>
      </c>
      <c r="E78" s="162">
        <f>'Земляные работы'!L16</f>
        <v>165.5</v>
      </c>
      <c r="F78" s="149">
        <f>'Земляные работы'!L16/'Земляные работы'!L19*(39510)*(1.023*1.005-2.3%*15%)*6.99</f>
        <v>41406</v>
      </c>
      <c r="G78" s="163">
        <f>$G$766</f>
        <v>1.139</v>
      </c>
      <c r="H78" s="164">
        <f t="shared" si="15"/>
        <v>47161</v>
      </c>
      <c r="I78" s="163">
        <f>Дефляторы!$D$25</f>
        <v>1.052</v>
      </c>
      <c r="J78" s="164">
        <f t="shared" si="14"/>
        <v>49613</v>
      </c>
      <c r="K78" s="164">
        <f t="shared" si="13"/>
        <v>48877</v>
      </c>
      <c r="L78" s="169" t="s">
        <v>563</v>
      </c>
      <c r="M78" s="169"/>
      <c r="N78" s="169"/>
    </row>
    <row r="79" spans="1:14" s="148" customFormat="1" ht="25.5" outlineLevel="3" x14ac:dyDescent="0.2">
      <c r="A79" s="95" t="s">
        <v>2236</v>
      </c>
      <c r="B79" s="42" t="s">
        <v>567</v>
      </c>
      <c r="C79" s="42" t="s">
        <v>750</v>
      </c>
      <c r="D79" s="100" t="s">
        <v>300</v>
      </c>
      <c r="E79" s="168">
        <f>20100.9*'Земляные работы'!M16/'Земляные работы'!$M$19</f>
        <v>3027.7</v>
      </c>
      <c r="F79" s="149">
        <f>'Земляные работы'!N16/'Земляные работы'!$N$19*(60641+30320+211146)*(1.023*1.005-2.3%*15%)*6.99</f>
        <v>349109</v>
      </c>
      <c r="G79" s="145">
        <f>$G$766</f>
        <v>1.139</v>
      </c>
      <c r="H79" s="146">
        <f t="shared" si="15"/>
        <v>397635</v>
      </c>
      <c r="I79" s="145">
        <f>Дефляторы!$D$25</f>
        <v>1.052</v>
      </c>
      <c r="J79" s="146">
        <f t="shared" si="14"/>
        <v>418312</v>
      </c>
      <c r="K79" s="146">
        <f t="shared" si="13"/>
        <v>412109</v>
      </c>
      <c r="L79" s="147" t="s">
        <v>360</v>
      </c>
      <c r="M79" s="147"/>
      <c r="N79" s="147"/>
    </row>
    <row r="80" spans="1:14" s="148" customFormat="1" ht="15.75" outlineLevel="3" x14ac:dyDescent="0.2">
      <c r="A80" s="95"/>
      <c r="B80" s="42"/>
      <c r="C80" s="157" t="s">
        <v>747</v>
      </c>
      <c r="D80" s="100"/>
      <c r="E80" s="149"/>
      <c r="F80" s="149"/>
      <c r="G80" s="145"/>
      <c r="H80" s="146"/>
      <c r="I80" s="145">
        <f>Дефляторы!$D$25</f>
        <v>1.052</v>
      </c>
      <c r="J80" s="146">
        <f t="shared" si="14"/>
        <v>0</v>
      </c>
      <c r="K80" s="146">
        <f t="shared" si="13"/>
        <v>0</v>
      </c>
      <c r="L80" s="147"/>
      <c r="M80" s="147"/>
      <c r="N80" s="147"/>
    </row>
    <row r="81" spans="1:14" s="148" customFormat="1" ht="25.5" outlineLevel="3" x14ac:dyDescent="0.2">
      <c r="A81" s="95" t="s">
        <v>2237</v>
      </c>
      <c r="B81" s="42" t="s">
        <v>355</v>
      </c>
      <c r="C81" s="42" t="s">
        <v>356</v>
      </c>
      <c r="D81" s="100" t="s">
        <v>300</v>
      </c>
      <c r="E81" s="149">
        <f>'Земляные работы'!H17</f>
        <v>2315</v>
      </c>
      <c r="F81" s="149">
        <f>'Земляные работы'!H17/'Земляные работы'!$H$19*4511030*(1.023*1.005-2.3%*15%)*6.99</f>
        <v>3306395</v>
      </c>
      <c r="G81" s="145">
        <f t="shared" ref="G81:G89" si="16">$G$766</f>
        <v>1.139</v>
      </c>
      <c r="H81" s="146">
        <f t="shared" ref="H81:H85" si="17">F81*G81</f>
        <v>3765984</v>
      </c>
      <c r="I81" s="145">
        <f>Дефляторы!$D$25</f>
        <v>1.052</v>
      </c>
      <c r="J81" s="146">
        <f t="shared" si="14"/>
        <v>3961815</v>
      </c>
      <c r="K81" s="146">
        <f t="shared" si="13"/>
        <v>3903066</v>
      </c>
      <c r="L81" s="147"/>
      <c r="M81" s="147"/>
      <c r="N81" s="147"/>
    </row>
    <row r="82" spans="1:14" s="148" customFormat="1" ht="15.75" outlineLevel="3" x14ac:dyDescent="0.2">
      <c r="A82" s="95" t="s">
        <v>2238</v>
      </c>
      <c r="B82" s="42" t="s">
        <v>560</v>
      </c>
      <c r="C82" s="42" t="s">
        <v>656</v>
      </c>
      <c r="D82" s="100" t="s">
        <v>300</v>
      </c>
      <c r="E82" s="149">
        <f>'Земляные работы'!H17</f>
        <v>2315</v>
      </c>
      <c r="F82" s="149">
        <f>'Земляные работы'!H17/'Земляные работы'!$H$19*(370936+320904)*(1.023*1.005-2.3%*15%)*6.99</f>
        <v>507090</v>
      </c>
      <c r="G82" s="145">
        <f t="shared" si="16"/>
        <v>1.139</v>
      </c>
      <c r="H82" s="146">
        <f t="shared" si="17"/>
        <v>577576</v>
      </c>
      <c r="I82" s="145">
        <f>Дефляторы!$D$25</f>
        <v>1.052</v>
      </c>
      <c r="J82" s="146">
        <f t="shared" si="14"/>
        <v>607610</v>
      </c>
      <c r="K82" s="146">
        <f t="shared" si="13"/>
        <v>598600</v>
      </c>
      <c r="L82" s="147"/>
      <c r="M82" s="147"/>
      <c r="N82" s="147"/>
    </row>
    <row r="83" spans="1:14" s="170" customFormat="1" ht="25.5" outlineLevel="3" x14ac:dyDescent="0.2">
      <c r="A83" s="160" t="s">
        <v>2239</v>
      </c>
      <c r="B83" s="91" t="s">
        <v>561</v>
      </c>
      <c r="C83" s="91" t="s">
        <v>562</v>
      </c>
      <c r="D83" s="161" t="s">
        <v>300</v>
      </c>
      <c r="E83" s="162">
        <f>'Земляные работы'!K17</f>
        <v>115.8</v>
      </c>
      <c r="F83" s="149">
        <f>'Земляные работы'!K17/'Земляные работы'!K19*(139109+18545)*(1.023*1.005-2.3%*15%)*6.99</f>
        <v>115604</v>
      </c>
      <c r="G83" s="163">
        <f t="shared" si="16"/>
        <v>1.139</v>
      </c>
      <c r="H83" s="164">
        <f t="shared" si="17"/>
        <v>131673</v>
      </c>
      <c r="I83" s="163">
        <f>Дефляторы!$D$25</f>
        <v>1.052</v>
      </c>
      <c r="J83" s="164">
        <f t="shared" si="14"/>
        <v>138520</v>
      </c>
      <c r="K83" s="164">
        <f t="shared" si="13"/>
        <v>136466</v>
      </c>
      <c r="L83" s="169" t="s">
        <v>563</v>
      </c>
      <c r="M83" s="169"/>
      <c r="N83" s="169"/>
    </row>
    <row r="84" spans="1:14" s="170" customFormat="1" ht="15.75" outlineLevel="3" x14ac:dyDescent="0.2">
      <c r="A84" s="160" t="s">
        <v>2240</v>
      </c>
      <c r="B84" s="91" t="s">
        <v>564</v>
      </c>
      <c r="C84" s="91" t="s">
        <v>565</v>
      </c>
      <c r="D84" s="161" t="s">
        <v>300</v>
      </c>
      <c r="E84" s="162">
        <f>'Земляные работы'!L17</f>
        <v>115.8</v>
      </c>
      <c r="F84" s="149">
        <f>'Земляные работы'!L17/'Земляные работы'!L19*(39510)*(1.023*1.005-2.3%*15%)*6.99</f>
        <v>28972</v>
      </c>
      <c r="G84" s="163">
        <f t="shared" si="16"/>
        <v>1.139</v>
      </c>
      <c r="H84" s="164">
        <f t="shared" si="17"/>
        <v>32999</v>
      </c>
      <c r="I84" s="163">
        <f>Дефляторы!$D$25</f>
        <v>1.052</v>
      </c>
      <c r="J84" s="164">
        <f t="shared" si="14"/>
        <v>34715</v>
      </c>
      <c r="K84" s="164">
        <f t="shared" si="13"/>
        <v>34200</v>
      </c>
      <c r="L84" s="169" t="s">
        <v>563</v>
      </c>
      <c r="M84" s="169"/>
      <c r="N84" s="169"/>
    </row>
    <row r="85" spans="1:14" s="148" customFormat="1" ht="25.5" outlineLevel="3" x14ac:dyDescent="0.2">
      <c r="A85" s="95" t="s">
        <v>2241</v>
      </c>
      <c r="B85" s="42" t="s">
        <v>567</v>
      </c>
      <c r="C85" s="42" t="s">
        <v>750</v>
      </c>
      <c r="D85" s="100" t="s">
        <v>300</v>
      </c>
      <c r="E85" s="168">
        <f>20100.9*'Земляные работы'!M17/'Земляные работы'!$M$19</f>
        <v>2087</v>
      </c>
      <c r="F85" s="149">
        <f>'Земляные работы'!N17/'Земляные работы'!$N$19*(60641+30320+211146)*(1.023*1.005-2.3%*15%)*6.99</f>
        <v>240642</v>
      </c>
      <c r="G85" s="145">
        <f t="shared" si="16"/>
        <v>1.139</v>
      </c>
      <c r="H85" s="146">
        <f t="shared" si="17"/>
        <v>274091</v>
      </c>
      <c r="I85" s="145">
        <f>Дефляторы!$D$25</f>
        <v>1.052</v>
      </c>
      <c r="J85" s="146">
        <f t="shared" si="14"/>
        <v>288344</v>
      </c>
      <c r="K85" s="146">
        <f t="shared" si="13"/>
        <v>284068</v>
      </c>
      <c r="L85" s="147" t="s">
        <v>360</v>
      </c>
      <c r="M85" s="147"/>
      <c r="N85" s="147"/>
    </row>
    <row r="86" spans="1:14" s="148" customFormat="1" ht="15.75" outlineLevel="3" x14ac:dyDescent="0.2">
      <c r="A86" s="95" t="s">
        <v>2242</v>
      </c>
      <c r="B86" s="42" t="s">
        <v>756</v>
      </c>
      <c r="C86" s="42" t="s">
        <v>580</v>
      </c>
      <c r="D86" s="100" t="s">
        <v>305</v>
      </c>
      <c r="E86" s="149">
        <v>1</v>
      </c>
      <c r="F86" s="149">
        <f>187009*(1.023*1.005-2.3%*15%)*6.99</f>
        <v>1339435</v>
      </c>
      <c r="G86" s="145">
        <f t="shared" si="16"/>
        <v>1.139</v>
      </c>
      <c r="H86" s="146">
        <f t="shared" si="12"/>
        <v>1525616</v>
      </c>
      <c r="I86" s="145">
        <f>Дефляторы!$D$25</f>
        <v>1.052</v>
      </c>
      <c r="J86" s="146">
        <f t="shared" si="14"/>
        <v>1604948</v>
      </c>
      <c r="K86" s="146">
        <f t="shared" si="13"/>
        <v>1581148</v>
      </c>
      <c r="L86" s="147" t="s">
        <v>757</v>
      </c>
      <c r="M86" s="147"/>
      <c r="N86" s="147"/>
    </row>
    <row r="87" spans="1:14" s="148" customFormat="1" ht="15.75" outlineLevel="3" x14ac:dyDescent="0.2">
      <c r="A87" s="95" t="s">
        <v>2243</v>
      </c>
      <c r="B87" s="42" t="s">
        <v>758</v>
      </c>
      <c r="C87" s="42" t="s">
        <v>582</v>
      </c>
      <c r="D87" s="100" t="s">
        <v>305</v>
      </c>
      <c r="E87" s="149">
        <v>1</v>
      </c>
      <c r="F87" s="149">
        <f>299334*(1.023*1.005-2.3%*15%)*6.99</f>
        <v>2143952</v>
      </c>
      <c r="G87" s="145">
        <f t="shared" si="16"/>
        <v>1.139</v>
      </c>
      <c r="H87" s="146">
        <f t="shared" si="12"/>
        <v>2441961</v>
      </c>
      <c r="I87" s="145">
        <f>Дефляторы!$D$25</f>
        <v>1.052</v>
      </c>
      <c r="J87" s="146">
        <f t="shared" si="14"/>
        <v>2568943</v>
      </c>
      <c r="K87" s="146">
        <f t="shared" si="13"/>
        <v>2530848</v>
      </c>
      <c r="L87" s="147" t="s">
        <v>759</v>
      </c>
      <c r="M87" s="147"/>
      <c r="N87" s="147"/>
    </row>
    <row r="88" spans="1:14" s="148" customFormat="1" ht="15.75" outlineLevel="3" x14ac:dyDescent="0.2">
      <c r="A88" s="95" t="s">
        <v>2244</v>
      </c>
      <c r="B88" s="42" t="s">
        <v>760</v>
      </c>
      <c r="C88" s="42" t="s">
        <v>583</v>
      </c>
      <c r="D88" s="100" t="s">
        <v>305</v>
      </c>
      <c r="E88" s="149">
        <v>1</v>
      </c>
      <c r="F88" s="149">
        <f>313077*(1.023*1.005-2.3%*15%)*6.99</f>
        <v>2242385</v>
      </c>
      <c r="G88" s="145">
        <f t="shared" si="16"/>
        <v>1.139</v>
      </c>
      <c r="H88" s="146">
        <f t="shared" si="12"/>
        <v>2554077</v>
      </c>
      <c r="I88" s="145">
        <f>Дефляторы!$D$25</f>
        <v>1.052</v>
      </c>
      <c r="J88" s="146">
        <f t="shared" si="14"/>
        <v>2686889</v>
      </c>
      <c r="K88" s="146">
        <f t="shared" si="13"/>
        <v>2647045</v>
      </c>
      <c r="L88" s="147" t="s">
        <v>761</v>
      </c>
      <c r="M88" s="147"/>
      <c r="N88" s="147"/>
    </row>
    <row r="89" spans="1:14" s="148" customFormat="1" ht="15.75" outlineLevel="3" x14ac:dyDescent="0.2">
      <c r="A89" s="95" t="s">
        <v>2245</v>
      </c>
      <c r="B89" s="42" t="s">
        <v>762</v>
      </c>
      <c r="C89" s="42" t="s">
        <v>745</v>
      </c>
      <c r="D89" s="100" t="s">
        <v>305</v>
      </c>
      <c r="E89" s="149">
        <v>1</v>
      </c>
      <c r="F89" s="149">
        <f>262877*(1.023*1.005-2.3%*15%)*6.99</f>
        <v>1882832</v>
      </c>
      <c r="G89" s="145">
        <f t="shared" si="16"/>
        <v>1.139</v>
      </c>
      <c r="H89" s="146">
        <f t="shared" si="12"/>
        <v>2144546</v>
      </c>
      <c r="I89" s="145">
        <f>Дефляторы!$D$25</f>
        <v>1.052</v>
      </c>
      <c r="J89" s="146">
        <f t="shared" si="14"/>
        <v>2256062</v>
      </c>
      <c r="K89" s="146">
        <f t="shared" si="13"/>
        <v>2222607</v>
      </c>
      <c r="L89" s="147" t="s">
        <v>763</v>
      </c>
      <c r="M89" s="147"/>
      <c r="N89" s="147"/>
    </row>
    <row r="90" spans="1:14" s="243" customFormat="1" ht="15.75" outlineLevel="3" x14ac:dyDescent="0.2">
      <c r="A90" s="244"/>
      <c r="B90" s="245"/>
      <c r="C90" s="245" t="s">
        <v>1802</v>
      </c>
      <c r="D90" s="246"/>
      <c r="E90" s="247"/>
      <c r="F90" s="240"/>
      <c r="G90" s="248"/>
      <c r="H90" s="255"/>
      <c r="I90" s="248">
        <f>Дефляторы!$D$25</f>
        <v>1.052</v>
      </c>
      <c r="J90" s="255"/>
      <c r="K90" s="255"/>
      <c r="L90" s="269"/>
      <c r="M90" s="269"/>
      <c r="N90" s="269"/>
    </row>
    <row r="91" spans="1:14" s="148" customFormat="1" ht="15.75" outlineLevel="3" x14ac:dyDescent="0.2">
      <c r="A91" s="95"/>
      <c r="B91" s="42"/>
      <c r="C91" s="157" t="s">
        <v>744</v>
      </c>
      <c r="D91" s="100"/>
      <c r="E91" s="149"/>
      <c r="F91" s="149"/>
      <c r="G91" s="145"/>
      <c r="H91" s="146"/>
      <c r="I91" s="145">
        <f>Дефляторы!$D$25</f>
        <v>1.052</v>
      </c>
      <c r="J91" s="146"/>
      <c r="K91" s="146"/>
      <c r="L91" s="147"/>
      <c r="M91" s="147"/>
      <c r="N91" s="147"/>
    </row>
    <row r="92" spans="1:14" s="148" customFormat="1" ht="25.5" outlineLevel="3" x14ac:dyDescent="0.2">
      <c r="A92" s="95" t="s">
        <v>2246</v>
      </c>
      <c r="B92" s="42" t="s">
        <v>355</v>
      </c>
      <c r="C92" s="42" t="s">
        <v>356</v>
      </c>
      <c r="D92" s="100" t="s">
        <v>300</v>
      </c>
      <c r="E92" s="149">
        <f>'Земляные работы'!H18</f>
        <v>8100</v>
      </c>
      <c r="F92" s="149">
        <f>'Земляные работы'!H18/'Земляные работы'!$H$19*4511030*(1.023*1.005-2.3%*15%)*6.99</f>
        <v>11568813</v>
      </c>
      <c r="G92" s="145">
        <f t="shared" ref="G92:G99" si="18">$G$766</f>
        <v>1.139</v>
      </c>
      <c r="H92" s="146">
        <f t="shared" si="12"/>
        <v>13176878</v>
      </c>
      <c r="I92" s="145">
        <f>Дефляторы!$D$25</f>
        <v>1.052</v>
      </c>
      <c r="J92" s="146">
        <f>H92*I92</f>
        <v>13862076</v>
      </c>
      <c r="K92" s="146">
        <f t="shared" ref="K92:K98" si="19">H92+(J92-H92)*(1-30/100)</f>
        <v>13656517</v>
      </c>
      <c r="L92" s="147"/>
      <c r="M92" s="147"/>
      <c r="N92" s="147"/>
    </row>
    <row r="93" spans="1:14" s="148" customFormat="1" ht="15.75" outlineLevel="3" x14ac:dyDescent="0.2">
      <c r="A93" s="95" t="s">
        <v>2247</v>
      </c>
      <c r="B93" s="42" t="s">
        <v>560</v>
      </c>
      <c r="C93" s="42" t="s">
        <v>656</v>
      </c>
      <c r="D93" s="100" t="s">
        <v>300</v>
      </c>
      <c r="E93" s="149">
        <f>'Земляные работы'!H18</f>
        <v>8100</v>
      </c>
      <c r="F93" s="149">
        <f>'Земляные работы'!H18/'Земляные работы'!$H$19*(370936+320904)*(1.023*1.005-2.3%*15%)*6.99</f>
        <v>1774266</v>
      </c>
      <c r="G93" s="145">
        <f t="shared" si="18"/>
        <v>1.139</v>
      </c>
      <c r="H93" s="146">
        <f t="shared" si="12"/>
        <v>2020889</v>
      </c>
      <c r="I93" s="145">
        <f>Дефляторы!$D$25</f>
        <v>1.052</v>
      </c>
      <c r="J93" s="146">
        <f t="shared" ref="J93:J98" si="20">H93*I93</f>
        <v>2125975</v>
      </c>
      <c r="K93" s="146">
        <f t="shared" si="19"/>
        <v>2094449</v>
      </c>
      <c r="L93" s="147"/>
      <c r="M93" s="147"/>
      <c r="N93" s="147"/>
    </row>
    <row r="94" spans="1:14" s="167" customFormat="1" ht="25.5" outlineLevel="3" x14ac:dyDescent="0.2">
      <c r="A94" s="160" t="s">
        <v>2248</v>
      </c>
      <c r="B94" s="91" t="s">
        <v>561</v>
      </c>
      <c r="C94" s="91" t="s">
        <v>562</v>
      </c>
      <c r="D94" s="161" t="s">
        <v>300</v>
      </c>
      <c r="E94" s="162">
        <f>'Земляные работы'!K18</f>
        <v>405</v>
      </c>
      <c r="F94" s="149">
        <f>'Земляные работы'!K18/'Земляные работы'!K19*(139109+18545)*(1.023*1.005-2.3%*15%)*6.99</f>
        <v>404313</v>
      </c>
      <c r="G94" s="163">
        <f t="shared" si="18"/>
        <v>1.139</v>
      </c>
      <c r="H94" s="164">
        <f t="shared" si="12"/>
        <v>460513</v>
      </c>
      <c r="I94" s="163">
        <f>Дефляторы!$D$25</f>
        <v>1.052</v>
      </c>
      <c r="J94" s="164">
        <f t="shared" si="20"/>
        <v>484460</v>
      </c>
      <c r="K94" s="164">
        <f t="shared" si="19"/>
        <v>477276</v>
      </c>
      <c r="L94" s="165" t="s">
        <v>563</v>
      </c>
      <c r="M94" s="165"/>
      <c r="N94" s="165"/>
    </row>
    <row r="95" spans="1:14" s="167" customFormat="1" ht="15.75" outlineLevel="3" x14ac:dyDescent="0.2">
      <c r="A95" s="160" t="s">
        <v>2249</v>
      </c>
      <c r="B95" s="91" t="s">
        <v>564</v>
      </c>
      <c r="C95" s="91" t="s">
        <v>565</v>
      </c>
      <c r="D95" s="161" t="s">
        <v>300</v>
      </c>
      <c r="E95" s="162">
        <f>'Земляные работы'!L18</f>
        <v>405</v>
      </c>
      <c r="F95" s="149">
        <f>'Земляные работы'!L18/'Земляные работы'!L19*(39510)*(1.023*1.005-2.3%*15%)*6.99</f>
        <v>101326</v>
      </c>
      <c r="G95" s="163">
        <f t="shared" si="18"/>
        <v>1.139</v>
      </c>
      <c r="H95" s="164">
        <f t="shared" si="12"/>
        <v>115410</v>
      </c>
      <c r="I95" s="163">
        <f>Дефляторы!$D$25</f>
        <v>1.052</v>
      </c>
      <c r="J95" s="164">
        <f t="shared" si="20"/>
        <v>121411</v>
      </c>
      <c r="K95" s="164">
        <f t="shared" si="19"/>
        <v>119611</v>
      </c>
      <c r="L95" s="165" t="s">
        <v>563</v>
      </c>
      <c r="M95" s="165"/>
      <c r="N95" s="165"/>
    </row>
    <row r="96" spans="1:14" s="148" customFormat="1" ht="25.5" outlineLevel="3" x14ac:dyDescent="0.2">
      <c r="A96" s="95" t="s">
        <v>2250</v>
      </c>
      <c r="B96" s="42" t="s">
        <v>567</v>
      </c>
      <c r="C96" s="42" t="s">
        <v>750</v>
      </c>
      <c r="D96" s="100" t="s">
        <v>300</v>
      </c>
      <c r="E96" s="168">
        <f>20100.9*'Земляные работы'!M18/'Земляные работы'!$M$19+0.1</f>
        <v>7200</v>
      </c>
      <c r="F96" s="149">
        <f>('Земляные работы'!N18/'Земляные работы'!$N$19)*(60641+30320+211146)*(1.023*1.005-2.3%*15%)*6.99</f>
        <v>740535</v>
      </c>
      <c r="G96" s="145">
        <f t="shared" si="18"/>
        <v>1.139</v>
      </c>
      <c r="H96" s="146">
        <f t="shared" si="12"/>
        <v>843469</v>
      </c>
      <c r="I96" s="145">
        <f>Дефляторы!$D$25</f>
        <v>1.052</v>
      </c>
      <c r="J96" s="146">
        <f t="shared" si="20"/>
        <v>887329</v>
      </c>
      <c r="K96" s="146">
        <f t="shared" si="19"/>
        <v>874171</v>
      </c>
      <c r="L96" s="147" t="s">
        <v>360</v>
      </c>
      <c r="M96" s="147"/>
      <c r="N96" s="147"/>
    </row>
    <row r="97" spans="1:14" s="148" customFormat="1" ht="15.75" outlineLevel="3" x14ac:dyDescent="0.2">
      <c r="A97" s="95" t="s">
        <v>2251</v>
      </c>
      <c r="B97" s="42" t="s">
        <v>764</v>
      </c>
      <c r="C97" s="42" t="s">
        <v>748</v>
      </c>
      <c r="D97" s="100" t="s">
        <v>305</v>
      </c>
      <c r="E97" s="149">
        <v>1</v>
      </c>
      <c r="F97" s="149">
        <f>141938*(1.023*1.005-2.3%*15%)*6.99</f>
        <v>1016618</v>
      </c>
      <c r="G97" s="145">
        <f t="shared" si="18"/>
        <v>1.139</v>
      </c>
      <c r="H97" s="146">
        <f t="shared" si="12"/>
        <v>1157928</v>
      </c>
      <c r="I97" s="145">
        <f>Дефляторы!$D$25</f>
        <v>1.052</v>
      </c>
      <c r="J97" s="146">
        <f t="shared" si="20"/>
        <v>1218140</v>
      </c>
      <c r="K97" s="146">
        <f t="shared" si="19"/>
        <v>1200076</v>
      </c>
      <c r="L97" s="147" t="s">
        <v>765</v>
      </c>
      <c r="M97" s="147"/>
      <c r="N97" s="147"/>
    </row>
    <row r="98" spans="1:14" s="148" customFormat="1" ht="15.75" outlineLevel="3" x14ac:dyDescent="0.2">
      <c r="A98" s="95" t="s">
        <v>2252</v>
      </c>
      <c r="B98" s="42" t="s">
        <v>766</v>
      </c>
      <c r="C98" s="42" t="s">
        <v>749</v>
      </c>
      <c r="D98" s="100" t="s">
        <v>408</v>
      </c>
      <c r="E98" s="149">
        <v>1</v>
      </c>
      <c r="F98" s="149">
        <f>1075018*(1.023*1.005-2.3%*15%)*6.99</f>
        <v>7699718</v>
      </c>
      <c r="G98" s="145">
        <f t="shared" si="18"/>
        <v>1.139</v>
      </c>
      <c r="H98" s="146">
        <f t="shared" si="12"/>
        <v>8769979</v>
      </c>
      <c r="I98" s="145">
        <f>Дефляторы!$D$25</f>
        <v>1.052</v>
      </c>
      <c r="J98" s="146">
        <f t="shared" si="20"/>
        <v>9226018</v>
      </c>
      <c r="K98" s="146">
        <f t="shared" si="19"/>
        <v>9089206</v>
      </c>
      <c r="L98" s="147" t="s">
        <v>455</v>
      </c>
      <c r="M98" s="147"/>
      <c r="N98" s="147"/>
    </row>
    <row r="99" spans="1:14" s="237" customFormat="1" ht="25.5" outlineLevel="2" x14ac:dyDescent="0.2">
      <c r="A99" s="238" t="s">
        <v>366</v>
      </c>
      <c r="B99" s="229" t="s">
        <v>144</v>
      </c>
      <c r="C99" s="229" t="s">
        <v>1786</v>
      </c>
      <c r="D99" s="239" t="s">
        <v>292</v>
      </c>
      <c r="E99" s="240">
        <v>1</v>
      </c>
      <c r="F99" s="240">
        <f>SUM(F100:F110)</f>
        <v>2166987</v>
      </c>
      <c r="G99" s="241">
        <f t="shared" si="18"/>
        <v>1.139</v>
      </c>
      <c r="H99" s="240">
        <f>SUM(H100:H110)</f>
        <v>2468198</v>
      </c>
      <c r="I99" s="241">
        <f>Дефляторы!$D$25</f>
        <v>1.052</v>
      </c>
      <c r="J99" s="240">
        <f>SUM(J100:J110)</f>
        <v>2596544</v>
      </c>
      <c r="K99" s="240">
        <f>SUM(K100:K110)</f>
        <v>2558042</v>
      </c>
      <c r="L99" s="286"/>
      <c r="M99" s="256"/>
      <c r="N99" s="256"/>
    </row>
    <row r="100" spans="1:14" s="148" customFormat="1" ht="15.75" outlineLevel="3" x14ac:dyDescent="0.2">
      <c r="A100" s="95"/>
      <c r="B100" s="42"/>
      <c r="C100" s="157" t="s">
        <v>367</v>
      </c>
      <c r="D100" s="100"/>
      <c r="E100" s="149"/>
      <c r="F100" s="149"/>
      <c r="G100" s="145"/>
      <c r="H100" s="146"/>
      <c r="I100" s="145">
        <f>Дефляторы!$D$25</f>
        <v>1.052</v>
      </c>
      <c r="J100" s="146">
        <f t="shared" ref="J100:J110" si="21">H100*I100</f>
        <v>0</v>
      </c>
      <c r="K100" s="146">
        <f t="shared" ref="K100:K110" si="22">H100+(J100-H100)*(1-30/100)</f>
        <v>0</v>
      </c>
      <c r="L100" s="147"/>
      <c r="M100" s="147"/>
      <c r="N100" s="147"/>
    </row>
    <row r="101" spans="1:14" s="148" customFormat="1" ht="25.5" outlineLevel="3" x14ac:dyDescent="0.2">
      <c r="A101" s="95" t="s">
        <v>368</v>
      </c>
      <c r="B101" s="42" t="s">
        <v>369</v>
      </c>
      <c r="C101" s="42" t="s">
        <v>356</v>
      </c>
      <c r="D101" s="100" t="s">
        <v>300</v>
      </c>
      <c r="E101" s="149">
        <v>332</v>
      </c>
      <c r="F101" s="149">
        <f>65647*(1.023*1.005-2.3%*15%)*6.99-87</f>
        <v>470104</v>
      </c>
      <c r="G101" s="145">
        <f t="shared" ref="G101:G106" si="23">$G$766</f>
        <v>1.139</v>
      </c>
      <c r="H101" s="146">
        <f t="shared" ref="H101:H106" si="24">F101*G101</f>
        <v>535448</v>
      </c>
      <c r="I101" s="145">
        <f>Дефляторы!$D$25</f>
        <v>1.052</v>
      </c>
      <c r="J101" s="146">
        <f t="shared" si="21"/>
        <v>563291</v>
      </c>
      <c r="K101" s="146">
        <f t="shared" si="22"/>
        <v>554938</v>
      </c>
      <c r="L101" s="147"/>
      <c r="M101" s="147"/>
      <c r="N101" s="147"/>
    </row>
    <row r="102" spans="1:14" s="148" customFormat="1" ht="15.75" outlineLevel="3" x14ac:dyDescent="0.2">
      <c r="A102" s="95" t="s">
        <v>370</v>
      </c>
      <c r="B102" s="42" t="s">
        <v>772</v>
      </c>
      <c r="C102" s="42" t="s">
        <v>656</v>
      </c>
      <c r="D102" s="100" t="s">
        <v>300</v>
      </c>
      <c r="E102" s="168">
        <v>232.4</v>
      </c>
      <c r="F102" s="149">
        <f>(5022+2772+405)*(1.023*1.005-2.3%*15%)*6.99</f>
        <v>58725</v>
      </c>
      <c r="G102" s="145">
        <f t="shared" si="23"/>
        <v>1.139</v>
      </c>
      <c r="H102" s="146">
        <f t="shared" si="24"/>
        <v>66888</v>
      </c>
      <c r="I102" s="145">
        <f>Дефляторы!$D$25</f>
        <v>1.052</v>
      </c>
      <c r="J102" s="146">
        <f t="shared" si="21"/>
        <v>70366</v>
      </c>
      <c r="K102" s="146">
        <f t="shared" si="22"/>
        <v>69323</v>
      </c>
      <c r="L102" s="147"/>
      <c r="M102" s="147"/>
      <c r="N102" s="147"/>
    </row>
    <row r="103" spans="1:14" s="148" customFormat="1" ht="15.75" outlineLevel="3" x14ac:dyDescent="0.2">
      <c r="A103" s="95" t="s">
        <v>371</v>
      </c>
      <c r="B103" s="42" t="s">
        <v>372</v>
      </c>
      <c r="C103" s="42" t="s">
        <v>460</v>
      </c>
      <c r="D103" s="100" t="s">
        <v>300</v>
      </c>
      <c r="E103" s="168">
        <v>99.6</v>
      </c>
      <c r="F103" s="149">
        <f>1669*(1.023*1.005-2.3%*15%)*6.99</f>
        <v>11954</v>
      </c>
      <c r="G103" s="145">
        <f t="shared" si="23"/>
        <v>1.139</v>
      </c>
      <c r="H103" s="146">
        <f t="shared" si="24"/>
        <v>13616</v>
      </c>
      <c r="I103" s="145">
        <f>Дефляторы!$D$25</f>
        <v>1.052</v>
      </c>
      <c r="J103" s="146">
        <f t="shared" si="21"/>
        <v>14324</v>
      </c>
      <c r="K103" s="146">
        <f t="shared" si="22"/>
        <v>14112</v>
      </c>
      <c r="L103" s="147"/>
      <c r="M103" s="147"/>
      <c r="N103" s="147"/>
    </row>
    <row r="104" spans="1:14" s="148" customFormat="1" ht="15.75" outlineLevel="3" x14ac:dyDescent="0.2">
      <c r="A104" s="95" t="s">
        <v>374</v>
      </c>
      <c r="B104" s="42" t="s">
        <v>375</v>
      </c>
      <c r="C104" s="42" t="s">
        <v>359</v>
      </c>
      <c r="D104" s="100" t="s">
        <v>300</v>
      </c>
      <c r="E104" s="168">
        <v>99.6</v>
      </c>
      <c r="F104" s="149">
        <f>(339+239+1021)*(1.023*1.005-2.3%*15%)*6.99</f>
        <v>11453</v>
      </c>
      <c r="G104" s="145">
        <f t="shared" si="23"/>
        <v>1.139</v>
      </c>
      <c r="H104" s="146">
        <f t="shared" si="24"/>
        <v>13045</v>
      </c>
      <c r="I104" s="145">
        <f>Дефляторы!$D$25</f>
        <v>1.052</v>
      </c>
      <c r="J104" s="146">
        <f t="shared" si="21"/>
        <v>13723</v>
      </c>
      <c r="K104" s="146">
        <f t="shared" si="22"/>
        <v>13520</v>
      </c>
      <c r="L104" s="147"/>
      <c r="M104" s="147"/>
      <c r="N104" s="147"/>
    </row>
    <row r="105" spans="1:14" s="148" customFormat="1" ht="25.5" outlineLevel="3" x14ac:dyDescent="0.2">
      <c r="A105" s="95" t="s">
        <v>376</v>
      </c>
      <c r="B105" s="42" t="s">
        <v>774</v>
      </c>
      <c r="C105" s="42" t="s">
        <v>773</v>
      </c>
      <c r="D105" s="100" t="s">
        <v>377</v>
      </c>
      <c r="E105" s="149">
        <v>60</v>
      </c>
      <c r="F105" s="149">
        <f>(60/190*(864+5408+10382)+789)*(1.023*1.005-2.3%*15%)*6.99</f>
        <v>43319</v>
      </c>
      <c r="G105" s="145">
        <f t="shared" si="23"/>
        <v>1.139</v>
      </c>
      <c r="H105" s="146">
        <f t="shared" si="24"/>
        <v>49340</v>
      </c>
      <c r="I105" s="145">
        <f>Дефляторы!$D$25</f>
        <v>1.052</v>
      </c>
      <c r="J105" s="146">
        <f t="shared" si="21"/>
        <v>51906</v>
      </c>
      <c r="K105" s="146">
        <f t="shared" si="22"/>
        <v>51136</v>
      </c>
      <c r="L105" s="147"/>
      <c r="M105" s="147"/>
      <c r="N105" s="147"/>
    </row>
    <row r="106" spans="1:14" s="148" customFormat="1" ht="25.5" outlineLevel="3" x14ac:dyDescent="0.2">
      <c r="A106" s="95" t="s">
        <v>378</v>
      </c>
      <c r="B106" s="42" t="s">
        <v>776</v>
      </c>
      <c r="C106" s="42" t="s">
        <v>775</v>
      </c>
      <c r="D106" s="100" t="s">
        <v>377</v>
      </c>
      <c r="E106" s="149">
        <v>130</v>
      </c>
      <c r="F106" s="149">
        <f>(130/190*(864+5408+10382)+6269)*(1.023*1.005-2.3%*15%)*6.99</f>
        <v>126516</v>
      </c>
      <c r="G106" s="145">
        <f t="shared" si="23"/>
        <v>1.139</v>
      </c>
      <c r="H106" s="146">
        <f t="shared" si="24"/>
        <v>144102</v>
      </c>
      <c r="I106" s="145">
        <f>Дефляторы!$D$25</f>
        <v>1.052</v>
      </c>
      <c r="J106" s="146">
        <f t="shared" si="21"/>
        <v>151595</v>
      </c>
      <c r="K106" s="146">
        <f t="shared" si="22"/>
        <v>149347</v>
      </c>
      <c r="L106" s="147"/>
      <c r="M106" s="147"/>
      <c r="N106" s="147"/>
    </row>
    <row r="107" spans="1:14" s="148" customFormat="1" ht="15.75" outlineLevel="3" x14ac:dyDescent="0.2">
      <c r="A107" s="95"/>
      <c r="B107" s="42"/>
      <c r="C107" s="157" t="s">
        <v>379</v>
      </c>
      <c r="D107" s="100"/>
      <c r="E107" s="149"/>
      <c r="F107" s="149"/>
      <c r="G107" s="145"/>
      <c r="H107" s="146"/>
      <c r="I107" s="145">
        <f>Дефляторы!$D$25</f>
        <v>1.052</v>
      </c>
      <c r="J107" s="146">
        <f t="shared" si="21"/>
        <v>0</v>
      </c>
      <c r="K107" s="146">
        <f t="shared" si="22"/>
        <v>0</v>
      </c>
      <c r="L107" s="147"/>
      <c r="M107" s="147"/>
      <c r="N107" s="147"/>
    </row>
    <row r="108" spans="1:14" s="148" customFormat="1" ht="25.5" outlineLevel="3" x14ac:dyDescent="0.2">
      <c r="A108" s="95" t="s">
        <v>380</v>
      </c>
      <c r="B108" s="42" t="s">
        <v>381</v>
      </c>
      <c r="C108" s="42" t="s">
        <v>778</v>
      </c>
      <c r="D108" s="100" t="s">
        <v>377</v>
      </c>
      <c r="E108" s="149">
        <v>120</v>
      </c>
      <c r="F108" s="149">
        <f>(1923+123008)*(1.023*1.005-2.3%*15%)*6.99</f>
        <v>894807</v>
      </c>
      <c r="G108" s="145">
        <f t="shared" ref="G108:G116" si="25">$G$766</f>
        <v>1.139</v>
      </c>
      <c r="H108" s="146">
        <f>F108*G108</f>
        <v>1019185</v>
      </c>
      <c r="I108" s="145">
        <f>Дефляторы!$D$25</f>
        <v>1.052</v>
      </c>
      <c r="J108" s="146">
        <f t="shared" si="21"/>
        <v>1072183</v>
      </c>
      <c r="K108" s="146">
        <f t="shared" si="22"/>
        <v>1056284</v>
      </c>
      <c r="L108" s="147"/>
      <c r="M108" s="147"/>
      <c r="N108" s="147"/>
    </row>
    <row r="109" spans="1:14" s="148" customFormat="1" ht="25.5" outlineLevel="3" x14ac:dyDescent="0.2">
      <c r="A109" s="95" t="s">
        <v>382</v>
      </c>
      <c r="B109" s="42" t="s">
        <v>383</v>
      </c>
      <c r="C109" s="42" t="s">
        <v>777</v>
      </c>
      <c r="D109" s="100" t="s">
        <v>377</v>
      </c>
      <c r="E109" s="149">
        <v>120</v>
      </c>
      <c r="F109" s="149">
        <f>(1239+35765)*(1.023*1.005-2.3%*15%)*6.99</f>
        <v>265038</v>
      </c>
      <c r="G109" s="145">
        <f t="shared" si="25"/>
        <v>1.139</v>
      </c>
      <c r="H109" s="146">
        <f>F109*G109</f>
        <v>301878</v>
      </c>
      <c r="I109" s="145">
        <f>Дефляторы!$D$25</f>
        <v>1.052</v>
      </c>
      <c r="J109" s="146">
        <f t="shared" si="21"/>
        <v>317576</v>
      </c>
      <c r="K109" s="146">
        <f t="shared" si="22"/>
        <v>312867</v>
      </c>
      <c r="L109" s="147"/>
      <c r="M109" s="147"/>
      <c r="N109" s="147"/>
    </row>
    <row r="110" spans="1:14" s="148" customFormat="1" ht="25.5" outlineLevel="3" x14ac:dyDescent="0.2">
      <c r="A110" s="95" t="s">
        <v>384</v>
      </c>
      <c r="B110" s="42" t="s">
        <v>385</v>
      </c>
      <c r="C110" s="42" t="s">
        <v>386</v>
      </c>
      <c r="D110" s="100" t="s">
        <v>377</v>
      </c>
      <c r="E110" s="149">
        <v>830</v>
      </c>
      <c r="F110" s="149">
        <f>(13357+26444)*(1.023*1.005-2.3%*15%)*6.99</f>
        <v>285071</v>
      </c>
      <c r="G110" s="145">
        <f t="shared" si="25"/>
        <v>1.139</v>
      </c>
      <c r="H110" s="146">
        <f>F110*G110</f>
        <v>324696</v>
      </c>
      <c r="I110" s="145">
        <f>Дефляторы!$D$25</f>
        <v>1.052</v>
      </c>
      <c r="J110" s="146">
        <f t="shared" si="21"/>
        <v>341580</v>
      </c>
      <c r="K110" s="146">
        <f t="shared" si="22"/>
        <v>336515</v>
      </c>
      <c r="L110" s="147"/>
      <c r="M110" s="147"/>
      <c r="N110" s="147"/>
    </row>
    <row r="111" spans="1:14" s="237" customFormat="1" ht="25.5" outlineLevel="2" x14ac:dyDescent="0.2">
      <c r="A111" s="238" t="s">
        <v>387</v>
      </c>
      <c r="B111" s="229" t="s">
        <v>146</v>
      </c>
      <c r="C111" s="229" t="s">
        <v>1781</v>
      </c>
      <c r="D111" s="300" t="s">
        <v>292</v>
      </c>
      <c r="E111" s="240">
        <v>1</v>
      </c>
      <c r="F111" s="240">
        <f>SUM(F112:F116)</f>
        <v>55007</v>
      </c>
      <c r="G111" s="241">
        <f t="shared" si="25"/>
        <v>1.139</v>
      </c>
      <c r="H111" s="240">
        <f>SUM(H112:H116)</f>
        <v>62652</v>
      </c>
      <c r="I111" s="241">
        <f>Дефляторы!$D$25</f>
        <v>1.052</v>
      </c>
      <c r="J111" s="240">
        <f>SUM(J112:J116)</f>
        <v>65910</v>
      </c>
      <c r="K111" s="240">
        <f>SUM(K112:K116)</f>
        <v>64932</v>
      </c>
      <c r="L111" s="256"/>
      <c r="M111" s="256"/>
      <c r="N111" s="256"/>
    </row>
    <row r="112" spans="1:14" s="155" customFormat="1" ht="25.5" outlineLevel="3" x14ac:dyDescent="0.2">
      <c r="A112" s="95" t="s">
        <v>388</v>
      </c>
      <c r="B112" s="42" t="s">
        <v>783</v>
      </c>
      <c r="C112" s="42" t="s">
        <v>782</v>
      </c>
      <c r="D112" s="143" t="s">
        <v>408</v>
      </c>
      <c r="E112" s="149">
        <v>4</v>
      </c>
      <c r="F112" s="149">
        <f>(4/9*387+1775)*(1.023*1.005-2.3%*15%)*6.99+0*4.09</f>
        <v>13945</v>
      </c>
      <c r="G112" s="145">
        <f t="shared" si="25"/>
        <v>1.139</v>
      </c>
      <c r="H112" s="146">
        <f>F112*G112</f>
        <v>15883</v>
      </c>
      <c r="I112" s="145">
        <f>Дефляторы!$D$25</f>
        <v>1.052</v>
      </c>
      <c r="J112" s="146">
        <f>H112*I112</f>
        <v>16709</v>
      </c>
      <c r="K112" s="146">
        <f>H112+(J112-H112)*(1-30/100)</f>
        <v>16461</v>
      </c>
      <c r="L112" s="96"/>
      <c r="M112" s="96"/>
      <c r="N112" s="96"/>
    </row>
    <row r="113" spans="1:14" s="155" customFormat="1" ht="25.5" outlineLevel="3" x14ac:dyDescent="0.2">
      <c r="A113" s="95" t="s">
        <v>389</v>
      </c>
      <c r="B113" s="42" t="s">
        <v>784</v>
      </c>
      <c r="C113" s="42" t="s">
        <v>781</v>
      </c>
      <c r="D113" s="143" t="s">
        <v>408</v>
      </c>
      <c r="E113" s="149">
        <v>4</v>
      </c>
      <c r="F113" s="149">
        <f>(4/9*387+2476)*(1.023*1.005-2.3%*15%)*6.99+0*4.09+44</f>
        <v>19010</v>
      </c>
      <c r="G113" s="145">
        <f t="shared" si="25"/>
        <v>1.139</v>
      </c>
      <c r="H113" s="146">
        <f>F113*G113</f>
        <v>21652</v>
      </c>
      <c r="I113" s="145">
        <f>Дефляторы!$D$25</f>
        <v>1.052</v>
      </c>
      <c r="J113" s="146">
        <f>H113*I113</f>
        <v>22778</v>
      </c>
      <c r="K113" s="146">
        <f>H113+(J113-H113)*(1-30/100)</f>
        <v>22440</v>
      </c>
      <c r="L113" s="96"/>
      <c r="M113" s="96"/>
      <c r="N113" s="96"/>
    </row>
    <row r="114" spans="1:14" s="155" customFormat="1" ht="25.5" outlineLevel="3" x14ac:dyDescent="0.2">
      <c r="A114" s="95" t="s">
        <v>390</v>
      </c>
      <c r="B114" s="42" t="s">
        <v>785</v>
      </c>
      <c r="C114" s="42" t="s">
        <v>780</v>
      </c>
      <c r="D114" s="143" t="s">
        <v>408</v>
      </c>
      <c r="E114" s="149">
        <v>1</v>
      </c>
      <c r="F114" s="149">
        <f>(1/9*387+654)*(1.023*1.005-2.3%*15%)*6.99+0*4.09</f>
        <v>4992</v>
      </c>
      <c r="G114" s="145">
        <f t="shared" si="25"/>
        <v>1.139</v>
      </c>
      <c r="H114" s="146">
        <f>F114*G114</f>
        <v>5686</v>
      </c>
      <c r="I114" s="145">
        <f>Дефляторы!$D$25</f>
        <v>1.052</v>
      </c>
      <c r="J114" s="146">
        <f>H114*I114</f>
        <v>5982</v>
      </c>
      <c r="K114" s="146">
        <f>H114+(J114-H114)*(1-30/100)</f>
        <v>5893</v>
      </c>
      <c r="L114" s="96"/>
      <c r="M114" s="96"/>
      <c r="N114" s="96"/>
    </row>
    <row r="115" spans="1:14" s="148" customFormat="1" ht="25.5" outlineLevel="3" x14ac:dyDescent="0.2">
      <c r="A115" s="95" t="s">
        <v>391</v>
      </c>
      <c r="B115" s="42" t="s">
        <v>786</v>
      </c>
      <c r="C115" s="42" t="s">
        <v>779</v>
      </c>
      <c r="D115" s="143" t="s">
        <v>408</v>
      </c>
      <c r="E115" s="149">
        <v>3</v>
      </c>
      <c r="F115" s="149">
        <f>(129+1456)*(1.023*1.005-2.3%*15%)*6.99+0*4.09</f>
        <v>11352</v>
      </c>
      <c r="G115" s="145">
        <f t="shared" si="25"/>
        <v>1.139</v>
      </c>
      <c r="H115" s="146">
        <f>F115*G115</f>
        <v>12930</v>
      </c>
      <c r="I115" s="145">
        <f>Дефляторы!$D$25</f>
        <v>1.052</v>
      </c>
      <c r="J115" s="146">
        <f>H115*I115</f>
        <v>13602</v>
      </c>
      <c r="K115" s="146">
        <f>H115+(J115-H115)*(1-30/100)</f>
        <v>13400</v>
      </c>
      <c r="L115" s="147"/>
      <c r="M115" s="147"/>
      <c r="N115" s="147"/>
    </row>
    <row r="116" spans="1:14" s="155" customFormat="1" ht="15.75" outlineLevel="3" x14ac:dyDescent="0.2">
      <c r="A116" s="95" t="s">
        <v>392</v>
      </c>
      <c r="B116" s="42" t="s">
        <v>787</v>
      </c>
      <c r="C116" s="42" t="s">
        <v>482</v>
      </c>
      <c r="D116" s="143" t="s">
        <v>292</v>
      </c>
      <c r="E116" s="149">
        <v>1</v>
      </c>
      <c r="F116" s="149">
        <f>(797)*(1.023*1.005-2.3%*15%)*6.99+0*4.09</f>
        <v>5708</v>
      </c>
      <c r="G116" s="145">
        <f t="shared" si="25"/>
        <v>1.139</v>
      </c>
      <c r="H116" s="146">
        <f t="shared" ref="H116" si="26">F116*G116</f>
        <v>6501</v>
      </c>
      <c r="I116" s="145">
        <f>Дефляторы!$D$25</f>
        <v>1.052</v>
      </c>
      <c r="J116" s="146">
        <f t="shared" ref="J116" si="27">H116*I116</f>
        <v>6839</v>
      </c>
      <c r="K116" s="146">
        <f t="shared" ref="K116" si="28">H116+(J116-H116)*(1-30/100)</f>
        <v>6738</v>
      </c>
      <c r="L116" s="96"/>
      <c r="M116" s="96"/>
      <c r="N116" s="96"/>
    </row>
    <row r="117" spans="1:14" s="237" customFormat="1" ht="15.75" outlineLevel="2" x14ac:dyDescent="0.2">
      <c r="A117" s="238" t="s">
        <v>566</v>
      </c>
      <c r="B117" s="229" t="s">
        <v>148</v>
      </c>
      <c r="C117" s="229" t="s">
        <v>592</v>
      </c>
      <c r="D117" s="239" t="s">
        <v>292</v>
      </c>
      <c r="E117" s="240">
        <v>1</v>
      </c>
      <c r="F117" s="240">
        <f>SUM(F118:F123)</f>
        <v>17446969</v>
      </c>
      <c r="G117" s="241"/>
      <c r="H117" s="240">
        <f>SUM(H118:H123)</f>
        <v>19872098</v>
      </c>
      <c r="I117" s="241">
        <f>Дефляторы!$D$25</f>
        <v>1.052</v>
      </c>
      <c r="J117" s="240">
        <f>SUM(J118:J123)</f>
        <v>20905447</v>
      </c>
      <c r="K117" s="240">
        <f>SUM(K118:K123)</f>
        <v>20595443</v>
      </c>
      <c r="L117" s="286"/>
      <c r="M117" s="256"/>
      <c r="N117" s="256"/>
    </row>
    <row r="118" spans="1:14" s="148" customFormat="1" ht="25.5" outlineLevel="3" x14ac:dyDescent="0.2">
      <c r="A118" s="95" t="s">
        <v>1817</v>
      </c>
      <c r="B118" s="42" t="s">
        <v>788</v>
      </c>
      <c r="C118" s="42" t="s">
        <v>1816</v>
      </c>
      <c r="D118" s="100" t="s">
        <v>292</v>
      </c>
      <c r="E118" s="149">
        <v>1</v>
      </c>
      <c r="F118" s="149">
        <f>32437*(1.023*1.005-2.3%*15%)*6.99+408816*4.09</f>
        <v>1904384</v>
      </c>
      <c r="G118" s="145">
        <f t="shared" ref="G118:G123" si="29">$G$766</f>
        <v>1.139</v>
      </c>
      <c r="H118" s="146">
        <f>F118*G118</f>
        <v>2169093</v>
      </c>
      <c r="I118" s="145">
        <f>Дефляторы!$D$25</f>
        <v>1.052</v>
      </c>
      <c r="J118" s="146">
        <f>H118*I118</f>
        <v>2281886</v>
      </c>
      <c r="K118" s="146">
        <f>H118+(J118-H118)*(1-30/100)</f>
        <v>2248048</v>
      </c>
      <c r="L118" s="147"/>
      <c r="M118" s="147"/>
      <c r="N118" s="147"/>
    </row>
    <row r="119" spans="1:14" s="148" customFormat="1" ht="15.75" outlineLevel="3" x14ac:dyDescent="0.2">
      <c r="A119" s="95" t="s">
        <v>1818</v>
      </c>
      <c r="B119" s="42" t="s">
        <v>789</v>
      </c>
      <c r="C119" s="42" t="s">
        <v>1815</v>
      </c>
      <c r="D119" s="100" t="s">
        <v>292</v>
      </c>
      <c r="E119" s="149">
        <v>1</v>
      </c>
      <c r="F119" s="149">
        <f>2014*(1.023*1.005-2.3%*15%)*6.99+66296*4.09</f>
        <v>285576</v>
      </c>
      <c r="G119" s="145">
        <f t="shared" si="29"/>
        <v>1.139</v>
      </c>
      <c r="H119" s="146">
        <f>F119*G119</f>
        <v>325271</v>
      </c>
      <c r="I119" s="145">
        <f>Дефляторы!$D$25</f>
        <v>1.052</v>
      </c>
      <c r="J119" s="146">
        <f>H119*I119</f>
        <v>342185</v>
      </c>
      <c r="K119" s="146">
        <f>H119+(J119-H119)*(1-30/100)</f>
        <v>337111</v>
      </c>
      <c r="L119" s="147"/>
      <c r="M119" s="147"/>
      <c r="N119" s="147"/>
    </row>
    <row r="120" spans="1:14" s="148" customFormat="1" ht="25.5" outlineLevel="3" x14ac:dyDescent="0.2">
      <c r="A120" s="95" t="s">
        <v>1819</v>
      </c>
      <c r="B120" s="42" t="s">
        <v>790</v>
      </c>
      <c r="C120" s="42" t="s">
        <v>1814</v>
      </c>
      <c r="D120" s="100" t="s">
        <v>292</v>
      </c>
      <c r="E120" s="149">
        <v>1</v>
      </c>
      <c r="F120" s="149">
        <f>27148*(1.023*1.005-2.3%*15%)*6.99+109702*4.09</f>
        <v>643126</v>
      </c>
      <c r="G120" s="145">
        <f t="shared" si="29"/>
        <v>1.139</v>
      </c>
      <c r="H120" s="146">
        <f>F120*G120</f>
        <v>732521</v>
      </c>
      <c r="I120" s="145">
        <f>Дефляторы!$D$25</f>
        <v>1.052</v>
      </c>
      <c r="J120" s="146">
        <f>H120*I120</f>
        <v>770612</v>
      </c>
      <c r="K120" s="146">
        <f>H120+(J120-H120)*(1-30/100)</f>
        <v>759185</v>
      </c>
      <c r="L120" s="147"/>
      <c r="M120" s="147"/>
      <c r="N120" s="147"/>
    </row>
    <row r="121" spans="1:14" s="148" customFormat="1" ht="15.75" outlineLevel="3" x14ac:dyDescent="0.2">
      <c r="A121" s="95" t="s">
        <v>1820</v>
      </c>
      <c r="B121" s="42" t="s">
        <v>791</v>
      </c>
      <c r="C121" s="42" t="s">
        <v>1813</v>
      </c>
      <c r="D121" s="100" t="s">
        <v>292</v>
      </c>
      <c r="E121" s="149">
        <v>1</v>
      </c>
      <c r="F121" s="149">
        <f>2014*(1.023*1.005-2.3%*15%)*6.99+66296*4.09</f>
        <v>285576</v>
      </c>
      <c r="G121" s="145">
        <f t="shared" si="29"/>
        <v>1.139</v>
      </c>
      <c r="H121" s="146">
        <f>F121*G121</f>
        <v>325271</v>
      </c>
      <c r="I121" s="145">
        <f>Дефляторы!$D$25</f>
        <v>1.052</v>
      </c>
      <c r="J121" s="146">
        <f>H121*I121</f>
        <v>342185</v>
      </c>
      <c r="K121" s="146">
        <f>H121+(J121-H121)*(1-30/100)</f>
        <v>337111</v>
      </c>
      <c r="L121" s="147"/>
      <c r="M121" s="147"/>
      <c r="N121" s="147"/>
    </row>
    <row r="122" spans="1:14" s="148" customFormat="1" ht="15.75" outlineLevel="3" x14ac:dyDescent="0.2">
      <c r="A122" s="95" t="s">
        <v>1821</v>
      </c>
      <c r="B122" s="42" t="s">
        <v>792</v>
      </c>
      <c r="C122" s="42" t="s">
        <v>1812</v>
      </c>
      <c r="D122" s="100" t="s">
        <v>292</v>
      </c>
      <c r="E122" s="149">
        <v>1</v>
      </c>
      <c r="F122" s="149">
        <f>6762*(1.023*1.005-2.3%*15%)*6.99+3254515*4.09-34</f>
        <v>13359365</v>
      </c>
      <c r="G122" s="145">
        <f t="shared" si="29"/>
        <v>1.139</v>
      </c>
      <c r="H122" s="146">
        <f>F122*G122</f>
        <v>15216317</v>
      </c>
      <c r="I122" s="145">
        <f>Дефляторы!$D$25</f>
        <v>1.052</v>
      </c>
      <c r="J122" s="146">
        <f>H122*I122</f>
        <v>16007565</v>
      </c>
      <c r="K122" s="146">
        <f>H122+(J122-H122)*(1-30/100)</f>
        <v>15770191</v>
      </c>
      <c r="L122" s="147"/>
      <c r="M122" s="147"/>
      <c r="N122" s="147"/>
    </row>
    <row r="123" spans="1:14" s="148" customFormat="1" ht="15.75" outlineLevel="3" x14ac:dyDescent="0.2">
      <c r="A123" s="95" t="s">
        <v>1822</v>
      </c>
      <c r="B123" s="42" t="s">
        <v>793</v>
      </c>
      <c r="C123" s="42" t="s">
        <v>794</v>
      </c>
      <c r="D123" s="100" t="s">
        <v>292</v>
      </c>
      <c r="E123" s="149">
        <v>1</v>
      </c>
      <c r="F123" s="149">
        <f>15028*(1.023*1.005-2.3%*15%)*6.99+210588*4.09</f>
        <v>968942</v>
      </c>
      <c r="G123" s="145">
        <f t="shared" si="29"/>
        <v>1.139</v>
      </c>
      <c r="H123" s="146">
        <f t="shared" ref="H123" si="30">F123*G123</f>
        <v>1103625</v>
      </c>
      <c r="I123" s="145">
        <f>Дефляторы!$D$25</f>
        <v>1.052</v>
      </c>
      <c r="J123" s="146">
        <f t="shared" ref="J123" si="31">H123*I123</f>
        <v>1161014</v>
      </c>
      <c r="K123" s="146">
        <f t="shared" ref="K123" si="32">H123+(J123-H123)*(1-30/100)</f>
        <v>1143797</v>
      </c>
      <c r="L123" s="172"/>
      <c r="M123" s="147"/>
      <c r="N123" s="147"/>
    </row>
    <row r="124" spans="1:14" s="237" customFormat="1" ht="15.75" outlineLevel="2" x14ac:dyDescent="0.2">
      <c r="A124" s="238" t="s">
        <v>568</v>
      </c>
      <c r="B124" s="229" t="s">
        <v>150</v>
      </c>
      <c r="C124" s="229" t="s">
        <v>585</v>
      </c>
      <c r="D124" s="300" t="s">
        <v>292</v>
      </c>
      <c r="E124" s="240">
        <v>1</v>
      </c>
      <c r="F124" s="240">
        <f>SUM(F125:F128)</f>
        <v>1183285</v>
      </c>
      <c r="G124" s="241"/>
      <c r="H124" s="240">
        <f>SUM(H125:H128)</f>
        <v>1347762</v>
      </c>
      <c r="I124" s="241">
        <f>Дефляторы!$D$25</f>
        <v>1.052</v>
      </c>
      <c r="J124" s="240">
        <f>SUM(J125:J128)</f>
        <v>1417845</v>
      </c>
      <c r="K124" s="240">
        <f>SUM(K125:K128)</f>
        <v>1396821</v>
      </c>
      <c r="L124" s="286"/>
      <c r="M124" s="256"/>
      <c r="N124" s="256"/>
    </row>
    <row r="125" spans="1:14" s="148" customFormat="1" ht="15.75" outlineLevel="3" x14ac:dyDescent="0.2">
      <c r="A125" s="95" t="s">
        <v>2253</v>
      </c>
      <c r="B125" s="42" t="s">
        <v>795</v>
      </c>
      <c r="C125" s="42" t="s">
        <v>1823</v>
      </c>
      <c r="D125" s="100" t="s">
        <v>292</v>
      </c>
      <c r="E125" s="149">
        <v>1</v>
      </c>
      <c r="F125" s="149">
        <f>21939*(1.023*1.005-2.3%*15%)*6.99+6290*4.09</f>
        <v>182862</v>
      </c>
      <c r="G125" s="145">
        <f>$G$766</f>
        <v>1.139</v>
      </c>
      <c r="H125" s="146">
        <f>F125*G125</f>
        <v>208280</v>
      </c>
      <c r="I125" s="145">
        <f>Дефляторы!$D$25</f>
        <v>1.052</v>
      </c>
      <c r="J125" s="146">
        <f>H125*I125</f>
        <v>219111</v>
      </c>
      <c r="K125" s="146">
        <f>H125+(J125-H125)*(1-30/100)</f>
        <v>215862</v>
      </c>
      <c r="L125" s="147"/>
      <c r="M125" s="147"/>
      <c r="N125" s="147"/>
    </row>
    <row r="126" spans="1:14" s="148" customFormat="1" ht="15.75" outlineLevel="3" x14ac:dyDescent="0.2">
      <c r="A126" s="95" t="s">
        <v>2254</v>
      </c>
      <c r="B126" s="42" t="s">
        <v>796</v>
      </c>
      <c r="C126" s="42" t="s">
        <v>1824</v>
      </c>
      <c r="D126" s="100" t="s">
        <v>292</v>
      </c>
      <c r="E126" s="149">
        <v>1</v>
      </c>
      <c r="F126" s="149">
        <f>20137*(1.023*1.005-2.3%*15%)*6.99+75841*4.09</f>
        <v>454419</v>
      </c>
      <c r="G126" s="145">
        <f>$G$766</f>
        <v>1.139</v>
      </c>
      <c r="H126" s="146">
        <f>F126*G126</f>
        <v>517583</v>
      </c>
      <c r="I126" s="145">
        <f>Дефляторы!$D$25</f>
        <v>1.052</v>
      </c>
      <c r="J126" s="146">
        <f>H126*I126</f>
        <v>544497</v>
      </c>
      <c r="K126" s="146">
        <f>H126+(J126-H126)*(1-30/100)</f>
        <v>536423</v>
      </c>
      <c r="L126" s="147"/>
      <c r="M126" s="147"/>
      <c r="N126" s="147"/>
    </row>
    <row r="127" spans="1:14" s="148" customFormat="1" ht="15.75" outlineLevel="3" x14ac:dyDescent="0.2">
      <c r="A127" s="95" t="s">
        <v>2255</v>
      </c>
      <c r="B127" s="42" t="s">
        <v>797</v>
      </c>
      <c r="C127" s="42" t="s">
        <v>1825</v>
      </c>
      <c r="D127" s="100" t="s">
        <v>292</v>
      </c>
      <c r="E127" s="149">
        <v>1</v>
      </c>
      <c r="F127" s="149">
        <f>10435*(1.023*1.005-2.3%*15%)*6.99+3896*4.09</f>
        <v>90674</v>
      </c>
      <c r="G127" s="145">
        <f>$G$766</f>
        <v>1.139</v>
      </c>
      <c r="H127" s="146">
        <f>F127*G127</f>
        <v>103278</v>
      </c>
      <c r="I127" s="145">
        <f>Дефляторы!$D$25</f>
        <v>1.052</v>
      </c>
      <c r="J127" s="146">
        <f>H127*I127</f>
        <v>108648</v>
      </c>
      <c r="K127" s="146">
        <f>H127+(J127-H127)*(1-30/100)</f>
        <v>107037</v>
      </c>
      <c r="L127" s="147"/>
      <c r="M127" s="147"/>
      <c r="N127" s="147"/>
    </row>
    <row r="128" spans="1:14" s="148" customFormat="1" ht="15.75" outlineLevel="3" x14ac:dyDescent="0.2">
      <c r="A128" s="95" t="s">
        <v>2256</v>
      </c>
      <c r="B128" s="42" t="s">
        <v>798</v>
      </c>
      <c r="C128" s="42" t="s">
        <v>1826</v>
      </c>
      <c r="D128" s="100" t="s">
        <v>292</v>
      </c>
      <c r="E128" s="149">
        <v>1</v>
      </c>
      <c r="F128" s="149">
        <f>19865*(1.023*1.005-2.3%*15%)*6.99+76530*4.09+41</f>
        <v>455330</v>
      </c>
      <c r="G128" s="145">
        <f>$G$766</f>
        <v>1.139</v>
      </c>
      <c r="H128" s="146">
        <f>F128*G128</f>
        <v>518621</v>
      </c>
      <c r="I128" s="145">
        <f>Дефляторы!$D$25</f>
        <v>1.052</v>
      </c>
      <c r="J128" s="146">
        <f>H128*I128</f>
        <v>545589</v>
      </c>
      <c r="K128" s="146">
        <f>H128+(J128-H128)*(1-30/100)</f>
        <v>537499</v>
      </c>
      <c r="L128" s="147"/>
      <c r="M128" s="147"/>
      <c r="N128" s="147"/>
    </row>
    <row r="129" spans="1:14" s="237" customFormat="1" ht="15.75" outlineLevel="2" x14ac:dyDescent="0.2">
      <c r="A129" s="238" t="s">
        <v>569</v>
      </c>
      <c r="B129" s="229" t="s">
        <v>152</v>
      </c>
      <c r="C129" s="229" t="s">
        <v>599</v>
      </c>
      <c r="D129" s="239" t="s">
        <v>292</v>
      </c>
      <c r="E129" s="240">
        <v>1</v>
      </c>
      <c r="F129" s="240">
        <f>SUM(F130:F138)</f>
        <v>5350166</v>
      </c>
      <c r="G129" s="241"/>
      <c r="H129" s="240">
        <f>SUM(H130:H138)</f>
        <v>6093838</v>
      </c>
      <c r="I129" s="241">
        <f>Дефляторы!$D$25</f>
        <v>1.052</v>
      </c>
      <c r="J129" s="240">
        <f>SUM(J130:J138)</f>
        <v>6410718</v>
      </c>
      <c r="K129" s="240">
        <f>SUM(K130:K138)</f>
        <v>6315655</v>
      </c>
      <c r="L129" s="256"/>
      <c r="M129" s="256"/>
      <c r="N129" s="256"/>
    </row>
    <row r="130" spans="1:14" s="148" customFormat="1" ht="15.75" outlineLevel="3" x14ac:dyDescent="0.2">
      <c r="A130" s="95" t="s">
        <v>1835</v>
      </c>
      <c r="B130" s="42" t="s">
        <v>799</v>
      </c>
      <c r="C130" s="42" t="s">
        <v>1830</v>
      </c>
      <c r="D130" s="100" t="s">
        <v>292</v>
      </c>
      <c r="E130" s="149">
        <v>1</v>
      </c>
      <c r="F130" s="149">
        <f>12743*(1.023*1.005-2.3%*15%)*6.99+435177*4.09+67</f>
        <v>1871211</v>
      </c>
      <c r="G130" s="145">
        <f t="shared" ref="G130:G138" si="33">$G$766</f>
        <v>1.139</v>
      </c>
      <c r="H130" s="146">
        <f t="shared" ref="H130:H131" si="34">F130*G130</f>
        <v>2131309</v>
      </c>
      <c r="I130" s="145">
        <f>Дефляторы!$D$25</f>
        <v>1.052</v>
      </c>
      <c r="J130" s="146">
        <f>H130*I130</f>
        <v>2242137</v>
      </c>
      <c r="K130" s="146">
        <f>H130+(J130-H130)*(1-30/100)</f>
        <v>2208889</v>
      </c>
      <c r="L130" s="147"/>
      <c r="M130" s="147"/>
      <c r="N130" s="147"/>
    </row>
    <row r="131" spans="1:14" s="148" customFormat="1" ht="15.75" outlineLevel="3" x14ac:dyDescent="0.2">
      <c r="A131" s="95" t="s">
        <v>1836</v>
      </c>
      <c r="B131" s="42" t="s">
        <v>800</v>
      </c>
      <c r="C131" s="42" t="s">
        <v>1831</v>
      </c>
      <c r="D131" s="100" t="s">
        <v>292</v>
      </c>
      <c r="E131" s="149">
        <v>1</v>
      </c>
      <c r="F131" s="149">
        <f>1949*(1.023*1.005-2.3%*15%)*6.99+2938*4.09</f>
        <v>25976</v>
      </c>
      <c r="G131" s="145">
        <f t="shared" si="33"/>
        <v>1.139</v>
      </c>
      <c r="H131" s="146">
        <f t="shared" si="34"/>
        <v>29587</v>
      </c>
      <c r="I131" s="145">
        <f>Дефляторы!$D$25</f>
        <v>1.052</v>
      </c>
      <c r="J131" s="146">
        <f>H131*I131</f>
        <v>31126</v>
      </c>
      <c r="K131" s="146">
        <f>H131+(J131-H131)*(1-30/100)</f>
        <v>30664</v>
      </c>
      <c r="L131" s="147"/>
      <c r="M131" s="147"/>
      <c r="N131" s="147"/>
    </row>
    <row r="132" spans="1:14" s="148" customFormat="1" ht="15.75" outlineLevel="3" x14ac:dyDescent="0.2">
      <c r="A132" s="95" t="s">
        <v>1837</v>
      </c>
      <c r="B132" s="42" t="s">
        <v>801</v>
      </c>
      <c r="C132" s="42" t="s">
        <v>1827</v>
      </c>
      <c r="D132" s="100" t="s">
        <v>292</v>
      </c>
      <c r="E132" s="149">
        <v>1</v>
      </c>
      <c r="F132" s="149">
        <f>14098*(1.023*1.005-2.3%*15%)*6.99+142193*4.09</f>
        <v>682545</v>
      </c>
      <c r="G132" s="145">
        <f t="shared" si="33"/>
        <v>1.139</v>
      </c>
      <c r="H132" s="146">
        <f>F132*G132</f>
        <v>777419</v>
      </c>
      <c r="I132" s="145">
        <f>Дефляторы!$D$25</f>
        <v>1.052</v>
      </c>
      <c r="J132" s="146">
        <f>H132*I132</f>
        <v>817845</v>
      </c>
      <c r="K132" s="146">
        <f>H132+(J132-H132)*(1-30/100)</f>
        <v>805717</v>
      </c>
      <c r="L132" s="147"/>
      <c r="M132" s="147"/>
      <c r="N132" s="147"/>
    </row>
    <row r="133" spans="1:14" s="148" customFormat="1" ht="15.75" outlineLevel="3" x14ac:dyDescent="0.2">
      <c r="A133" s="95" t="s">
        <v>1838</v>
      </c>
      <c r="B133" s="42" t="s">
        <v>802</v>
      </c>
      <c r="C133" s="42" t="s">
        <v>1828</v>
      </c>
      <c r="D133" s="100" t="s">
        <v>292</v>
      </c>
      <c r="E133" s="149">
        <v>1</v>
      </c>
      <c r="F133" s="149">
        <f>2216*(1.023*1.005-2.3%*15%)*6.99+3400*4.09</f>
        <v>29778</v>
      </c>
      <c r="G133" s="145">
        <f t="shared" si="33"/>
        <v>1.139</v>
      </c>
      <c r="H133" s="146">
        <f>F133*G133</f>
        <v>33917</v>
      </c>
      <c r="I133" s="145">
        <f>Дефляторы!$D$25</f>
        <v>1.052</v>
      </c>
      <c r="J133" s="146">
        <f>H133*I133</f>
        <v>35681</v>
      </c>
      <c r="K133" s="146">
        <f>H133+(J133-H133)*(1-30/100)</f>
        <v>35152</v>
      </c>
      <c r="L133" s="147"/>
      <c r="M133" s="147"/>
      <c r="N133" s="147"/>
    </row>
    <row r="134" spans="1:14" s="148" customFormat="1" ht="25.5" outlineLevel="3" x14ac:dyDescent="0.2">
      <c r="A134" s="95" t="s">
        <v>1839</v>
      </c>
      <c r="B134" s="42" t="s">
        <v>804</v>
      </c>
      <c r="C134" s="42" t="s">
        <v>1833</v>
      </c>
      <c r="D134" s="100" t="s">
        <v>292</v>
      </c>
      <c r="E134" s="149">
        <v>1</v>
      </c>
      <c r="F134" s="149">
        <f>19076*(1.023*1.005-2.3%*15%)*6.99+162324*4.09</f>
        <v>800535</v>
      </c>
      <c r="G134" s="145">
        <f t="shared" si="33"/>
        <v>1.139</v>
      </c>
      <c r="H134" s="146">
        <f t="shared" ref="H134:H138" si="35">F134*G134</f>
        <v>911809</v>
      </c>
      <c r="I134" s="145">
        <f>Дефляторы!$D$25</f>
        <v>1.052</v>
      </c>
      <c r="J134" s="146">
        <f t="shared" ref="J134:J136" si="36">H134*I134</f>
        <v>959223</v>
      </c>
      <c r="K134" s="146">
        <f t="shared" ref="K134:K138" si="37">H134+(J134-H134)*(1-30/100)</f>
        <v>944999</v>
      </c>
      <c r="L134" s="172"/>
      <c r="M134" s="147"/>
      <c r="N134" s="147"/>
    </row>
    <row r="135" spans="1:14" s="148" customFormat="1" ht="15.75" outlineLevel="3" x14ac:dyDescent="0.2">
      <c r="A135" s="95" t="s">
        <v>1840</v>
      </c>
      <c r="B135" s="42" t="s">
        <v>805</v>
      </c>
      <c r="C135" s="42" t="s">
        <v>1834</v>
      </c>
      <c r="D135" s="100" t="s">
        <v>292</v>
      </c>
      <c r="E135" s="149">
        <v>1</v>
      </c>
      <c r="F135" s="149">
        <f>3005*(1.023*1.005-2.3%*15%)*6.99+3644*4.09</f>
        <v>36427</v>
      </c>
      <c r="G135" s="145">
        <f t="shared" si="33"/>
        <v>1.139</v>
      </c>
      <c r="H135" s="146">
        <f t="shared" si="35"/>
        <v>41490</v>
      </c>
      <c r="I135" s="145">
        <f>Дефляторы!$D$25</f>
        <v>1.052</v>
      </c>
      <c r="J135" s="146">
        <f t="shared" si="36"/>
        <v>43647</v>
      </c>
      <c r="K135" s="146">
        <f t="shared" si="37"/>
        <v>43000</v>
      </c>
      <c r="L135" s="172"/>
      <c r="M135" s="147"/>
      <c r="N135" s="147"/>
    </row>
    <row r="136" spans="1:14" s="148" customFormat="1" ht="15.75" outlineLevel="3" x14ac:dyDescent="0.2">
      <c r="A136" s="95" t="s">
        <v>1841</v>
      </c>
      <c r="B136" s="42" t="s">
        <v>807</v>
      </c>
      <c r="C136" s="42" t="s">
        <v>806</v>
      </c>
      <c r="D136" s="100" t="s">
        <v>292</v>
      </c>
      <c r="E136" s="149">
        <v>1</v>
      </c>
      <c r="F136" s="149">
        <f>129307*(1.023*1.005-2.3%*15%)*6.99+226856*4.09</f>
        <v>1853991</v>
      </c>
      <c r="G136" s="145">
        <f t="shared" si="33"/>
        <v>1.139</v>
      </c>
      <c r="H136" s="146">
        <f t="shared" si="35"/>
        <v>2111696</v>
      </c>
      <c r="I136" s="145">
        <f>Дефляторы!$D$25</f>
        <v>1.052</v>
      </c>
      <c r="J136" s="146">
        <f t="shared" si="36"/>
        <v>2221504</v>
      </c>
      <c r="K136" s="146">
        <f t="shared" si="37"/>
        <v>2188562</v>
      </c>
      <c r="L136" s="172"/>
      <c r="M136" s="147"/>
      <c r="N136" s="147"/>
    </row>
    <row r="137" spans="1:14" s="148" customFormat="1" ht="15.75" outlineLevel="3" x14ac:dyDescent="0.2">
      <c r="A137" s="95" t="s">
        <v>1842</v>
      </c>
      <c r="B137" s="42" t="s">
        <v>809</v>
      </c>
      <c r="C137" s="42" t="s">
        <v>1832</v>
      </c>
      <c r="D137" s="100" t="s">
        <v>292</v>
      </c>
      <c r="E137" s="149">
        <v>1</v>
      </c>
      <c r="F137" s="149">
        <f>1603*(1.023*1.005-2.3%*15%)*6.99+2312*4.09</f>
        <v>20937</v>
      </c>
      <c r="G137" s="145">
        <f t="shared" si="33"/>
        <v>1.139</v>
      </c>
      <c r="H137" s="146">
        <f t="shared" si="35"/>
        <v>23847</v>
      </c>
      <c r="I137" s="145">
        <f>Дефляторы!$D$25</f>
        <v>1.052</v>
      </c>
      <c r="J137" s="146">
        <f>H137*I137</f>
        <v>25087</v>
      </c>
      <c r="K137" s="146">
        <f t="shared" si="37"/>
        <v>24715</v>
      </c>
      <c r="L137" s="147"/>
      <c r="M137" s="147"/>
      <c r="N137" s="147"/>
    </row>
    <row r="138" spans="1:14" s="148" customFormat="1" ht="15.75" outlineLevel="3" x14ac:dyDescent="0.2">
      <c r="A138" s="95" t="s">
        <v>1843</v>
      </c>
      <c r="B138" s="42" t="s">
        <v>810</v>
      </c>
      <c r="C138" s="42" t="s">
        <v>1829</v>
      </c>
      <c r="D138" s="100" t="s">
        <v>292</v>
      </c>
      <c r="E138" s="149">
        <v>1</v>
      </c>
      <c r="F138" s="149">
        <f>2696*(1.023*1.005-2.3%*15%)*6.99+2312*4.09</f>
        <v>28766</v>
      </c>
      <c r="G138" s="145">
        <f t="shared" si="33"/>
        <v>1.139</v>
      </c>
      <c r="H138" s="146">
        <f t="shared" si="35"/>
        <v>32764</v>
      </c>
      <c r="I138" s="145">
        <f>Дефляторы!$D$25</f>
        <v>1.052</v>
      </c>
      <c r="J138" s="146">
        <f t="shared" ref="J138" si="38">H138*I138</f>
        <v>34468</v>
      </c>
      <c r="K138" s="146">
        <f t="shared" si="37"/>
        <v>33957</v>
      </c>
      <c r="L138" s="147"/>
      <c r="M138" s="147"/>
      <c r="N138" s="147"/>
    </row>
    <row r="139" spans="1:14" s="237" customFormat="1" ht="15.75" outlineLevel="2" x14ac:dyDescent="0.2">
      <c r="A139" s="238" t="s">
        <v>570</v>
      </c>
      <c r="B139" s="229" t="s">
        <v>154</v>
      </c>
      <c r="C139" s="229" t="s">
        <v>155</v>
      </c>
      <c r="D139" s="239" t="s">
        <v>292</v>
      </c>
      <c r="E139" s="240">
        <v>1</v>
      </c>
      <c r="F139" s="240">
        <f>SUM(F140:F159)</f>
        <v>109675309</v>
      </c>
      <c r="G139" s="241"/>
      <c r="H139" s="240">
        <f>SUM(H140:H159)</f>
        <v>124920178</v>
      </c>
      <c r="I139" s="241">
        <f>Дефляторы!$D$25</f>
        <v>1.052</v>
      </c>
      <c r="J139" s="240">
        <f>SUM(J140:J159)</f>
        <v>131416029</v>
      </c>
      <c r="K139" s="240">
        <f>SUM(K140:K159)</f>
        <v>129467274</v>
      </c>
      <c r="L139" s="286"/>
      <c r="M139" s="256"/>
      <c r="N139" s="256"/>
    </row>
    <row r="140" spans="1:14" s="155" customFormat="1" ht="15.75" outlineLevel="3" x14ac:dyDescent="0.2">
      <c r="A140" s="93"/>
      <c r="B140" s="94"/>
      <c r="C140" s="157" t="s">
        <v>811</v>
      </c>
      <c r="D140" s="150"/>
      <c r="E140" s="151"/>
      <c r="F140" s="151"/>
      <c r="G140" s="152"/>
      <c r="H140" s="153"/>
      <c r="I140" s="145">
        <f>Дефляторы!$D$25</f>
        <v>1.052</v>
      </c>
      <c r="J140" s="153"/>
      <c r="K140" s="153"/>
      <c r="L140" s="154"/>
      <c r="M140" s="96"/>
      <c r="N140" s="96"/>
    </row>
    <row r="141" spans="1:14" s="148" customFormat="1" ht="25.5" outlineLevel="3" x14ac:dyDescent="0.2">
      <c r="A141" s="95" t="s">
        <v>2257</v>
      </c>
      <c r="B141" s="42" t="s">
        <v>818</v>
      </c>
      <c r="C141" s="42" t="s">
        <v>812</v>
      </c>
      <c r="D141" s="100" t="s">
        <v>377</v>
      </c>
      <c r="E141" s="168">
        <v>128.5</v>
      </c>
      <c r="F141" s="149">
        <f>2802255*(1.023*1.005-2.3%*15%)*6.99+15</f>
        <v>20070910</v>
      </c>
      <c r="G141" s="174">
        <f t="shared" ref="G141:G147" si="39">$G$766</f>
        <v>1.139</v>
      </c>
      <c r="H141" s="146">
        <f t="shared" ref="H141:H147" si="40">F141*G141</f>
        <v>22860766</v>
      </c>
      <c r="I141" s="145">
        <f>Дефляторы!$D$25</f>
        <v>1.052</v>
      </c>
      <c r="J141" s="146">
        <f>H141*I141</f>
        <v>24049526</v>
      </c>
      <c r="K141" s="146">
        <f t="shared" ref="K141:K160" si="41">H141+(J141-H141)*(1-30/100)</f>
        <v>23692898</v>
      </c>
      <c r="L141" s="172"/>
      <c r="M141" s="147"/>
      <c r="N141" s="147"/>
    </row>
    <row r="142" spans="1:14" s="148" customFormat="1" ht="15.75" outlineLevel="3" x14ac:dyDescent="0.2">
      <c r="A142" s="95" t="s">
        <v>2258</v>
      </c>
      <c r="B142" s="42" t="s">
        <v>819</v>
      </c>
      <c r="C142" s="42" t="s">
        <v>813</v>
      </c>
      <c r="D142" s="100" t="s">
        <v>408</v>
      </c>
      <c r="E142" s="149">
        <v>27</v>
      </c>
      <c r="F142" s="149">
        <f>1674188*(1.023*1.005-2.3%*15%)*6.99</f>
        <v>11991218</v>
      </c>
      <c r="G142" s="174">
        <f t="shared" si="39"/>
        <v>1.139</v>
      </c>
      <c r="H142" s="146">
        <f t="shared" si="40"/>
        <v>13657997</v>
      </c>
      <c r="I142" s="145">
        <f>Дефляторы!$D$25</f>
        <v>1.052</v>
      </c>
      <c r="J142" s="146">
        <f t="shared" ref="J142:J160" si="42">H142*I142</f>
        <v>14368213</v>
      </c>
      <c r="K142" s="146">
        <f t="shared" si="41"/>
        <v>14155148</v>
      </c>
      <c r="L142" s="172"/>
      <c r="M142" s="147"/>
      <c r="N142" s="147"/>
    </row>
    <row r="143" spans="1:14" s="155" customFormat="1" ht="15.75" outlineLevel="3" x14ac:dyDescent="0.2">
      <c r="A143" s="95" t="s">
        <v>2259</v>
      </c>
      <c r="B143" s="42" t="s">
        <v>820</v>
      </c>
      <c r="C143" s="42" t="s">
        <v>814</v>
      </c>
      <c r="D143" s="100" t="s">
        <v>408</v>
      </c>
      <c r="E143" s="149">
        <v>8</v>
      </c>
      <c r="F143" s="149">
        <f>1073167*(1.023*1.005-2.3%*15%)*6.99</f>
        <v>7686460</v>
      </c>
      <c r="G143" s="174">
        <f t="shared" si="39"/>
        <v>1.139</v>
      </c>
      <c r="H143" s="146">
        <f t="shared" si="40"/>
        <v>8754878</v>
      </c>
      <c r="I143" s="145">
        <f>Дефляторы!$D$25</f>
        <v>1.052</v>
      </c>
      <c r="J143" s="146">
        <f t="shared" si="42"/>
        <v>9210132</v>
      </c>
      <c r="K143" s="146">
        <f t="shared" si="41"/>
        <v>9073556</v>
      </c>
      <c r="L143" s="154"/>
      <c r="M143" s="96"/>
      <c r="N143" s="96"/>
    </row>
    <row r="144" spans="1:14" s="155" customFormat="1" ht="15.75" outlineLevel="3" x14ac:dyDescent="0.2">
      <c r="A144" s="95" t="s">
        <v>2260</v>
      </c>
      <c r="B144" s="42" t="s">
        <v>822</v>
      </c>
      <c r="C144" s="42" t="s">
        <v>815</v>
      </c>
      <c r="D144" s="100" t="s">
        <v>408</v>
      </c>
      <c r="E144" s="99">
        <v>31</v>
      </c>
      <c r="F144" s="149">
        <f>4671332*(1.023*1.005-2.3%*15%)*6.99</f>
        <v>33457987</v>
      </c>
      <c r="G144" s="174">
        <f t="shared" si="39"/>
        <v>1.139</v>
      </c>
      <c r="H144" s="146">
        <f t="shared" si="40"/>
        <v>38108647</v>
      </c>
      <c r="I144" s="145">
        <f>Дефляторы!$D$25</f>
        <v>1.052</v>
      </c>
      <c r="J144" s="146">
        <f t="shared" si="42"/>
        <v>40090297</v>
      </c>
      <c r="K144" s="146">
        <f t="shared" si="41"/>
        <v>39495802</v>
      </c>
      <c r="L144" s="172" t="s">
        <v>821</v>
      </c>
      <c r="M144" s="96"/>
      <c r="N144" s="96"/>
    </row>
    <row r="145" spans="1:14" s="155" customFormat="1" ht="15.75" outlineLevel="3" x14ac:dyDescent="0.2">
      <c r="A145" s="95" t="s">
        <v>2261</v>
      </c>
      <c r="B145" s="42" t="s">
        <v>823</v>
      </c>
      <c r="C145" s="42" t="s">
        <v>816</v>
      </c>
      <c r="D145" s="100" t="s">
        <v>408</v>
      </c>
      <c r="E145" s="149">
        <v>8</v>
      </c>
      <c r="F145" s="149">
        <f>1337842*(1.023*1.005-2.3%*15%)*6.99</f>
        <v>9582171</v>
      </c>
      <c r="G145" s="174">
        <f t="shared" si="39"/>
        <v>1.139</v>
      </c>
      <c r="H145" s="146">
        <f t="shared" si="40"/>
        <v>10914093</v>
      </c>
      <c r="I145" s="145">
        <f>Дефляторы!$D$25</f>
        <v>1.052</v>
      </c>
      <c r="J145" s="146">
        <f t="shared" si="42"/>
        <v>11481626</v>
      </c>
      <c r="K145" s="146">
        <f t="shared" si="41"/>
        <v>11311366</v>
      </c>
      <c r="L145" s="154"/>
      <c r="M145" s="96"/>
      <c r="N145" s="96"/>
    </row>
    <row r="146" spans="1:14" s="155" customFormat="1" ht="15.75" outlineLevel="3" x14ac:dyDescent="0.2">
      <c r="A146" s="95" t="s">
        <v>2262</v>
      </c>
      <c r="B146" s="42" t="s">
        <v>825</v>
      </c>
      <c r="C146" s="42" t="s">
        <v>817</v>
      </c>
      <c r="D146" s="100" t="s">
        <v>377</v>
      </c>
      <c r="E146" s="149">
        <v>42</v>
      </c>
      <c r="F146" s="149">
        <f>152109*(1.023*1.005-2.3%*15%)*6.99</f>
        <v>1089467</v>
      </c>
      <c r="G146" s="174">
        <f t="shared" si="39"/>
        <v>1.139</v>
      </c>
      <c r="H146" s="146">
        <f t="shared" si="40"/>
        <v>1240903</v>
      </c>
      <c r="I146" s="145">
        <f>Дефляторы!$D$25</f>
        <v>1.052</v>
      </c>
      <c r="J146" s="146">
        <f t="shared" si="42"/>
        <v>1305430</v>
      </c>
      <c r="K146" s="146">
        <f t="shared" si="41"/>
        <v>1286072</v>
      </c>
      <c r="L146" s="154"/>
      <c r="M146" s="96"/>
      <c r="N146" s="96"/>
    </row>
    <row r="147" spans="1:14" s="155" customFormat="1" ht="15.75" outlineLevel="3" x14ac:dyDescent="0.2">
      <c r="A147" s="160" t="s">
        <v>2263</v>
      </c>
      <c r="B147" s="91" t="s">
        <v>826</v>
      </c>
      <c r="C147" s="91" t="s">
        <v>824</v>
      </c>
      <c r="D147" s="161" t="s">
        <v>404</v>
      </c>
      <c r="E147" s="99">
        <v>5740</v>
      </c>
      <c r="F147" s="99">
        <f>261916*(1.023*1.005-2.3%*15%)*6.99</f>
        <v>1875949</v>
      </c>
      <c r="G147" s="163">
        <f t="shared" si="39"/>
        <v>1.139</v>
      </c>
      <c r="H147" s="164">
        <f t="shared" si="40"/>
        <v>2136706</v>
      </c>
      <c r="I147" s="145">
        <f>Дефляторы!$D$25</f>
        <v>1.052</v>
      </c>
      <c r="J147" s="164">
        <f t="shared" si="42"/>
        <v>2247815</v>
      </c>
      <c r="K147" s="146">
        <f t="shared" si="41"/>
        <v>2214482</v>
      </c>
      <c r="L147" s="172" t="s">
        <v>836</v>
      </c>
      <c r="M147" s="96"/>
      <c r="N147" s="96"/>
    </row>
    <row r="148" spans="1:14" s="155" customFormat="1" ht="15.75" outlineLevel="3" x14ac:dyDescent="0.2">
      <c r="A148" s="93"/>
      <c r="B148" s="94"/>
      <c r="C148" s="157" t="s">
        <v>827</v>
      </c>
      <c r="D148" s="150"/>
      <c r="E148" s="151"/>
      <c r="F148" s="151"/>
      <c r="G148" s="174"/>
      <c r="H148" s="146"/>
      <c r="I148" s="145">
        <f>Дефляторы!$D$25</f>
        <v>1.052</v>
      </c>
      <c r="J148" s="146">
        <f t="shared" si="42"/>
        <v>0</v>
      </c>
      <c r="K148" s="146"/>
      <c r="L148" s="154"/>
      <c r="M148" s="96"/>
      <c r="N148" s="96"/>
    </row>
    <row r="149" spans="1:14" s="148" customFormat="1" ht="25.5" outlineLevel="3" x14ac:dyDescent="0.2">
      <c r="A149" s="95" t="s">
        <v>2264</v>
      </c>
      <c r="B149" s="42" t="s">
        <v>830</v>
      </c>
      <c r="C149" s="42" t="s">
        <v>828</v>
      </c>
      <c r="D149" s="100" t="s">
        <v>377</v>
      </c>
      <c r="E149" s="168">
        <f>41.5</f>
        <v>41.5</v>
      </c>
      <c r="F149" s="149">
        <f>906858*(1.023*1.005-2.3%*15%)*6.99</f>
        <v>6495287</v>
      </c>
      <c r="G149" s="174">
        <f t="shared" ref="G149:G154" si="43">$G$766</f>
        <v>1.139</v>
      </c>
      <c r="H149" s="146">
        <f t="shared" ref="H149:H154" si="44">F149*G149</f>
        <v>7398132</v>
      </c>
      <c r="I149" s="145">
        <f>Дефляторы!$D$25</f>
        <v>1.052</v>
      </c>
      <c r="J149" s="146">
        <f t="shared" si="42"/>
        <v>7782835</v>
      </c>
      <c r="K149" s="146">
        <f t="shared" si="41"/>
        <v>7667424</v>
      </c>
      <c r="L149" s="172"/>
      <c r="M149" s="147"/>
      <c r="N149" s="147"/>
    </row>
    <row r="150" spans="1:14" s="148" customFormat="1" ht="15.75" outlineLevel="3" x14ac:dyDescent="0.2">
      <c r="A150" s="95" t="s">
        <v>2265</v>
      </c>
      <c r="B150" s="42" t="s">
        <v>831</v>
      </c>
      <c r="C150" s="42" t="s">
        <v>829</v>
      </c>
      <c r="D150" s="100" t="s">
        <v>408</v>
      </c>
      <c r="E150" s="149">
        <v>8</v>
      </c>
      <c r="F150" s="149">
        <f>537430*(1.023*1.005-2.3%*15%)*6.99</f>
        <v>3849293</v>
      </c>
      <c r="G150" s="174">
        <f t="shared" si="43"/>
        <v>1.139</v>
      </c>
      <c r="H150" s="146">
        <f t="shared" si="44"/>
        <v>4384345</v>
      </c>
      <c r="I150" s="145">
        <f>Дефляторы!$D$25</f>
        <v>1.052</v>
      </c>
      <c r="J150" s="146">
        <f t="shared" si="42"/>
        <v>4612331</v>
      </c>
      <c r="K150" s="146">
        <f t="shared" si="41"/>
        <v>4543935</v>
      </c>
      <c r="L150" s="172"/>
      <c r="M150" s="147"/>
      <c r="N150" s="147"/>
    </row>
    <row r="151" spans="1:14" s="148" customFormat="1" ht="15.75" outlineLevel="3" x14ac:dyDescent="0.2">
      <c r="A151" s="95" t="s">
        <v>2266</v>
      </c>
      <c r="B151" s="42" t="s">
        <v>832</v>
      </c>
      <c r="C151" s="42" t="s">
        <v>814</v>
      </c>
      <c r="D151" s="100" t="s">
        <v>408</v>
      </c>
      <c r="E151" s="149">
        <v>4</v>
      </c>
      <c r="F151" s="149">
        <f>306068*(1.023*1.005-2.3%*15%)*6.99</f>
        <v>2192184</v>
      </c>
      <c r="G151" s="174">
        <f t="shared" si="43"/>
        <v>1.139</v>
      </c>
      <c r="H151" s="146">
        <f t="shared" si="44"/>
        <v>2496898</v>
      </c>
      <c r="I151" s="145">
        <f>Дефляторы!$D$25</f>
        <v>1.052</v>
      </c>
      <c r="J151" s="146">
        <f t="shared" si="42"/>
        <v>2626737</v>
      </c>
      <c r="K151" s="146">
        <f t="shared" si="41"/>
        <v>2587785</v>
      </c>
      <c r="L151" s="172"/>
      <c r="M151" s="147"/>
      <c r="N151" s="147"/>
    </row>
    <row r="152" spans="1:14" s="148" customFormat="1" ht="15.75" outlineLevel="3" x14ac:dyDescent="0.2">
      <c r="A152" s="95" t="s">
        <v>2267</v>
      </c>
      <c r="B152" s="42" t="s">
        <v>833</v>
      </c>
      <c r="C152" s="42" t="s">
        <v>815</v>
      </c>
      <c r="D152" s="100" t="s">
        <v>408</v>
      </c>
      <c r="E152" s="149">
        <v>10</v>
      </c>
      <c r="F152" s="149">
        <f>858564*(1.023*1.005-2.3%*15%)*6.99</f>
        <v>6149386</v>
      </c>
      <c r="G152" s="174">
        <f t="shared" si="43"/>
        <v>1.139</v>
      </c>
      <c r="H152" s="146">
        <f t="shared" si="44"/>
        <v>7004151</v>
      </c>
      <c r="I152" s="145">
        <f>Дефляторы!$D$25</f>
        <v>1.052</v>
      </c>
      <c r="J152" s="146">
        <f t="shared" si="42"/>
        <v>7368367</v>
      </c>
      <c r="K152" s="146">
        <f t="shared" si="41"/>
        <v>7259102</v>
      </c>
      <c r="L152" s="172"/>
      <c r="M152" s="147"/>
      <c r="N152" s="147"/>
    </row>
    <row r="153" spans="1:14" s="148" customFormat="1" ht="15.75" outlineLevel="3" x14ac:dyDescent="0.2">
      <c r="A153" s="95" t="s">
        <v>2268</v>
      </c>
      <c r="B153" s="42" t="s">
        <v>834</v>
      </c>
      <c r="C153" s="42" t="s">
        <v>816</v>
      </c>
      <c r="D153" s="100" t="s">
        <v>408</v>
      </c>
      <c r="E153" s="149">
        <v>4</v>
      </c>
      <c r="F153" s="149">
        <f>380777*(1.023*1.005-2.3%*15%)*6.99</f>
        <v>2727280</v>
      </c>
      <c r="G153" s="174">
        <f t="shared" si="43"/>
        <v>1.139</v>
      </c>
      <c r="H153" s="146">
        <f t="shared" si="44"/>
        <v>3106372</v>
      </c>
      <c r="I153" s="145">
        <f>Дефляторы!$D$25</f>
        <v>1.052</v>
      </c>
      <c r="J153" s="146">
        <f t="shared" si="42"/>
        <v>3267903</v>
      </c>
      <c r="K153" s="146">
        <f t="shared" si="41"/>
        <v>3219444</v>
      </c>
      <c r="L153" s="172"/>
      <c r="M153" s="147"/>
      <c r="N153" s="147"/>
    </row>
    <row r="154" spans="1:14" s="148" customFormat="1" ht="15.75" outlineLevel="3" x14ac:dyDescent="0.2">
      <c r="A154" s="95" t="s">
        <v>2269</v>
      </c>
      <c r="B154" s="42" t="s">
        <v>835</v>
      </c>
      <c r="C154" s="42" t="s">
        <v>824</v>
      </c>
      <c r="D154" s="100" t="s">
        <v>404</v>
      </c>
      <c r="E154" s="149">
        <v>3760</v>
      </c>
      <c r="F154" s="149">
        <f>171569*(1.023*1.005-2.3%*15%)*6.99</f>
        <v>1228847</v>
      </c>
      <c r="G154" s="174">
        <f t="shared" si="43"/>
        <v>1.139</v>
      </c>
      <c r="H154" s="146">
        <f t="shared" si="44"/>
        <v>1399657</v>
      </c>
      <c r="I154" s="145">
        <f>Дефляторы!$D$25</f>
        <v>1.052</v>
      </c>
      <c r="J154" s="146">
        <f t="shared" si="42"/>
        <v>1472439</v>
      </c>
      <c r="K154" s="146">
        <f t="shared" si="41"/>
        <v>1450604</v>
      </c>
      <c r="L154" s="172"/>
      <c r="M154" s="147"/>
      <c r="N154" s="147"/>
    </row>
    <row r="155" spans="1:14" s="148" customFormat="1" ht="15.75" outlineLevel="3" x14ac:dyDescent="0.2">
      <c r="A155" s="95"/>
      <c r="B155" s="42"/>
      <c r="C155" s="157" t="s">
        <v>837</v>
      </c>
      <c r="D155" s="100"/>
      <c r="E155" s="149"/>
      <c r="F155" s="149"/>
      <c r="G155" s="174"/>
      <c r="H155" s="146"/>
      <c r="I155" s="145">
        <f>Дефляторы!$D$25</f>
        <v>1.052</v>
      </c>
      <c r="J155" s="146">
        <f t="shared" si="42"/>
        <v>0</v>
      </c>
      <c r="K155" s="146"/>
      <c r="L155" s="172"/>
      <c r="M155" s="147"/>
      <c r="N155" s="147"/>
    </row>
    <row r="156" spans="1:14" s="148" customFormat="1" ht="15.75" outlineLevel="3" x14ac:dyDescent="0.2">
      <c r="A156" s="95"/>
      <c r="B156" s="42"/>
      <c r="C156" s="157" t="s">
        <v>838</v>
      </c>
      <c r="D156" s="100"/>
      <c r="E156" s="149"/>
      <c r="F156" s="149"/>
      <c r="G156" s="174"/>
      <c r="H156" s="146"/>
      <c r="I156" s="145">
        <f>Дефляторы!$D$25</f>
        <v>1.052</v>
      </c>
      <c r="J156" s="146">
        <f t="shared" si="42"/>
        <v>0</v>
      </c>
      <c r="K156" s="146"/>
      <c r="L156" s="172"/>
      <c r="M156" s="147"/>
      <c r="N156" s="147"/>
    </row>
    <row r="157" spans="1:14" s="148" customFormat="1" ht="25.5" outlineLevel="3" x14ac:dyDescent="0.2">
      <c r="A157" s="95" t="s">
        <v>2270</v>
      </c>
      <c r="B157" s="42" t="s">
        <v>842</v>
      </c>
      <c r="C157" s="42" t="s">
        <v>839</v>
      </c>
      <c r="D157" s="100" t="s">
        <v>300</v>
      </c>
      <c r="E157" s="149">
        <v>1115</v>
      </c>
      <c r="F157" s="149">
        <f>133953*(1.023*1.005-2.3%*15%)*6.99</f>
        <v>959426</v>
      </c>
      <c r="G157" s="174">
        <f>$G$766</f>
        <v>1.139</v>
      </c>
      <c r="H157" s="146">
        <f>F157*G157</f>
        <v>1092786</v>
      </c>
      <c r="I157" s="145">
        <f>Дефляторы!$D$25</f>
        <v>1.052</v>
      </c>
      <c r="J157" s="146">
        <f t="shared" si="42"/>
        <v>1149611</v>
      </c>
      <c r="K157" s="146">
        <f t="shared" si="41"/>
        <v>1132564</v>
      </c>
      <c r="L157" s="172"/>
      <c r="M157" s="147"/>
      <c r="N157" s="147"/>
    </row>
    <row r="158" spans="1:14" s="148" customFormat="1" ht="25.5" outlineLevel="3" x14ac:dyDescent="0.2">
      <c r="A158" s="95" t="s">
        <v>2271</v>
      </c>
      <c r="B158" s="42" t="s">
        <v>843</v>
      </c>
      <c r="C158" s="42" t="s">
        <v>840</v>
      </c>
      <c r="D158" s="100" t="s">
        <v>300</v>
      </c>
      <c r="E158" s="149">
        <v>185</v>
      </c>
      <c r="F158" s="149">
        <f>34830*(1.023*1.005-2.3%*15%)*6.99</f>
        <v>249467</v>
      </c>
      <c r="G158" s="174">
        <f>$G$766</f>
        <v>1.139</v>
      </c>
      <c r="H158" s="146">
        <f>F158*G158</f>
        <v>284143</v>
      </c>
      <c r="I158" s="145">
        <f>Дефляторы!$D$25</f>
        <v>1.052</v>
      </c>
      <c r="J158" s="146">
        <f t="shared" si="42"/>
        <v>298918</v>
      </c>
      <c r="K158" s="146">
        <f t="shared" si="41"/>
        <v>294486</v>
      </c>
      <c r="L158" s="172"/>
      <c r="M158" s="147"/>
      <c r="N158" s="147"/>
    </row>
    <row r="159" spans="1:14" s="148" customFormat="1" ht="25.5" outlineLevel="3" x14ac:dyDescent="0.2">
      <c r="A159" s="95" t="s">
        <v>2272</v>
      </c>
      <c r="B159" s="42" t="s">
        <v>844</v>
      </c>
      <c r="C159" s="42" t="s">
        <v>841</v>
      </c>
      <c r="D159" s="100" t="s">
        <v>300</v>
      </c>
      <c r="E159" s="149">
        <v>895</v>
      </c>
      <c r="F159" s="149">
        <f>9770*(1.023*1.005-2.3%*15%)*6.99</f>
        <v>69977</v>
      </c>
      <c r="G159" s="174">
        <f>$G$766</f>
        <v>1.139</v>
      </c>
      <c r="H159" s="146">
        <f>F159*G159</f>
        <v>79704</v>
      </c>
      <c r="I159" s="145">
        <f>Дефляторы!$D$25</f>
        <v>1.052</v>
      </c>
      <c r="J159" s="146">
        <f t="shared" si="42"/>
        <v>83849</v>
      </c>
      <c r="K159" s="146">
        <f t="shared" si="41"/>
        <v>82606</v>
      </c>
      <c r="L159" s="172"/>
      <c r="M159" s="147"/>
      <c r="N159" s="147"/>
    </row>
    <row r="160" spans="1:14" s="237" customFormat="1" ht="25.5" outlineLevel="2" x14ac:dyDescent="0.2">
      <c r="A160" s="238" t="s">
        <v>571</v>
      </c>
      <c r="B160" s="229" t="s">
        <v>156</v>
      </c>
      <c r="C160" s="229" t="s">
        <v>1844</v>
      </c>
      <c r="D160" s="239" t="s">
        <v>292</v>
      </c>
      <c r="E160" s="240">
        <v>1</v>
      </c>
      <c r="F160" s="240">
        <f>8732*(1.023*1.005-2.3%*15%)*6.99-14</f>
        <v>62528</v>
      </c>
      <c r="G160" s="241">
        <f>$G$766</f>
        <v>1.139</v>
      </c>
      <c r="H160" s="242">
        <f t="shared" ref="H160" si="45">F160*G160</f>
        <v>71219</v>
      </c>
      <c r="I160" s="241">
        <f>Дефляторы!$D$25</f>
        <v>1.052</v>
      </c>
      <c r="J160" s="242">
        <f t="shared" si="42"/>
        <v>74922</v>
      </c>
      <c r="K160" s="242">
        <f t="shared" si="41"/>
        <v>73811</v>
      </c>
      <c r="L160" s="286"/>
      <c r="M160" s="256"/>
      <c r="N160" s="256"/>
    </row>
    <row r="161" spans="1:14" s="243" customFormat="1" ht="25.5" outlineLevel="1" x14ac:dyDescent="0.2">
      <c r="A161" s="244" t="s">
        <v>393</v>
      </c>
      <c r="B161" s="245" t="s">
        <v>29</v>
      </c>
      <c r="C161" s="245" t="s">
        <v>30</v>
      </c>
      <c r="D161" s="246" t="s">
        <v>292</v>
      </c>
      <c r="E161" s="247">
        <v>1</v>
      </c>
      <c r="F161" s="247">
        <f>F162+F173+F251+F272+F296+F302+F309+F359+F365+F371+F373+F376+F413+F414+F419+F424</f>
        <v>280010669</v>
      </c>
      <c r="G161" s="248"/>
      <c r="H161" s="247">
        <f>H162+H173+H251+H272+H296+H302+H309+H359+H365+H371+H373+H376+H413+H414+H419+H424</f>
        <v>318932153</v>
      </c>
      <c r="I161" s="248">
        <f>Дефляторы!$D$25</f>
        <v>1.052</v>
      </c>
      <c r="J161" s="247">
        <f>J162+J173+J251+J272+J296+J302+J309+J359+J365+J371+J373+J376+J413+J414+J419+J424</f>
        <v>335516628</v>
      </c>
      <c r="K161" s="247">
        <f>K162+K173+K251+K272+K296+K302+K309+K359+K365+K371+K373+K376+K413+K414+K419+K424</f>
        <v>330541303</v>
      </c>
      <c r="L161" s="269"/>
      <c r="M161" s="269"/>
      <c r="N161" s="269"/>
    </row>
    <row r="162" spans="1:14" s="237" customFormat="1" ht="15.75" outlineLevel="2" x14ac:dyDescent="0.2">
      <c r="A162" s="238" t="s">
        <v>394</v>
      </c>
      <c r="B162" s="229" t="s">
        <v>158</v>
      </c>
      <c r="C162" s="229" t="s">
        <v>1845</v>
      </c>
      <c r="D162" s="239" t="s">
        <v>292</v>
      </c>
      <c r="E162" s="240">
        <v>1</v>
      </c>
      <c r="F162" s="240">
        <f>SUM(F163:F172)</f>
        <v>7312653</v>
      </c>
      <c r="G162" s="241"/>
      <c r="H162" s="240">
        <f>SUM(H163:H172)</f>
        <v>8329112</v>
      </c>
      <c r="I162" s="241">
        <f>Дефляторы!$D$25</f>
        <v>1.052</v>
      </c>
      <c r="J162" s="240">
        <f>SUM(J163:J172)</f>
        <v>8762227</v>
      </c>
      <c r="K162" s="240">
        <f>SUM(K163:K172)</f>
        <v>8632293</v>
      </c>
      <c r="L162" s="256"/>
      <c r="M162" s="256"/>
      <c r="N162" s="256"/>
    </row>
    <row r="163" spans="1:14" s="148" customFormat="1" ht="15.75" outlineLevel="3" x14ac:dyDescent="0.2">
      <c r="A163" s="95" t="s">
        <v>1849</v>
      </c>
      <c r="B163" s="42" t="s">
        <v>846</v>
      </c>
      <c r="C163" s="42" t="s">
        <v>414</v>
      </c>
      <c r="D163" s="100" t="s">
        <v>292</v>
      </c>
      <c r="E163" s="149">
        <v>1</v>
      </c>
      <c r="F163" s="149">
        <f>190285*(1.023*1.005-2.3%*15%)*6.99+0*4.09</f>
        <v>1362899</v>
      </c>
      <c r="G163" s="145">
        <f t="shared" ref="G163:G173" si="46">$G$766</f>
        <v>1.139</v>
      </c>
      <c r="H163" s="146">
        <f t="shared" ref="H163:H169" si="47">F163*G163</f>
        <v>1552342</v>
      </c>
      <c r="I163" s="145">
        <f>Дефляторы!$D$25</f>
        <v>1.052</v>
      </c>
      <c r="J163" s="146">
        <f t="shared" ref="J163:J169" si="48">H163*I163</f>
        <v>1633064</v>
      </c>
      <c r="K163" s="146">
        <f t="shared" ref="K163:K169" si="49">H163+(J163-H163)*(1-30/100)</f>
        <v>1608847</v>
      </c>
      <c r="L163" s="147" t="s">
        <v>847</v>
      </c>
      <c r="M163" s="147"/>
      <c r="N163" s="147"/>
    </row>
    <row r="164" spans="1:14" s="148" customFormat="1" ht="15.75" outlineLevel="3" x14ac:dyDescent="0.2">
      <c r="A164" s="95" t="s">
        <v>1850</v>
      </c>
      <c r="B164" s="42" t="s">
        <v>848</v>
      </c>
      <c r="C164" s="42" t="s">
        <v>1772</v>
      </c>
      <c r="D164" s="100" t="s">
        <v>292</v>
      </c>
      <c r="E164" s="149">
        <v>1</v>
      </c>
      <c r="F164" s="149">
        <f>54471*(1.023*1.005-2.3%*15%)*6.99+0*4.09</f>
        <v>390144</v>
      </c>
      <c r="G164" s="145">
        <f t="shared" si="46"/>
        <v>1.139</v>
      </c>
      <c r="H164" s="146">
        <f t="shared" si="47"/>
        <v>444374</v>
      </c>
      <c r="I164" s="145">
        <f>Дефляторы!$D$25</f>
        <v>1.052</v>
      </c>
      <c r="J164" s="146">
        <f t="shared" si="48"/>
        <v>467481</v>
      </c>
      <c r="K164" s="146">
        <f t="shared" si="49"/>
        <v>460549</v>
      </c>
      <c r="L164" s="147"/>
      <c r="M164" s="147"/>
      <c r="N164" s="147"/>
    </row>
    <row r="165" spans="1:14" s="148" customFormat="1" ht="15.75" outlineLevel="3" x14ac:dyDescent="0.2">
      <c r="A165" s="95" t="s">
        <v>1851</v>
      </c>
      <c r="B165" s="42" t="s">
        <v>849</v>
      </c>
      <c r="C165" s="42" t="s">
        <v>1773</v>
      </c>
      <c r="D165" s="100" t="s">
        <v>292</v>
      </c>
      <c r="E165" s="149">
        <v>1</v>
      </c>
      <c r="F165" s="149">
        <f>333456*(1.023*1.005-2.3%*15%)*6.99+0*4.09-47</f>
        <v>2388301</v>
      </c>
      <c r="G165" s="145">
        <f t="shared" si="46"/>
        <v>1.139</v>
      </c>
      <c r="H165" s="146">
        <f t="shared" si="47"/>
        <v>2720275</v>
      </c>
      <c r="I165" s="145">
        <f>Дефляторы!$D$25</f>
        <v>1.052</v>
      </c>
      <c r="J165" s="146">
        <f t="shared" si="48"/>
        <v>2861729</v>
      </c>
      <c r="K165" s="146">
        <f t="shared" si="49"/>
        <v>2819293</v>
      </c>
      <c r="L165" s="147"/>
      <c r="M165" s="147"/>
      <c r="N165" s="147"/>
    </row>
    <row r="166" spans="1:14" s="148" customFormat="1" ht="15.75" outlineLevel="3" x14ac:dyDescent="0.2">
      <c r="A166" s="95" t="s">
        <v>1852</v>
      </c>
      <c r="B166" s="42" t="s">
        <v>851</v>
      </c>
      <c r="C166" s="42" t="s">
        <v>850</v>
      </c>
      <c r="D166" s="100" t="s">
        <v>404</v>
      </c>
      <c r="E166" s="149">
        <v>72</v>
      </c>
      <c r="F166" s="149">
        <f>86505*(1.023*1.005-2.3%*15%)*6.99+0*4.09</f>
        <v>619584</v>
      </c>
      <c r="G166" s="145">
        <f t="shared" si="46"/>
        <v>1.139</v>
      </c>
      <c r="H166" s="146">
        <f t="shared" si="47"/>
        <v>705706</v>
      </c>
      <c r="I166" s="145">
        <f>Дефляторы!$D$25</f>
        <v>1.052</v>
      </c>
      <c r="J166" s="146">
        <f t="shared" si="48"/>
        <v>742403</v>
      </c>
      <c r="K166" s="146">
        <f t="shared" si="49"/>
        <v>731394</v>
      </c>
      <c r="L166" s="147"/>
      <c r="M166" s="147"/>
      <c r="N166" s="147"/>
    </row>
    <row r="167" spans="1:14" s="148" customFormat="1" ht="15.75" outlineLevel="3" x14ac:dyDescent="0.2">
      <c r="A167" s="95" t="s">
        <v>1853</v>
      </c>
      <c r="B167" s="42" t="s">
        <v>854</v>
      </c>
      <c r="C167" s="42" t="s">
        <v>852</v>
      </c>
      <c r="D167" s="100" t="s">
        <v>292</v>
      </c>
      <c r="E167" s="149">
        <v>1</v>
      </c>
      <c r="F167" s="149">
        <f>69716*(1.023*1.005-2.3%*15%)*6.99+0*4.09</f>
        <v>499334</v>
      </c>
      <c r="G167" s="145">
        <f t="shared" si="46"/>
        <v>1.139</v>
      </c>
      <c r="H167" s="146">
        <f t="shared" si="47"/>
        <v>568741</v>
      </c>
      <c r="I167" s="145">
        <f>Дефляторы!$D$25</f>
        <v>1.052</v>
      </c>
      <c r="J167" s="146">
        <f t="shared" si="48"/>
        <v>598316</v>
      </c>
      <c r="K167" s="146">
        <f t="shared" si="49"/>
        <v>589444</v>
      </c>
      <c r="L167" s="147" t="s">
        <v>853</v>
      </c>
      <c r="M167" s="147"/>
      <c r="N167" s="147"/>
    </row>
    <row r="168" spans="1:14" s="148" customFormat="1" ht="15.75" outlineLevel="3" x14ac:dyDescent="0.2">
      <c r="A168" s="95" t="s">
        <v>1854</v>
      </c>
      <c r="B168" s="42" t="s">
        <v>856</v>
      </c>
      <c r="C168" s="42" t="s">
        <v>855</v>
      </c>
      <c r="D168" s="100" t="s">
        <v>377</v>
      </c>
      <c r="E168" s="149">
        <v>25</v>
      </c>
      <c r="F168" s="149">
        <f>4693*(1.023*1.005-2.3%*15%)*6.99+0*4.09</f>
        <v>33613</v>
      </c>
      <c r="G168" s="145">
        <f t="shared" si="46"/>
        <v>1.139</v>
      </c>
      <c r="H168" s="146">
        <f t="shared" si="47"/>
        <v>38285</v>
      </c>
      <c r="I168" s="145">
        <f>Дефляторы!$D$25</f>
        <v>1.052</v>
      </c>
      <c r="J168" s="146">
        <f t="shared" si="48"/>
        <v>40276</v>
      </c>
      <c r="K168" s="146">
        <f t="shared" si="49"/>
        <v>39679</v>
      </c>
      <c r="L168" s="147"/>
      <c r="M168" s="147"/>
      <c r="N168" s="147"/>
    </row>
    <row r="169" spans="1:14" s="148" customFormat="1" ht="15.75" outlineLevel="3" x14ac:dyDescent="0.2">
      <c r="A169" s="95" t="s">
        <v>1855</v>
      </c>
      <c r="B169" s="42" t="s">
        <v>858</v>
      </c>
      <c r="C169" s="42" t="s">
        <v>857</v>
      </c>
      <c r="D169" s="100" t="s">
        <v>404</v>
      </c>
      <c r="E169" s="168">
        <f>548.2</f>
        <v>548.20000000000005</v>
      </c>
      <c r="F169" s="149">
        <f>2078*(1.023*1.005-2.3%*15%)*6.99+0*4.09</f>
        <v>14883</v>
      </c>
      <c r="G169" s="145">
        <f t="shared" si="46"/>
        <v>1.139</v>
      </c>
      <c r="H169" s="146">
        <f t="shared" si="47"/>
        <v>16952</v>
      </c>
      <c r="I169" s="145">
        <f>Дефляторы!$D$25</f>
        <v>1.052</v>
      </c>
      <c r="J169" s="146">
        <f t="shared" si="48"/>
        <v>17834</v>
      </c>
      <c r="K169" s="146">
        <f t="shared" si="49"/>
        <v>17569</v>
      </c>
      <c r="L169" s="147"/>
      <c r="M169" s="147"/>
      <c r="N169" s="147"/>
    </row>
    <row r="170" spans="1:14" s="155" customFormat="1" ht="15.75" outlineLevel="3" x14ac:dyDescent="0.2">
      <c r="A170" s="95" t="s">
        <v>1856</v>
      </c>
      <c r="B170" s="42" t="s">
        <v>861</v>
      </c>
      <c r="C170" s="42" t="s">
        <v>859</v>
      </c>
      <c r="D170" s="143" t="s">
        <v>305</v>
      </c>
      <c r="E170" s="149">
        <v>1</v>
      </c>
      <c r="F170" s="149">
        <f>3*5*2.7/81*1813*(1.023*1.005-2.3%*15%)*6.99+247669*4.09</f>
        <v>1019459</v>
      </c>
      <c r="G170" s="145">
        <f t="shared" si="46"/>
        <v>1.139</v>
      </c>
      <c r="H170" s="146">
        <f>F170*G170</f>
        <v>1161164</v>
      </c>
      <c r="I170" s="145">
        <f>Дефляторы!$D$25</f>
        <v>1.052</v>
      </c>
      <c r="J170" s="146">
        <f>H170*I170</f>
        <v>1221545</v>
      </c>
      <c r="K170" s="146">
        <f>H170+(J170-H170)*(1-30/100)</f>
        <v>1203431</v>
      </c>
      <c r="L170" s="154"/>
      <c r="M170" s="176"/>
      <c r="N170" s="96"/>
    </row>
    <row r="171" spans="1:14" s="155" customFormat="1" ht="15.75" outlineLevel="3" x14ac:dyDescent="0.2">
      <c r="A171" s="95" t="s">
        <v>1857</v>
      </c>
      <c r="B171" s="42" t="s">
        <v>862</v>
      </c>
      <c r="C171" s="42" t="s">
        <v>860</v>
      </c>
      <c r="D171" s="143" t="s">
        <v>408</v>
      </c>
      <c r="E171" s="149">
        <v>1</v>
      </c>
      <c r="F171" s="149">
        <f>3*5*2.7/81*1813*(1.023*1.005-2.3%*15%)*6.99+234714*4.09</f>
        <v>966473</v>
      </c>
      <c r="G171" s="145">
        <f t="shared" si="46"/>
        <v>1.139</v>
      </c>
      <c r="H171" s="146">
        <f>F171*G171</f>
        <v>1100813</v>
      </c>
      <c r="I171" s="145">
        <f>Дефляторы!$D$25</f>
        <v>1.052</v>
      </c>
      <c r="J171" s="146">
        <f>H171*I171</f>
        <v>1158055</v>
      </c>
      <c r="K171" s="146">
        <f>H171+(J171-H171)*(1-30/100)</f>
        <v>1140882</v>
      </c>
      <c r="L171" s="154"/>
      <c r="M171" s="96"/>
      <c r="N171" s="96"/>
    </row>
    <row r="172" spans="1:14" s="155" customFormat="1" ht="15.75" outlineLevel="3" x14ac:dyDescent="0.2">
      <c r="A172" s="95" t="s">
        <v>1858</v>
      </c>
      <c r="B172" s="42" t="s">
        <v>863</v>
      </c>
      <c r="C172" s="42" t="s">
        <v>864</v>
      </c>
      <c r="D172" s="143" t="s">
        <v>404</v>
      </c>
      <c r="E172" s="168">
        <v>55</v>
      </c>
      <c r="F172" s="149">
        <f>(2508)*(1.023*1.005-2.3%*15%)*6.99+0*4.09</f>
        <v>17963</v>
      </c>
      <c r="G172" s="145">
        <f t="shared" si="46"/>
        <v>1.139</v>
      </c>
      <c r="H172" s="146">
        <f>F172*G172</f>
        <v>20460</v>
      </c>
      <c r="I172" s="145">
        <f>Дефляторы!$D$25</f>
        <v>1.052</v>
      </c>
      <c r="J172" s="146">
        <f>H172*I172</f>
        <v>21524</v>
      </c>
      <c r="K172" s="146">
        <f>H172+(J172-H172)*(1-30/100)</f>
        <v>21205</v>
      </c>
      <c r="L172" s="154"/>
      <c r="M172" s="96"/>
      <c r="N172" s="96"/>
    </row>
    <row r="173" spans="1:14" s="237" customFormat="1" ht="15.75" outlineLevel="2" x14ac:dyDescent="0.2">
      <c r="A173" s="238" t="s">
        <v>395</v>
      </c>
      <c r="B173" s="229" t="s">
        <v>160</v>
      </c>
      <c r="C173" s="229" t="s">
        <v>1848</v>
      </c>
      <c r="D173" s="239" t="s">
        <v>292</v>
      </c>
      <c r="E173" s="240">
        <v>1</v>
      </c>
      <c r="F173" s="240">
        <f>SUM(F174:F250)</f>
        <v>82872073</v>
      </c>
      <c r="G173" s="241">
        <f t="shared" si="46"/>
        <v>1.139</v>
      </c>
      <c r="H173" s="240">
        <f>SUM(H174:H250)</f>
        <v>94391288</v>
      </c>
      <c r="I173" s="241">
        <f>Дефляторы!$D$25</f>
        <v>1.052</v>
      </c>
      <c r="J173" s="240">
        <f>SUM(J174:J250)</f>
        <v>99299637</v>
      </c>
      <c r="K173" s="240">
        <f>SUM(K174:K250)</f>
        <v>97827135</v>
      </c>
      <c r="L173" s="256"/>
      <c r="M173" s="256"/>
      <c r="N173" s="256"/>
    </row>
    <row r="174" spans="1:14" s="148" customFormat="1" ht="15.75" outlineLevel="3" x14ac:dyDescent="0.2">
      <c r="A174" s="95"/>
      <c r="B174" s="42"/>
      <c r="C174" s="42" t="s">
        <v>866</v>
      </c>
      <c r="D174" s="100"/>
      <c r="E174" s="168"/>
      <c r="F174" s="149"/>
      <c r="G174" s="145"/>
      <c r="H174" s="146"/>
      <c r="I174" s="145">
        <f>Дефляторы!$D$25</f>
        <v>1.052</v>
      </c>
      <c r="J174" s="146"/>
      <c r="K174" s="146"/>
      <c r="L174" s="147"/>
      <c r="M174" s="147"/>
      <c r="N174" s="147"/>
    </row>
    <row r="175" spans="1:14" s="148" customFormat="1" ht="15.75" outlineLevel="3" x14ac:dyDescent="0.2">
      <c r="A175" s="95"/>
      <c r="B175" s="42"/>
      <c r="C175" s="157" t="s">
        <v>870</v>
      </c>
      <c r="D175" s="100"/>
      <c r="E175" s="168"/>
      <c r="F175" s="149"/>
      <c r="G175" s="145"/>
      <c r="H175" s="146"/>
      <c r="I175" s="145">
        <f>Дефляторы!$D$25</f>
        <v>1.052</v>
      </c>
      <c r="J175" s="146"/>
      <c r="K175" s="146"/>
      <c r="L175" s="147"/>
      <c r="M175" s="147"/>
      <c r="N175" s="147"/>
    </row>
    <row r="176" spans="1:14" s="148" customFormat="1" ht="15.75" outlineLevel="3" x14ac:dyDescent="0.2">
      <c r="A176" s="95" t="s">
        <v>396</v>
      </c>
      <c r="B176" s="42" t="s">
        <v>867</v>
      </c>
      <c r="C176" s="42" t="s">
        <v>865</v>
      </c>
      <c r="D176" s="100" t="s">
        <v>377</v>
      </c>
      <c r="E176" s="168">
        <f>147.8</f>
        <v>147.80000000000001</v>
      </c>
      <c r="F176" s="149">
        <f>(16089+10569)*(1.023*1.005-2.3%*15%)*6.99+0*4.09</f>
        <v>190935</v>
      </c>
      <c r="G176" s="145">
        <f>$G$766</f>
        <v>1.139</v>
      </c>
      <c r="H176" s="146">
        <f t="shared" ref="H176:H178" si="50">F176*G176</f>
        <v>217475</v>
      </c>
      <c r="I176" s="145">
        <f>Дефляторы!$D$25</f>
        <v>1.052</v>
      </c>
      <c r="J176" s="146">
        <f t="shared" ref="J176:J178" si="51">H176*I176</f>
        <v>228784</v>
      </c>
      <c r="K176" s="146">
        <f t="shared" ref="K176:K178" si="52">H176+(J176-H176)*(1-30/100)</f>
        <v>225391</v>
      </c>
      <c r="L176" s="147"/>
      <c r="M176" s="147"/>
      <c r="N176" s="147"/>
    </row>
    <row r="177" spans="1:14" s="148" customFormat="1" ht="25.5" outlineLevel="3" x14ac:dyDescent="0.2">
      <c r="A177" s="95" t="s">
        <v>397</v>
      </c>
      <c r="B177" s="42" t="s">
        <v>400</v>
      </c>
      <c r="C177" s="42" t="s">
        <v>868</v>
      </c>
      <c r="D177" s="100" t="s">
        <v>404</v>
      </c>
      <c r="E177" s="168">
        <v>1360</v>
      </c>
      <c r="F177" s="149">
        <f>(41932+8690+164346)*(1.023*1.005-2.3%*15%)*6.99+0*4.09</f>
        <v>1539689</v>
      </c>
      <c r="G177" s="145">
        <f>$G$766</f>
        <v>1.139</v>
      </c>
      <c r="H177" s="146">
        <f t="shared" si="50"/>
        <v>1753706</v>
      </c>
      <c r="I177" s="145">
        <f>Дефляторы!$D$25</f>
        <v>1.052</v>
      </c>
      <c r="J177" s="146">
        <f t="shared" si="51"/>
        <v>1844899</v>
      </c>
      <c r="K177" s="146">
        <f t="shared" si="52"/>
        <v>1817541</v>
      </c>
      <c r="L177" s="147"/>
      <c r="M177" s="147"/>
      <c r="N177" s="147"/>
    </row>
    <row r="178" spans="1:14" s="148" customFormat="1" ht="63.75" outlineLevel="3" x14ac:dyDescent="0.2">
      <c r="A178" s="95" t="s">
        <v>399</v>
      </c>
      <c r="B178" s="42" t="s">
        <v>869</v>
      </c>
      <c r="C178" s="42" t="s">
        <v>871</v>
      </c>
      <c r="D178" s="100" t="s">
        <v>404</v>
      </c>
      <c r="E178" s="168">
        <v>57.1</v>
      </c>
      <c r="F178" s="149">
        <f>(36896)*(1.023*1.005-2.3%*15%)*6.99+0*4.09</f>
        <v>264264</v>
      </c>
      <c r="G178" s="145">
        <f>$G$766</f>
        <v>1.139</v>
      </c>
      <c r="H178" s="146">
        <f t="shared" si="50"/>
        <v>300997</v>
      </c>
      <c r="I178" s="145">
        <f>Дефляторы!$D$25</f>
        <v>1.052</v>
      </c>
      <c r="J178" s="146">
        <f t="shared" si="51"/>
        <v>316649</v>
      </c>
      <c r="K178" s="146">
        <f t="shared" si="52"/>
        <v>311953</v>
      </c>
      <c r="L178" s="147"/>
      <c r="M178" s="147"/>
      <c r="N178" s="147"/>
    </row>
    <row r="179" spans="1:14" s="148" customFormat="1" ht="15.75" outlineLevel="3" x14ac:dyDescent="0.2">
      <c r="A179" s="95"/>
      <c r="B179" s="42"/>
      <c r="C179" s="157" t="s">
        <v>872</v>
      </c>
      <c r="D179" s="100"/>
      <c r="E179" s="168"/>
      <c r="F179" s="149"/>
      <c r="G179" s="145"/>
      <c r="H179" s="146"/>
      <c r="I179" s="145">
        <f>Дефляторы!$D$25</f>
        <v>1.052</v>
      </c>
      <c r="J179" s="146"/>
      <c r="K179" s="146"/>
      <c r="L179" s="147"/>
      <c r="M179" s="147"/>
      <c r="N179" s="147"/>
    </row>
    <row r="180" spans="1:14" s="148" customFormat="1" ht="15.75" outlineLevel="3" x14ac:dyDescent="0.2">
      <c r="A180" s="95" t="s">
        <v>401</v>
      </c>
      <c r="B180" s="42" t="s">
        <v>874</v>
      </c>
      <c r="C180" s="42" t="s">
        <v>873</v>
      </c>
      <c r="D180" s="100" t="s">
        <v>404</v>
      </c>
      <c r="E180" s="168">
        <v>1034.3</v>
      </c>
      <c r="F180" s="149">
        <f>(21257)*(1.023*1.005-2.3%*15%)*6.99+0*4.09</f>
        <v>152251</v>
      </c>
      <c r="G180" s="145">
        <f t="shared" ref="G180:G185" si="53">$G$766</f>
        <v>1.139</v>
      </c>
      <c r="H180" s="146">
        <f t="shared" ref="H180:H185" si="54">F180*G180</f>
        <v>173414</v>
      </c>
      <c r="I180" s="145">
        <f>Дефляторы!$D$25</f>
        <v>1.052</v>
      </c>
      <c r="J180" s="146">
        <f t="shared" ref="J180:J185" si="55">H180*I180</f>
        <v>182432</v>
      </c>
      <c r="K180" s="146">
        <f t="shared" ref="K180:K185" si="56">H180+(J180-H180)*(1-30/100)</f>
        <v>179727</v>
      </c>
      <c r="L180" s="147"/>
      <c r="M180" s="147"/>
      <c r="N180" s="147"/>
    </row>
    <row r="181" spans="1:14" s="148" customFormat="1" ht="51" outlineLevel="3" x14ac:dyDescent="0.2">
      <c r="A181" s="95" t="s">
        <v>402</v>
      </c>
      <c r="B181" s="42" t="s">
        <v>876</v>
      </c>
      <c r="C181" s="42" t="s">
        <v>875</v>
      </c>
      <c r="D181" s="100" t="s">
        <v>404</v>
      </c>
      <c r="E181" s="168">
        <v>957.9</v>
      </c>
      <c r="F181" s="149">
        <f>(763776)*(1.023*1.005-2.3%*15%)*6.99+0*4.09</f>
        <v>5470476</v>
      </c>
      <c r="G181" s="145">
        <f t="shared" si="53"/>
        <v>1.139</v>
      </c>
      <c r="H181" s="146">
        <f t="shared" si="54"/>
        <v>6230872</v>
      </c>
      <c r="I181" s="145">
        <f>Дефляторы!$D$25</f>
        <v>1.052</v>
      </c>
      <c r="J181" s="146">
        <f t="shared" si="55"/>
        <v>6554877</v>
      </c>
      <c r="K181" s="146">
        <f t="shared" si="56"/>
        <v>6457676</v>
      </c>
      <c r="L181" s="147"/>
      <c r="M181" s="147"/>
      <c r="N181" s="147"/>
    </row>
    <row r="182" spans="1:14" s="148" customFormat="1" ht="51" outlineLevel="3" x14ac:dyDescent="0.2">
      <c r="A182" s="95" t="s">
        <v>403</v>
      </c>
      <c r="B182" s="42" t="s">
        <v>878</v>
      </c>
      <c r="C182" s="42" t="s">
        <v>877</v>
      </c>
      <c r="D182" s="100" t="s">
        <v>404</v>
      </c>
      <c r="E182" s="168">
        <v>24.5</v>
      </c>
      <c r="F182" s="149">
        <f>(17897)*(1.023*1.005-2.3%*15%)*6.99+0*4.09</f>
        <v>128186</v>
      </c>
      <c r="G182" s="145">
        <f t="shared" si="53"/>
        <v>1.139</v>
      </c>
      <c r="H182" s="146">
        <f t="shared" si="54"/>
        <v>146004</v>
      </c>
      <c r="I182" s="145">
        <f>Дефляторы!$D$25</f>
        <v>1.052</v>
      </c>
      <c r="J182" s="146">
        <f t="shared" si="55"/>
        <v>153596</v>
      </c>
      <c r="K182" s="146">
        <f t="shared" si="56"/>
        <v>151318</v>
      </c>
      <c r="L182" s="147"/>
      <c r="M182" s="147"/>
      <c r="N182" s="147"/>
    </row>
    <row r="183" spans="1:14" s="148" customFormat="1" ht="15.75" outlineLevel="3" x14ac:dyDescent="0.2">
      <c r="A183" s="95" t="s">
        <v>405</v>
      </c>
      <c r="B183" s="42" t="s">
        <v>880</v>
      </c>
      <c r="C183" s="42" t="s">
        <v>879</v>
      </c>
      <c r="D183" s="100" t="s">
        <v>404</v>
      </c>
      <c r="E183" s="100">
        <f>18.51</f>
        <v>18.510000000000002</v>
      </c>
      <c r="F183" s="149">
        <f>(2415)*(1.023*1.005-2.3%*15%)*6.99+0*4.09</f>
        <v>17297</v>
      </c>
      <c r="G183" s="145">
        <f t="shared" si="53"/>
        <v>1.139</v>
      </c>
      <c r="H183" s="146">
        <f t="shared" si="54"/>
        <v>19701</v>
      </c>
      <c r="I183" s="145">
        <f>Дефляторы!$D$25</f>
        <v>1.052</v>
      </c>
      <c r="J183" s="146">
        <f t="shared" si="55"/>
        <v>20725</v>
      </c>
      <c r="K183" s="146">
        <f t="shared" si="56"/>
        <v>20418</v>
      </c>
      <c r="L183" s="147"/>
      <c r="M183" s="147"/>
      <c r="N183" s="147"/>
    </row>
    <row r="184" spans="1:14" s="148" customFormat="1" ht="25.5" outlineLevel="3" x14ac:dyDescent="0.2">
      <c r="A184" s="95" t="s">
        <v>1859</v>
      </c>
      <c r="B184" s="42" t="s">
        <v>882</v>
      </c>
      <c r="C184" s="42" t="s">
        <v>881</v>
      </c>
      <c r="D184" s="100" t="s">
        <v>404</v>
      </c>
      <c r="E184" s="100">
        <f>2.56</f>
        <v>2.56</v>
      </c>
      <c r="F184" s="149">
        <f>(2610)*(1.023*1.005-2.3%*15%)*6.99+0*4.09</f>
        <v>18694</v>
      </c>
      <c r="G184" s="145">
        <f t="shared" si="53"/>
        <v>1.139</v>
      </c>
      <c r="H184" s="146">
        <f t="shared" si="54"/>
        <v>21292</v>
      </c>
      <c r="I184" s="145">
        <f>Дефляторы!$D$25</f>
        <v>1.052</v>
      </c>
      <c r="J184" s="146">
        <f t="shared" si="55"/>
        <v>22399</v>
      </c>
      <c r="K184" s="146">
        <f t="shared" si="56"/>
        <v>22067</v>
      </c>
      <c r="L184" s="147"/>
      <c r="M184" s="147"/>
      <c r="N184" s="147"/>
    </row>
    <row r="185" spans="1:14" s="148" customFormat="1" ht="15.75" outlineLevel="3" x14ac:dyDescent="0.2">
      <c r="A185" s="95" t="s">
        <v>1860</v>
      </c>
      <c r="B185" s="42" t="s">
        <v>884</v>
      </c>
      <c r="C185" s="42" t="s">
        <v>883</v>
      </c>
      <c r="D185" s="100" t="s">
        <v>404</v>
      </c>
      <c r="E185" s="100">
        <f>116.13</f>
        <v>116.13</v>
      </c>
      <c r="F185" s="149">
        <f>(21437)*(1.023*1.005-2.3%*15%)*6.99+0*4.09</f>
        <v>153541</v>
      </c>
      <c r="G185" s="145">
        <f t="shared" si="53"/>
        <v>1.139</v>
      </c>
      <c r="H185" s="146">
        <f t="shared" si="54"/>
        <v>174883</v>
      </c>
      <c r="I185" s="145">
        <f>Дефляторы!$D$25</f>
        <v>1.052</v>
      </c>
      <c r="J185" s="146">
        <f t="shared" si="55"/>
        <v>183977</v>
      </c>
      <c r="K185" s="146">
        <f t="shared" si="56"/>
        <v>181249</v>
      </c>
      <c r="L185" s="147"/>
      <c r="M185" s="147"/>
      <c r="N185" s="147"/>
    </row>
    <row r="186" spans="1:14" s="148" customFormat="1" ht="15.75" outlineLevel="3" x14ac:dyDescent="0.2">
      <c r="A186" s="95"/>
      <c r="B186" s="42"/>
      <c r="C186" s="157" t="s">
        <v>885</v>
      </c>
      <c r="D186" s="100"/>
      <c r="E186" s="168"/>
      <c r="F186" s="149"/>
      <c r="G186" s="145"/>
      <c r="H186" s="146"/>
      <c r="I186" s="145">
        <f>Дефляторы!$D$25</f>
        <v>1.052</v>
      </c>
      <c r="J186" s="146"/>
      <c r="K186" s="146"/>
      <c r="L186" s="147"/>
      <c r="M186" s="147"/>
      <c r="N186" s="147"/>
    </row>
    <row r="187" spans="1:14" s="148" customFormat="1" ht="15.75" outlineLevel="3" x14ac:dyDescent="0.2">
      <c r="A187" s="95"/>
      <c r="B187" s="42"/>
      <c r="C187" s="42" t="s">
        <v>886</v>
      </c>
      <c r="D187" s="100"/>
      <c r="E187" s="168"/>
      <c r="F187" s="149"/>
      <c r="G187" s="145"/>
      <c r="H187" s="146"/>
      <c r="I187" s="145">
        <f>Дефляторы!$D$25</f>
        <v>1.052</v>
      </c>
      <c r="J187" s="146"/>
      <c r="K187" s="146"/>
      <c r="L187" s="147"/>
      <c r="M187" s="147"/>
      <c r="N187" s="147"/>
    </row>
    <row r="188" spans="1:14" s="148" customFormat="1" ht="15.75" outlineLevel="3" x14ac:dyDescent="0.2">
      <c r="A188" s="95" t="s">
        <v>1861</v>
      </c>
      <c r="B188" s="42" t="s">
        <v>888</v>
      </c>
      <c r="C188" s="42" t="s">
        <v>887</v>
      </c>
      <c r="D188" s="100" t="s">
        <v>404</v>
      </c>
      <c r="E188" s="168">
        <f>196.4</f>
        <v>196.4</v>
      </c>
      <c r="F188" s="149">
        <f>(5245+18301)*(1.023*1.005-2.3%*15%)*6.99+0*4.09</f>
        <v>168646</v>
      </c>
      <c r="G188" s="145">
        <f>$G$766</f>
        <v>1.139</v>
      </c>
      <c r="H188" s="146">
        <f t="shared" ref="H188:H190" si="57">F188*G188</f>
        <v>192088</v>
      </c>
      <c r="I188" s="145">
        <f>Дефляторы!$D$25</f>
        <v>1.052</v>
      </c>
      <c r="J188" s="146">
        <f t="shared" ref="J188:J190" si="58">H188*I188</f>
        <v>202077</v>
      </c>
      <c r="K188" s="146">
        <f t="shared" ref="K188:K190" si="59">H188+(J188-H188)*(1-30/100)</f>
        <v>199080</v>
      </c>
      <c r="L188" s="147"/>
      <c r="M188" s="147"/>
      <c r="N188" s="147"/>
    </row>
    <row r="189" spans="1:14" s="148" customFormat="1" ht="15.75" outlineLevel="3" x14ac:dyDescent="0.2">
      <c r="A189" s="95" t="s">
        <v>1862</v>
      </c>
      <c r="B189" s="42" t="s">
        <v>889</v>
      </c>
      <c r="C189" s="42" t="s">
        <v>890</v>
      </c>
      <c r="D189" s="100" t="s">
        <v>377</v>
      </c>
      <c r="E189" s="168">
        <f>91.2</f>
        <v>91.2</v>
      </c>
      <c r="F189" s="149">
        <f>(17114)*(1.023*1.005-2.3%*15%)*6.99+0*4.09</f>
        <v>122577</v>
      </c>
      <c r="G189" s="145">
        <f>$G$766</f>
        <v>1.139</v>
      </c>
      <c r="H189" s="146">
        <f t="shared" si="57"/>
        <v>139615</v>
      </c>
      <c r="I189" s="145">
        <f>Дефляторы!$D$25</f>
        <v>1.052</v>
      </c>
      <c r="J189" s="146">
        <f t="shared" si="58"/>
        <v>146875</v>
      </c>
      <c r="K189" s="146">
        <f t="shared" si="59"/>
        <v>144697</v>
      </c>
      <c r="L189" s="147"/>
      <c r="M189" s="147"/>
      <c r="N189" s="147"/>
    </row>
    <row r="190" spans="1:14" s="148" customFormat="1" ht="38.25" outlineLevel="3" x14ac:dyDescent="0.2">
      <c r="A190" s="95" t="s">
        <v>1863</v>
      </c>
      <c r="B190" s="42" t="s">
        <v>892</v>
      </c>
      <c r="C190" s="42" t="s">
        <v>891</v>
      </c>
      <c r="D190" s="100" t="s">
        <v>404</v>
      </c>
      <c r="E190" s="168">
        <f>57.4</f>
        <v>57.4</v>
      </c>
      <c r="F190" s="149">
        <f>(6694)*(1.023*1.005-2.3%*15%)*6.99+0*4.09</f>
        <v>47945</v>
      </c>
      <c r="G190" s="145">
        <f>$G$766</f>
        <v>1.139</v>
      </c>
      <c r="H190" s="146">
        <f t="shared" si="57"/>
        <v>54609</v>
      </c>
      <c r="I190" s="145">
        <f>Дефляторы!$D$25</f>
        <v>1.052</v>
      </c>
      <c r="J190" s="146">
        <f t="shared" si="58"/>
        <v>57449</v>
      </c>
      <c r="K190" s="146">
        <f t="shared" si="59"/>
        <v>56597</v>
      </c>
      <c r="L190" s="147"/>
      <c r="M190" s="147"/>
      <c r="N190" s="147"/>
    </row>
    <row r="191" spans="1:14" s="148" customFormat="1" ht="15.75" outlineLevel="3" x14ac:dyDescent="0.2">
      <c r="A191" s="95"/>
      <c r="B191" s="42"/>
      <c r="C191" s="157" t="s">
        <v>465</v>
      </c>
      <c r="D191" s="100"/>
      <c r="E191" s="168"/>
      <c r="F191" s="149"/>
      <c r="G191" s="145"/>
      <c r="H191" s="146"/>
      <c r="I191" s="145">
        <f>Дефляторы!$D$25</f>
        <v>1.052</v>
      </c>
      <c r="J191" s="146"/>
      <c r="K191" s="146"/>
      <c r="L191" s="147"/>
      <c r="M191" s="147"/>
      <c r="N191" s="147"/>
    </row>
    <row r="192" spans="1:14" s="148" customFormat="1" ht="15.75" outlineLevel="3" x14ac:dyDescent="0.2">
      <c r="A192" s="95" t="s">
        <v>1864</v>
      </c>
      <c r="B192" s="42" t="s">
        <v>894</v>
      </c>
      <c r="C192" s="42" t="s">
        <v>893</v>
      </c>
      <c r="D192" s="100" t="s">
        <v>300</v>
      </c>
      <c r="E192" s="100">
        <f>938.53</f>
        <v>938.53</v>
      </c>
      <c r="F192" s="149">
        <f>(357102)*(1.023*1.005-2.3%*15%)*6.99+0*4.09</f>
        <v>2557710</v>
      </c>
      <c r="G192" s="145">
        <f>$G$766</f>
        <v>1.139</v>
      </c>
      <c r="H192" s="146">
        <f t="shared" ref="H192:H194" si="60">F192*G192</f>
        <v>2913232</v>
      </c>
      <c r="I192" s="145">
        <f>Дефляторы!$D$25</f>
        <v>1.052</v>
      </c>
      <c r="J192" s="146">
        <f t="shared" ref="J192:J194" si="61">H192*I192</f>
        <v>3064720</v>
      </c>
      <c r="K192" s="146">
        <f t="shared" ref="K192:K194" si="62">H192+(J192-H192)*(1-30/100)</f>
        <v>3019274</v>
      </c>
      <c r="L192" s="147"/>
      <c r="M192" s="147"/>
      <c r="N192" s="147"/>
    </row>
    <row r="193" spans="1:14" s="148" customFormat="1" ht="15.75" outlineLevel="3" x14ac:dyDescent="0.2">
      <c r="A193" s="95" t="s">
        <v>1865</v>
      </c>
      <c r="B193" s="42" t="s">
        <v>896</v>
      </c>
      <c r="C193" s="42" t="s">
        <v>895</v>
      </c>
      <c r="D193" s="100" t="s">
        <v>404</v>
      </c>
      <c r="E193" s="145">
        <f>107.894</f>
        <v>107.89400000000001</v>
      </c>
      <c r="F193" s="149">
        <f>(18233)*(1.023*1.005-2.3%*15%)*6.99+0*4.09</f>
        <v>130592</v>
      </c>
      <c r="G193" s="145">
        <f>$G$766</f>
        <v>1.139</v>
      </c>
      <c r="H193" s="146">
        <f t="shared" si="60"/>
        <v>148744</v>
      </c>
      <c r="I193" s="145">
        <f>Дефляторы!$D$25</f>
        <v>1.052</v>
      </c>
      <c r="J193" s="146">
        <f t="shared" si="61"/>
        <v>156479</v>
      </c>
      <c r="K193" s="146">
        <f t="shared" si="62"/>
        <v>154159</v>
      </c>
      <c r="L193" s="147"/>
      <c r="M193" s="147"/>
      <c r="N193" s="147"/>
    </row>
    <row r="194" spans="1:14" s="148" customFormat="1" ht="15.75" outlineLevel="3" x14ac:dyDescent="0.2">
      <c r="A194" s="95" t="s">
        <v>1866</v>
      </c>
      <c r="B194" s="42" t="s">
        <v>898</v>
      </c>
      <c r="C194" s="42" t="s">
        <v>897</v>
      </c>
      <c r="D194" s="100" t="s">
        <v>300</v>
      </c>
      <c r="E194" s="168">
        <f>11.7</f>
        <v>11.7</v>
      </c>
      <c r="F194" s="149">
        <f>(9898)*(1.023*1.005-2.3%*15%)*6.99+0*4.09</f>
        <v>70894</v>
      </c>
      <c r="G194" s="145">
        <f>$G$766</f>
        <v>1.139</v>
      </c>
      <c r="H194" s="146">
        <f t="shared" si="60"/>
        <v>80748</v>
      </c>
      <c r="I194" s="145">
        <f>Дефляторы!$D$25</f>
        <v>1.052</v>
      </c>
      <c r="J194" s="146">
        <f t="shared" si="61"/>
        <v>84947</v>
      </c>
      <c r="K194" s="146">
        <f t="shared" si="62"/>
        <v>83687</v>
      </c>
      <c r="L194" s="147"/>
      <c r="M194" s="147"/>
      <c r="N194" s="147"/>
    </row>
    <row r="195" spans="1:14" s="148" customFormat="1" ht="15.75" outlineLevel="3" x14ac:dyDescent="0.2">
      <c r="A195" s="95"/>
      <c r="B195" s="42"/>
      <c r="C195" s="157" t="s">
        <v>414</v>
      </c>
      <c r="D195" s="100"/>
      <c r="E195" s="168"/>
      <c r="F195" s="149"/>
      <c r="G195" s="145"/>
      <c r="H195" s="146"/>
      <c r="I195" s="145">
        <f>Дефляторы!$D$25</f>
        <v>1.052</v>
      </c>
      <c r="J195" s="146"/>
      <c r="K195" s="146"/>
      <c r="L195" s="147"/>
      <c r="M195" s="147"/>
      <c r="N195" s="147"/>
    </row>
    <row r="196" spans="1:14" s="148" customFormat="1" ht="102" outlineLevel="3" x14ac:dyDescent="0.2">
      <c r="A196" s="95" t="s">
        <v>1867</v>
      </c>
      <c r="B196" s="42" t="s">
        <v>899</v>
      </c>
      <c r="C196" s="42" t="s">
        <v>900</v>
      </c>
      <c r="D196" s="100" t="s">
        <v>404</v>
      </c>
      <c r="E196" s="168">
        <v>428</v>
      </c>
      <c r="F196" s="149">
        <f>(272799)*(1.023*1.005-2.3%*15%)*6.99+0*4.09</f>
        <v>1953898</v>
      </c>
      <c r="G196" s="145">
        <f t="shared" ref="G196:G202" si="63">$G$766</f>
        <v>1.139</v>
      </c>
      <c r="H196" s="146">
        <f t="shared" ref="H196:H202" si="64">F196*G196</f>
        <v>2225490</v>
      </c>
      <c r="I196" s="145">
        <f>Дефляторы!$D$25</f>
        <v>1.052</v>
      </c>
      <c r="J196" s="146">
        <f t="shared" ref="J196:J202" si="65">H196*I196</f>
        <v>2341215</v>
      </c>
      <c r="K196" s="146">
        <f t="shared" ref="K196:K202" si="66">H196+(J196-H196)*(1-30/100)</f>
        <v>2306498</v>
      </c>
      <c r="L196" s="147"/>
      <c r="M196" s="147"/>
      <c r="N196" s="147"/>
    </row>
    <row r="197" spans="1:14" s="148" customFormat="1" ht="76.5" outlineLevel="3" x14ac:dyDescent="0.2">
      <c r="A197" s="95" t="s">
        <v>1868</v>
      </c>
      <c r="B197" s="42" t="s">
        <v>902</v>
      </c>
      <c r="C197" s="42" t="s">
        <v>904</v>
      </c>
      <c r="D197" s="100" t="s">
        <v>404</v>
      </c>
      <c r="E197" s="168">
        <f>988.1</f>
        <v>988.1</v>
      </c>
      <c r="F197" s="149">
        <f>(215544)*(1.023*1.005-2.3%*15%)*6.99+0*4.09</f>
        <v>1543814</v>
      </c>
      <c r="G197" s="145">
        <f t="shared" si="63"/>
        <v>1.139</v>
      </c>
      <c r="H197" s="146">
        <f t="shared" si="64"/>
        <v>1758404</v>
      </c>
      <c r="I197" s="145">
        <f>Дефляторы!$D$25</f>
        <v>1.052</v>
      </c>
      <c r="J197" s="146">
        <f t="shared" si="65"/>
        <v>1849841</v>
      </c>
      <c r="K197" s="146">
        <f t="shared" si="66"/>
        <v>1822410</v>
      </c>
      <c r="L197" s="147"/>
      <c r="M197" s="147"/>
      <c r="N197" s="147"/>
    </row>
    <row r="198" spans="1:14" s="148" customFormat="1" ht="38.25" outlineLevel="3" x14ac:dyDescent="0.2">
      <c r="A198" s="95" t="s">
        <v>1869</v>
      </c>
      <c r="B198" s="42" t="s">
        <v>903</v>
      </c>
      <c r="C198" s="42" t="s">
        <v>901</v>
      </c>
      <c r="D198" s="100" t="s">
        <v>404</v>
      </c>
      <c r="E198" s="168">
        <f>33.2</f>
        <v>33.200000000000003</v>
      </c>
      <c r="F198" s="149">
        <f>(13596)*(1.023*1.005-2.3%*15%)*6.99+0*4.09</f>
        <v>97380</v>
      </c>
      <c r="G198" s="145">
        <f t="shared" si="63"/>
        <v>1.139</v>
      </c>
      <c r="H198" s="146">
        <f t="shared" si="64"/>
        <v>110916</v>
      </c>
      <c r="I198" s="145">
        <f>Дефляторы!$D$25</f>
        <v>1.052</v>
      </c>
      <c r="J198" s="146">
        <f t="shared" si="65"/>
        <v>116684</v>
      </c>
      <c r="K198" s="146">
        <f t="shared" si="66"/>
        <v>114954</v>
      </c>
      <c r="L198" s="147"/>
      <c r="M198" s="147"/>
      <c r="N198" s="147"/>
    </row>
    <row r="199" spans="1:14" s="148" customFormat="1" ht="15.75" outlineLevel="3" x14ac:dyDescent="0.2">
      <c r="A199" s="95" t="s">
        <v>1870</v>
      </c>
      <c r="B199" s="42" t="s">
        <v>906</v>
      </c>
      <c r="C199" s="42" t="s">
        <v>905</v>
      </c>
      <c r="D199" s="100" t="s">
        <v>377</v>
      </c>
      <c r="E199" s="168">
        <f>147</f>
        <v>147</v>
      </c>
      <c r="F199" s="149">
        <f>(17188)*(1.023*1.005-2.3%*15%)*6.99+0*4.09</f>
        <v>123107</v>
      </c>
      <c r="G199" s="145">
        <f t="shared" si="63"/>
        <v>1.139</v>
      </c>
      <c r="H199" s="146">
        <f t="shared" si="64"/>
        <v>140219</v>
      </c>
      <c r="I199" s="145">
        <f>Дефляторы!$D$25</f>
        <v>1.052</v>
      </c>
      <c r="J199" s="146">
        <f t="shared" si="65"/>
        <v>147510</v>
      </c>
      <c r="K199" s="146">
        <f t="shared" si="66"/>
        <v>145323</v>
      </c>
      <c r="L199" s="147"/>
      <c r="M199" s="147"/>
      <c r="N199" s="147"/>
    </row>
    <row r="200" spans="1:14" s="148" customFormat="1" ht="15.75" outlineLevel="3" x14ac:dyDescent="0.2">
      <c r="A200" s="95" t="s">
        <v>1871</v>
      </c>
      <c r="B200" s="42" t="s">
        <v>907</v>
      </c>
      <c r="C200" s="42" t="s">
        <v>908</v>
      </c>
      <c r="D200" s="100" t="s">
        <v>408</v>
      </c>
      <c r="E200" s="168">
        <v>1</v>
      </c>
      <c r="F200" s="149">
        <f>(2642)*(1.023*1.005-2.3%*15%)*6.99+0*4.09</f>
        <v>18923</v>
      </c>
      <c r="G200" s="145">
        <f t="shared" si="63"/>
        <v>1.139</v>
      </c>
      <c r="H200" s="146">
        <f t="shared" si="64"/>
        <v>21553</v>
      </c>
      <c r="I200" s="145">
        <f>Дефляторы!$D$25</f>
        <v>1.052</v>
      </c>
      <c r="J200" s="146">
        <f t="shared" si="65"/>
        <v>22674</v>
      </c>
      <c r="K200" s="146">
        <f t="shared" si="66"/>
        <v>22338</v>
      </c>
      <c r="L200" s="147"/>
      <c r="M200" s="147"/>
      <c r="N200" s="147"/>
    </row>
    <row r="201" spans="1:14" s="148" customFormat="1" ht="15.75" outlineLevel="3" x14ac:dyDescent="0.2">
      <c r="A201" s="95" t="s">
        <v>1872</v>
      </c>
      <c r="B201" s="42" t="s">
        <v>910</v>
      </c>
      <c r="C201" s="42" t="s">
        <v>909</v>
      </c>
      <c r="D201" s="100" t="s">
        <v>292</v>
      </c>
      <c r="E201" s="168">
        <v>1</v>
      </c>
      <c r="F201" s="149">
        <f>(6275)*(1.023*1.005-2.3%*15%)*6.99+0*4.09</f>
        <v>44944</v>
      </c>
      <c r="G201" s="145">
        <f t="shared" si="63"/>
        <v>1.139</v>
      </c>
      <c r="H201" s="146">
        <f t="shared" si="64"/>
        <v>51191</v>
      </c>
      <c r="I201" s="145">
        <f>Дефляторы!$D$25</f>
        <v>1.052</v>
      </c>
      <c r="J201" s="146">
        <f t="shared" si="65"/>
        <v>53853</v>
      </c>
      <c r="K201" s="146">
        <f t="shared" si="66"/>
        <v>53054</v>
      </c>
      <c r="L201" s="147"/>
      <c r="M201" s="147"/>
      <c r="N201" s="147"/>
    </row>
    <row r="202" spans="1:14" s="148" customFormat="1" ht="38.25" outlineLevel="3" x14ac:dyDescent="0.2">
      <c r="A202" s="95" t="s">
        <v>1873</v>
      </c>
      <c r="B202" s="42" t="s">
        <v>912</v>
      </c>
      <c r="C202" s="42" t="s">
        <v>911</v>
      </c>
      <c r="D202" s="100" t="s">
        <v>292</v>
      </c>
      <c r="E202" s="168">
        <v>1</v>
      </c>
      <c r="F202" s="149">
        <f>(19205)*(1.023*1.005-2.3%*15%)*6.99+0*4.09</f>
        <v>137554</v>
      </c>
      <c r="G202" s="145">
        <f t="shared" si="63"/>
        <v>1.139</v>
      </c>
      <c r="H202" s="146">
        <f t="shared" si="64"/>
        <v>156674</v>
      </c>
      <c r="I202" s="145">
        <f>Дефляторы!$D$25</f>
        <v>1.052</v>
      </c>
      <c r="J202" s="146">
        <f t="shared" si="65"/>
        <v>164821</v>
      </c>
      <c r="K202" s="146">
        <f t="shared" si="66"/>
        <v>162377</v>
      </c>
      <c r="L202" s="147"/>
      <c r="M202" s="147"/>
      <c r="N202" s="147"/>
    </row>
    <row r="203" spans="1:14" s="148" customFormat="1" ht="15.75" outlineLevel="3" x14ac:dyDescent="0.2">
      <c r="A203" s="95"/>
      <c r="B203" s="42"/>
      <c r="C203" s="157" t="s">
        <v>913</v>
      </c>
      <c r="D203" s="100"/>
      <c r="E203" s="168"/>
      <c r="F203" s="149"/>
      <c r="G203" s="145"/>
      <c r="H203" s="146"/>
      <c r="I203" s="145">
        <f>Дефляторы!$D$25</f>
        <v>1.052</v>
      </c>
      <c r="J203" s="146"/>
      <c r="K203" s="146"/>
      <c r="L203" s="147"/>
      <c r="M203" s="147"/>
      <c r="N203" s="147"/>
    </row>
    <row r="204" spans="1:14" s="148" customFormat="1" ht="15.75" outlineLevel="3" x14ac:dyDescent="0.2">
      <c r="A204" s="95" t="s">
        <v>1874</v>
      </c>
      <c r="B204" s="42" t="s">
        <v>915</v>
      </c>
      <c r="C204" s="42" t="s">
        <v>914</v>
      </c>
      <c r="D204" s="100" t="s">
        <v>404</v>
      </c>
      <c r="E204" s="168">
        <f>378.1</f>
        <v>378.1</v>
      </c>
      <c r="F204" s="149">
        <f>(5683171)*(1.023*1.005-2.3%*15%)*6.99+0*4.09-3</f>
        <v>40705188</v>
      </c>
      <c r="G204" s="145">
        <f>$G$766</f>
        <v>1.139</v>
      </c>
      <c r="H204" s="146">
        <f t="shared" ref="H204:H208" si="67">F204*G204</f>
        <v>46363209</v>
      </c>
      <c r="I204" s="145">
        <f>Дефляторы!$D$25</f>
        <v>1.052</v>
      </c>
      <c r="J204" s="146">
        <f t="shared" ref="J204:J208" si="68">H204*I204</f>
        <v>48774096</v>
      </c>
      <c r="K204" s="146">
        <f t="shared" ref="K204:K208" si="69">H204+(J204-H204)*(1-30/100)</f>
        <v>48050830</v>
      </c>
      <c r="L204" s="147" t="s">
        <v>916</v>
      </c>
      <c r="M204" s="147"/>
      <c r="N204" s="147"/>
    </row>
    <row r="205" spans="1:14" s="148" customFormat="1" ht="15.75" outlineLevel="3" x14ac:dyDescent="0.2">
      <c r="A205" s="95" t="s">
        <v>1875</v>
      </c>
      <c r="B205" s="42" t="s">
        <v>918</v>
      </c>
      <c r="C205" s="42" t="s">
        <v>917</v>
      </c>
      <c r="D205" s="100" t="s">
        <v>404</v>
      </c>
      <c r="E205" s="100">
        <f>60.22+16.28+20.72</f>
        <v>97.22</v>
      </c>
      <c r="F205" s="149">
        <f>(427374)*(1.023*1.005-2.3%*15%)*6.99+0*4.09</f>
        <v>3061027</v>
      </c>
      <c r="G205" s="145">
        <f>$G$766</f>
        <v>1.139</v>
      </c>
      <c r="H205" s="146">
        <f t="shared" si="67"/>
        <v>3486510</v>
      </c>
      <c r="I205" s="145">
        <f>Дефляторы!$D$25</f>
        <v>1.052</v>
      </c>
      <c r="J205" s="146">
        <f t="shared" si="68"/>
        <v>3667809</v>
      </c>
      <c r="K205" s="146">
        <f t="shared" si="69"/>
        <v>3613419</v>
      </c>
      <c r="L205" s="147" t="s">
        <v>916</v>
      </c>
      <c r="M205" s="147"/>
      <c r="N205" s="147"/>
    </row>
    <row r="206" spans="1:14" s="148" customFormat="1" ht="15.75" outlineLevel="3" x14ac:dyDescent="0.2">
      <c r="A206" s="95" t="s">
        <v>1876</v>
      </c>
      <c r="B206" s="42" t="s">
        <v>920</v>
      </c>
      <c r="C206" s="42" t="s">
        <v>919</v>
      </c>
      <c r="D206" s="100" t="s">
        <v>377</v>
      </c>
      <c r="E206" s="168">
        <f>24.8</f>
        <v>24.8</v>
      </c>
      <c r="F206" s="149">
        <f>(2086)*(1.023*1.005-2.3%*15%)*6.99+0*4.09</f>
        <v>14941</v>
      </c>
      <c r="G206" s="145">
        <f>$G$766</f>
        <v>1.139</v>
      </c>
      <c r="H206" s="146">
        <f t="shared" si="67"/>
        <v>17018</v>
      </c>
      <c r="I206" s="145">
        <f>Дефляторы!$D$25</f>
        <v>1.052</v>
      </c>
      <c r="J206" s="146">
        <f t="shared" si="68"/>
        <v>17903</v>
      </c>
      <c r="K206" s="146">
        <f t="shared" si="69"/>
        <v>17638</v>
      </c>
      <c r="L206" s="147"/>
      <c r="M206" s="147"/>
      <c r="N206" s="147"/>
    </row>
    <row r="207" spans="1:14" s="148" customFormat="1" ht="15.75" outlineLevel="3" x14ac:dyDescent="0.2">
      <c r="A207" s="95" t="s">
        <v>1877</v>
      </c>
      <c r="B207" s="42" t="s">
        <v>922</v>
      </c>
      <c r="C207" s="42" t="s">
        <v>921</v>
      </c>
      <c r="D207" s="100" t="s">
        <v>404</v>
      </c>
      <c r="E207" s="100">
        <f>37.66</f>
        <v>37.659999999999997</v>
      </c>
      <c r="F207" s="149">
        <f>(68279)*(1.023*1.005-2.3%*15%)*6.99+0*4.09</f>
        <v>489042</v>
      </c>
      <c r="G207" s="145">
        <f>$G$766</f>
        <v>1.139</v>
      </c>
      <c r="H207" s="146">
        <f t="shared" si="67"/>
        <v>557019</v>
      </c>
      <c r="I207" s="145">
        <f>Дефляторы!$D$25</f>
        <v>1.052</v>
      </c>
      <c r="J207" s="146">
        <f t="shared" si="68"/>
        <v>585984</v>
      </c>
      <c r="K207" s="146">
        <f t="shared" si="69"/>
        <v>577295</v>
      </c>
      <c r="L207" s="147"/>
      <c r="M207" s="147"/>
      <c r="N207" s="147"/>
    </row>
    <row r="208" spans="1:14" s="148" customFormat="1" ht="15.75" outlineLevel="3" x14ac:dyDescent="0.2">
      <c r="A208" s="95" t="s">
        <v>1878</v>
      </c>
      <c r="B208" s="42" t="s">
        <v>924</v>
      </c>
      <c r="C208" s="42" t="s">
        <v>923</v>
      </c>
      <c r="D208" s="100" t="s">
        <v>404</v>
      </c>
      <c r="E208" s="100">
        <f>64.14+29.88+38.96+55.09</f>
        <v>188.07</v>
      </c>
      <c r="F208" s="149">
        <f>(302436)*(1.023*1.005-2.3%*15%)*6.99+0*4.09</f>
        <v>2166170</v>
      </c>
      <c r="G208" s="145">
        <f>$G$766</f>
        <v>1.139</v>
      </c>
      <c r="H208" s="146">
        <f t="shared" si="67"/>
        <v>2467268</v>
      </c>
      <c r="I208" s="145">
        <f>Дефляторы!$D$25</f>
        <v>1.052</v>
      </c>
      <c r="J208" s="146">
        <f t="shared" si="68"/>
        <v>2595566</v>
      </c>
      <c r="K208" s="146">
        <f t="shared" si="69"/>
        <v>2557077</v>
      </c>
      <c r="L208" s="147"/>
      <c r="M208" s="147"/>
      <c r="N208" s="147"/>
    </row>
    <row r="209" spans="1:14" s="148" customFormat="1" ht="15.75" outlineLevel="3" x14ac:dyDescent="0.2">
      <c r="A209" s="95"/>
      <c r="B209" s="42"/>
      <c r="C209" s="157" t="s">
        <v>925</v>
      </c>
      <c r="D209" s="100"/>
      <c r="E209" s="168"/>
      <c r="F209" s="149"/>
      <c r="G209" s="145"/>
      <c r="H209" s="146"/>
      <c r="I209" s="145">
        <f>Дефляторы!$D$25</f>
        <v>1.052</v>
      </c>
      <c r="J209" s="146"/>
      <c r="K209" s="146"/>
      <c r="L209" s="147"/>
      <c r="M209" s="147"/>
      <c r="N209" s="147"/>
    </row>
    <row r="210" spans="1:14" s="148" customFormat="1" ht="15.75" outlineLevel="3" x14ac:dyDescent="0.2">
      <c r="A210" s="95"/>
      <c r="B210" s="42"/>
      <c r="C210" s="42" t="s">
        <v>926</v>
      </c>
      <c r="D210" s="100"/>
      <c r="E210" s="168"/>
      <c r="F210" s="149"/>
      <c r="G210" s="145"/>
      <c r="H210" s="146"/>
      <c r="I210" s="145">
        <f>Дефляторы!$D$25</f>
        <v>1.052</v>
      </c>
      <c r="J210" s="146"/>
      <c r="K210" s="146"/>
      <c r="L210" s="147"/>
      <c r="M210" s="147"/>
      <c r="N210" s="147"/>
    </row>
    <row r="211" spans="1:14" s="148" customFormat="1" ht="76.5" outlineLevel="3" x14ac:dyDescent="0.2">
      <c r="A211" s="95" t="s">
        <v>1879</v>
      </c>
      <c r="B211" s="42" t="s">
        <v>928</v>
      </c>
      <c r="C211" s="42" t="s">
        <v>927</v>
      </c>
      <c r="D211" s="100" t="s">
        <v>404</v>
      </c>
      <c r="E211" s="100">
        <f>86.64</f>
        <v>86.64</v>
      </c>
      <c r="F211" s="149">
        <f>(27015)*(1.023*1.005-2.3%*15%)*6.99+0*4.09</f>
        <v>193492</v>
      </c>
      <c r="G211" s="145">
        <f t="shared" ref="G211:G221" si="70">$G$766</f>
        <v>1.139</v>
      </c>
      <c r="H211" s="146">
        <f t="shared" ref="H211:H221" si="71">F211*G211</f>
        <v>220387</v>
      </c>
      <c r="I211" s="145">
        <f>Дефляторы!$D$25</f>
        <v>1.052</v>
      </c>
      <c r="J211" s="146">
        <f t="shared" ref="J211:J221" si="72">H211*I211</f>
        <v>231847</v>
      </c>
      <c r="K211" s="146">
        <f t="shared" ref="K211:K221" si="73">H211+(J211-H211)*(1-30/100)</f>
        <v>228409</v>
      </c>
      <c r="L211" s="147"/>
      <c r="M211" s="147"/>
      <c r="N211" s="147"/>
    </row>
    <row r="212" spans="1:14" s="148" customFormat="1" ht="114.75" outlineLevel="3" x14ac:dyDescent="0.2">
      <c r="A212" s="95" t="s">
        <v>1880</v>
      </c>
      <c r="B212" s="42" t="s">
        <v>930</v>
      </c>
      <c r="C212" s="42" t="s">
        <v>929</v>
      </c>
      <c r="D212" s="100" t="s">
        <v>404</v>
      </c>
      <c r="E212" s="100">
        <f>254.58</f>
        <v>254.58</v>
      </c>
      <c r="F212" s="149">
        <f>(91784)*(1.023*1.005-2.3%*15%)*6.99+0*4.09</f>
        <v>657394</v>
      </c>
      <c r="G212" s="145">
        <f t="shared" si="70"/>
        <v>1.139</v>
      </c>
      <c r="H212" s="146">
        <f t="shared" si="71"/>
        <v>748772</v>
      </c>
      <c r="I212" s="145">
        <f>Дефляторы!$D$25</f>
        <v>1.052</v>
      </c>
      <c r="J212" s="146">
        <f t="shared" si="72"/>
        <v>787708</v>
      </c>
      <c r="K212" s="146">
        <f t="shared" si="73"/>
        <v>776027</v>
      </c>
      <c r="L212" s="147"/>
      <c r="M212" s="147"/>
      <c r="N212" s="147"/>
    </row>
    <row r="213" spans="1:14" s="148" customFormat="1" ht="127.5" outlineLevel="3" x14ac:dyDescent="0.2">
      <c r="A213" s="95" t="s">
        <v>1881</v>
      </c>
      <c r="B213" s="42" t="s">
        <v>931</v>
      </c>
      <c r="C213" s="42" t="s">
        <v>932</v>
      </c>
      <c r="D213" s="100" t="s">
        <v>404</v>
      </c>
      <c r="E213" s="168">
        <f>25</f>
        <v>25</v>
      </c>
      <c r="F213" s="149">
        <f>(11088)*(1.023*1.005-2.3%*15%)*6.99+0*4.09</f>
        <v>79417</v>
      </c>
      <c r="G213" s="145">
        <f t="shared" si="70"/>
        <v>1.139</v>
      </c>
      <c r="H213" s="146">
        <f t="shared" si="71"/>
        <v>90456</v>
      </c>
      <c r="I213" s="145">
        <f>Дефляторы!$D$25</f>
        <v>1.052</v>
      </c>
      <c r="J213" s="146">
        <f t="shared" si="72"/>
        <v>95160</v>
      </c>
      <c r="K213" s="146">
        <f t="shared" si="73"/>
        <v>93749</v>
      </c>
      <c r="L213" s="147"/>
      <c r="M213" s="147"/>
      <c r="N213" s="147"/>
    </row>
    <row r="214" spans="1:14" s="148" customFormat="1" ht="114.75" outlineLevel="3" x14ac:dyDescent="0.2">
      <c r="A214" s="95" t="s">
        <v>1882</v>
      </c>
      <c r="B214" s="42" t="s">
        <v>934</v>
      </c>
      <c r="C214" s="42" t="s">
        <v>933</v>
      </c>
      <c r="D214" s="100" t="s">
        <v>404</v>
      </c>
      <c r="E214" s="100">
        <f>252.25</f>
        <v>252.25</v>
      </c>
      <c r="F214" s="149">
        <f>(106857)*(1.023*1.005-2.3%*15%)*6.99+0*4.09</f>
        <v>765353</v>
      </c>
      <c r="G214" s="145">
        <f t="shared" si="70"/>
        <v>1.139</v>
      </c>
      <c r="H214" s="146">
        <f t="shared" si="71"/>
        <v>871737</v>
      </c>
      <c r="I214" s="145">
        <f>Дефляторы!$D$25</f>
        <v>1.052</v>
      </c>
      <c r="J214" s="146">
        <f t="shared" si="72"/>
        <v>917067</v>
      </c>
      <c r="K214" s="146">
        <f t="shared" si="73"/>
        <v>903468</v>
      </c>
      <c r="L214" s="147"/>
      <c r="M214" s="147"/>
      <c r="N214" s="147"/>
    </row>
    <row r="215" spans="1:14" s="148" customFormat="1" ht="89.25" outlineLevel="3" x14ac:dyDescent="0.2">
      <c r="A215" s="95" t="s">
        <v>1883</v>
      </c>
      <c r="B215" s="42" t="s">
        <v>936</v>
      </c>
      <c r="C215" s="42" t="s">
        <v>935</v>
      </c>
      <c r="D215" s="100" t="s">
        <v>404</v>
      </c>
      <c r="E215" s="100">
        <f>65.52</f>
        <v>65.52</v>
      </c>
      <c r="F215" s="149">
        <f>(26746)*(1.023*1.005-2.3%*15%)*6.99+0*4.09</f>
        <v>191566</v>
      </c>
      <c r="G215" s="145">
        <f t="shared" si="70"/>
        <v>1.139</v>
      </c>
      <c r="H215" s="146">
        <f t="shared" si="71"/>
        <v>218194</v>
      </c>
      <c r="I215" s="145">
        <f>Дефляторы!$D$25</f>
        <v>1.052</v>
      </c>
      <c r="J215" s="146">
        <f t="shared" si="72"/>
        <v>229540</v>
      </c>
      <c r="K215" s="146">
        <f t="shared" si="73"/>
        <v>226136</v>
      </c>
      <c r="L215" s="147"/>
      <c r="M215" s="147"/>
      <c r="N215" s="147"/>
    </row>
    <row r="216" spans="1:14" s="148" customFormat="1" ht="102" outlineLevel="3" x14ac:dyDescent="0.2">
      <c r="A216" s="95" t="s">
        <v>1884</v>
      </c>
      <c r="B216" s="42" t="s">
        <v>938</v>
      </c>
      <c r="C216" s="42" t="s">
        <v>937</v>
      </c>
      <c r="D216" s="100" t="s">
        <v>404</v>
      </c>
      <c r="E216" s="100">
        <f>80.27</f>
        <v>80.27</v>
      </c>
      <c r="F216" s="149">
        <f>(32198)*(1.023*1.005-2.3%*15%)*6.99+0*4.09</f>
        <v>230615</v>
      </c>
      <c r="G216" s="145">
        <f t="shared" si="70"/>
        <v>1.139</v>
      </c>
      <c r="H216" s="146">
        <f t="shared" si="71"/>
        <v>262670</v>
      </c>
      <c r="I216" s="145">
        <f>Дефляторы!$D$25</f>
        <v>1.052</v>
      </c>
      <c r="J216" s="146">
        <f t="shared" si="72"/>
        <v>276329</v>
      </c>
      <c r="K216" s="146">
        <f t="shared" si="73"/>
        <v>272231</v>
      </c>
      <c r="L216" s="147"/>
      <c r="M216" s="147"/>
      <c r="N216" s="147"/>
    </row>
    <row r="217" spans="1:14" s="148" customFormat="1" ht="114.75" outlineLevel="3" x14ac:dyDescent="0.2">
      <c r="A217" s="95" t="s">
        <v>1885</v>
      </c>
      <c r="B217" s="42" t="s">
        <v>940</v>
      </c>
      <c r="C217" s="42" t="s">
        <v>939</v>
      </c>
      <c r="D217" s="100" t="s">
        <v>404</v>
      </c>
      <c r="E217" s="100">
        <f>85.07</f>
        <v>85.07</v>
      </c>
      <c r="F217" s="149">
        <f>(36045)*(1.023*1.005-2.3%*15%)*6.99+0*4.09</f>
        <v>258169</v>
      </c>
      <c r="G217" s="145">
        <f t="shared" si="70"/>
        <v>1.139</v>
      </c>
      <c r="H217" s="146">
        <f t="shared" si="71"/>
        <v>294054</v>
      </c>
      <c r="I217" s="145">
        <f>Дефляторы!$D$25</f>
        <v>1.052</v>
      </c>
      <c r="J217" s="146">
        <f t="shared" si="72"/>
        <v>309345</v>
      </c>
      <c r="K217" s="146">
        <f t="shared" si="73"/>
        <v>304758</v>
      </c>
      <c r="L217" s="147"/>
      <c r="M217" s="147"/>
      <c r="N217" s="147"/>
    </row>
    <row r="218" spans="1:14" s="148" customFormat="1" ht="127.5" outlineLevel="3" x14ac:dyDescent="0.2">
      <c r="A218" s="95" t="s">
        <v>1886</v>
      </c>
      <c r="B218" s="42" t="s">
        <v>942</v>
      </c>
      <c r="C218" s="42" t="s">
        <v>941</v>
      </c>
      <c r="D218" s="100" t="s">
        <v>404</v>
      </c>
      <c r="E218" s="100">
        <f>122.32</f>
        <v>122.32</v>
      </c>
      <c r="F218" s="149">
        <f>(54241)*(1.023*1.005-2.3%*15%)*6.99+0*4.09</f>
        <v>388496</v>
      </c>
      <c r="G218" s="145">
        <f t="shared" si="70"/>
        <v>1.139</v>
      </c>
      <c r="H218" s="146">
        <f t="shared" si="71"/>
        <v>442497</v>
      </c>
      <c r="I218" s="145">
        <f>Дефляторы!$D$25</f>
        <v>1.052</v>
      </c>
      <c r="J218" s="146">
        <f t="shared" si="72"/>
        <v>465507</v>
      </c>
      <c r="K218" s="146">
        <f t="shared" si="73"/>
        <v>458604</v>
      </c>
      <c r="L218" s="147"/>
      <c r="M218" s="147"/>
      <c r="N218" s="147"/>
    </row>
    <row r="219" spans="1:14" s="148" customFormat="1" ht="127.5" outlineLevel="3" x14ac:dyDescent="0.2">
      <c r="A219" s="95" t="s">
        <v>1887</v>
      </c>
      <c r="B219" s="42" t="s">
        <v>944</v>
      </c>
      <c r="C219" s="42" t="s">
        <v>943</v>
      </c>
      <c r="D219" s="100" t="s">
        <v>404</v>
      </c>
      <c r="E219" s="168">
        <f>109.6</f>
        <v>109.6</v>
      </c>
      <c r="F219" s="149">
        <f>(48617)*(1.023*1.005-2.3%*15%)*6.99+0*4.09</f>
        <v>348215</v>
      </c>
      <c r="G219" s="145">
        <f t="shared" si="70"/>
        <v>1.139</v>
      </c>
      <c r="H219" s="146">
        <f t="shared" si="71"/>
        <v>396617</v>
      </c>
      <c r="I219" s="145">
        <f>Дефляторы!$D$25</f>
        <v>1.052</v>
      </c>
      <c r="J219" s="146">
        <f t="shared" si="72"/>
        <v>417241</v>
      </c>
      <c r="K219" s="146">
        <f t="shared" si="73"/>
        <v>411054</v>
      </c>
      <c r="L219" s="147"/>
      <c r="M219" s="147"/>
      <c r="N219" s="147"/>
    </row>
    <row r="220" spans="1:14" s="148" customFormat="1" ht="127.5" outlineLevel="3" x14ac:dyDescent="0.2">
      <c r="A220" s="95" t="s">
        <v>1888</v>
      </c>
      <c r="B220" s="42" t="s">
        <v>946</v>
      </c>
      <c r="C220" s="42" t="s">
        <v>945</v>
      </c>
      <c r="D220" s="100" t="s">
        <v>404</v>
      </c>
      <c r="E220" s="100">
        <f>50.92</f>
        <v>50.92</v>
      </c>
      <c r="F220" s="149">
        <f>(22583)*(1.023*1.005-2.3%*15%)*6.99+0*4.09</f>
        <v>161749</v>
      </c>
      <c r="G220" s="145">
        <f t="shared" si="70"/>
        <v>1.139</v>
      </c>
      <c r="H220" s="146">
        <f t="shared" si="71"/>
        <v>184232</v>
      </c>
      <c r="I220" s="145">
        <f>Дефляторы!$D$25</f>
        <v>1.052</v>
      </c>
      <c r="J220" s="146">
        <f t="shared" si="72"/>
        <v>193812</v>
      </c>
      <c r="K220" s="146">
        <f t="shared" si="73"/>
        <v>190938</v>
      </c>
      <c r="L220" s="147"/>
      <c r="M220" s="147"/>
      <c r="N220" s="147"/>
    </row>
    <row r="221" spans="1:14" s="148" customFormat="1" ht="89.25" outlineLevel="3" x14ac:dyDescent="0.2">
      <c r="A221" s="95" t="s">
        <v>1889</v>
      </c>
      <c r="B221" s="42" t="s">
        <v>948</v>
      </c>
      <c r="C221" s="42" t="s">
        <v>947</v>
      </c>
      <c r="D221" s="100" t="s">
        <v>404</v>
      </c>
      <c r="E221" s="100">
        <f>51.75</f>
        <v>51.75</v>
      </c>
      <c r="F221" s="149">
        <f>(25065)*(1.023*1.005-2.3%*15%)*6.99+0*4.09</f>
        <v>179526</v>
      </c>
      <c r="G221" s="145">
        <f t="shared" si="70"/>
        <v>1.139</v>
      </c>
      <c r="H221" s="146">
        <f t="shared" si="71"/>
        <v>204480</v>
      </c>
      <c r="I221" s="145">
        <f>Дефляторы!$D$25</f>
        <v>1.052</v>
      </c>
      <c r="J221" s="146">
        <f t="shared" si="72"/>
        <v>215113</v>
      </c>
      <c r="K221" s="146">
        <f t="shared" si="73"/>
        <v>211923</v>
      </c>
      <c r="L221" s="147"/>
      <c r="M221" s="147"/>
      <c r="N221" s="147"/>
    </row>
    <row r="222" spans="1:14" s="148" customFormat="1" ht="15.75" outlineLevel="3" x14ac:dyDescent="0.2">
      <c r="A222" s="95"/>
      <c r="B222" s="42"/>
      <c r="C222" s="42" t="s">
        <v>949</v>
      </c>
      <c r="D222" s="100"/>
      <c r="E222" s="168"/>
      <c r="F222" s="149"/>
      <c r="G222" s="145"/>
      <c r="H222" s="146"/>
      <c r="I222" s="145">
        <f>Дефляторы!$D$25</f>
        <v>1.052</v>
      </c>
      <c r="J222" s="146"/>
      <c r="K222" s="146"/>
      <c r="L222" s="147"/>
      <c r="M222" s="147"/>
      <c r="N222" s="147"/>
    </row>
    <row r="223" spans="1:14" s="148" customFormat="1" ht="114.75" outlineLevel="3" x14ac:dyDescent="0.2">
      <c r="A223" s="95" t="s">
        <v>1890</v>
      </c>
      <c r="B223" s="42" t="s">
        <v>951</v>
      </c>
      <c r="C223" s="42" t="s">
        <v>950</v>
      </c>
      <c r="D223" s="100" t="s">
        <v>404</v>
      </c>
      <c r="E223" s="168">
        <f>318.7</f>
        <v>318.7</v>
      </c>
      <c r="F223" s="149">
        <f>(114665)*(1.023*1.005-2.3%*15%)*6.99+0*4.09</f>
        <v>821278</v>
      </c>
      <c r="G223" s="145">
        <f t="shared" ref="G223:G228" si="74">$G$766</f>
        <v>1.139</v>
      </c>
      <c r="H223" s="146">
        <f t="shared" ref="H223:H228" si="75">F223*G223</f>
        <v>935436</v>
      </c>
      <c r="I223" s="145">
        <f>Дефляторы!$D$25</f>
        <v>1.052</v>
      </c>
      <c r="J223" s="146">
        <f t="shared" ref="J223:J228" si="76">H223*I223</f>
        <v>984079</v>
      </c>
      <c r="K223" s="146">
        <f t="shared" ref="K223:K228" si="77">H223+(J223-H223)*(1-30/100)</f>
        <v>969486</v>
      </c>
      <c r="L223" s="147"/>
      <c r="M223" s="147"/>
      <c r="N223" s="147"/>
    </row>
    <row r="224" spans="1:14" s="148" customFormat="1" ht="114.75" outlineLevel="3" x14ac:dyDescent="0.2">
      <c r="A224" s="95" t="s">
        <v>1891</v>
      </c>
      <c r="B224" s="42" t="s">
        <v>953</v>
      </c>
      <c r="C224" s="42" t="s">
        <v>952</v>
      </c>
      <c r="D224" s="100" t="s">
        <v>404</v>
      </c>
      <c r="E224" s="168">
        <f>34.8</f>
        <v>34.799999999999997</v>
      </c>
      <c r="F224" s="149">
        <f>(12523)*(1.023*1.005-2.3%*15%)*6.99+0*4.09</f>
        <v>89695</v>
      </c>
      <c r="G224" s="145">
        <f t="shared" si="74"/>
        <v>1.139</v>
      </c>
      <c r="H224" s="146">
        <f t="shared" si="75"/>
        <v>102163</v>
      </c>
      <c r="I224" s="145">
        <f>Дефляторы!$D$25</f>
        <v>1.052</v>
      </c>
      <c r="J224" s="146">
        <f t="shared" si="76"/>
        <v>107475</v>
      </c>
      <c r="K224" s="146">
        <f t="shared" si="77"/>
        <v>105881</v>
      </c>
      <c r="L224" s="147"/>
      <c r="M224" s="147"/>
      <c r="N224" s="147"/>
    </row>
    <row r="225" spans="1:14" s="148" customFormat="1" ht="114.75" outlineLevel="3" x14ac:dyDescent="0.2">
      <c r="A225" s="95" t="s">
        <v>1892</v>
      </c>
      <c r="B225" s="42" t="s">
        <v>955</v>
      </c>
      <c r="C225" s="42" t="s">
        <v>954</v>
      </c>
      <c r="D225" s="100" t="s">
        <v>404</v>
      </c>
      <c r="E225" s="100">
        <f>258.83</f>
        <v>258.83</v>
      </c>
      <c r="F225" s="149">
        <f>(93116)*(1.023*1.005-2.3%*15%)*6.99+0*4.09</f>
        <v>666935</v>
      </c>
      <c r="G225" s="145">
        <f t="shared" si="74"/>
        <v>1.139</v>
      </c>
      <c r="H225" s="146">
        <f t="shared" si="75"/>
        <v>759639</v>
      </c>
      <c r="I225" s="145">
        <f>Дефляторы!$D$25</f>
        <v>1.052</v>
      </c>
      <c r="J225" s="146">
        <f t="shared" si="76"/>
        <v>799140</v>
      </c>
      <c r="K225" s="146">
        <f t="shared" si="77"/>
        <v>787290</v>
      </c>
      <c r="L225" s="147"/>
      <c r="M225" s="147"/>
      <c r="N225" s="147"/>
    </row>
    <row r="226" spans="1:14" s="148" customFormat="1" ht="114.75" outlineLevel="3" x14ac:dyDescent="0.2">
      <c r="A226" s="95" t="s">
        <v>1893</v>
      </c>
      <c r="B226" s="42" t="s">
        <v>957</v>
      </c>
      <c r="C226" s="42" t="s">
        <v>956</v>
      </c>
      <c r="D226" s="100" t="s">
        <v>404</v>
      </c>
      <c r="E226" s="100">
        <f>69.84</f>
        <v>69.84</v>
      </c>
      <c r="F226" s="149">
        <f>(25113)*(1.023*1.005-2.3%*15%)*6.99+0*4.09</f>
        <v>179870</v>
      </c>
      <c r="G226" s="145">
        <f t="shared" si="74"/>
        <v>1.139</v>
      </c>
      <c r="H226" s="146">
        <f t="shared" si="75"/>
        <v>204872</v>
      </c>
      <c r="I226" s="145">
        <f>Дефляторы!$D$25</f>
        <v>1.052</v>
      </c>
      <c r="J226" s="146">
        <f t="shared" si="76"/>
        <v>215525</v>
      </c>
      <c r="K226" s="146">
        <f t="shared" si="77"/>
        <v>212329</v>
      </c>
      <c r="L226" s="147"/>
      <c r="M226" s="147"/>
      <c r="N226" s="147"/>
    </row>
    <row r="227" spans="1:14" s="148" customFormat="1" ht="140.25" outlineLevel="3" x14ac:dyDescent="0.2">
      <c r="A227" s="95" t="s">
        <v>1894</v>
      </c>
      <c r="B227" s="42" t="s">
        <v>959</v>
      </c>
      <c r="C227" s="42" t="s">
        <v>962</v>
      </c>
      <c r="D227" s="100" t="s">
        <v>404</v>
      </c>
      <c r="E227" s="100">
        <f>99.64</f>
        <v>99.64</v>
      </c>
      <c r="F227" s="149">
        <f>(49975)*(1.023*1.005-2.3%*15%)*6.99+0*4.09</f>
        <v>357941</v>
      </c>
      <c r="G227" s="145">
        <f t="shared" si="74"/>
        <v>1.139</v>
      </c>
      <c r="H227" s="146">
        <f t="shared" si="75"/>
        <v>407695</v>
      </c>
      <c r="I227" s="145">
        <f>Дефляторы!$D$25</f>
        <v>1.052</v>
      </c>
      <c r="J227" s="146">
        <f t="shared" si="76"/>
        <v>428895</v>
      </c>
      <c r="K227" s="146">
        <f t="shared" si="77"/>
        <v>422535</v>
      </c>
      <c r="L227" s="147"/>
      <c r="M227" s="147"/>
      <c r="N227" s="147"/>
    </row>
    <row r="228" spans="1:14" s="148" customFormat="1" ht="51" outlineLevel="3" x14ac:dyDescent="0.2">
      <c r="A228" s="95" t="s">
        <v>1895</v>
      </c>
      <c r="B228" s="42" t="s">
        <v>960</v>
      </c>
      <c r="C228" s="42" t="s">
        <v>961</v>
      </c>
      <c r="D228" s="100" t="s">
        <v>404</v>
      </c>
      <c r="E228" s="168">
        <f>688</f>
        <v>688</v>
      </c>
      <c r="F228" s="149">
        <f>(80037)*(1.023*1.005-2.3%*15%)*6.99+0*4.09</f>
        <v>573258</v>
      </c>
      <c r="G228" s="145">
        <f t="shared" si="74"/>
        <v>1.139</v>
      </c>
      <c r="H228" s="146">
        <f t="shared" si="75"/>
        <v>652941</v>
      </c>
      <c r="I228" s="145">
        <f>Дефляторы!$D$25</f>
        <v>1.052</v>
      </c>
      <c r="J228" s="146">
        <f t="shared" si="76"/>
        <v>686894</v>
      </c>
      <c r="K228" s="146">
        <f t="shared" si="77"/>
        <v>676708</v>
      </c>
      <c r="L228" s="172" t="s">
        <v>958</v>
      </c>
      <c r="M228" s="147"/>
      <c r="N228" s="147"/>
    </row>
    <row r="229" spans="1:14" s="148" customFormat="1" ht="15.75" outlineLevel="3" x14ac:dyDescent="0.2">
      <c r="A229" s="95"/>
      <c r="B229" s="42"/>
      <c r="C229" s="157" t="s">
        <v>963</v>
      </c>
      <c r="D229" s="100"/>
      <c r="E229" s="168"/>
      <c r="F229" s="149"/>
      <c r="G229" s="145"/>
      <c r="H229" s="146"/>
      <c r="I229" s="145">
        <f>Дефляторы!$D$25</f>
        <v>1.052</v>
      </c>
      <c r="J229" s="146"/>
      <c r="K229" s="146"/>
      <c r="L229" s="147"/>
      <c r="M229" s="147"/>
      <c r="N229" s="147"/>
    </row>
    <row r="230" spans="1:14" s="148" customFormat="1" ht="25.5" outlineLevel="3" x14ac:dyDescent="0.2">
      <c r="A230" s="95" t="s">
        <v>1896</v>
      </c>
      <c r="B230" s="42" t="s">
        <v>964</v>
      </c>
      <c r="C230" s="42" t="s">
        <v>965</v>
      </c>
      <c r="D230" s="100" t="s">
        <v>404</v>
      </c>
      <c r="E230" s="100">
        <f>432.57</f>
        <v>432.57</v>
      </c>
      <c r="F230" s="149">
        <f>(38987)*(1.023*1.005-2.3%*15%)*6.99+0*4.09</f>
        <v>279241</v>
      </c>
      <c r="G230" s="145">
        <f t="shared" ref="G230:G242" si="78">$G$766</f>
        <v>1.139</v>
      </c>
      <c r="H230" s="146">
        <f t="shared" ref="H230:H242" si="79">F230*G230</f>
        <v>318055</v>
      </c>
      <c r="I230" s="145">
        <f>Дефляторы!$D$25</f>
        <v>1.052</v>
      </c>
      <c r="J230" s="146">
        <f t="shared" ref="J230:J242" si="80">H230*I230</f>
        <v>334594</v>
      </c>
      <c r="K230" s="146">
        <f t="shared" ref="K230:K242" si="81">H230+(J230-H230)*(1-30/100)</f>
        <v>329632</v>
      </c>
      <c r="L230" s="147"/>
      <c r="M230" s="147"/>
      <c r="N230" s="147"/>
    </row>
    <row r="231" spans="1:14" s="148" customFormat="1" ht="89.25" outlineLevel="3" x14ac:dyDescent="0.2">
      <c r="A231" s="95" t="s">
        <v>1897</v>
      </c>
      <c r="B231" s="42" t="s">
        <v>966</v>
      </c>
      <c r="C231" s="42" t="s">
        <v>971</v>
      </c>
      <c r="D231" s="100" t="s">
        <v>404</v>
      </c>
      <c r="E231" s="100">
        <f>2224.93</f>
        <v>2224.9299999999998</v>
      </c>
      <c r="F231" s="149">
        <f>(300552)*(1.023*1.005-2.3%*15%)*6.99+0*4.09</f>
        <v>2152676</v>
      </c>
      <c r="G231" s="145">
        <f t="shared" si="78"/>
        <v>1.139</v>
      </c>
      <c r="H231" s="146">
        <f t="shared" si="79"/>
        <v>2451898</v>
      </c>
      <c r="I231" s="145">
        <f>Дефляторы!$D$25</f>
        <v>1.052</v>
      </c>
      <c r="J231" s="146">
        <f t="shared" si="80"/>
        <v>2579397</v>
      </c>
      <c r="K231" s="146">
        <f t="shared" si="81"/>
        <v>2541147</v>
      </c>
      <c r="L231" s="147"/>
      <c r="M231" s="147"/>
      <c r="N231" s="147"/>
    </row>
    <row r="232" spans="1:14" s="148" customFormat="1" ht="25.5" outlineLevel="3" x14ac:dyDescent="0.2">
      <c r="A232" s="95" t="s">
        <v>1898</v>
      </c>
      <c r="B232" s="42" t="s">
        <v>968</v>
      </c>
      <c r="C232" s="42" t="s">
        <v>967</v>
      </c>
      <c r="D232" s="100" t="s">
        <v>404</v>
      </c>
      <c r="E232" s="145">
        <f>204.491</f>
        <v>204.49100000000001</v>
      </c>
      <c r="F232" s="149">
        <f>(18431)*(1.023*1.005-2.3%*15%)*6.99+0*4.09</f>
        <v>132010</v>
      </c>
      <c r="G232" s="145">
        <f t="shared" si="78"/>
        <v>1.139</v>
      </c>
      <c r="H232" s="146">
        <f t="shared" si="79"/>
        <v>150359</v>
      </c>
      <c r="I232" s="145">
        <f>Дефляторы!$D$25</f>
        <v>1.052</v>
      </c>
      <c r="J232" s="146">
        <f t="shared" si="80"/>
        <v>158178</v>
      </c>
      <c r="K232" s="146">
        <f t="shared" si="81"/>
        <v>155832</v>
      </c>
      <c r="L232" s="147"/>
      <c r="M232" s="147"/>
      <c r="N232" s="147"/>
    </row>
    <row r="233" spans="1:14" s="148" customFormat="1" ht="89.25" outlineLevel="3" x14ac:dyDescent="0.2">
      <c r="A233" s="95" t="s">
        <v>1899</v>
      </c>
      <c r="B233" s="42" t="s">
        <v>969</v>
      </c>
      <c r="C233" s="42" t="s">
        <v>970</v>
      </c>
      <c r="D233" s="100" t="s">
        <v>404</v>
      </c>
      <c r="E233" s="100">
        <f>154.71</f>
        <v>154.71</v>
      </c>
      <c r="F233" s="149">
        <f>(20901)*(1.023*1.005-2.3%*15%)*6.99+0*4.09</f>
        <v>149701</v>
      </c>
      <c r="G233" s="145">
        <f t="shared" si="78"/>
        <v>1.139</v>
      </c>
      <c r="H233" s="146">
        <f t="shared" si="79"/>
        <v>170509</v>
      </c>
      <c r="I233" s="145">
        <f>Дефляторы!$D$25</f>
        <v>1.052</v>
      </c>
      <c r="J233" s="146">
        <f t="shared" si="80"/>
        <v>179375</v>
      </c>
      <c r="K233" s="146">
        <f t="shared" si="81"/>
        <v>176715</v>
      </c>
      <c r="L233" s="147"/>
      <c r="M233" s="147"/>
      <c r="N233" s="147"/>
    </row>
    <row r="234" spans="1:14" s="148" customFormat="1" ht="25.5" outlineLevel="3" x14ac:dyDescent="0.2">
      <c r="A234" s="95" t="s">
        <v>1900</v>
      </c>
      <c r="B234" s="42" t="s">
        <v>972</v>
      </c>
      <c r="C234" s="42" t="s">
        <v>973</v>
      </c>
      <c r="D234" s="100" t="s">
        <v>404</v>
      </c>
      <c r="E234" s="145">
        <f>580.553</f>
        <v>580.553</v>
      </c>
      <c r="F234" s="149">
        <f>(119993)*(1.023*1.005-2.3%*15%)*6.99+0*4.09</f>
        <v>859439</v>
      </c>
      <c r="G234" s="145">
        <f t="shared" si="78"/>
        <v>1.139</v>
      </c>
      <c r="H234" s="146">
        <f t="shared" si="79"/>
        <v>978901</v>
      </c>
      <c r="I234" s="145">
        <f>Дефляторы!$D$25</f>
        <v>1.052</v>
      </c>
      <c r="J234" s="146">
        <f t="shared" si="80"/>
        <v>1029804</v>
      </c>
      <c r="K234" s="146">
        <f t="shared" si="81"/>
        <v>1014533</v>
      </c>
      <c r="L234" s="147"/>
      <c r="M234" s="147"/>
      <c r="N234" s="147"/>
    </row>
    <row r="235" spans="1:14" s="148" customFormat="1" ht="89.25" outlineLevel="3" x14ac:dyDescent="0.2">
      <c r="A235" s="95" t="s">
        <v>1901</v>
      </c>
      <c r="B235" s="42" t="s">
        <v>974</v>
      </c>
      <c r="C235" s="42" t="s">
        <v>975</v>
      </c>
      <c r="D235" s="100" t="s">
        <v>404</v>
      </c>
      <c r="E235" s="100">
        <f>403.71</f>
        <v>403.71</v>
      </c>
      <c r="F235" s="149">
        <f>(54531)*(1.023*1.005-2.3%*15%)*6.99+0*4.09</f>
        <v>390573</v>
      </c>
      <c r="G235" s="145">
        <f t="shared" si="78"/>
        <v>1.139</v>
      </c>
      <c r="H235" s="146">
        <f t="shared" si="79"/>
        <v>444863</v>
      </c>
      <c r="I235" s="145">
        <f>Дефляторы!$D$25</f>
        <v>1.052</v>
      </c>
      <c r="J235" s="146">
        <f t="shared" si="80"/>
        <v>467996</v>
      </c>
      <c r="K235" s="146">
        <f t="shared" si="81"/>
        <v>461056</v>
      </c>
      <c r="L235" s="147"/>
      <c r="M235" s="147"/>
      <c r="N235" s="147"/>
    </row>
    <row r="236" spans="1:14" s="148" customFormat="1" ht="25.5" outlineLevel="3" x14ac:dyDescent="0.2">
      <c r="A236" s="95" t="s">
        <v>1902</v>
      </c>
      <c r="B236" s="42" t="s">
        <v>976</v>
      </c>
      <c r="C236" s="42" t="s">
        <v>977</v>
      </c>
      <c r="D236" s="100" t="s">
        <v>404</v>
      </c>
      <c r="E236" s="100">
        <f>487.169*0.12</f>
        <v>58.46</v>
      </c>
      <c r="F236" s="149">
        <f>(16205)*(1.023*1.005-2.3%*15%)*6.99+0*4.09</f>
        <v>116067</v>
      </c>
      <c r="G236" s="145">
        <f t="shared" si="78"/>
        <v>1.139</v>
      </c>
      <c r="H236" s="146">
        <f t="shared" si="79"/>
        <v>132200</v>
      </c>
      <c r="I236" s="145">
        <f>Дефляторы!$D$25</f>
        <v>1.052</v>
      </c>
      <c r="J236" s="146">
        <f t="shared" si="80"/>
        <v>139074</v>
      </c>
      <c r="K236" s="146">
        <f t="shared" si="81"/>
        <v>137012</v>
      </c>
      <c r="L236" s="147"/>
      <c r="M236" s="147"/>
      <c r="N236" s="147"/>
    </row>
    <row r="237" spans="1:14" s="148" customFormat="1" ht="38.25" outlineLevel="3" x14ac:dyDescent="0.2">
      <c r="A237" s="95" t="s">
        <v>1903</v>
      </c>
      <c r="B237" s="42" t="s">
        <v>978</v>
      </c>
      <c r="C237" s="42" t="s">
        <v>979</v>
      </c>
      <c r="D237" s="100" t="s">
        <v>404</v>
      </c>
      <c r="E237" s="100">
        <f>174.99</f>
        <v>174.99</v>
      </c>
      <c r="F237" s="149">
        <f>(8111)*(1.023*1.005-2.3%*15%)*6.99+0*4.09</f>
        <v>58094</v>
      </c>
      <c r="G237" s="145">
        <f t="shared" si="78"/>
        <v>1.139</v>
      </c>
      <c r="H237" s="146">
        <f t="shared" si="79"/>
        <v>66169</v>
      </c>
      <c r="I237" s="145">
        <f>Дефляторы!$D$25</f>
        <v>1.052</v>
      </c>
      <c r="J237" s="146">
        <f t="shared" si="80"/>
        <v>69610</v>
      </c>
      <c r="K237" s="146">
        <f t="shared" si="81"/>
        <v>68578</v>
      </c>
      <c r="L237" s="147"/>
      <c r="M237" s="147"/>
      <c r="N237" s="147"/>
    </row>
    <row r="238" spans="1:14" s="148" customFormat="1" ht="89.25" outlineLevel="3" x14ac:dyDescent="0.2">
      <c r="A238" s="95" t="s">
        <v>1904</v>
      </c>
      <c r="B238" s="42" t="s">
        <v>980</v>
      </c>
      <c r="C238" s="42" t="s">
        <v>981</v>
      </c>
      <c r="D238" s="100" t="s">
        <v>404</v>
      </c>
      <c r="E238" s="145">
        <f>392.145</f>
        <v>392.14499999999998</v>
      </c>
      <c r="F238" s="149">
        <f>(40345)*(1.023*1.005-2.3%*15%)*6.99+0*4.09</f>
        <v>288967</v>
      </c>
      <c r="G238" s="145">
        <f t="shared" si="78"/>
        <v>1.139</v>
      </c>
      <c r="H238" s="146">
        <f t="shared" si="79"/>
        <v>329133</v>
      </c>
      <c r="I238" s="145">
        <f>Дефляторы!$D$25</f>
        <v>1.052</v>
      </c>
      <c r="J238" s="146">
        <f t="shared" si="80"/>
        <v>346248</v>
      </c>
      <c r="K238" s="146">
        <f t="shared" si="81"/>
        <v>341114</v>
      </c>
      <c r="L238" s="147"/>
      <c r="M238" s="147"/>
      <c r="N238" s="147"/>
    </row>
    <row r="239" spans="1:14" s="148" customFormat="1" ht="38.25" outlineLevel="3" x14ac:dyDescent="0.2">
      <c r="A239" s="95" t="s">
        <v>1905</v>
      </c>
      <c r="B239" s="42" t="s">
        <v>982</v>
      </c>
      <c r="C239" s="42" t="s">
        <v>983</v>
      </c>
      <c r="D239" s="100" t="s">
        <v>404</v>
      </c>
      <c r="E239" s="145">
        <f>448.285</f>
        <v>448.28500000000003</v>
      </c>
      <c r="F239" s="149">
        <f>(24747)*(1.023*1.005-2.3%*15%)*6.99+0*4.09</f>
        <v>177248</v>
      </c>
      <c r="G239" s="145">
        <f t="shared" si="78"/>
        <v>1.139</v>
      </c>
      <c r="H239" s="146">
        <f t="shared" si="79"/>
        <v>201885</v>
      </c>
      <c r="I239" s="145">
        <f>Дефляторы!$D$25</f>
        <v>1.052</v>
      </c>
      <c r="J239" s="146">
        <f t="shared" si="80"/>
        <v>212383</v>
      </c>
      <c r="K239" s="146">
        <f t="shared" si="81"/>
        <v>209234</v>
      </c>
      <c r="L239" s="147"/>
      <c r="M239" s="147"/>
      <c r="N239" s="147"/>
    </row>
    <row r="240" spans="1:14" s="148" customFormat="1" ht="25.5" outlineLevel="3" x14ac:dyDescent="0.2">
      <c r="A240" s="95" t="s">
        <v>1906</v>
      </c>
      <c r="B240" s="42" t="s">
        <v>984</v>
      </c>
      <c r="C240" s="42" t="s">
        <v>985</v>
      </c>
      <c r="D240" s="100" t="s">
        <v>404</v>
      </c>
      <c r="E240" s="100">
        <f>195.32</f>
        <v>195.32</v>
      </c>
      <c r="F240" s="149">
        <f>(17598)*(1.023*1.005-2.3%*15%)*6.99+0*4.09</f>
        <v>126044</v>
      </c>
      <c r="G240" s="145">
        <f t="shared" si="78"/>
        <v>1.139</v>
      </c>
      <c r="H240" s="146">
        <f t="shared" si="79"/>
        <v>143564</v>
      </c>
      <c r="I240" s="145">
        <f>Дефляторы!$D$25</f>
        <v>1.052</v>
      </c>
      <c r="J240" s="146">
        <f t="shared" si="80"/>
        <v>151029</v>
      </c>
      <c r="K240" s="146">
        <f t="shared" si="81"/>
        <v>148790</v>
      </c>
      <c r="L240" s="147"/>
      <c r="M240" s="147"/>
      <c r="N240" s="147"/>
    </row>
    <row r="241" spans="1:14" s="148" customFormat="1" ht="76.5" outlineLevel="3" x14ac:dyDescent="0.2">
      <c r="A241" s="95" t="s">
        <v>1907</v>
      </c>
      <c r="B241" s="42" t="s">
        <v>986</v>
      </c>
      <c r="C241" s="42" t="s">
        <v>990</v>
      </c>
      <c r="D241" s="100" t="s">
        <v>404</v>
      </c>
      <c r="E241" s="100">
        <f>93.14</f>
        <v>93.14</v>
      </c>
      <c r="F241" s="149">
        <f>(65900)*(1.023*1.005-2.3%*15%)*6.99+0*4.09</f>
        <v>472003</v>
      </c>
      <c r="G241" s="145">
        <f t="shared" si="78"/>
        <v>1.139</v>
      </c>
      <c r="H241" s="146">
        <f t="shared" si="79"/>
        <v>537611</v>
      </c>
      <c r="I241" s="145">
        <f>Дефляторы!$D$25</f>
        <v>1.052</v>
      </c>
      <c r="J241" s="146">
        <f t="shared" si="80"/>
        <v>565567</v>
      </c>
      <c r="K241" s="146">
        <f t="shared" si="81"/>
        <v>557180</v>
      </c>
      <c r="L241" s="147"/>
      <c r="M241" s="147"/>
      <c r="N241" s="147"/>
    </row>
    <row r="242" spans="1:14" s="148" customFormat="1" ht="63.75" outlineLevel="3" x14ac:dyDescent="0.2">
      <c r="A242" s="95" t="s">
        <v>1908</v>
      </c>
      <c r="B242" s="42" t="s">
        <v>987</v>
      </c>
      <c r="C242" s="42" t="s">
        <v>988</v>
      </c>
      <c r="D242" s="100" t="s">
        <v>404</v>
      </c>
      <c r="E242" s="100">
        <f>171.75</f>
        <v>171.75</v>
      </c>
      <c r="F242" s="149">
        <f>(50262)*(1.023*1.005-2.3%*15%)*6.99+0*4.09</f>
        <v>359997</v>
      </c>
      <c r="G242" s="145">
        <f t="shared" si="78"/>
        <v>1.139</v>
      </c>
      <c r="H242" s="146">
        <f t="shared" si="79"/>
        <v>410037</v>
      </c>
      <c r="I242" s="145">
        <f>Дефляторы!$D$25</f>
        <v>1.052</v>
      </c>
      <c r="J242" s="146">
        <f t="shared" si="80"/>
        <v>431359</v>
      </c>
      <c r="K242" s="146">
        <f t="shared" si="81"/>
        <v>424962</v>
      </c>
      <c r="L242" s="147"/>
      <c r="M242" s="147"/>
      <c r="N242" s="147"/>
    </row>
    <row r="243" spans="1:14" s="148" customFormat="1" ht="15.75" outlineLevel="3" x14ac:dyDescent="0.2">
      <c r="A243" s="95"/>
      <c r="B243" s="42"/>
      <c r="C243" s="157" t="s">
        <v>989</v>
      </c>
      <c r="D243" s="100"/>
      <c r="E243" s="168"/>
      <c r="F243" s="149"/>
      <c r="G243" s="145"/>
      <c r="H243" s="146"/>
      <c r="I243" s="145">
        <f>Дефляторы!$D$25</f>
        <v>1.052</v>
      </c>
      <c r="J243" s="146"/>
      <c r="K243" s="146"/>
      <c r="L243" s="147"/>
      <c r="M243" s="147"/>
      <c r="N243" s="147"/>
    </row>
    <row r="244" spans="1:14" s="148" customFormat="1" ht="63.75" outlineLevel="3" x14ac:dyDescent="0.2">
      <c r="A244" s="95" t="s">
        <v>1909</v>
      </c>
      <c r="B244" s="42" t="s">
        <v>991</v>
      </c>
      <c r="C244" s="42" t="s">
        <v>992</v>
      </c>
      <c r="D244" s="100" t="s">
        <v>404</v>
      </c>
      <c r="E244" s="100">
        <f>706.52</f>
        <v>706.52</v>
      </c>
      <c r="F244" s="149">
        <f>(83188)*(1.023*1.005-2.3%*15%)*6.99+0*4.09</f>
        <v>595826</v>
      </c>
      <c r="G244" s="145">
        <f t="shared" ref="G244:G250" si="82">$G$766</f>
        <v>1.139</v>
      </c>
      <c r="H244" s="146">
        <f t="shared" ref="H244:H250" si="83">F244*G244</f>
        <v>678646</v>
      </c>
      <c r="I244" s="145">
        <f>Дефляторы!$D$25</f>
        <v>1.052</v>
      </c>
      <c r="J244" s="146">
        <f t="shared" ref="J244:J250" si="84">H244*I244</f>
        <v>713936</v>
      </c>
      <c r="K244" s="146">
        <f t="shared" ref="K244:K250" si="85">H244+(J244-H244)*(1-30/100)</f>
        <v>703349</v>
      </c>
      <c r="L244" s="147"/>
      <c r="M244" s="147"/>
      <c r="N244" s="147"/>
    </row>
    <row r="245" spans="1:14" s="148" customFormat="1" ht="25.5" outlineLevel="3" x14ac:dyDescent="0.2">
      <c r="A245" s="95" t="s">
        <v>1910</v>
      </c>
      <c r="B245" s="42" t="s">
        <v>993</v>
      </c>
      <c r="C245" s="42" t="s">
        <v>995</v>
      </c>
      <c r="D245" s="100" t="s">
        <v>404</v>
      </c>
      <c r="E245" s="168">
        <f>150.5</f>
        <v>150.5</v>
      </c>
      <c r="F245" s="149">
        <f>(381275)*(1.023*1.005-2.3%*15%)*6.99+0*4.09</f>
        <v>2730847</v>
      </c>
      <c r="G245" s="145">
        <f t="shared" si="82"/>
        <v>1.139</v>
      </c>
      <c r="H245" s="146">
        <f t="shared" si="83"/>
        <v>3110435</v>
      </c>
      <c r="I245" s="145">
        <f>Дефляторы!$D$25</f>
        <v>1.052</v>
      </c>
      <c r="J245" s="146">
        <f t="shared" si="84"/>
        <v>3272178</v>
      </c>
      <c r="K245" s="146">
        <f t="shared" si="85"/>
        <v>3223655</v>
      </c>
      <c r="L245" s="147" t="s">
        <v>994</v>
      </c>
      <c r="M245" s="147"/>
      <c r="N245" s="147"/>
    </row>
    <row r="246" spans="1:14" s="148" customFormat="1" ht="38.25" outlineLevel="3" x14ac:dyDescent="0.2">
      <c r="A246" s="95" t="s">
        <v>1911</v>
      </c>
      <c r="B246" s="42" t="s">
        <v>996</v>
      </c>
      <c r="C246" s="42" t="s">
        <v>997</v>
      </c>
      <c r="D246" s="100" t="s">
        <v>404</v>
      </c>
      <c r="E246" s="100">
        <f>108.05</f>
        <v>108.05</v>
      </c>
      <c r="F246" s="149">
        <f>(620646)*(1.023*1.005-2.3%*15%)*6.99+0*4.09</f>
        <v>4445320</v>
      </c>
      <c r="G246" s="145">
        <f t="shared" si="82"/>
        <v>1.139</v>
      </c>
      <c r="H246" s="146">
        <f t="shared" si="83"/>
        <v>5063219</v>
      </c>
      <c r="I246" s="145">
        <f>Дефляторы!$D$25</f>
        <v>1.052</v>
      </c>
      <c r="J246" s="146">
        <f t="shared" si="84"/>
        <v>5326506</v>
      </c>
      <c r="K246" s="146">
        <f t="shared" si="85"/>
        <v>5247520</v>
      </c>
      <c r="L246" s="147" t="s">
        <v>994</v>
      </c>
      <c r="M246" s="147"/>
      <c r="N246" s="147"/>
    </row>
    <row r="247" spans="1:14" s="148" customFormat="1" ht="38.25" outlineLevel="3" x14ac:dyDescent="0.2">
      <c r="A247" s="95" t="s">
        <v>1912</v>
      </c>
      <c r="B247" s="42" t="s">
        <v>998</v>
      </c>
      <c r="C247" s="42" t="s">
        <v>999</v>
      </c>
      <c r="D247" s="100" t="s">
        <v>404</v>
      </c>
      <c r="E247" s="100">
        <f>387.56</f>
        <v>387.56</v>
      </c>
      <c r="F247" s="149">
        <f>(24176)*(1.023*1.005-2.3%*15%)*6.99+0*4.09</f>
        <v>173158</v>
      </c>
      <c r="G247" s="145">
        <f t="shared" si="82"/>
        <v>1.139</v>
      </c>
      <c r="H247" s="146">
        <f t="shared" si="83"/>
        <v>197227</v>
      </c>
      <c r="I247" s="145">
        <f>Дефляторы!$D$25</f>
        <v>1.052</v>
      </c>
      <c r="J247" s="146">
        <f t="shared" si="84"/>
        <v>207483</v>
      </c>
      <c r="K247" s="146">
        <f t="shared" si="85"/>
        <v>204406</v>
      </c>
      <c r="L247" s="147"/>
      <c r="M247" s="147"/>
      <c r="N247" s="147"/>
    </row>
    <row r="248" spans="1:14" s="148" customFormat="1" ht="38.25" outlineLevel="3" x14ac:dyDescent="0.2">
      <c r="A248" s="95" t="s">
        <v>1913</v>
      </c>
      <c r="B248" s="42" t="s">
        <v>1001</v>
      </c>
      <c r="C248" s="42" t="s">
        <v>1000</v>
      </c>
      <c r="D248" s="100" t="s">
        <v>404</v>
      </c>
      <c r="E248" s="100">
        <f>102.03</f>
        <v>102.03</v>
      </c>
      <c r="F248" s="149">
        <f>(154002)*(1.023*1.005-2.3%*15%)*6.99+0*4.09</f>
        <v>1103025</v>
      </c>
      <c r="G248" s="145">
        <f t="shared" si="82"/>
        <v>1.139</v>
      </c>
      <c r="H248" s="146">
        <f t="shared" si="83"/>
        <v>1256345</v>
      </c>
      <c r="I248" s="145">
        <f>Дефляторы!$D$25</f>
        <v>1.052</v>
      </c>
      <c r="J248" s="146">
        <f t="shared" si="84"/>
        <v>1321675</v>
      </c>
      <c r="K248" s="146">
        <f t="shared" si="85"/>
        <v>1302076</v>
      </c>
      <c r="L248" s="147"/>
      <c r="M248" s="147"/>
      <c r="N248" s="147"/>
    </row>
    <row r="249" spans="1:14" s="148" customFormat="1" ht="38.25" outlineLevel="3" x14ac:dyDescent="0.2">
      <c r="A249" s="95" t="s">
        <v>1914</v>
      </c>
      <c r="B249" s="42" t="s">
        <v>1003</v>
      </c>
      <c r="C249" s="42" t="s">
        <v>1002</v>
      </c>
      <c r="D249" s="100" t="s">
        <v>404</v>
      </c>
      <c r="E249" s="100">
        <f>145.22</f>
        <v>145.22</v>
      </c>
      <c r="F249" s="149">
        <f>(65316)*(1.023*1.005-2.3%*15%)*6.99+0*4.09</f>
        <v>467820</v>
      </c>
      <c r="G249" s="145">
        <f t="shared" si="82"/>
        <v>1.139</v>
      </c>
      <c r="H249" s="146">
        <f t="shared" si="83"/>
        <v>532847</v>
      </c>
      <c r="I249" s="145">
        <f>Дефляторы!$D$25</f>
        <v>1.052</v>
      </c>
      <c r="J249" s="146">
        <f t="shared" si="84"/>
        <v>560555</v>
      </c>
      <c r="K249" s="146">
        <f t="shared" si="85"/>
        <v>552243</v>
      </c>
      <c r="L249" s="147"/>
      <c r="M249" s="147"/>
      <c r="N249" s="147"/>
    </row>
    <row r="250" spans="1:14" s="148" customFormat="1" ht="25.5" outlineLevel="3" x14ac:dyDescent="0.2">
      <c r="A250" s="95" t="s">
        <v>1915</v>
      </c>
      <c r="B250" s="42" t="s">
        <v>1004</v>
      </c>
      <c r="C250" s="42" t="s">
        <v>1005</v>
      </c>
      <c r="D250" s="100" t="s">
        <v>404</v>
      </c>
      <c r="E250" s="100">
        <f>371.74</f>
        <v>371.74</v>
      </c>
      <c r="F250" s="149">
        <f>(36491)*(1.023*1.005-2.3%*15%)*6.99+0*4.09</f>
        <v>261363</v>
      </c>
      <c r="G250" s="145">
        <f t="shared" si="82"/>
        <v>1.139</v>
      </c>
      <c r="H250" s="146">
        <f t="shared" si="83"/>
        <v>297692</v>
      </c>
      <c r="I250" s="145">
        <f>Дефляторы!$D$25</f>
        <v>1.052</v>
      </c>
      <c r="J250" s="146">
        <f t="shared" si="84"/>
        <v>313172</v>
      </c>
      <c r="K250" s="146">
        <f t="shared" si="85"/>
        <v>308528</v>
      </c>
      <c r="L250" s="147"/>
      <c r="M250" s="147"/>
      <c r="N250" s="147"/>
    </row>
    <row r="251" spans="1:14" s="237" customFormat="1" ht="31.5" customHeight="1" outlineLevel="2" x14ac:dyDescent="0.2">
      <c r="A251" s="238" t="s">
        <v>406</v>
      </c>
      <c r="B251" s="229" t="s">
        <v>162</v>
      </c>
      <c r="C251" s="229" t="s">
        <v>1847</v>
      </c>
      <c r="D251" s="239" t="s">
        <v>292</v>
      </c>
      <c r="E251" s="240">
        <v>1</v>
      </c>
      <c r="F251" s="240">
        <f>SUM(F252:F271)</f>
        <v>22290274</v>
      </c>
      <c r="G251" s="241"/>
      <c r="H251" s="240">
        <f>SUM(H252:H271)</f>
        <v>25388623</v>
      </c>
      <c r="I251" s="241">
        <f>Дефляторы!$D$25</f>
        <v>1.052</v>
      </c>
      <c r="J251" s="240">
        <f>SUM(J252:J271)</f>
        <v>26708831</v>
      </c>
      <c r="K251" s="240">
        <f>SUM(K252:K271)</f>
        <v>26312770</v>
      </c>
      <c r="L251" s="256"/>
      <c r="M251" s="256"/>
      <c r="N251" s="256"/>
    </row>
    <row r="252" spans="1:14" s="148" customFormat="1" ht="15.75" outlineLevel="3" x14ac:dyDescent="0.2">
      <c r="A252" s="95"/>
      <c r="B252" s="42"/>
      <c r="C252" s="157" t="s">
        <v>367</v>
      </c>
      <c r="D252" s="100"/>
      <c r="E252" s="100"/>
      <c r="F252" s="149"/>
      <c r="G252" s="145"/>
      <c r="H252" s="146"/>
      <c r="I252" s="145">
        <f>Дефляторы!$D$25</f>
        <v>1.052</v>
      </c>
      <c r="J252" s="146"/>
      <c r="K252" s="146"/>
      <c r="L252" s="147"/>
      <c r="M252" s="147"/>
      <c r="N252" s="147"/>
    </row>
    <row r="253" spans="1:14" s="148" customFormat="1" ht="15.75" outlineLevel="3" x14ac:dyDescent="0.2">
      <c r="A253" s="95" t="s">
        <v>407</v>
      </c>
      <c r="B253" s="42" t="s">
        <v>1007</v>
      </c>
      <c r="C253" s="42" t="s">
        <v>1006</v>
      </c>
      <c r="D253" s="100" t="s">
        <v>300</v>
      </c>
      <c r="E253" s="100">
        <v>110</v>
      </c>
      <c r="F253" s="149">
        <f>(18362)*(1.023*1.005-2.3%*15%)*6.99+0*4.09</f>
        <v>131516</v>
      </c>
      <c r="G253" s="145">
        <f>$G$766</f>
        <v>1.139</v>
      </c>
      <c r="H253" s="146">
        <f t="shared" ref="H253:H254" si="86">F253*G253</f>
        <v>149797</v>
      </c>
      <c r="I253" s="145">
        <f>Дефляторы!$D$25</f>
        <v>1.052</v>
      </c>
      <c r="J253" s="146">
        <f t="shared" ref="J253:J254" si="87">H253*I253</f>
        <v>157586</v>
      </c>
      <c r="K253" s="146">
        <f t="shared" ref="K253:K254" si="88">H253+(J253-H253)*(1-30/100)</f>
        <v>155249</v>
      </c>
      <c r="L253" s="147" t="s">
        <v>1008</v>
      </c>
      <c r="M253" s="147"/>
      <c r="N253" s="147"/>
    </row>
    <row r="254" spans="1:14" s="148" customFormat="1" ht="25.5" outlineLevel="3" x14ac:dyDescent="0.2">
      <c r="A254" s="95" t="s">
        <v>409</v>
      </c>
      <c r="B254" s="42" t="s">
        <v>1009</v>
      </c>
      <c r="C254" s="42" t="s">
        <v>750</v>
      </c>
      <c r="D254" s="100" t="s">
        <v>300</v>
      </c>
      <c r="E254" s="100">
        <v>420</v>
      </c>
      <c r="F254" s="149">
        <f>(6023)*(1.023*1.005-2.3%*15%)*6.99+0*4.09</f>
        <v>43139</v>
      </c>
      <c r="G254" s="145">
        <f>$G$766</f>
        <v>1.139</v>
      </c>
      <c r="H254" s="146">
        <f t="shared" si="86"/>
        <v>49135</v>
      </c>
      <c r="I254" s="145">
        <f>Дефляторы!$D$25</f>
        <v>1.052</v>
      </c>
      <c r="J254" s="146">
        <f t="shared" si="87"/>
        <v>51690</v>
      </c>
      <c r="K254" s="146">
        <f t="shared" si="88"/>
        <v>50924</v>
      </c>
      <c r="L254" s="147"/>
      <c r="M254" s="147"/>
      <c r="N254" s="147"/>
    </row>
    <row r="255" spans="1:14" s="148" customFormat="1" ht="15.75" outlineLevel="3" x14ac:dyDescent="0.2">
      <c r="A255" s="95"/>
      <c r="B255" s="42"/>
      <c r="C255" s="157" t="s">
        <v>1020</v>
      </c>
      <c r="D255" s="100"/>
      <c r="E255" s="100"/>
      <c r="F255" s="149"/>
      <c r="G255" s="145"/>
      <c r="H255" s="146"/>
      <c r="I255" s="145">
        <f>Дефляторы!$D$25</f>
        <v>1.052</v>
      </c>
      <c r="J255" s="146"/>
      <c r="K255" s="146"/>
      <c r="L255" s="147"/>
      <c r="M255" s="147"/>
      <c r="N255" s="147"/>
    </row>
    <row r="256" spans="1:14" s="148" customFormat="1" ht="15.75" outlineLevel="3" x14ac:dyDescent="0.2">
      <c r="A256" s="95" t="s">
        <v>410</v>
      </c>
      <c r="B256" s="42" t="s">
        <v>1011</v>
      </c>
      <c r="C256" s="42" t="s">
        <v>1021</v>
      </c>
      <c r="D256" s="100" t="s">
        <v>300</v>
      </c>
      <c r="E256" s="168">
        <f>237.9</f>
        <v>237.9</v>
      </c>
      <c r="F256" s="149">
        <f>(319411)*(1.023*1.005-2.3%*15%)*6.99+0*4.09</f>
        <v>2287752</v>
      </c>
      <c r="G256" s="145">
        <f t="shared" ref="G256:G262" si="89">$G$766</f>
        <v>1.139</v>
      </c>
      <c r="H256" s="146">
        <f t="shared" ref="H256:H262" si="90">F256*G256</f>
        <v>2605750</v>
      </c>
      <c r="I256" s="145">
        <f>Дефляторы!$D$25</f>
        <v>1.052</v>
      </c>
      <c r="J256" s="146">
        <f t="shared" ref="J256:J262" si="91">H256*I256</f>
        <v>2741249</v>
      </c>
      <c r="K256" s="146">
        <f t="shared" ref="K256:K262" si="92">H256+(J256-H256)*(1-30/100)</f>
        <v>2700599</v>
      </c>
      <c r="L256" s="147"/>
      <c r="M256" s="147"/>
      <c r="N256" s="147"/>
    </row>
    <row r="257" spans="1:14" s="148" customFormat="1" ht="15.75" outlineLevel="3" x14ac:dyDescent="0.2">
      <c r="A257" s="95" t="s">
        <v>411</v>
      </c>
      <c r="B257" s="42" t="s">
        <v>1013</v>
      </c>
      <c r="C257" s="42" t="s">
        <v>1022</v>
      </c>
      <c r="D257" s="100" t="s">
        <v>300</v>
      </c>
      <c r="E257" s="100">
        <f>52.1</f>
        <v>52.1</v>
      </c>
      <c r="F257" s="149">
        <f>(75676)*(1.023*1.005-2.3%*15%)*6.99+0*4.09</f>
        <v>542022</v>
      </c>
      <c r="G257" s="145">
        <f t="shared" si="89"/>
        <v>1.139</v>
      </c>
      <c r="H257" s="146">
        <f t="shared" si="90"/>
        <v>617363</v>
      </c>
      <c r="I257" s="145">
        <f>Дефляторы!$D$25</f>
        <v>1.052</v>
      </c>
      <c r="J257" s="146">
        <f t="shared" si="91"/>
        <v>649466</v>
      </c>
      <c r="K257" s="146">
        <f t="shared" si="92"/>
        <v>639835</v>
      </c>
      <c r="L257" s="147"/>
      <c r="M257" s="147"/>
      <c r="N257" s="147"/>
    </row>
    <row r="258" spans="1:14" s="148" customFormat="1" ht="15.75" outlineLevel="3" x14ac:dyDescent="0.2">
      <c r="A258" s="95" t="s">
        <v>412</v>
      </c>
      <c r="B258" s="42" t="s">
        <v>1014</v>
      </c>
      <c r="C258" s="42" t="s">
        <v>1012</v>
      </c>
      <c r="D258" s="100" t="s">
        <v>300</v>
      </c>
      <c r="E258" s="100">
        <f>45.6</f>
        <v>45.6</v>
      </c>
      <c r="F258" s="149">
        <f>(75718)*(1.023*1.005-2.3%*15%)*6.99+0*4.09</f>
        <v>542323</v>
      </c>
      <c r="G258" s="145">
        <f t="shared" si="89"/>
        <v>1.139</v>
      </c>
      <c r="H258" s="146">
        <f t="shared" si="90"/>
        <v>617706</v>
      </c>
      <c r="I258" s="145">
        <f>Дефляторы!$D$25</f>
        <v>1.052</v>
      </c>
      <c r="J258" s="146">
        <f t="shared" si="91"/>
        <v>649827</v>
      </c>
      <c r="K258" s="146">
        <f t="shared" si="92"/>
        <v>640191</v>
      </c>
      <c r="L258" s="147"/>
      <c r="M258" s="147"/>
      <c r="N258" s="147"/>
    </row>
    <row r="259" spans="1:14" s="148" customFormat="1" ht="15.75" outlineLevel="3" x14ac:dyDescent="0.2">
      <c r="A259" s="95" t="s">
        <v>413</v>
      </c>
      <c r="B259" s="42" t="s">
        <v>1015</v>
      </c>
      <c r="C259" s="42" t="s">
        <v>1023</v>
      </c>
      <c r="D259" s="100" t="s">
        <v>300</v>
      </c>
      <c r="E259" s="100">
        <f>27.6</f>
        <v>27.6</v>
      </c>
      <c r="F259" s="149">
        <f>(93327)*(1.023*1.005-2.3%*15%)*6.99+0*4.09</f>
        <v>668446</v>
      </c>
      <c r="G259" s="145">
        <f t="shared" si="89"/>
        <v>1.139</v>
      </c>
      <c r="H259" s="146">
        <f t="shared" si="90"/>
        <v>761360</v>
      </c>
      <c r="I259" s="145">
        <f>Дефляторы!$D$25</f>
        <v>1.052</v>
      </c>
      <c r="J259" s="146">
        <f t="shared" si="91"/>
        <v>800951</v>
      </c>
      <c r="K259" s="146">
        <f t="shared" si="92"/>
        <v>789074</v>
      </c>
      <c r="L259" s="147"/>
      <c r="M259" s="147"/>
      <c r="N259" s="147"/>
    </row>
    <row r="260" spans="1:14" s="148" customFormat="1" ht="15.75" outlineLevel="3" x14ac:dyDescent="0.2">
      <c r="A260" s="95" t="s">
        <v>415</v>
      </c>
      <c r="B260" s="42" t="s">
        <v>1017</v>
      </c>
      <c r="C260" s="42" t="s">
        <v>1016</v>
      </c>
      <c r="D260" s="100" t="s">
        <v>300</v>
      </c>
      <c r="E260" s="100">
        <f>116</f>
        <v>116</v>
      </c>
      <c r="F260" s="149">
        <f>(250290)*(1.023*1.005-2.3%*15%)*6.99+0*4.09</f>
        <v>1792679</v>
      </c>
      <c r="G260" s="145">
        <f t="shared" si="89"/>
        <v>1.139</v>
      </c>
      <c r="H260" s="146">
        <f t="shared" si="90"/>
        <v>2041861</v>
      </c>
      <c r="I260" s="145">
        <f>Дефляторы!$D$25</f>
        <v>1.052</v>
      </c>
      <c r="J260" s="146">
        <f t="shared" si="91"/>
        <v>2148038</v>
      </c>
      <c r="K260" s="146">
        <f t="shared" si="92"/>
        <v>2116185</v>
      </c>
      <c r="L260" s="147"/>
      <c r="M260" s="147"/>
      <c r="N260" s="147"/>
    </row>
    <row r="261" spans="1:14" s="148" customFormat="1" ht="15.75" outlineLevel="3" x14ac:dyDescent="0.2">
      <c r="A261" s="95" t="s">
        <v>416</v>
      </c>
      <c r="B261" s="42" t="s">
        <v>1018</v>
      </c>
      <c r="C261" s="42" t="s">
        <v>1024</v>
      </c>
      <c r="D261" s="100" t="s">
        <v>300</v>
      </c>
      <c r="E261" s="100">
        <f>28.3</f>
        <v>28.3</v>
      </c>
      <c r="F261" s="149">
        <f>(47432)*(1.023*1.005-2.3%*15%)*6.99+0*4.09</f>
        <v>339727</v>
      </c>
      <c r="G261" s="145">
        <f t="shared" si="89"/>
        <v>1.139</v>
      </c>
      <c r="H261" s="146">
        <f t="shared" si="90"/>
        <v>386949</v>
      </c>
      <c r="I261" s="145">
        <f>Дефляторы!$D$25</f>
        <v>1.052</v>
      </c>
      <c r="J261" s="146">
        <f t="shared" si="91"/>
        <v>407070</v>
      </c>
      <c r="K261" s="146">
        <f t="shared" si="92"/>
        <v>401034</v>
      </c>
      <c r="L261" s="147"/>
      <c r="M261" s="147"/>
      <c r="N261" s="147"/>
    </row>
    <row r="262" spans="1:14" s="148" customFormat="1" ht="25.5" outlineLevel="3" x14ac:dyDescent="0.2">
      <c r="A262" s="95" t="s">
        <v>417</v>
      </c>
      <c r="B262" s="42" t="s">
        <v>1025</v>
      </c>
      <c r="C262" s="42" t="s">
        <v>1019</v>
      </c>
      <c r="D262" s="100" t="s">
        <v>292</v>
      </c>
      <c r="E262" s="100">
        <v>1</v>
      </c>
      <c r="F262" s="149">
        <f>(102455)*(1.023*1.005-2.3%*15%)*6.99+0*4.09</f>
        <v>733825</v>
      </c>
      <c r="G262" s="145">
        <f t="shared" si="89"/>
        <v>1.139</v>
      </c>
      <c r="H262" s="146">
        <f t="shared" si="90"/>
        <v>835827</v>
      </c>
      <c r="I262" s="145">
        <f>Дефляторы!$D$25</f>
        <v>1.052</v>
      </c>
      <c r="J262" s="146">
        <f t="shared" si="91"/>
        <v>879290</v>
      </c>
      <c r="K262" s="146">
        <f t="shared" si="92"/>
        <v>866251</v>
      </c>
      <c r="L262" s="147"/>
      <c r="M262" s="147"/>
      <c r="N262" s="147"/>
    </row>
    <row r="263" spans="1:14" s="148" customFormat="1" ht="15.75" outlineLevel="3" x14ac:dyDescent="0.2">
      <c r="A263" s="95"/>
      <c r="B263" s="42"/>
      <c r="C263" s="157" t="s">
        <v>1026</v>
      </c>
      <c r="D263" s="100"/>
      <c r="E263" s="100"/>
      <c r="F263" s="149"/>
      <c r="G263" s="145"/>
      <c r="H263" s="146"/>
      <c r="I263" s="145">
        <f>Дефляторы!$D$25</f>
        <v>1.052</v>
      </c>
      <c r="J263" s="146"/>
      <c r="K263" s="146"/>
      <c r="L263" s="147"/>
      <c r="M263" s="147"/>
      <c r="N263" s="147"/>
    </row>
    <row r="264" spans="1:14" s="148" customFormat="1" ht="15.75" outlineLevel="3" x14ac:dyDescent="0.2">
      <c r="A264" s="95" t="s">
        <v>418</v>
      </c>
      <c r="B264" s="42" t="s">
        <v>1029</v>
      </c>
      <c r="C264" s="42" t="s">
        <v>1027</v>
      </c>
      <c r="D264" s="100" t="s">
        <v>292</v>
      </c>
      <c r="E264" s="100">
        <v>1</v>
      </c>
      <c r="F264" s="149">
        <f>(32268)*(1.023*1.005-2.3%*15%)*6.99+0*4.09</f>
        <v>231117</v>
      </c>
      <c r="G264" s="145">
        <f t="shared" ref="G264:G272" si="93">$G$766</f>
        <v>1.139</v>
      </c>
      <c r="H264" s="146">
        <f t="shared" ref="H264:H271" si="94">F264*G264</f>
        <v>263242</v>
      </c>
      <c r="I264" s="145">
        <f>Дефляторы!$D$25</f>
        <v>1.052</v>
      </c>
      <c r="J264" s="146">
        <f t="shared" ref="J264:J271" si="95">H264*I264</f>
        <v>276931</v>
      </c>
      <c r="K264" s="146">
        <f t="shared" ref="K264:K271" si="96">H264+(J264-H264)*(1-30/100)</f>
        <v>272824</v>
      </c>
      <c r="L264" s="147" t="s">
        <v>1039</v>
      </c>
      <c r="M264" s="147"/>
      <c r="N264" s="147"/>
    </row>
    <row r="265" spans="1:14" s="148" customFormat="1" ht="15.75" outlineLevel="3" x14ac:dyDescent="0.2">
      <c r="A265" s="160" t="s">
        <v>419</v>
      </c>
      <c r="B265" s="91" t="s">
        <v>1030</v>
      </c>
      <c r="C265" s="91" t="s">
        <v>1028</v>
      </c>
      <c r="D265" s="161" t="s">
        <v>408</v>
      </c>
      <c r="E265" s="161">
        <v>918</v>
      </c>
      <c r="F265" s="99">
        <f>(305556)*(1.023*1.005-2.3%*15%)*6.99+0*4.09</f>
        <v>2188517</v>
      </c>
      <c r="G265" s="163">
        <f t="shared" si="93"/>
        <v>1.139</v>
      </c>
      <c r="H265" s="164">
        <f t="shared" si="94"/>
        <v>2492721</v>
      </c>
      <c r="I265" s="163">
        <f>Дефляторы!$D$25</f>
        <v>1.052</v>
      </c>
      <c r="J265" s="164">
        <f t="shared" si="95"/>
        <v>2622342</v>
      </c>
      <c r="K265" s="164">
        <f t="shared" si="96"/>
        <v>2583456</v>
      </c>
      <c r="L265" s="147" t="s">
        <v>742</v>
      </c>
      <c r="M265" s="147"/>
      <c r="N265" s="147"/>
    </row>
    <row r="266" spans="1:14" s="148" customFormat="1" ht="25.5" outlineLevel="3" x14ac:dyDescent="0.2">
      <c r="A266" s="95" t="s">
        <v>420</v>
      </c>
      <c r="B266" s="42" t="s">
        <v>1032</v>
      </c>
      <c r="C266" s="42" t="s">
        <v>1031</v>
      </c>
      <c r="D266" s="100" t="s">
        <v>292</v>
      </c>
      <c r="E266" s="100">
        <v>1</v>
      </c>
      <c r="F266" s="149">
        <f>(1160425)*(1.023*1.005-2.3%*15%)*6.99+0*4.09</f>
        <v>8311438</v>
      </c>
      <c r="G266" s="145">
        <f t="shared" si="93"/>
        <v>1.139</v>
      </c>
      <c r="H266" s="146">
        <f t="shared" si="94"/>
        <v>9466728</v>
      </c>
      <c r="I266" s="145">
        <f>Дефляторы!$D$25</f>
        <v>1.052</v>
      </c>
      <c r="J266" s="146">
        <f t="shared" si="95"/>
        <v>9958998</v>
      </c>
      <c r="K266" s="146">
        <f t="shared" si="96"/>
        <v>9811317</v>
      </c>
      <c r="L266" s="172" t="s">
        <v>1038</v>
      </c>
      <c r="M266" s="147"/>
      <c r="N266" s="147"/>
    </row>
    <row r="267" spans="1:14" s="148" customFormat="1" ht="15.75" outlineLevel="3" x14ac:dyDescent="0.2">
      <c r="A267" s="160" t="s">
        <v>421</v>
      </c>
      <c r="B267" s="91" t="s">
        <v>1033</v>
      </c>
      <c r="C267" s="91" t="s">
        <v>1028</v>
      </c>
      <c r="D267" s="161" t="s">
        <v>408</v>
      </c>
      <c r="E267" s="161">
        <v>1200</v>
      </c>
      <c r="F267" s="99">
        <f>(399420)*(1.023*1.005-2.3%*15%)*6.99+0*4.09+7</f>
        <v>2860816</v>
      </c>
      <c r="G267" s="163">
        <f t="shared" si="93"/>
        <v>1.139</v>
      </c>
      <c r="H267" s="164">
        <f t="shared" si="94"/>
        <v>3258469</v>
      </c>
      <c r="I267" s="163">
        <f>Дефляторы!$D$25</f>
        <v>1.052</v>
      </c>
      <c r="J267" s="164">
        <f t="shared" si="95"/>
        <v>3427909</v>
      </c>
      <c r="K267" s="164">
        <f t="shared" si="96"/>
        <v>3377077</v>
      </c>
      <c r="L267" s="147" t="s">
        <v>742</v>
      </c>
      <c r="M267" s="147"/>
      <c r="N267" s="147"/>
    </row>
    <row r="268" spans="1:14" s="148" customFormat="1" ht="15.75" outlineLevel="3" x14ac:dyDescent="0.2">
      <c r="A268" s="95" t="s">
        <v>422</v>
      </c>
      <c r="B268" s="42" t="s">
        <v>1035</v>
      </c>
      <c r="C268" s="42" t="s">
        <v>1034</v>
      </c>
      <c r="D268" s="100" t="s">
        <v>292</v>
      </c>
      <c r="E268" s="100">
        <v>1</v>
      </c>
      <c r="F268" s="149">
        <f>(7966)*(1.023*1.005-2.3%*15%)*6.99+0*4.09</f>
        <v>57056</v>
      </c>
      <c r="G268" s="145">
        <f t="shared" si="93"/>
        <v>1.139</v>
      </c>
      <c r="H268" s="146">
        <f t="shared" si="94"/>
        <v>64987</v>
      </c>
      <c r="I268" s="145">
        <f>Дефляторы!$D$25</f>
        <v>1.052</v>
      </c>
      <c r="J268" s="146">
        <f t="shared" si="95"/>
        <v>68366</v>
      </c>
      <c r="K268" s="146">
        <f t="shared" si="96"/>
        <v>67352</v>
      </c>
      <c r="L268" s="147" t="s">
        <v>1040</v>
      </c>
      <c r="M268" s="147"/>
      <c r="N268" s="147"/>
    </row>
    <row r="269" spans="1:14" s="148" customFormat="1" ht="15.75" outlineLevel="3" x14ac:dyDescent="0.2">
      <c r="A269" s="95" t="s">
        <v>1916</v>
      </c>
      <c r="B269" s="42" t="s">
        <v>1037</v>
      </c>
      <c r="C269" s="42" t="s">
        <v>1036</v>
      </c>
      <c r="D269" s="100" t="s">
        <v>637</v>
      </c>
      <c r="E269" s="100">
        <v>1.5</v>
      </c>
      <c r="F269" s="149">
        <f>(22414)*(1.023*1.005-2.3%*15%)*6.99+0*4.09</f>
        <v>160538</v>
      </c>
      <c r="G269" s="145">
        <f t="shared" si="93"/>
        <v>1.139</v>
      </c>
      <c r="H269" s="146">
        <f t="shared" si="94"/>
        <v>182853</v>
      </c>
      <c r="I269" s="145">
        <f>Дефляторы!$D$25</f>
        <v>1.052</v>
      </c>
      <c r="J269" s="146">
        <f t="shared" si="95"/>
        <v>192361</v>
      </c>
      <c r="K269" s="146">
        <f t="shared" si="96"/>
        <v>189509</v>
      </c>
      <c r="L269" s="147"/>
      <c r="M269" s="147"/>
      <c r="N269" s="147"/>
    </row>
    <row r="270" spans="1:14" s="148" customFormat="1" ht="25.5" outlineLevel="3" x14ac:dyDescent="0.2">
      <c r="A270" s="225" t="s">
        <v>1917</v>
      </c>
      <c r="B270" s="226" t="s">
        <v>1042</v>
      </c>
      <c r="C270" s="226" t="s">
        <v>1041</v>
      </c>
      <c r="D270" s="227" t="s">
        <v>404</v>
      </c>
      <c r="E270" s="227">
        <f>3951</f>
        <v>3951</v>
      </c>
      <c r="F270" s="223">
        <f>(57230)*(1.023*1.005-2.3%*15%)*6.99+0*4.09</f>
        <v>409905</v>
      </c>
      <c r="G270" s="224">
        <f t="shared" si="93"/>
        <v>1.139</v>
      </c>
      <c r="H270" s="228">
        <f t="shared" si="94"/>
        <v>466882</v>
      </c>
      <c r="I270" s="224">
        <f>Дефляторы!$D$25</f>
        <v>1.052</v>
      </c>
      <c r="J270" s="228">
        <f t="shared" si="95"/>
        <v>491160</v>
      </c>
      <c r="K270" s="228">
        <f t="shared" si="96"/>
        <v>483877</v>
      </c>
      <c r="L270" s="147" t="s">
        <v>1043</v>
      </c>
      <c r="M270" s="147"/>
      <c r="N270" s="147"/>
    </row>
    <row r="271" spans="1:14" s="148" customFormat="1" ht="38.25" outlineLevel="3" x14ac:dyDescent="0.2">
      <c r="A271" s="225" t="s">
        <v>1918</v>
      </c>
      <c r="B271" s="226" t="s">
        <v>1046</v>
      </c>
      <c r="C271" s="226" t="s">
        <v>1044</v>
      </c>
      <c r="D271" s="227" t="s">
        <v>404</v>
      </c>
      <c r="E271" s="227">
        <f>198</f>
        <v>198</v>
      </c>
      <c r="F271" s="223">
        <f>(138146)*(1.023*1.005-2.3%*15%)*6.99+0*4.09</f>
        <v>989458</v>
      </c>
      <c r="G271" s="224">
        <f t="shared" si="93"/>
        <v>1.139</v>
      </c>
      <c r="H271" s="228">
        <f t="shared" si="94"/>
        <v>1126993</v>
      </c>
      <c r="I271" s="224">
        <f>Дефляторы!$D$25</f>
        <v>1.052</v>
      </c>
      <c r="J271" s="228">
        <f t="shared" si="95"/>
        <v>1185597</v>
      </c>
      <c r="K271" s="228">
        <f t="shared" si="96"/>
        <v>1168016</v>
      </c>
      <c r="L271" s="147" t="s">
        <v>1045</v>
      </c>
      <c r="M271" s="147"/>
      <c r="N271" s="147"/>
    </row>
    <row r="272" spans="1:14" s="237" customFormat="1" ht="25.5" outlineLevel="2" x14ac:dyDescent="0.2">
      <c r="A272" s="238" t="s">
        <v>423</v>
      </c>
      <c r="B272" s="229" t="s">
        <v>164</v>
      </c>
      <c r="C272" s="229" t="s">
        <v>1919</v>
      </c>
      <c r="D272" s="239" t="s">
        <v>292</v>
      </c>
      <c r="E272" s="240">
        <v>1</v>
      </c>
      <c r="F272" s="240">
        <f>SUM(F273:F295)</f>
        <v>72287036</v>
      </c>
      <c r="G272" s="241">
        <f t="shared" si="93"/>
        <v>1.139</v>
      </c>
      <c r="H272" s="240">
        <f>SUM(H273:H295)</f>
        <v>82334934</v>
      </c>
      <c r="I272" s="241">
        <f>Дефляторы!$D$25</f>
        <v>1.052</v>
      </c>
      <c r="J272" s="240">
        <f>SUM(J273:J295)</f>
        <v>86616350</v>
      </c>
      <c r="K272" s="240">
        <f>SUM(K273:K295)</f>
        <v>85331927</v>
      </c>
      <c r="L272" s="256"/>
      <c r="M272" s="256"/>
      <c r="N272" s="256"/>
    </row>
    <row r="273" spans="1:14" s="148" customFormat="1" ht="15.75" outlineLevel="3" x14ac:dyDescent="0.2">
      <c r="A273" s="95"/>
      <c r="B273" s="42"/>
      <c r="C273" s="157" t="s">
        <v>367</v>
      </c>
      <c r="D273" s="100"/>
      <c r="E273" s="100"/>
      <c r="F273" s="149"/>
      <c r="G273" s="145"/>
      <c r="H273" s="146"/>
      <c r="I273" s="145">
        <f>Дефляторы!$D$25</f>
        <v>1.052</v>
      </c>
      <c r="J273" s="146"/>
      <c r="K273" s="146"/>
      <c r="L273" s="147"/>
      <c r="M273" s="147"/>
      <c r="N273" s="147"/>
    </row>
    <row r="274" spans="1:14" s="148" customFormat="1" ht="25.5" outlineLevel="3" x14ac:dyDescent="0.2">
      <c r="A274" s="95" t="s">
        <v>424</v>
      </c>
      <c r="B274" s="42" t="s">
        <v>1047</v>
      </c>
      <c r="C274" s="42" t="s">
        <v>356</v>
      </c>
      <c r="D274" s="100" t="s">
        <v>300</v>
      </c>
      <c r="E274" s="100">
        <f>4472.5</f>
        <v>4472.5</v>
      </c>
      <c r="F274" s="149">
        <f>(891857)*(1.023*1.005-2.3%*15%)*6.99+0*4.09-28</f>
        <v>6387816</v>
      </c>
      <c r="G274" s="145">
        <f t="shared" ref="G274:G281" si="97">$G$766</f>
        <v>1.139</v>
      </c>
      <c r="H274" s="146">
        <f t="shared" ref="H274:H281" si="98">F274*G274</f>
        <v>7275722</v>
      </c>
      <c r="I274" s="145">
        <f>Дефляторы!$D$25</f>
        <v>1.052</v>
      </c>
      <c r="J274" s="146">
        <f t="shared" ref="J274:J281" si="99">H274*I274</f>
        <v>7654060</v>
      </c>
      <c r="K274" s="146">
        <f t="shared" ref="K274:K281" si="100">H274+(J274-H274)*(1-30/100)</f>
        <v>7540559</v>
      </c>
      <c r="L274" s="147"/>
      <c r="M274" s="147"/>
      <c r="N274" s="147"/>
    </row>
    <row r="275" spans="1:14" s="148" customFormat="1" ht="15.75" outlineLevel="3" x14ac:dyDescent="0.2">
      <c r="A275" s="95" t="s">
        <v>1928</v>
      </c>
      <c r="B275" s="42" t="s">
        <v>1053</v>
      </c>
      <c r="C275" s="42" t="s">
        <v>1048</v>
      </c>
      <c r="D275" s="100" t="s">
        <v>300</v>
      </c>
      <c r="E275" s="100">
        <f>3261.5</f>
        <v>3261.5</v>
      </c>
      <c r="F275" s="149">
        <f>(41760)*(1.023*1.005-2.3%*15%)*6.99+0*4.09</f>
        <v>299102</v>
      </c>
      <c r="G275" s="145">
        <f t="shared" si="97"/>
        <v>1.139</v>
      </c>
      <c r="H275" s="146">
        <f t="shared" si="98"/>
        <v>340677</v>
      </c>
      <c r="I275" s="145">
        <f>Дефляторы!$D$25</f>
        <v>1.052</v>
      </c>
      <c r="J275" s="146">
        <f t="shared" si="99"/>
        <v>358392</v>
      </c>
      <c r="K275" s="146">
        <f t="shared" si="100"/>
        <v>353078</v>
      </c>
      <c r="L275" s="147"/>
      <c r="M275" s="147"/>
      <c r="N275" s="147"/>
    </row>
    <row r="276" spans="1:14" s="148" customFormat="1" ht="25.5" outlineLevel="3" x14ac:dyDescent="0.2">
      <c r="A276" s="95" t="s">
        <v>1929</v>
      </c>
      <c r="B276" s="42" t="s">
        <v>1054</v>
      </c>
      <c r="C276" s="42" t="s">
        <v>1049</v>
      </c>
      <c r="D276" s="100" t="s">
        <v>300</v>
      </c>
      <c r="E276" s="100">
        <f>1211</f>
        <v>1211</v>
      </c>
      <c r="F276" s="149">
        <f>(52707)*(1.023*1.005-2.3%*15%)*6.99+0*4.09</f>
        <v>377509</v>
      </c>
      <c r="G276" s="145">
        <f t="shared" si="97"/>
        <v>1.139</v>
      </c>
      <c r="H276" s="146">
        <f t="shared" si="98"/>
        <v>429983</v>
      </c>
      <c r="I276" s="145">
        <f>Дефляторы!$D$25</f>
        <v>1.052</v>
      </c>
      <c r="J276" s="146">
        <f t="shared" si="99"/>
        <v>452342</v>
      </c>
      <c r="K276" s="146">
        <f t="shared" si="100"/>
        <v>445634</v>
      </c>
      <c r="L276" s="147" t="s">
        <v>1050</v>
      </c>
      <c r="M276" s="147"/>
      <c r="N276" s="147"/>
    </row>
    <row r="277" spans="1:14" s="148" customFormat="1" ht="25.5" outlineLevel="3" x14ac:dyDescent="0.2">
      <c r="A277" s="95" t="s">
        <v>1930</v>
      </c>
      <c r="B277" s="42" t="s">
        <v>1055</v>
      </c>
      <c r="C277" s="42" t="s">
        <v>1052</v>
      </c>
      <c r="D277" s="100" t="s">
        <v>300</v>
      </c>
      <c r="E277" s="100">
        <f>3261.5</f>
        <v>3261.5</v>
      </c>
      <c r="F277" s="149">
        <f>(53926)*(1.023*1.005-2.3%*15%)*6.99+0*4.09</f>
        <v>386240</v>
      </c>
      <c r="G277" s="145">
        <f t="shared" si="97"/>
        <v>1.139</v>
      </c>
      <c r="H277" s="146">
        <f t="shared" si="98"/>
        <v>439927</v>
      </c>
      <c r="I277" s="145">
        <f>Дефляторы!$D$25</f>
        <v>1.052</v>
      </c>
      <c r="J277" s="146">
        <f t="shared" si="99"/>
        <v>462803</v>
      </c>
      <c r="K277" s="146">
        <f t="shared" si="100"/>
        <v>455940</v>
      </c>
      <c r="L277" s="147"/>
      <c r="M277" s="147"/>
      <c r="N277" s="147"/>
    </row>
    <row r="278" spans="1:14" s="148" customFormat="1" ht="15.75" outlineLevel="3" x14ac:dyDescent="0.2">
      <c r="A278" s="95" t="s">
        <v>1931</v>
      </c>
      <c r="B278" s="42" t="s">
        <v>1057</v>
      </c>
      <c r="C278" s="42" t="s">
        <v>1056</v>
      </c>
      <c r="D278" s="100" t="s">
        <v>300</v>
      </c>
      <c r="E278" s="100">
        <f>860.9</f>
        <v>860.9</v>
      </c>
      <c r="F278" s="149">
        <f>(1232562)*(1.023*1.005-2.3%*15%)*6.99+0*4.09</f>
        <v>8828112</v>
      </c>
      <c r="G278" s="145">
        <f t="shared" si="97"/>
        <v>1.139</v>
      </c>
      <c r="H278" s="146">
        <f t="shared" si="98"/>
        <v>10055220</v>
      </c>
      <c r="I278" s="145">
        <f>Дефляторы!$D$25</f>
        <v>1.052</v>
      </c>
      <c r="J278" s="146">
        <f t="shared" si="99"/>
        <v>10578091</v>
      </c>
      <c r="K278" s="146">
        <f t="shared" si="100"/>
        <v>10421230</v>
      </c>
      <c r="L278" s="147" t="s">
        <v>1058</v>
      </c>
      <c r="M278" s="147"/>
      <c r="N278" s="147"/>
    </row>
    <row r="279" spans="1:14" s="148" customFormat="1" ht="15.75" outlineLevel="3" x14ac:dyDescent="0.2">
      <c r="A279" s="95" t="s">
        <v>1932</v>
      </c>
      <c r="B279" s="42" t="s">
        <v>1060</v>
      </c>
      <c r="C279" s="42" t="s">
        <v>1059</v>
      </c>
      <c r="D279" s="100" t="s">
        <v>300</v>
      </c>
      <c r="E279" s="100">
        <v>378</v>
      </c>
      <c r="F279" s="149">
        <f>(939689)*(1.023*1.005-2.3%*15%)*6.99+0*4.09</f>
        <v>6730436</v>
      </c>
      <c r="G279" s="145">
        <f t="shared" si="97"/>
        <v>1.139</v>
      </c>
      <c r="H279" s="146">
        <f t="shared" si="98"/>
        <v>7665967</v>
      </c>
      <c r="I279" s="145">
        <f>Дефляторы!$D$25</f>
        <v>1.052</v>
      </c>
      <c r="J279" s="146">
        <f t="shared" si="99"/>
        <v>8064597</v>
      </c>
      <c r="K279" s="146">
        <f t="shared" si="100"/>
        <v>7945008</v>
      </c>
      <c r="L279" s="147" t="s">
        <v>1061</v>
      </c>
      <c r="M279" s="147"/>
      <c r="N279" s="147"/>
    </row>
    <row r="280" spans="1:14" s="148" customFormat="1" ht="15.75" outlineLevel="3" x14ac:dyDescent="0.2">
      <c r="A280" s="95" t="s">
        <v>1933</v>
      </c>
      <c r="B280" s="42" t="s">
        <v>1063</v>
      </c>
      <c r="C280" s="42" t="s">
        <v>1062</v>
      </c>
      <c r="D280" s="100" t="s">
        <v>300</v>
      </c>
      <c r="E280" s="100">
        <f>175.7</f>
        <v>175.7</v>
      </c>
      <c r="F280" s="149">
        <f>(433264)*(1.023*1.005-2.3%*15%)*6.99+0*4.09</f>
        <v>3103214</v>
      </c>
      <c r="G280" s="145">
        <f t="shared" si="97"/>
        <v>1.139</v>
      </c>
      <c r="H280" s="146">
        <f t="shared" si="98"/>
        <v>3534561</v>
      </c>
      <c r="I280" s="145">
        <f>Дефляторы!$D$25</f>
        <v>1.052</v>
      </c>
      <c r="J280" s="146">
        <f t="shared" si="99"/>
        <v>3718358</v>
      </c>
      <c r="K280" s="146">
        <f t="shared" si="100"/>
        <v>3663219</v>
      </c>
      <c r="L280" s="147" t="s">
        <v>1064</v>
      </c>
      <c r="M280" s="147"/>
      <c r="N280" s="147"/>
    </row>
    <row r="281" spans="1:14" s="148" customFormat="1" ht="15.75" outlineLevel="3" x14ac:dyDescent="0.2">
      <c r="A281" s="95" t="s">
        <v>1934</v>
      </c>
      <c r="B281" s="42" t="s">
        <v>1066</v>
      </c>
      <c r="C281" s="42" t="s">
        <v>1065</v>
      </c>
      <c r="D281" s="100" t="s">
        <v>300</v>
      </c>
      <c r="E281" s="100">
        <f>165.6</f>
        <v>165.6</v>
      </c>
      <c r="F281" s="149">
        <f>(406848)*(1.023*1.005-2.3%*15%)*6.99+0*4.09</f>
        <v>2914012</v>
      </c>
      <c r="G281" s="145">
        <f t="shared" si="97"/>
        <v>1.139</v>
      </c>
      <c r="H281" s="146">
        <f t="shared" si="98"/>
        <v>3319060</v>
      </c>
      <c r="I281" s="145">
        <f>Дефляторы!$D$25</f>
        <v>1.052</v>
      </c>
      <c r="J281" s="146">
        <f t="shared" si="99"/>
        <v>3491651</v>
      </c>
      <c r="K281" s="146">
        <f t="shared" si="100"/>
        <v>3439874</v>
      </c>
      <c r="L281" s="147" t="s">
        <v>1067</v>
      </c>
      <c r="M281" s="147"/>
      <c r="N281" s="147"/>
    </row>
    <row r="282" spans="1:14" s="148" customFormat="1" ht="15.75" outlineLevel="3" x14ac:dyDescent="0.2">
      <c r="A282" s="95"/>
      <c r="B282" s="42"/>
      <c r="C282" s="157" t="s">
        <v>1068</v>
      </c>
      <c r="D282" s="100"/>
      <c r="E282" s="100"/>
      <c r="F282" s="149"/>
      <c r="G282" s="145"/>
      <c r="H282" s="146"/>
      <c r="I282" s="145">
        <f>Дефляторы!$D$25</f>
        <v>1.052</v>
      </c>
      <c r="J282" s="146"/>
      <c r="K282" s="146"/>
      <c r="L282" s="147"/>
      <c r="M282" s="147"/>
      <c r="N282" s="147"/>
    </row>
    <row r="283" spans="1:14" s="148" customFormat="1" ht="15.75" outlineLevel="3" x14ac:dyDescent="0.2">
      <c r="A283" s="95" t="s">
        <v>1935</v>
      </c>
      <c r="B283" s="42" t="s">
        <v>1070</v>
      </c>
      <c r="C283" s="42" t="s">
        <v>1069</v>
      </c>
      <c r="D283" s="100" t="s">
        <v>300</v>
      </c>
      <c r="E283" s="100">
        <v>605</v>
      </c>
      <c r="F283" s="149">
        <f>(1249894)*(1.023*1.005-2.3%*15%)*6.99+0*4.09</f>
        <v>8952251</v>
      </c>
      <c r="G283" s="145">
        <f>$G$766</f>
        <v>1.139</v>
      </c>
      <c r="H283" s="146">
        <f t="shared" ref="H283:H286" si="101">F283*G283</f>
        <v>10196614</v>
      </c>
      <c r="I283" s="145">
        <f>Дефляторы!$D$25</f>
        <v>1.052</v>
      </c>
      <c r="J283" s="146">
        <f t="shared" ref="J283:J286" si="102">H283*I283</f>
        <v>10726838</v>
      </c>
      <c r="K283" s="146">
        <f t="shared" ref="K283:K286" si="103">H283+(J283-H283)*(1-30/100)</f>
        <v>10567771</v>
      </c>
      <c r="L283" s="147"/>
      <c r="M283" s="147"/>
      <c r="N283" s="147"/>
    </row>
    <row r="284" spans="1:14" s="148" customFormat="1" ht="15.75" outlineLevel="3" x14ac:dyDescent="0.2">
      <c r="A284" s="95" t="s">
        <v>1936</v>
      </c>
      <c r="B284" s="42" t="s">
        <v>1072</v>
      </c>
      <c r="C284" s="42" t="s">
        <v>1071</v>
      </c>
      <c r="D284" s="100" t="s">
        <v>300</v>
      </c>
      <c r="E284" s="100">
        <f>480.7+623</f>
        <v>1103.7</v>
      </c>
      <c r="F284" s="149">
        <f>(3058478)*(1.023*1.005-2.3%*15%)*6.99+0*4.09</f>
        <v>21906068</v>
      </c>
      <c r="G284" s="145">
        <f>$G$766</f>
        <v>1.139</v>
      </c>
      <c r="H284" s="146">
        <f t="shared" si="101"/>
        <v>24951011</v>
      </c>
      <c r="I284" s="145">
        <f>Дефляторы!$D$25</f>
        <v>1.052</v>
      </c>
      <c r="J284" s="146">
        <f t="shared" si="102"/>
        <v>26248464</v>
      </c>
      <c r="K284" s="146">
        <f t="shared" si="103"/>
        <v>25859228</v>
      </c>
      <c r="L284" s="147"/>
      <c r="M284" s="147"/>
      <c r="N284" s="147"/>
    </row>
    <row r="285" spans="1:14" s="148" customFormat="1" ht="15.75" outlineLevel="3" x14ac:dyDescent="0.2">
      <c r="A285" s="95" t="s">
        <v>1937</v>
      </c>
      <c r="B285" s="42" t="s">
        <v>1073</v>
      </c>
      <c r="C285" s="42" t="s">
        <v>1074</v>
      </c>
      <c r="D285" s="100" t="s">
        <v>300</v>
      </c>
      <c r="E285" s="100">
        <v>15</v>
      </c>
      <c r="F285" s="149">
        <f>(33483)*(1.023*1.005-2.3%*15%)*6.99+0*4.09</f>
        <v>239819</v>
      </c>
      <c r="G285" s="145">
        <f>$G$766</f>
        <v>1.139</v>
      </c>
      <c r="H285" s="146">
        <f t="shared" si="101"/>
        <v>273154</v>
      </c>
      <c r="I285" s="145">
        <f>Дефляторы!$D$25</f>
        <v>1.052</v>
      </c>
      <c r="J285" s="146">
        <f t="shared" si="102"/>
        <v>287358</v>
      </c>
      <c r="K285" s="146">
        <f t="shared" si="103"/>
        <v>283097</v>
      </c>
      <c r="L285" s="147"/>
      <c r="M285" s="147"/>
      <c r="N285" s="147"/>
    </row>
    <row r="286" spans="1:14" s="148" customFormat="1" ht="25.5" outlineLevel="3" x14ac:dyDescent="0.2">
      <c r="A286" s="95" t="s">
        <v>1938</v>
      </c>
      <c r="B286" s="42" t="s">
        <v>1075</v>
      </c>
      <c r="C286" s="42" t="s">
        <v>1019</v>
      </c>
      <c r="D286" s="100" t="s">
        <v>292</v>
      </c>
      <c r="E286" s="100">
        <v>1</v>
      </c>
      <c r="F286" s="149">
        <f>(97099)*(1.023*1.005-2.3%*15%)*6.99+0*4.09</f>
        <v>695463</v>
      </c>
      <c r="G286" s="145">
        <f>$G$766</f>
        <v>1.139</v>
      </c>
      <c r="H286" s="146">
        <f t="shared" si="101"/>
        <v>792132</v>
      </c>
      <c r="I286" s="145">
        <f>Дефляторы!$D$25</f>
        <v>1.052</v>
      </c>
      <c r="J286" s="146">
        <f t="shared" si="102"/>
        <v>833323</v>
      </c>
      <c r="K286" s="146">
        <f t="shared" si="103"/>
        <v>820966</v>
      </c>
      <c r="L286" s="147"/>
      <c r="M286" s="147"/>
      <c r="N286" s="147"/>
    </row>
    <row r="287" spans="1:14" s="148" customFormat="1" ht="15.75" outlineLevel="3" x14ac:dyDescent="0.2">
      <c r="A287" s="95"/>
      <c r="B287" s="42"/>
      <c r="C287" s="157" t="s">
        <v>1026</v>
      </c>
      <c r="D287" s="100"/>
      <c r="E287" s="100"/>
      <c r="F287" s="149"/>
      <c r="G287" s="145"/>
      <c r="H287" s="146"/>
      <c r="I287" s="145">
        <f>Дефляторы!$D$25</f>
        <v>1.052</v>
      </c>
      <c r="J287" s="146"/>
      <c r="K287" s="146"/>
      <c r="L287" s="147"/>
      <c r="M287" s="147"/>
      <c r="N287" s="147"/>
    </row>
    <row r="288" spans="1:14" s="148" customFormat="1" ht="15.75" outlineLevel="3" x14ac:dyDescent="0.2">
      <c r="A288" s="95" t="s">
        <v>1939</v>
      </c>
      <c r="B288" s="42" t="s">
        <v>1077</v>
      </c>
      <c r="C288" s="42" t="s">
        <v>1076</v>
      </c>
      <c r="D288" s="100" t="s">
        <v>637</v>
      </c>
      <c r="E288" s="100">
        <v>70.47</v>
      </c>
      <c r="F288" s="149">
        <f>(632505)*(1.023*1.005-2.3%*15%)*6.99+0*4.09</f>
        <v>4530259</v>
      </c>
      <c r="G288" s="145">
        <f>$G$766</f>
        <v>1.139</v>
      </c>
      <c r="H288" s="146">
        <f t="shared" ref="H288" si="104">F288*G288</f>
        <v>5159965</v>
      </c>
      <c r="I288" s="145">
        <f>Дефляторы!$D$25</f>
        <v>1.052</v>
      </c>
      <c r="J288" s="146">
        <f t="shared" ref="J288" si="105">H288*I288</f>
        <v>5428283</v>
      </c>
      <c r="K288" s="146">
        <f t="shared" ref="K288" si="106">H288+(J288-H288)*(1-30/100)</f>
        <v>5347788</v>
      </c>
      <c r="L288" s="147"/>
      <c r="M288" s="147"/>
      <c r="N288" s="147"/>
    </row>
    <row r="289" spans="1:14" s="148" customFormat="1" ht="15.75" outlineLevel="3" x14ac:dyDescent="0.2">
      <c r="A289" s="95"/>
      <c r="B289" s="42"/>
      <c r="C289" s="157" t="s">
        <v>1078</v>
      </c>
      <c r="D289" s="100"/>
      <c r="E289" s="100"/>
      <c r="F289" s="149"/>
      <c r="G289" s="145"/>
      <c r="H289" s="146"/>
      <c r="I289" s="145">
        <f>Дефляторы!$D$25</f>
        <v>1.052</v>
      </c>
      <c r="J289" s="146"/>
      <c r="K289" s="146"/>
      <c r="L289" s="147"/>
      <c r="M289" s="147"/>
      <c r="N289" s="147"/>
    </row>
    <row r="290" spans="1:14" s="148" customFormat="1" ht="15.75" outlineLevel="3" x14ac:dyDescent="0.2">
      <c r="A290" s="95" t="s">
        <v>1940</v>
      </c>
      <c r="B290" s="42" t="s">
        <v>1080</v>
      </c>
      <c r="C290" s="42" t="s">
        <v>1079</v>
      </c>
      <c r="D290" s="100" t="s">
        <v>637</v>
      </c>
      <c r="E290" s="145">
        <f>7.149+0.678</f>
        <v>7.827</v>
      </c>
      <c r="F290" s="149">
        <f>(70535)*(1.023*1.005-2.3%*15%)*6.99+0*4.09</f>
        <v>505200</v>
      </c>
      <c r="G290" s="145">
        <f t="shared" ref="G290:G301" si="107">$G$766</f>
        <v>1.139</v>
      </c>
      <c r="H290" s="146">
        <f t="shared" ref="H290:H295" si="108">F290*G290</f>
        <v>575423</v>
      </c>
      <c r="I290" s="145">
        <f>Дефляторы!$D$25</f>
        <v>1.052</v>
      </c>
      <c r="J290" s="146">
        <f t="shared" ref="J290:J295" si="109">H290*I290</f>
        <v>605345</v>
      </c>
      <c r="K290" s="146">
        <f t="shared" ref="K290:K295" si="110">H290+(J290-H290)*(1-30/100)</f>
        <v>596368</v>
      </c>
      <c r="L290" s="147"/>
      <c r="M290" s="147"/>
      <c r="N290" s="147"/>
    </row>
    <row r="291" spans="1:14" s="148" customFormat="1" ht="15.75" outlineLevel="3" x14ac:dyDescent="0.2">
      <c r="A291" s="95" t="s">
        <v>1941</v>
      </c>
      <c r="B291" s="42" t="s">
        <v>1082</v>
      </c>
      <c r="C291" s="42" t="s">
        <v>1081</v>
      </c>
      <c r="D291" s="100" t="s">
        <v>637</v>
      </c>
      <c r="E291" s="100">
        <v>2.1</v>
      </c>
      <c r="F291" s="149">
        <f>(25909)*(1.023*1.005-2.3%*15%)*6.99+0*4.09</f>
        <v>185571</v>
      </c>
      <c r="G291" s="145">
        <f t="shared" si="107"/>
        <v>1.139</v>
      </c>
      <c r="H291" s="146">
        <f t="shared" si="108"/>
        <v>211365</v>
      </c>
      <c r="I291" s="145">
        <f>Дефляторы!$D$25</f>
        <v>1.052</v>
      </c>
      <c r="J291" s="146">
        <f t="shared" si="109"/>
        <v>222356</v>
      </c>
      <c r="K291" s="146">
        <f t="shared" si="110"/>
        <v>219059</v>
      </c>
      <c r="L291" s="147"/>
      <c r="M291" s="147"/>
      <c r="N291" s="147"/>
    </row>
    <row r="292" spans="1:14" s="148" customFormat="1" ht="15.75" outlineLevel="3" x14ac:dyDescent="0.2">
      <c r="A292" s="95" t="s">
        <v>1942</v>
      </c>
      <c r="B292" s="42" t="s">
        <v>1084</v>
      </c>
      <c r="C292" s="42" t="s">
        <v>1083</v>
      </c>
      <c r="D292" s="100" t="s">
        <v>637</v>
      </c>
      <c r="E292" s="145">
        <f>65.191</f>
        <v>65.191000000000003</v>
      </c>
      <c r="F292" s="149">
        <f>(632831)*(1.023*1.005-2.3%*15%)*6.99+0*4.09</f>
        <v>4532594</v>
      </c>
      <c r="G292" s="145">
        <f t="shared" si="107"/>
        <v>1.139</v>
      </c>
      <c r="H292" s="146">
        <f t="shared" si="108"/>
        <v>5162625</v>
      </c>
      <c r="I292" s="145">
        <f>Дефляторы!$D$25</f>
        <v>1.052</v>
      </c>
      <c r="J292" s="146">
        <f t="shared" si="109"/>
        <v>5431082</v>
      </c>
      <c r="K292" s="146">
        <f t="shared" si="110"/>
        <v>5350545</v>
      </c>
      <c r="L292" s="147"/>
      <c r="M292" s="147"/>
      <c r="N292" s="147"/>
    </row>
    <row r="293" spans="1:14" s="148" customFormat="1" ht="15.75" outlineLevel="3" x14ac:dyDescent="0.2">
      <c r="A293" s="95" t="s">
        <v>1943</v>
      </c>
      <c r="B293" s="42" t="s">
        <v>1086</v>
      </c>
      <c r="C293" s="42" t="s">
        <v>1085</v>
      </c>
      <c r="D293" s="100" t="s">
        <v>637</v>
      </c>
      <c r="E293" s="145">
        <f>21.534</f>
        <v>21.533999999999999</v>
      </c>
      <c r="F293" s="149">
        <f>(193888)*(1.023*1.005-2.3%*15%)*6.99+0*4.09</f>
        <v>1388705</v>
      </c>
      <c r="G293" s="145">
        <f t="shared" si="107"/>
        <v>1.139</v>
      </c>
      <c r="H293" s="146">
        <f t="shared" si="108"/>
        <v>1581735</v>
      </c>
      <c r="I293" s="145">
        <f>Дефляторы!$D$25</f>
        <v>1.052</v>
      </c>
      <c r="J293" s="146">
        <f t="shared" si="109"/>
        <v>1663985</v>
      </c>
      <c r="K293" s="146">
        <f t="shared" si="110"/>
        <v>1639310</v>
      </c>
      <c r="L293" s="147"/>
      <c r="M293" s="147"/>
      <c r="N293" s="147"/>
    </row>
    <row r="294" spans="1:14" s="148" customFormat="1" ht="15.75" outlineLevel="3" x14ac:dyDescent="0.2">
      <c r="A294" s="95" t="s">
        <v>1944</v>
      </c>
      <c r="B294" s="42" t="s">
        <v>1088</v>
      </c>
      <c r="C294" s="42" t="s">
        <v>1087</v>
      </c>
      <c r="D294" s="100" t="s">
        <v>637</v>
      </c>
      <c r="E294" s="145">
        <f>2.929</f>
        <v>2.9289999999999998</v>
      </c>
      <c r="F294" s="149">
        <f>(26372)*(1.023*1.005-2.3%*15%)*6.99+0*4.09</f>
        <v>188887</v>
      </c>
      <c r="G294" s="145">
        <f t="shared" si="107"/>
        <v>1.139</v>
      </c>
      <c r="H294" s="146">
        <f t="shared" si="108"/>
        <v>215142</v>
      </c>
      <c r="I294" s="145">
        <f>Дефляторы!$D$25</f>
        <v>1.052</v>
      </c>
      <c r="J294" s="146">
        <f t="shared" si="109"/>
        <v>226329</v>
      </c>
      <c r="K294" s="146">
        <f t="shared" si="110"/>
        <v>222973</v>
      </c>
      <c r="L294" s="147"/>
      <c r="M294" s="147"/>
      <c r="N294" s="147"/>
    </row>
    <row r="295" spans="1:14" s="148" customFormat="1" ht="15.75" outlineLevel="3" x14ac:dyDescent="0.2">
      <c r="A295" s="95" t="s">
        <v>1945</v>
      </c>
      <c r="B295" s="42" t="s">
        <v>1090</v>
      </c>
      <c r="C295" s="42" t="s">
        <v>1089</v>
      </c>
      <c r="D295" s="100" t="s">
        <v>404</v>
      </c>
      <c r="E295" s="149">
        <f>136</f>
        <v>136</v>
      </c>
      <c r="F295" s="149">
        <f>(18957)*(1.023*1.005-2.3%*15%)*6.99+0*4.09</f>
        <v>135778</v>
      </c>
      <c r="G295" s="145">
        <f t="shared" si="107"/>
        <v>1.139</v>
      </c>
      <c r="H295" s="146">
        <f t="shared" si="108"/>
        <v>154651</v>
      </c>
      <c r="I295" s="145">
        <f>Дефляторы!$D$25</f>
        <v>1.052</v>
      </c>
      <c r="J295" s="146">
        <f t="shared" si="109"/>
        <v>162693</v>
      </c>
      <c r="K295" s="146">
        <f t="shared" si="110"/>
        <v>160280</v>
      </c>
      <c r="L295" s="147"/>
      <c r="M295" s="147"/>
      <c r="N295" s="147"/>
    </row>
    <row r="296" spans="1:14" s="237" customFormat="1" ht="15.75" outlineLevel="2" x14ac:dyDescent="0.2">
      <c r="A296" s="238" t="s">
        <v>425</v>
      </c>
      <c r="B296" s="229" t="s">
        <v>166</v>
      </c>
      <c r="C296" s="229" t="s">
        <v>1920</v>
      </c>
      <c r="D296" s="239" t="s">
        <v>292</v>
      </c>
      <c r="E296" s="240">
        <v>1</v>
      </c>
      <c r="F296" s="240">
        <f>SUM(F297:F301)</f>
        <v>2441220</v>
      </c>
      <c r="G296" s="241">
        <f t="shared" si="107"/>
        <v>1.139</v>
      </c>
      <c r="H296" s="240">
        <f>SUM(H297:H301)</f>
        <v>2780550</v>
      </c>
      <c r="I296" s="241">
        <f>Дефляторы!$D$25</f>
        <v>1.052</v>
      </c>
      <c r="J296" s="240">
        <f>SUM(J297:J301)</f>
        <v>2925139</v>
      </c>
      <c r="K296" s="240">
        <f>SUM(K297:K301)</f>
        <v>2881762</v>
      </c>
      <c r="L296" s="256"/>
      <c r="M296" s="256"/>
      <c r="N296" s="256"/>
    </row>
    <row r="297" spans="1:14" s="148" customFormat="1" ht="15.75" outlineLevel="3" x14ac:dyDescent="0.2">
      <c r="A297" s="95" t="s">
        <v>426</v>
      </c>
      <c r="B297" s="42" t="s">
        <v>1091</v>
      </c>
      <c r="C297" s="42" t="s">
        <v>601</v>
      </c>
      <c r="D297" s="100" t="s">
        <v>292</v>
      </c>
      <c r="E297" s="149">
        <v>1</v>
      </c>
      <c r="F297" s="149">
        <f>(21358)*(1.023*1.005-2.3%*15%)*6.99+236956*4.09+30</f>
        <v>1122155</v>
      </c>
      <c r="G297" s="145">
        <f t="shared" si="107"/>
        <v>1.139</v>
      </c>
      <c r="H297" s="146">
        <f t="shared" ref="H297:H301" si="111">F297*G297</f>
        <v>1278135</v>
      </c>
      <c r="I297" s="145">
        <f>Дефляторы!$D$25</f>
        <v>1.052</v>
      </c>
      <c r="J297" s="146">
        <f t="shared" ref="J297:J301" si="112">H297*I297</f>
        <v>1344598</v>
      </c>
      <c r="K297" s="146">
        <f t="shared" ref="K297:K301" si="113">H297+(J297-H297)*(1-30/100)</f>
        <v>1324659</v>
      </c>
      <c r="L297" s="147"/>
      <c r="M297" s="147"/>
      <c r="N297" s="147"/>
    </row>
    <row r="298" spans="1:14" s="148" customFormat="1" ht="15.75" outlineLevel="3" x14ac:dyDescent="0.2">
      <c r="A298" s="95" t="s">
        <v>428</v>
      </c>
      <c r="B298" s="42" t="s">
        <v>1092</v>
      </c>
      <c r="C298" s="42" t="s">
        <v>603</v>
      </c>
      <c r="D298" s="100" t="s">
        <v>292</v>
      </c>
      <c r="E298" s="149">
        <v>1</v>
      </c>
      <c r="F298" s="149">
        <f>(22317)*(1.023*1.005-2.3%*15%)*6.99+15464*4.09</f>
        <v>223091</v>
      </c>
      <c r="G298" s="145">
        <f t="shared" si="107"/>
        <v>1.139</v>
      </c>
      <c r="H298" s="146">
        <f t="shared" si="111"/>
        <v>254101</v>
      </c>
      <c r="I298" s="145">
        <f>Дефляторы!$D$25</f>
        <v>1.052</v>
      </c>
      <c r="J298" s="146">
        <f t="shared" si="112"/>
        <v>267314</v>
      </c>
      <c r="K298" s="146">
        <f t="shared" si="113"/>
        <v>263350</v>
      </c>
      <c r="L298" s="147"/>
      <c r="M298" s="147"/>
      <c r="N298" s="147"/>
    </row>
    <row r="299" spans="1:14" s="148" customFormat="1" ht="15.75" outlineLevel="3" x14ac:dyDescent="0.2">
      <c r="A299" s="95" t="s">
        <v>430</v>
      </c>
      <c r="B299" s="42" t="s">
        <v>1093</v>
      </c>
      <c r="C299" s="42" t="s">
        <v>808</v>
      </c>
      <c r="D299" s="100" t="s">
        <v>292</v>
      </c>
      <c r="E299" s="149">
        <v>1</v>
      </c>
      <c r="F299" s="149">
        <f>(33441)*(1.023*1.005-2.3%*15%)*6.99+18599*4.09</f>
        <v>315588</v>
      </c>
      <c r="G299" s="145">
        <f t="shared" si="107"/>
        <v>1.139</v>
      </c>
      <c r="H299" s="146">
        <f t="shared" si="111"/>
        <v>359455</v>
      </c>
      <c r="I299" s="145">
        <f>Дефляторы!$D$25</f>
        <v>1.052</v>
      </c>
      <c r="J299" s="146">
        <f t="shared" si="112"/>
        <v>378147</v>
      </c>
      <c r="K299" s="146">
        <f t="shared" si="113"/>
        <v>372539</v>
      </c>
      <c r="L299" s="147"/>
      <c r="M299" s="147"/>
      <c r="N299" s="147"/>
    </row>
    <row r="300" spans="1:14" s="148" customFormat="1" ht="15.75" outlineLevel="3" x14ac:dyDescent="0.2">
      <c r="A300" s="95" t="s">
        <v>431</v>
      </c>
      <c r="B300" s="42" t="s">
        <v>1095</v>
      </c>
      <c r="C300" s="42" t="s">
        <v>1094</v>
      </c>
      <c r="D300" s="100" t="s">
        <v>292</v>
      </c>
      <c r="E300" s="149">
        <v>1</v>
      </c>
      <c r="F300" s="149">
        <f>(2301)*(1.023*1.005-2.3%*15%)*6.99+11587*4.09</f>
        <v>63872</v>
      </c>
      <c r="G300" s="145">
        <f t="shared" si="107"/>
        <v>1.139</v>
      </c>
      <c r="H300" s="146">
        <f t="shared" si="111"/>
        <v>72750</v>
      </c>
      <c r="I300" s="145">
        <f>Дефляторы!$D$25</f>
        <v>1.052</v>
      </c>
      <c r="J300" s="146">
        <f t="shared" si="112"/>
        <v>76533</v>
      </c>
      <c r="K300" s="146">
        <f t="shared" si="113"/>
        <v>75398</v>
      </c>
      <c r="L300" s="147"/>
      <c r="M300" s="147"/>
      <c r="N300" s="147"/>
    </row>
    <row r="301" spans="1:14" s="148" customFormat="1" ht="15.75" outlineLevel="3" x14ac:dyDescent="0.2">
      <c r="A301" s="95" t="s">
        <v>432</v>
      </c>
      <c r="B301" s="42" t="s">
        <v>1097</v>
      </c>
      <c r="C301" s="42" t="s">
        <v>1096</v>
      </c>
      <c r="D301" s="100" t="s">
        <v>292</v>
      </c>
      <c r="E301" s="149">
        <v>1</v>
      </c>
      <c r="F301" s="149">
        <f>(2107)*(1.023*1.005-2.3%*15%)*6.99+171497*4.09</f>
        <v>716514</v>
      </c>
      <c r="G301" s="145">
        <f t="shared" si="107"/>
        <v>1.139</v>
      </c>
      <c r="H301" s="146">
        <f t="shared" si="111"/>
        <v>816109</v>
      </c>
      <c r="I301" s="145">
        <f>Дефляторы!$D$25</f>
        <v>1.052</v>
      </c>
      <c r="J301" s="146">
        <f t="shared" si="112"/>
        <v>858547</v>
      </c>
      <c r="K301" s="146">
        <f t="shared" si="113"/>
        <v>845816</v>
      </c>
      <c r="L301" s="147"/>
      <c r="M301" s="147"/>
      <c r="N301" s="147"/>
    </row>
    <row r="302" spans="1:14" s="237" customFormat="1" ht="25.5" outlineLevel="2" x14ac:dyDescent="0.2">
      <c r="A302" s="238" t="s">
        <v>433</v>
      </c>
      <c r="B302" s="229" t="s">
        <v>168</v>
      </c>
      <c r="C302" s="229" t="s">
        <v>1846</v>
      </c>
      <c r="D302" s="239" t="s">
        <v>292</v>
      </c>
      <c r="E302" s="240">
        <v>1</v>
      </c>
      <c r="F302" s="240">
        <f>SUM(F303:F308)</f>
        <v>844038</v>
      </c>
      <c r="G302" s="241"/>
      <c r="H302" s="240">
        <f>SUM(H303:H308)</f>
        <v>961359</v>
      </c>
      <c r="I302" s="241">
        <f>Дефляторы!$D$25</f>
        <v>1.052</v>
      </c>
      <c r="J302" s="240">
        <f>SUM(J303:J308)</f>
        <v>1011349</v>
      </c>
      <c r="K302" s="240">
        <f>SUM(K303:K308)</f>
        <v>996352</v>
      </c>
      <c r="L302" s="256"/>
      <c r="M302" s="256"/>
      <c r="N302" s="256"/>
    </row>
    <row r="303" spans="1:14" s="148" customFormat="1" ht="15.75" outlineLevel="3" x14ac:dyDescent="0.2">
      <c r="A303" s="95"/>
      <c r="B303" s="42"/>
      <c r="C303" s="157" t="s">
        <v>1098</v>
      </c>
      <c r="D303" s="100"/>
      <c r="E303" s="145"/>
      <c r="F303" s="149"/>
      <c r="G303" s="145"/>
      <c r="H303" s="146"/>
      <c r="I303" s="145">
        <f>Дефляторы!$D$25</f>
        <v>1.052</v>
      </c>
      <c r="J303" s="146"/>
      <c r="K303" s="146"/>
      <c r="L303" s="147"/>
      <c r="M303" s="147"/>
      <c r="N303" s="147"/>
    </row>
    <row r="304" spans="1:14" s="148" customFormat="1" ht="25.5" outlineLevel="3" x14ac:dyDescent="0.2">
      <c r="A304" s="95" t="s">
        <v>434</v>
      </c>
      <c r="B304" s="42" t="s">
        <v>1099</v>
      </c>
      <c r="C304" s="42" t="s">
        <v>427</v>
      </c>
      <c r="D304" s="100" t="s">
        <v>408</v>
      </c>
      <c r="E304" s="149">
        <v>1</v>
      </c>
      <c r="F304" s="149">
        <f>(1724)*(1.023*1.005-2.3%*15%)*6.99+34340*4.09</f>
        <v>152799</v>
      </c>
      <c r="G304" s="145">
        <f t="shared" ref="G304:G309" si="114">$G$766</f>
        <v>1.139</v>
      </c>
      <c r="H304" s="146">
        <f t="shared" ref="H304:H308" si="115">F304*G304</f>
        <v>174038</v>
      </c>
      <c r="I304" s="145">
        <f>Дефляторы!$D$25</f>
        <v>1.052</v>
      </c>
      <c r="J304" s="146">
        <f t="shared" ref="J304:J308" si="116">H304*I304</f>
        <v>183088</v>
      </c>
      <c r="K304" s="146">
        <f t="shared" ref="K304:K308" si="117">H304+(J304-H304)*(1-30/100)</f>
        <v>180373</v>
      </c>
      <c r="L304" s="147"/>
      <c r="M304" s="147"/>
      <c r="N304" s="147"/>
    </row>
    <row r="305" spans="1:14" s="148" customFormat="1" ht="25.5" outlineLevel="3" x14ac:dyDescent="0.2">
      <c r="A305" s="95" t="s">
        <v>436</v>
      </c>
      <c r="B305" s="42" t="s">
        <v>1100</v>
      </c>
      <c r="C305" s="42" t="s">
        <v>429</v>
      </c>
      <c r="D305" s="100" t="s">
        <v>408</v>
      </c>
      <c r="E305" s="149">
        <v>1</v>
      </c>
      <c r="F305" s="149">
        <f>(309)*(1.023*1.005-2.3%*15%)*6.99+49534*4.09</f>
        <v>204807</v>
      </c>
      <c r="G305" s="145">
        <f t="shared" si="114"/>
        <v>1.139</v>
      </c>
      <c r="H305" s="146">
        <f t="shared" si="115"/>
        <v>233275</v>
      </c>
      <c r="I305" s="145">
        <f>Дефляторы!$D$25</f>
        <v>1.052</v>
      </c>
      <c r="J305" s="146">
        <f t="shared" si="116"/>
        <v>245405</v>
      </c>
      <c r="K305" s="146">
        <f t="shared" si="117"/>
        <v>241766</v>
      </c>
      <c r="L305" s="147"/>
      <c r="M305" s="147"/>
      <c r="N305" s="147"/>
    </row>
    <row r="306" spans="1:14" s="148" customFormat="1" ht="15.75" outlineLevel="3" x14ac:dyDescent="0.2">
      <c r="A306" s="95" t="s">
        <v>438</v>
      </c>
      <c r="B306" s="42" t="s">
        <v>1101</v>
      </c>
      <c r="C306" s="42" t="s">
        <v>379</v>
      </c>
      <c r="D306" s="100" t="s">
        <v>292</v>
      </c>
      <c r="E306" s="149">
        <v>1</v>
      </c>
      <c r="F306" s="149">
        <f>(41497)*(1.023*1.005-2.3%*15%)*6.99+0*4.09-24</f>
        <v>297194</v>
      </c>
      <c r="G306" s="145">
        <f t="shared" si="114"/>
        <v>1.139</v>
      </c>
      <c r="H306" s="146">
        <f t="shared" si="115"/>
        <v>338504</v>
      </c>
      <c r="I306" s="145">
        <f>Дефляторы!$D$25</f>
        <v>1.052</v>
      </c>
      <c r="J306" s="146">
        <f t="shared" si="116"/>
        <v>356106</v>
      </c>
      <c r="K306" s="146">
        <f t="shared" si="117"/>
        <v>350825</v>
      </c>
      <c r="L306" s="147"/>
      <c r="M306" s="147"/>
      <c r="N306" s="147"/>
    </row>
    <row r="307" spans="1:14" s="148" customFormat="1" ht="15.75" outlineLevel="3" x14ac:dyDescent="0.2">
      <c r="A307" s="95" t="s">
        <v>1946</v>
      </c>
      <c r="B307" s="42" t="s">
        <v>1103</v>
      </c>
      <c r="C307" s="42" t="s">
        <v>1102</v>
      </c>
      <c r="D307" s="100" t="s">
        <v>292</v>
      </c>
      <c r="E307" s="149">
        <v>1</v>
      </c>
      <c r="F307" s="149">
        <f>(26320)*(1.023*1.005-2.3%*15%)*6.99+0*4.09</f>
        <v>188515</v>
      </c>
      <c r="G307" s="145">
        <f t="shared" si="114"/>
        <v>1.139</v>
      </c>
      <c r="H307" s="146">
        <f t="shared" si="115"/>
        <v>214719</v>
      </c>
      <c r="I307" s="145">
        <f>Дефляторы!$D$25</f>
        <v>1.052</v>
      </c>
      <c r="J307" s="146">
        <f t="shared" si="116"/>
        <v>225884</v>
      </c>
      <c r="K307" s="146">
        <f t="shared" si="117"/>
        <v>222535</v>
      </c>
      <c r="L307" s="147"/>
      <c r="M307" s="147"/>
      <c r="N307" s="147"/>
    </row>
    <row r="308" spans="1:14" s="148" customFormat="1" ht="25.5" outlineLevel="3" x14ac:dyDescent="0.2">
      <c r="A308" s="95" t="s">
        <v>1947</v>
      </c>
      <c r="B308" s="42" t="s">
        <v>1104</v>
      </c>
      <c r="C308" s="42" t="s">
        <v>1105</v>
      </c>
      <c r="D308" s="100" t="s">
        <v>408</v>
      </c>
      <c r="E308" s="149">
        <v>5</v>
      </c>
      <c r="F308" s="149">
        <f>(101)*(1.023*1.005-2.3%*15%)*6.99+0*4.09</f>
        <v>723</v>
      </c>
      <c r="G308" s="145">
        <f t="shared" si="114"/>
        <v>1.139</v>
      </c>
      <c r="H308" s="146">
        <f t="shared" si="115"/>
        <v>823</v>
      </c>
      <c r="I308" s="145">
        <f>Дефляторы!$D$25</f>
        <v>1.052</v>
      </c>
      <c r="J308" s="146">
        <f t="shared" si="116"/>
        <v>866</v>
      </c>
      <c r="K308" s="146">
        <f t="shared" si="117"/>
        <v>853</v>
      </c>
      <c r="L308" s="147"/>
      <c r="M308" s="147"/>
      <c r="N308" s="147"/>
    </row>
    <row r="309" spans="1:14" s="237" customFormat="1" ht="15.75" outlineLevel="2" x14ac:dyDescent="0.2">
      <c r="A309" s="238" t="s">
        <v>440</v>
      </c>
      <c r="B309" s="229" t="s">
        <v>170</v>
      </c>
      <c r="C309" s="229" t="s">
        <v>1777</v>
      </c>
      <c r="D309" s="239" t="s">
        <v>292</v>
      </c>
      <c r="E309" s="240">
        <v>1</v>
      </c>
      <c r="F309" s="240">
        <f>SUM(F310:F358)</f>
        <v>28157646</v>
      </c>
      <c r="G309" s="241">
        <f t="shared" si="114"/>
        <v>1.139</v>
      </c>
      <c r="H309" s="240">
        <f>SUM(H310:H358)</f>
        <v>32071562</v>
      </c>
      <c r="I309" s="241">
        <f>Дефляторы!$D$25</f>
        <v>1.052</v>
      </c>
      <c r="J309" s="240">
        <f>SUM(J310:J358)</f>
        <v>33739285</v>
      </c>
      <c r="K309" s="240">
        <f>SUM(K310:K358)</f>
        <v>33238974</v>
      </c>
      <c r="L309" s="256"/>
      <c r="M309" s="256"/>
      <c r="N309" s="256"/>
    </row>
    <row r="310" spans="1:14" s="148" customFormat="1" ht="15.75" outlineLevel="3" x14ac:dyDescent="0.2">
      <c r="A310" s="95"/>
      <c r="B310" s="42"/>
      <c r="C310" s="42" t="s">
        <v>379</v>
      </c>
      <c r="D310" s="100"/>
      <c r="E310" s="145"/>
      <c r="F310" s="149"/>
      <c r="G310" s="145"/>
      <c r="H310" s="146"/>
      <c r="I310" s="145">
        <f>Дефляторы!$D$25</f>
        <v>1.052</v>
      </c>
      <c r="J310" s="146"/>
      <c r="K310" s="146"/>
      <c r="L310" s="147"/>
      <c r="M310" s="147"/>
      <c r="N310" s="147"/>
    </row>
    <row r="311" spans="1:14" s="148" customFormat="1" ht="15.75" outlineLevel="3" x14ac:dyDescent="0.2">
      <c r="A311" s="95"/>
      <c r="B311" s="42"/>
      <c r="C311" s="157" t="s">
        <v>1098</v>
      </c>
      <c r="D311" s="100"/>
      <c r="E311" s="145"/>
      <c r="F311" s="149"/>
      <c r="G311" s="145"/>
      <c r="H311" s="146"/>
      <c r="I311" s="145">
        <f>Дефляторы!$D$25</f>
        <v>1.052</v>
      </c>
      <c r="J311" s="146"/>
      <c r="K311" s="146"/>
      <c r="L311" s="147"/>
      <c r="M311" s="147"/>
      <c r="N311" s="147"/>
    </row>
    <row r="312" spans="1:14" s="148" customFormat="1" ht="15.75" outlineLevel="3" x14ac:dyDescent="0.2">
      <c r="A312" s="95" t="s">
        <v>441</v>
      </c>
      <c r="B312" s="42" t="s">
        <v>1154</v>
      </c>
      <c r="C312" s="42" t="s">
        <v>1106</v>
      </c>
      <c r="D312" s="100" t="s">
        <v>408</v>
      </c>
      <c r="E312" s="149">
        <v>1</v>
      </c>
      <c r="F312" s="149">
        <f>(2212)*(1.023*1.005-2.3%*15%)*6.99+1119896*4.09</f>
        <v>4596218</v>
      </c>
      <c r="G312" s="145">
        <f t="shared" ref="G312:G325" si="118">$G$766</f>
        <v>1.139</v>
      </c>
      <c r="H312" s="146">
        <f t="shared" ref="H312:H325" si="119">F312*G312</f>
        <v>5235092</v>
      </c>
      <c r="I312" s="145">
        <f>Дефляторы!$D$25</f>
        <v>1.052</v>
      </c>
      <c r="J312" s="146">
        <f t="shared" ref="J312:J325" si="120">H312*I312</f>
        <v>5507317</v>
      </c>
      <c r="K312" s="146">
        <f t="shared" ref="K312:K325" si="121">H312+(J312-H312)*(1-30/100)</f>
        <v>5425650</v>
      </c>
      <c r="L312" s="147" t="s">
        <v>1197</v>
      </c>
      <c r="M312" s="147"/>
      <c r="N312" s="147"/>
    </row>
    <row r="313" spans="1:14" s="148" customFormat="1" ht="15.75" outlineLevel="3" x14ac:dyDescent="0.2">
      <c r="A313" s="95" t="s">
        <v>442</v>
      </c>
      <c r="B313" s="42" t="s">
        <v>1155</v>
      </c>
      <c r="C313" s="42" t="s">
        <v>1107</v>
      </c>
      <c r="D313" s="100" t="s">
        <v>408</v>
      </c>
      <c r="E313" s="149">
        <v>1</v>
      </c>
      <c r="F313" s="149">
        <f t="shared" ref="F313:F321" si="122">(145)*(1.023*1.005-2.3%*15%)*6.99+10194*4.09</f>
        <v>42732</v>
      </c>
      <c r="G313" s="145">
        <f t="shared" si="118"/>
        <v>1.139</v>
      </c>
      <c r="H313" s="146">
        <f t="shared" si="119"/>
        <v>48672</v>
      </c>
      <c r="I313" s="145">
        <f>Дефляторы!$D$25</f>
        <v>1.052</v>
      </c>
      <c r="J313" s="146">
        <f t="shared" si="120"/>
        <v>51203</v>
      </c>
      <c r="K313" s="146">
        <f t="shared" si="121"/>
        <v>50444</v>
      </c>
      <c r="L313" s="147"/>
      <c r="M313" s="147"/>
      <c r="N313" s="147"/>
    </row>
    <row r="314" spans="1:14" s="148" customFormat="1" ht="15.75" outlineLevel="3" x14ac:dyDescent="0.2">
      <c r="A314" s="95" t="s">
        <v>443</v>
      </c>
      <c r="B314" s="42" t="s">
        <v>1156</v>
      </c>
      <c r="C314" s="42" t="s">
        <v>1108</v>
      </c>
      <c r="D314" s="100" t="s">
        <v>408</v>
      </c>
      <c r="E314" s="149">
        <v>1</v>
      </c>
      <c r="F314" s="149">
        <f t="shared" si="122"/>
        <v>42732</v>
      </c>
      <c r="G314" s="145">
        <f t="shared" si="118"/>
        <v>1.139</v>
      </c>
      <c r="H314" s="146">
        <f t="shared" si="119"/>
        <v>48672</v>
      </c>
      <c r="I314" s="145">
        <f>Дефляторы!$D$25</f>
        <v>1.052</v>
      </c>
      <c r="J314" s="146">
        <f t="shared" si="120"/>
        <v>51203</v>
      </c>
      <c r="K314" s="146">
        <f t="shared" si="121"/>
        <v>50444</v>
      </c>
      <c r="L314" s="147"/>
      <c r="M314" s="147"/>
      <c r="N314" s="147"/>
    </row>
    <row r="315" spans="1:14" s="148" customFormat="1" ht="15.75" outlineLevel="3" x14ac:dyDescent="0.2">
      <c r="A315" s="95" t="s">
        <v>1948</v>
      </c>
      <c r="B315" s="42" t="s">
        <v>1157</v>
      </c>
      <c r="C315" s="42" t="s">
        <v>1109</v>
      </c>
      <c r="D315" s="100" t="s">
        <v>408</v>
      </c>
      <c r="E315" s="149">
        <v>1</v>
      </c>
      <c r="F315" s="149">
        <f t="shared" si="122"/>
        <v>42732</v>
      </c>
      <c r="G315" s="145">
        <f t="shared" si="118"/>
        <v>1.139</v>
      </c>
      <c r="H315" s="146">
        <f t="shared" si="119"/>
        <v>48672</v>
      </c>
      <c r="I315" s="145">
        <f>Дефляторы!$D$25</f>
        <v>1.052</v>
      </c>
      <c r="J315" s="146">
        <f t="shared" si="120"/>
        <v>51203</v>
      </c>
      <c r="K315" s="146">
        <f t="shared" si="121"/>
        <v>50444</v>
      </c>
      <c r="L315" s="147"/>
      <c r="M315" s="147"/>
      <c r="N315" s="147"/>
    </row>
    <row r="316" spans="1:14" s="148" customFormat="1" ht="15.75" outlineLevel="3" x14ac:dyDescent="0.2">
      <c r="A316" s="95" t="s">
        <v>1949</v>
      </c>
      <c r="B316" s="42" t="s">
        <v>1158</v>
      </c>
      <c r="C316" s="42" t="s">
        <v>1110</v>
      </c>
      <c r="D316" s="100" t="s">
        <v>408</v>
      </c>
      <c r="E316" s="149">
        <v>1</v>
      </c>
      <c r="F316" s="149">
        <f t="shared" si="122"/>
        <v>42732</v>
      </c>
      <c r="G316" s="145">
        <f t="shared" si="118"/>
        <v>1.139</v>
      </c>
      <c r="H316" s="146">
        <f t="shared" si="119"/>
        <v>48672</v>
      </c>
      <c r="I316" s="145">
        <f>Дефляторы!$D$25</f>
        <v>1.052</v>
      </c>
      <c r="J316" s="146">
        <f t="shared" si="120"/>
        <v>51203</v>
      </c>
      <c r="K316" s="146">
        <f t="shared" si="121"/>
        <v>50444</v>
      </c>
      <c r="L316" s="147"/>
      <c r="M316" s="147"/>
      <c r="N316" s="147"/>
    </row>
    <row r="317" spans="1:14" s="148" customFormat="1" ht="15.75" outlineLevel="3" x14ac:dyDescent="0.2">
      <c r="A317" s="95" t="s">
        <v>1950</v>
      </c>
      <c r="B317" s="42" t="s">
        <v>1159</v>
      </c>
      <c r="C317" s="42" t="s">
        <v>1111</v>
      </c>
      <c r="D317" s="100" t="s">
        <v>408</v>
      </c>
      <c r="E317" s="149">
        <v>1</v>
      </c>
      <c r="F317" s="149">
        <f t="shared" si="122"/>
        <v>42732</v>
      </c>
      <c r="G317" s="145">
        <f t="shared" si="118"/>
        <v>1.139</v>
      </c>
      <c r="H317" s="146">
        <f t="shared" si="119"/>
        <v>48672</v>
      </c>
      <c r="I317" s="145">
        <f>Дефляторы!$D$25</f>
        <v>1.052</v>
      </c>
      <c r="J317" s="146">
        <f t="shared" si="120"/>
        <v>51203</v>
      </c>
      <c r="K317" s="146">
        <f t="shared" si="121"/>
        <v>50444</v>
      </c>
      <c r="L317" s="147"/>
      <c r="M317" s="147"/>
      <c r="N317" s="147"/>
    </row>
    <row r="318" spans="1:14" s="148" customFormat="1" ht="15.75" outlineLevel="3" x14ac:dyDescent="0.2">
      <c r="A318" s="95" t="s">
        <v>1951</v>
      </c>
      <c r="B318" s="42" t="s">
        <v>1160</v>
      </c>
      <c r="C318" s="42" t="s">
        <v>1112</v>
      </c>
      <c r="D318" s="100" t="s">
        <v>408</v>
      </c>
      <c r="E318" s="149">
        <v>1</v>
      </c>
      <c r="F318" s="149">
        <f t="shared" si="122"/>
        <v>42732</v>
      </c>
      <c r="G318" s="145">
        <f t="shared" si="118"/>
        <v>1.139</v>
      </c>
      <c r="H318" s="146">
        <f t="shared" si="119"/>
        <v>48672</v>
      </c>
      <c r="I318" s="145">
        <f>Дефляторы!$D$25</f>
        <v>1.052</v>
      </c>
      <c r="J318" s="146">
        <f t="shared" si="120"/>
        <v>51203</v>
      </c>
      <c r="K318" s="146">
        <f t="shared" si="121"/>
        <v>50444</v>
      </c>
      <c r="L318" s="147"/>
      <c r="M318" s="147"/>
      <c r="N318" s="147"/>
    </row>
    <row r="319" spans="1:14" s="148" customFormat="1" ht="15.75" outlineLevel="3" x14ac:dyDescent="0.2">
      <c r="A319" s="95" t="s">
        <v>1952</v>
      </c>
      <c r="B319" s="42" t="s">
        <v>1161</v>
      </c>
      <c r="C319" s="42" t="s">
        <v>1113</v>
      </c>
      <c r="D319" s="100" t="s">
        <v>408</v>
      </c>
      <c r="E319" s="149">
        <v>1</v>
      </c>
      <c r="F319" s="149">
        <f t="shared" si="122"/>
        <v>42732</v>
      </c>
      <c r="G319" s="145">
        <f t="shared" si="118"/>
        <v>1.139</v>
      </c>
      <c r="H319" s="146">
        <f t="shared" si="119"/>
        <v>48672</v>
      </c>
      <c r="I319" s="145">
        <f>Дефляторы!$D$25</f>
        <v>1.052</v>
      </c>
      <c r="J319" s="146">
        <f t="shared" si="120"/>
        <v>51203</v>
      </c>
      <c r="K319" s="146">
        <f t="shared" si="121"/>
        <v>50444</v>
      </c>
      <c r="L319" s="147"/>
      <c r="M319" s="147"/>
      <c r="N319" s="147"/>
    </row>
    <row r="320" spans="1:14" s="148" customFormat="1" ht="15.75" outlineLevel="3" x14ac:dyDescent="0.2">
      <c r="A320" s="95" t="s">
        <v>1953</v>
      </c>
      <c r="B320" s="42" t="s">
        <v>1162</v>
      </c>
      <c r="C320" s="42" t="s">
        <v>1114</v>
      </c>
      <c r="D320" s="100" t="s">
        <v>408</v>
      </c>
      <c r="E320" s="149">
        <v>1</v>
      </c>
      <c r="F320" s="149">
        <f t="shared" si="122"/>
        <v>42732</v>
      </c>
      <c r="G320" s="145">
        <f t="shared" si="118"/>
        <v>1.139</v>
      </c>
      <c r="H320" s="146">
        <f t="shared" si="119"/>
        <v>48672</v>
      </c>
      <c r="I320" s="145">
        <f>Дефляторы!$D$25</f>
        <v>1.052</v>
      </c>
      <c r="J320" s="146">
        <f t="shared" si="120"/>
        <v>51203</v>
      </c>
      <c r="K320" s="146">
        <f t="shared" si="121"/>
        <v>50444</v>
      </c>
      <c r="L320" s="147"/>
      <c r="M320" s="147"/>
      <c r="N320" s="147"/>
    </row>
    <row r="321" spans="1:14" s="148" customFormat="1" ht="15.75" outlineLevel="3" x14ac:dyDescent="0.2">
      <c r="A321" s="95" t="s">
        <v>1954</v>
      </c>
      <c r="B321" s="42" t="s">
        <v>1163</v>
      </c>
      <c r="C321" s="42" t="s">
        <v>1115</v>
      </c>
      <c r="D321" s="100" t="s">
        <v>408</v>
      </c>
      <c r="E321" s="149">
        <v>1</v>
      </c>
      <c r="F321" s="149">
        <f t="shared" si="122"/>
        <v>42732</v>
      </c>
      <c r="G321" s="145">
        <f t="shared" si="118"/>
        <v>1.139</v>
      </c>
      <c r="H321" s="146">
        <f t="shared" si="119"/>
        <v>48672</v>
      </c>
      <c r="I321" s="145">
        <f>Дефляторы!$D$25</f>
        <v>1.052</v>
      </c>
      <c r="J321" s="146">
        <f t="shared" si="120"/>
        <v>51203</v>
      </c>
      <c r="K321" s="146">
        <f t="shared" si="121"/>
        <v>50444</v>
      </c>
      <c r="L321" s="147"/>
      <c r="M321" s="147"/>
      <c r="N321" s="147"/>
    </row>
    <row r="322" spans="1:14" s="148" customFormat="1" ht="15.75" outlineLevel="3" x14ac:dyDescent="0.2">
      <c r="A322" s="95" t="s">
        <v>1955</v>
      </c>
      <c r="B322" s="42" t="s">
        <v>1164</v>
      </c>
      <c r="C322" s="42" t="s">
        <v>1116</v>
      </c>
      <c r="D322" s="100" t="s">
        <v>408</v>
      </c>
      <c r="E322" s="149">
        <v>1</v>
      </c>
      <c r="F322" s="149">
        <f>(145)*(1.023*1.005-2.3%*15%)*6.99+148772*4.09</f>
        <v>609516</v>
      </c>
      <c r="G322" s="145">
        <f t="shared" si="118"/>
        <v>1.139</v>
      </c>
      <c r="H322" s="146">
        <f t="shared" si="119"/>
        <v>694239</v>
      </c>
      <c r="I322" s="145">
        <f>Дефляторы!$D$25</f>
        <v>1.052</v>
      </c>
      <c r="J322" s="146">
        <f t="shared" si="120"/>
        <v>730339</v>
      </c>
      <c r="K322" s="146">
        <f t="shared" si="121"/>
        <v>719509</v>
      </c>
      <c r="L322" s="147" t="s">
        <v>1199</v>
      </c>
      <c r="M322" s="147"/>
      <c r="N322" s="147"/>
    </row>
    <row r="323" spans="1:14" s="148" customFormat="1" ht="15.75" outlineLevel="3" x14ac:dyDescent="0.2">
      <c r="A323" s="95" t="s">
        <v>1956</v>
      </c>
      <c r="B323" s="42" t="s">
        <v>1165</v>
      </c>
      <c r="C323" s="42" t="s">
        <v>1117</v>
      </c>
      <c r="D323" s="100" t="s">
        <v>408</v>
      </c>
      <c r="E323" s="149">
        <v>1</v>
      </c>
      <c r="F323" s="149">
        <f>(145)*(1.023*1.005-2.3%*15%)*6.99+10194*4.09</f>
        <v>42732</v>
      </c>
      <c r="G323" s="145">
        <f t="shared" si="118"/>
        <v>1.139</v>
      </c>
      <c r="H323" s="146">
        <f t="shared" si="119"/>
        <v>48672</v>
      </c>
      <c r="I323" s="145">
        <f>Дефляторы!$D$25</f>
        <v>1.052</v>
      </c>
      <c r="J323" s="146">
        <f t="shared" si="120"/>
        <v>51203</v>
      </c>
      <c r="K323" s="146">
        <f t="shared" si="121"/>
        <v>50444</v>
      </c>
      <c r="L323" s="147"/>
      <c r="M323" s="147"/>
      <c r="N323" s="147"/>
    </row>
    <row r="324" spans="1:14" s="148" customFormat="1" ht="15.75" outlineLevel="3" x14ac:dyDescent="0.2">
      <c r="A324" s="95" t="s">
        <v>1957</v>
      </c>
      <c r="B324" s="42" t="s">
        <v>1166</v>
      </c>
      <c r="C324" s="42" t="s">
        <v>1118</v>
      </c>
      <c r="D324" s="100" t="s">
        <v>408</v>
      </c>
      <c r="E324" s="149">
        <v>1</v>
      </c>
      <c r="F324" s="149">
        <f>(145)*(1.023*1.005-2.3%*15%)*6.99+15716*4.09</f>
        <v>65317</v>
      </c>
      <c r="G324" s="145">
        <f t="shared" si="118"/>
        <v>1.139</v>
      </c>
      <c r="H324" s="146">
        <f t="shared" si="119"/>
        <v>74396</v>
      </c>
      <c r="I324" s="145">
        <f>Дефляторы!$D$25</f>
        <v>1.052</v>
      </c>
      <c r="J324" s="146">
        <f t="shared" si="120"/>
        <v>78265</v>
      </c>
      <c r="K324" s="146">
        <f t="shared" si="121"/>
        <v>77104</v>
      </c>
      <c r="L324" s="147"/>
      <c r="M324" s="147"/>
      <c r="N324" s="147"/>
    </row>
    <row r="325" spans="1:14" s="148" customFormat="1" ht="15.75" outlineLevel="3" x14ac:dyDescent="0.2">
      <c r="A325" s="95" t="s">
        <v>1958</v>
      </c>
      <c r="B325" s="42" t="s">
        <v>1167</v>
      </c>
      <c r="C325" s="42" t="s">
        <v>1119</v>
      </c>
      <c r="D325" s="100" t="s">
        <v>408</v>
      </c>
      <c r="E325" s="149">
        <v>1</v>
      </c>
      <c r="F325" s="149">
        <f>(145)*(1.023*1.005-2.3%*15%)*6.99+15716*4.09</f>
        <v>65317</v>
      </c>
      <c r="G325" s="145">
        <f t="shared" si="118"/>
        <v>1.139</v>
      </c>
      <c r="H325" s="146">
        <f t="shared" si="119"/>
        <v>74396</v>
      </c>
      <c r="I325" s="145">
        <f>Дефляторы!$D$25</f>
        <v>1.052</v>
      </c>
      <c r="J325" s="146">
        <f t="shared" si="120"/>
        <v>78265</v>
      </c>
      <c r="K325" s="146">
        <f t="shared" si="121"/>
        <v>77104</v>
      </c>
      <c r="L325" s="147"/>
      <c r="M325" s="147"/>
      <c r="N325" s="147"/>
    </row>
    <row r="326" spans="1:14" s="148" customFormat="1" ht="15.75" outlineLevel="3" x14ac:dyDescent="0.2">
      <c r="A326" s="95"/>
      <c r="B326" s="42"/>
      <c r="C326" s="157" t="s">
        <v>1120</v>
      </c>
      <c r="D326" s="100"/>
      <c r="E326" s="145"/>
      <c r="F326" s="149"/>
      <c r="G326" s="145"/>
      <c r="H326" s="146"/>
      <c r="I326" s="145">
        <f>Дефляторы!$D$25</f>
        <v>1.052</v>
      </c>
      <c r="J326" s="146"/>
      <c r="K326" s="146"/>
      <c r="L326" s="147"/>
      <c r="M326" s="147"/>
      <c r="N326" s="147"/>
    </row>
    <row r="327" spans="1:14" s="148" customFormat="1" ht="15.75" outlineLevel="3" x14ac:dyDescent="0.2">
      <c r="A327" s="95" t="s">
        <v>1959</v>
      </c>
      <c r="B327" s="42" t="s">
        <v>1168</v>
      </c>
      <c r="C327" s="42" t="s">
        <v>1122</v>
      </c>
      <c r="D327" s="100" t="s">
        <v>408</v>
      </c>
      <c r="E327" s="149">
        <v>363</v>
      </c>
      <c r="F327" s="149">
        <f>(8399)*(1.023*1.005-2.3%*15%)*6.99+0*4.09</f>
        <v>60157</v>
      </c>
      <c r="G327" s="145">
        <f t="shared" ref="G327:G333" si="123">$G$766</f>
        <v>1.139</v>
      </c>
      <c r="H327" s="146">
        <f t="shared" ref="H327:H333" si="124">F327*G327</f>
        <v>68519</v>
      </c>
      <c r="I327" s="145">
        <f>Дефляторы!$D$25</f>
        <v>1.052</v>
      </c>
      <c r="J327" s="146">
        <f t="shared" ref="J327:J333" si="125">H327*I327</f>
        <v>72082</v>
      </c>
      <c r="K327" s="146">
        <f t="shared" ref="K327:K333" si="126">H327+(J327-H327)*(1-30/100)</f>
        <v>71013</v>
      </c>
      <c r="L327" s="147"/>
      <c r="M327" s="147"/>
      <c r="N327" s="147"/>
    </row>
    <row r="328" spans="1:14" s="148" customFormat="1" ht="15.75" outlineLevel="3" x14ac:dyDescent="0.2">
      <c r="A328" s="95" t="s">
        <v>1960</v>
      </c>
      <c r="B328" s="42" t="s">
        <v>1169</v>
      </c>
      <c r="C328" s="42" t="s">
        <v>1121</v>
      </c>
      <c r="D328" s="100" t="s">
        <v>408</v>
      </c>
      <c r="E328" s="149">
        <v>87</v>
      </c>
      <c r="F328" s="149">
        <f>(4648)*(1.023*1.005-2.3%*15%)*6.99+0*4.09</f>
        <v>33291</v>
      </c>
      <c r="G328" s="145">
        <f t="shared" si="123"/>
        <v>1.139</v>
      </c>
      <c r="H328" s="146">
        <f t="shared" si="124"/>
        <v>37918</v>
      </c>
      <c r="I328" s="145">
        <f>Дефляторы!$D$25</f>
        <v>1.052</v>
      </c>
      <c r="J328" s="146">
        <f t="shared" si="125"/>
        <v>39890</v>
      </c>
      <c r="K328" s="146">
        <f t="shared" si="126"/>
        <v>39298</v>
      </c>
      <c r="L328" s="147"/>
      <c r="M328" s="147"/>
      <c r="N328" s="147"/>
    </row>
    <row r="329" spans="1:14" s="148" customFormat="1" ht="15.75" outlineLevel="3" x14ac:dyDescent="0.2">
      <c r="A329" s="95" t="s">
        <v>1961</v>
      </c>
      <c r="B329" s="42" t="s">
        <v>1170</v>
      </c>
      <c r="C329" s="42" t="s">
        <v>1123</v>
      </c>
      <c r="D329" s="100" t="s">
        <v>408</v>
      </c>
      <c r="E329" s="149">
        <v>611</v>
      </c>
      <c r="F329" s="149">
        <f>(16661)*(1.023*1.005-2.3%*15%)*6.99+0*4.09</f>
        <v>119333</v>
      </c>
      <c r="G329" s="145">
        <f t="shared" si="123"/>
        <v>1.139</v>
      </c>
      <c r="H329" s="146">
        <f t="shared" si="124"/>
        <v>135920</v>
      </c>
      <c r="I329" s="145">
        <f>Дефляторы!$D$25</f>
        <v>1.052</v>
      </c>
      <c r="J329" s="146">
        <f t="shared" si="125"/>
        <v>142988</v>
      </c>
      <c r="K329" s="146">
        <f t="shared" si="126"/>
        <v>140868</v>
      </c>
      <c r="L329" s="147"/>
      <c r="M329" s="147"/>
      <c r="N329" s="147"/>
    </row>
    <row r="330" spans="1:14" s="148" customFormat="1" ht="15.75" outlineLevel="3" x14ac:dyDescent="0.2">
      <c r="A330" s="95" t="s">
        <v>1962</v>
      </c>
      <c r="B330" s="42" t="s">
        <v>1171</v>
      </c>
      <c r="C330" s="42" t="s">
        <v>1124</v>
      </c>
      <c r="D330" s="100" t="s">
        <v>408</v>
      </c>
      <c r="E330" s="149">
        <v>9</v>
      </c>
      <c r="F330" s="149">
        <f>(201)*(1.023*1.005-2.3%*15%)*6.99+0*4.09</f>
        <v>1440</v>
      </c>
      <c r="G330" s="145">
        <f t="shared" si="123"/>
        <v>1.139</v>
      </c>
      <c r="H330" s="146">
        <f t="shared" si="124"/>
        <v>1640</v>
      </c>
      <c r="I330" s="145">
        <f>Дефляторы!$D$25</f>
        <v>1.052</v>
      </c>
      <c r="J330" s="146">
        <f t="shared" si="125"/>
        <v>1725</v>
      </c>
      <c r="K330" s="146">
        <f t="shared" si="126"/>
        <v>1700</v>
      </c>
      <c r="L330" s="147"/>
      <c r="M330" s="147"/>
      <c r="N330" s="147"/>
    </row>
    <row r="331" spans="1:14" s="148" customFormat="1" ht="15.75" outlineLevel="3" x14ac:dyDescent="0.2">
      <c r="A331" s="95" t="s">
        <v>1963</v>
      </c>
      <c r="B331" s="42" t="s">
        <v>1172</v>
      </c>
      <c r="C331" s="42" t="s">
        <v>1125</v>
      </c>
      <c r="D331" s="100" t="s">
        <v>408</v>
      </c>
      <c r="E331" s="149">
        <v>38</v>
      </c>
      <c r="F331" s="149">
        <f>(2795)*(1.023*1.005-2.3%*15%)*6.99+0*4.09</f>
        <v>20019</v>
      </c>
      <c r="G331" s="145">
        <f t="shared" si="123"/>
        <v>1.139</v>
      </c>
      <c r="H331" s="146">
        <f t="shared" si="124"/>
        <v>22802</v>
      </c>
      <c r="I331" s="145">
        <f>Дефляторы!$D$25</f>
        <v>1.052</v>
      </c>
      <c r="J331" s="146">
        <f t="shared" si="125"/>
        <v>23988</v>
      </c>
      <c r="K331" s="146">
        <f t="shared" si="126"/>
        <v>23632</v>
      </c>
      <c r="L331" s="147"/>
      <c r="M331" s="147"/>
      <c r="N331" s="147"/>
    </row>
    <row r="332" spans="1:14" s="148" customFormat="1" ht="15.75" outlineLevel="3" x14ac:dyDescent="0.2">
      <c r="A332" s="95" t="s">
        <v>1964</v>
      </c>
      <c r="B332" s="42" t="s">
        <v>1173</v>
      </c>
      <c r="C332" s="42" t="s">
        <v>1126</v>
      </c>
      <c r="D332" s="100" t="s">
        <v>408</v>
      </c>
      <c r="E332" s="149">
        <v>40</v>
      </c>
      <c r="F332" s="149">
        <f>(892)*(1.023*1.005-2.3%*15%)*6.99+0*4.09</f>
        <v>6389</v>
      </c>
      <c r="G332" s="145">
        <f t="shared" si="123"/>
        <v>1.139</v>
      </c>
      <c r="H332" s="146">
        <f t="shared" si="124"/>
        <v>7277</v>
      </c>
      <c r="I332" s="145">
        <f>Дефляторы!$D$25</f>
        <v>1.052</v>
      </c>
      <c r="J332" s="146">
        <f t="shared" si="125"/>
        <v>7655</v>
      </c>
      <c r="K332" s="146">
        <f t="shared" si="126"/>
        <v>7542</v>
      </c>
      <c r="L332" s="147"/>
      <c r="M332" s="147"/>
      <c r="N332" s="147"/>
    </row>
    <row r="333" spans="1:14" s="148" customFormat="1" ht="15.75" outlineLevel="3" x14ac:dyDescent="0.2">
      <c r="A333" s="95" t="s">
        <v>1965</v>
      </c>
      <c r="B333" s="42" t="s">
        <v>1174</v>
      </c>
      <c r="C333" s="42" t="s">
        <v>1127</v>
      </c>
      <c r="D333" s="100" t="s">
        <v>408</v>
      </c>
      <c r="E333" s="149">
        <v>10</v>
      </c>
      <c r="F333" s="149">
        <f>(534)*(1.023*1.005-2.3%*15%)*6.99+0*4.09</f>
        <v>3825</v>
      </c>
      <c r="G333" s="145">
        <f t="shared" si="123"/>
        <v>1.139</v>
      </c>
      <c r="H333" s="146">
        <f t="shared" si="124"/>
        <v>4357</v>
      </c>
      <c r="I333" s="145">
        <f>Дефляторы!$D$25</f>
        <v>1.052</v>
      </c>
      <c r="J333" s="146">
        <f t="shared" si="125"/>
        <v>4584</v>
      </c>
      <c r="K333" s="146">
        <f t="shared" si="126"/>
        <v>4516</v>
      </c>
      <c r="L333" s="147"/>
      <c r="M333" s="147"/>
      <c r="N333" s="147"/>
    </row>
    <row r="334" spans="1:14" s="148" customFormat="1" ht="15.75" outlineLevel="3" x14ac:dyDescent="0.2">
      <c r="A334" s="95"/>
      <c r="B334" s="42"/>
      <c r="C334" s="157" t="s">
        <v>1128</v>
      </c>
      <c r="D334" s="100"/>
      <c r="E334" s="149"/>
      <c r="F334" s="149"/>
      <c r="G334" s="145"/>
      <c r="H334" s="146"/>
      <c r="I334" s="145">
        <f>Дефляторы!$D$25</f>
        <v>1.052</v>
      </c>
      <c r="J334" s="146"/>
      <c r="K334" s="146"/>
      <c r="L334" s="147"/>
      <c r="M334" s="147"/>
      <c r="N334" s="147"/>
    </row>
    <row r="335" spans="1:14" s="148" customFormat="1" ht="204" outlineLevel="3" x14ac:dyDescent="0.2">
      <c r="A335" s="95" t="s">
        <v>1966</v>
      </c>
      <c r="B335" s="42" t="s">
        <v>1175</v>
      </c>
      <c r="C335" s="42" t="s">
        <v>1129</v>
      </c>
      <c r="D335" s="100" t="s">
        <v>408</v>
      </c>
      <c r="E335" s="149">
        <v>1</v>
      </c>
      <c r="F335" s="149">
        <f>(521)*(1.023*1.005-2.3%*15%)*6.99+3409444*4.09-32</f>
        <v>13948326</v>
      </c>
      <c r="G335" s="145">
        <f>$G$766</f>
        <v>1.139</v>
      </c>
      <c r="H335" s="146">
        <f t="shared" ref="H335:H336" si="127">F335*G335</f>
        <v>15887143</v>
      </c>
      <c r="I335" s="145">
        <f>Дефляторы!$D$25</f>
        <v>1.052</v>
      </c>
      <c r="J335" s="146">
        <f t="shared" ref="J335:J336" si="128">H335*I335</f>
        <v>16713274</v>
      </c>
      <c r="K335" s="146">
        <f t="shared" ref="K335:K336" si="129">H335+(J335-H335)*(1-30/100)</f>
        <v>16465435</v>
      </c>
      <c r="L335" s="172" t="s">
        <v>1198</v>
      </c>
      <c r="M335" s="147"/>
      <c r="N335" s="147"/>
    </row>
    <row r="336" spans="1:14" s="148" customFormat="1" ht="127.5" outlineLevel="3" x14ac:dyDescent="0.2">
      <c r="A336" s="95" t="s">
        <v>1967</v>
      </c>
      <c r="B336" s="42" t="s">
        <v>1176</v>
      </c>
      <c r="C336" s="42" t="s">
        <v>1130</v>
      </c>
      <c r="D336" s="100" t="s">
        <v>408</v>
      </c>
      <c r="E336" s="149">
        <v>1</v>
      </c>
      <c r="F336" s="149">
        <f>(521)*(1.023*1.005-2.3%*15%)*6.99+274384*4.09</f>
        <v>1125962</v>
      </c>
      <c r="G336" s="145">
        <f>$G$766</f>
        <v>1.139</v>
      </c>
      <c r="H336" s="146">
        <f t="shared" si="127"/>
        <v>1282471</v>
      </c>
      <c r="I336" s="145">
        <f>Дефляторы!$D$25</f>
        <v>1.052</v>
      </c>
      <c r="J336" s="146">
        <f t="shared" si="128"/>
        <v>1349159</v>
      </c>
      <c r="K336" s="146">
        <f t="shared" si="129"/>
        <v>1329153</v>
      </c>
      <c r="L336" s="147"/>
      <c r="M336" s="147"/>
      <c r="N336" s="147"/>
    </row>
    <row r="337" spans="1:14" s="148" customFormat="1" ht="15.75" outlineLevel="3" x14ac:dyDescent="0.2">
      <c r="A337" s="95"/>
      <c r="B337" s="42"/>
      <c r="C337" s="157" t="s">
        <v>1131</v>
      </c>
      <c r="D337" s="100"/>
      <c r="E337" s="149"/>
      <c r="F337" s="149"/>
      <c r="G337" s="145"/>
      <c r="H337" s="146"/>
      <c r="I337" s="145">
        <f>Дефляторы!$D$25</f>
        <v>1.052</v>
      </c>
      <c r="J337" s="146"/>
      <c r="K337" s="146"/>
      <c r="L337" s="147"/>
      <c r="M337" s="147"/>
      <c r="N337" s="147"/>
    </row>
    <row r="338" spans="1:14" s="148" customFormat="1" ht="25.5" outlineLevel="3" x14ac:dyDescent="0.2">
      <c r="A338" s="95" t="s">
        <v>1968</v>
      </c>
      <c r="B338" s="42" t="s">
        <v>1177</v>
      </c>
      <c r="C338" s="42" t="s">
        <v>1132</v>
      </c>
      <c r="D338" s="100" t="s">
        <v>408</v>
      </c>
      <c r="E338" s="149">
        <v>176</v>
      </c>
      <c r="F338" s="149">
        <f>(214096)*(1.023*1.005-2.3%*15%)*6.99+0*4.09</f>
        <v>1533443</v>
      </c>
      <c r="G338" s="145">
        <f t="shared" ref="G338:G348" si="130">$G$766</f>
        <v>1.139</v>
      </c>
      <c r="H338" s="146">
        <f t="shared" ref="H338:H358" si="131">F338*G338</f>
        <v>1746592</v>
      </c>
      <c r="I338" s="145">
        <f>Дефляторы!$D$25</f>
        <v>1.052</v>
      </c>
      <c r="J338" s="146">
        <f t="shared" ref="J338:J358" si="132">H338*I338</f>
        <v>1837415</v>
      </c>
      <c r="K338" s="146">
        <f t="shared" ref="K338:K358" si="133">H338+(J338-H338)*(1-30/100)</f>
        <v>1810168</v>
      </c>
      <c r="L338" s="147"/>
      <c r="M338" s="147"/>
      <c r="N338" s="147"/>
    </row>
    <row r="339" spans="1:14" s="148" customFormat="1" ht="25.5" outlineLevel="3" x14ac:dyDescent="0.2">
      <c r="A339" s="95" t="s">
        <v>1969</v>
      </c>
      <c r="B339" s="42" t="s">
        <v>1178</v>
      </c>
      <c r="C339" s="42" t="s">
        <v>1133</v>
      </c>
      <c r="D339" s="100" t="s">
        <v>408</v>
      </c>
      <c r="E339" s="149">
        <v>87</v>
      </c>
      <c r="F339" s="149">
        <f>(70788)*(1.023*1.005-2.3%*15%)*6.99+0*4.09</f>
        <v>507013</v>
      </c>
      <c r="G339" s="145">
        <f t="shared" si="130"/>
        <v>1.139</v>
      </c>
      <c r="H339" s="146">
        <f t="shared" si="131"/>
        <v>577488</v>
      </c>
      <c r="I339" s="145">
        <f>Дефляторы!$D$25</f>
        <v>1.052</v>
      </c>
      <c r="J339" s="146">
        <f t="shared" si="132"/>
        <v>607517</v>
      </c>
      <c r="K339" s="146">
        <f t="shared" si="133"/>
        <v>598508</v>
      </c>
      <c r="L339" s="147"/>
      <c r="M339" s="147"/>
      <c r="N339" s="147"/>
    </row>
    <row r="340" spans="1:14" s="148" customFormat="1" ht="25.5" outlineLevel="3" x14ac:dyDescent="0.2">
      <c r="A340" s="95" t="s">
        <v>1970</v>
      </c>
      <c r="B340" s="42" t="s">
        <v>1179</v>
      </c>
      <c r="C340" s="42" t="s">
        <v>1134</v>
      </c>
      <c r="D340" s="100" t="s">
        <v>408</v>
      </c>
      <c r="E340" s="149">
        <v>8</v>
      </c>
      <c r="F340" s="149">
        <f>(43185)*(1.023*1.005-2.3%*15%)*6.99+0*4.09</f>
        <v>309309</v>
      </c>
      <c r="G340" s="145">
        <f t="shared" si="130"/>
        <v>1.139</v>
      </c>
      <c r="H340" s="146">
        <f t="shared" si="131"/>
        <v>352303</v>
      </c>
      <c r="I340" s="145">
        <f>Дефляторы!$D$25</f>
        <v>1.052</v>
      </c>
      <c r="J340" s="146">
        <f t="shared" si="132"/>
        <v>370623</v>
      </c>
      <c r="K340" s="146">
        <f t="shared" si="133"/>
        <v>365127</v>
      </c>
      <c r="L340" s="147"/>
      <c r="M340" s="147"/>
      <c r="N340" s="147"/>
    </row>
    <row r="341" spans="1:14" s="148" customFormat="1" ht="15.75" outlineLevel="3" x14ac:dyDescent="0.2">
      <c r="A341" s="95" t="s">
        <v>1971</v>
      </c>
      <c r="B341" s="42" t="s">
        <v>1180</v>
      </c>
      <c r="C341" s="42" t="s">
        <v>1135</v>
      </c>
      <c r="D341" s="100" t="s">
        <v>408</v>
      </c>
      <c r="E341" s="149">
        <v>11</v>
      </c>
      <c r="F341" s="149">
        <f>(96817)*(1.023*1.005-2.3%*15%)*6.99+0*4.09</f>
        <v>693443</v>
      </c>
      <c r="G341" s="145">
        <f t="shared" si="130"/>
        <v>1.139</v>
      </c>
      <c r="H341" s="146">
        <f t="shared" si="131"/>
        <v>789832</v>
      </c>
      <c r="I341" s="145">
        <f>Дефляторы!$D$25</f>
        <v>1.052</v>
      </c>
      <c r="J341" s="146">
        <f t="shared" si="132"/>
        <v>830903</v>
      </c>
      <c r="K341" s="146">
        <f t="shared" si="133"/>
        <v>818582</v>
      </c>
      <c r="L341" s="147"/>
      <c r="M341" s="147"/>
      <c r="N341" s="147"/>
    </row>
    <row r="342" spans="1:14" s="148" customFormat="1" ht="15.75" outlineLevel="3" x14ac:dyDescent="0.2">
      <c r="A342" s="95" t="s">
        <v>1972</v>
      </c>
      <c r="B342" s="42" t="s">
        <v>1181</v>
      </c>
      <c r="C342" s="42" t="s">
        <v>1136</v>
      </c>
      <c r="D342" s="100" t="s">
        <v>408</v>
      </c>
      <c r="E342" s="149">
        <v>11</v>
      </c>
      <c r="F342" s="149">
        <f>(19929)*(1.023*1.005-2.3%*15%)*6.99+0*4.09</f>
        <v>142740</v>
      </c>
      <c r="G342" s="145">
        <f t="shared" si="130"/>
        <v>1.139</v>
      </c>
      <c r="H342" s="146">
        <f t="shared" si="131"/>
        <v>162581</v>
      </c>
      <c r="I342" s="145">
        <f>Дефляторы!$D$25</f>
        <v>1.052</v>
      </c>
      <c r="J342" s="146">
        <f t="shared" si="132"/>
        <v>171035</v>
      </c>
      <c r="K342" s="146">
        <f t="shared" si="133"/>
        <v>168499</v>
      </c>
      <c r="L342" s="147"/>
      <c r="M342" s="147"/>
      <c r="N342" s="147"/>
    </row>
    <row r="343" spans="1:14" s="148" customFormat="1" ht="15.75" outlineLevel="3" x14ac:dyDescent="0.2">
      <c r="A343" s="95" t="s">
        <v>1973</v>
      </c>
      <c r="B343" s="42" t="s">
        <v>1182</v>
      </c>
      <c r="C343" s="42" t="s">
        <v>1137</v>
      </c>
      <c r="D343" s="100" t="s">
        <v>408</v>
      </c>
      <c r="E343" s="149">
        <v>13</v>
      </c>
      <c r="F343" s="149">
        <f>(10184)*(1.023*1.005-2.3%*15%)*6.99+0*4.09</f>
        <v>72942</v>
      </c>
      <c r="G343" s="145">
        <f t="shared" si="130"/>
        <v>1.139</v>
      </c>
      <c r="H343" s="146">
        <f t="shared" si="131"/>
        <v>83081</v>
      </c>
      <c r="I343" s="145">
        <f>Дефляторы!$D$25</f>
        <v>1.052</v>
      </c>
      <c r="J343" s="146">
        <f t="shared" si="132"/>
        <v>87401</v>
      </c>
      <c r="K343" s="146">
        <f t="shared" si="133"/>
        <v>86105</v>
      </c>
      <c r="L343" s="147"/>
      <c r="M343" s="147"/>
      <c r="N343" s="147"/>
    </row>
    <row r="344" spans="1:14" s="148" customFormat="1" ht="15.75" outlineLevel="3" x14ac:dyDescent="0.2">
      <c r="A344" s="95" t="s">
        <v>1974</v>
      </c>
      <c r="B344" s="42" t="s">
        <v>1183</v>
      </c>
      <c r="C344" s="42" t="s">
        <v>1138</v>
      </c>
      <c r="D344" s="100" t="s">
        <v>408</v>
      </c>
      <c r="E344" s="149">
        <v>3</v>
      </c>
      <c r="F344" s="149">
        <f>(1583)*(1.023*1.005-2.3%*15%)*6.99+0*4.09</f>
        <v>11338</v>
      </c>
      <c r="G344" s="145">
        <f t="shared" si="130"/>
        <v>1.139</v>
      </c>
      <c r="H344" s="146">
        <f t="shared" si="131"/>
        <v>12914</v>
      </c>
      <c r="I344" s="145">
        <f>Дефляторы!$D$25</f>
        <v>1.052</v>
      </c>
      <c r="J344" s="146">
        <f t="shared" si="132"/>
        <v>13586</v>
      </c>
      <c r="K344" s="146">
        <f t="shared" si="133"/>
        <v>13384</v>
      </c>
      <c r="L344" s="147"/>
      <c r="M344" s="147"/>
      <c r="N344" s="147"/>
    </row>
    <row r="345" spans="1:14" s="148" customFormat="1" ht="15.75" outlineLevel="3" x14ac:dyDescent="0.2">
      <c r="A345" s="95" t="s">
        <v>1975</v>
      </c>
      <c r="B345" s="42" t="s">
        <v>1184</v>
      </c>
      <c r="C345" s="42" t="s">
        <v>1139</v>
      </c>
      <c r="D345" s="100" t="s">
        <v>408</v>
      </c>
      <c r="E345" s="149">
        <v>76</v>
      </c>
      <c r="F345" s="149">
        <f>(54493)*(1.023*1.005-2.3%*15%)*6.99+0*4.09</f>
        <v>390301</v>
      </c>
      <c r="G345" s="145">
        <f t="shared" si="130"/>
        <v>1.139</v>
      </c>
      <c r="H345" s="146">
        <f t="shared" si="131"/>
        <v>444553</v>
      </c>
      <c r="I345" s="145">
        <f>Дефляторы!$D$25</f>
        <v>1.052</v>
      </c>
      <c r="J345" s="146">
        <f t="shared" si="132"/>
        <v>467670</v>
      </c>
      <c r="K345" s="146">
        <f t="shared" si="133"/>
        <v>460735</v>
      </c>
      <c r="L345" s="147"/>
      <c r="M345" s="147"/>
      <c r="N345" s="147"/>
    </row>
    <row r="346" spans="1:14" s="148" customFormat="1" ht="15.75" outlineLevel="3" x14ac:dyDescent="0.2">
      <c r="A346" s="95" t="s">
        <v>1976</v>
      </c>
      <c r="B346" s="42" t="s">
        <v>1185</v>
      </c>
      <c r="C346" s="42" t="s">
        <v>1140</v>
      </c>
      <c r="D346" s="100" t="s">
        <v>408</v>
      </c>
      <c r="E346" s="149">
        <v>125</v>
      </c>
      <c r="F346" s="149">
        <f>(63271)*(1.023*1.005-2.3%*15%)*6.99+0*4.09</f>
        <v>453173</v>
      </c>
      <c r="G346" s="145">
        <f t="shared" si="130"/>
        <v>1.139</v>
      </c>
      <c r="H346" s="146">
        <f t="shared" si="131"/>
        <v>516164</v>
      </c>
      <c r="I346" s="145">
        <f>Дефляторы!$D$25</f>
        <v>1.052</v>
      </c>
      <c r="J346" s="146">
        <f t="shared" si="132"/>
        <v>543005</v>
      </c>
      <c r="K346" s="146">
        <f t="shared" si="133"/>
        <v>534953</v>
      </c>
      <c r="L346" s="147"/>
      <c r="M346" s="147"/>
      <c r="N346" s="147"/>
    </row>
    <row r="347" spans="1:14" s="148" customFormat="1" ht="15.75" outlineLevel="3" x14ac:dyDescent="0.2">
      <c r="A347" s="95" t="s">
        <v>1977</v>
      </c>
      <c r="B347" s="42" t="s">
        <v>1186</v>
      </c>
      <c r="C347" s="42" t="s">
        <v>1141</v>
      </c>
      <c r="D347" s="100" t="s">
        <v>408</v>
      </c>
      <c r="E347" s="149">
        <v>27</v>
      </c>
      <c r="F347" s="149">
        <f>(33002)*(1.023*1.005-2.3%*15%)*6.99+0*4.09</f>
        <v>236374</v>
      </c>
      <c r="G347" s="145">
        <f t="shared" si="130"/>
        <v>1.139</v>
      </c>
      <c r="H347" s="146">
        <f t="shared" si="131"/>
        <v>269230</v>
      </c>
      <c r="I347" s="145">
        <f>Дефляторы!$D$25</f>
        <v>1.052</v>
      </c>
      <c r="J347" s="146">
        <f t="shared" si="132"/>
        <v>283230</v>
      </c>
      <c r="K347" s="146">
        <f t="shared" si="133"/>
        <v>279030</v>
      </c>
      <c r="L347" s="147"/>
      <c r="M347" s="147"/>
      <c r="N347" s="147"/>
    </row>
    <row r="348" spans="1:14" s="148" customFormat="1" ht="25.5" outlineLevel="3" x14ac:dyDescent="0.2">
      <c r="A348" s="95" t="s">
        <v>1978</v>
      </c>
      <c r="B348" s="42" t="s">
        <v>1187</v>
      </c>
      <c r="C348" s="42" t="s">
        <v>1142</v>
      </c>
      <c r="D348" s="100" t="s">
        <v>408</v>
      </c>
      <c r="E348" s="149">
        <v>8</v>
      </c>
      <c r="F348" s="149">
        <f>(11428)*(1.023*1.005-2.3%*15%)*6.99+0*4.09</f>
        <v>81852</v>
      </c>
      <c r="G348" s="145">
        <f t="shared" si="130"/>
        <v>1.139</v>
      </c>
      <c r="H348" s="146">
        <f t="shared" si="131"/>
        <v>93229</v>
      </c>
      <c r="I348" s="145">
        <f>Дефляторы!$D$25</f>
        <v>1.052</v>
      </c>
      <c r="J348" s="146">
        <f t="shared" si="132"/>
        <v>98077</v>
      </c>
      <c r="K348" s="146">
        <f t="shared" si="133"/>
        <v>96623</v>
      </c>
      <c r="L348" s="147"/>
      <c r="M348" s="147"/>
      <c r="N348" s="147"/>
    </row>
    <row r="349" spans="1:14" s="148" customFormat="1" ht="15.75" outlineLevel="3" x14ac:dyDescent="0.2">
      <c r="A349" s="95"/>
      <c r="B349" s="42"/>
      <c r="C349" s="157" t="s">
        <v>1143</v>
      </c>
      <c r="D349" s="100"/>
      <c r="E349" s="149"/>
      <c r="F349" s="149"/>
      <c r="G349" s="145"/>
      <c r="H349" s="146"/>
      <c r="I349" s="145">
        <f>Дефляторы!$D$25</f>
        <v>1.052</v>
      </c>
      <c r="J349" s="146"/>
      <c r="K349" s="146"/>
      <c r="L349" s="147"/>
      <c r="M349" s="147"/>
      <c r="N349" s="147"/>
    </row>
    <row r="350" spans="1:14" s="148" customFormat="1" ht="15.75" outlineLevel="3" x14ac:dyDescent="0.2">
      <c r="A350" s="95" t="s">
        <v>1979</v>
      </c>
      <c r="B350" s="42" t="s">
        <v>1188</v>
      </c>
      <c r="C350" s="42" t="s">
        <v>1144</v>
      </c>
      <c r="D350" s="100" t="s">
        <v>377</v>
      </c>
      <c r="E350" s="149">
        <v>155</v>
      </c>
      <c r="F350" s="149">
        <f>(20693)*(1.023*1.005-2.3%*15%)*6.99+0*4.09</f>
        <v>148212</v>
      </c>
      <c r="G350" s="145">
        <f t="shared" ref="G350:G359" si="134">$G$766</f>
        <v>1.139</v>
      </c>
      <c r="H350" s="146">
        <f t="shared" si="131"/>
        <v>168813</v>
      </c>
      <c r="I350" s="145">
        <f>Дефляторы!$D$25</f>
        <v>1.052</v>
      </c>
      <c r="J350" s="146">
        <f t="shared" si="132"/>
        <v>177591</v>
      </c>
      <c r="K350" s="146">
        <f t="shared" si="133"/>
        <v>174958</v>
      </c>
      <c r="L350" s="147"/>
      <c r="M350" s="147"/>
      <c r="N350" s="147"/>
    </row>
    <row r="351" spans="1:14" s="148" customFormat="1" ht="25.5" outlineLevel="3" x14ac:dyDescent="0.2">
      <c r="A351" s="95" t="s">
        <v>1980</v>
      </c>
      <c r="B351" s="42" t="s">
        <v>1189</v>
      </c>
      <c r="C351" s="42" t="s">
        <v>1146</v>
      </c>
      <c r="D351" s="100" t="s">
        <v>377</v>
      </c>
      <c r="E351" s="100">
        <f>3862.1/1.08</f>
        <v>3576.02</v>
      </c>
      <c r="F351" s="149">
        <f>(20575)*(1.023*1.005-2.3%*15%)*6.99+0*4.09</f>
        <v>147367</v>
      </c>
      <c r="G351" s="145">
        <f t="shared" si="134"/>
        <v>1.139</v>
      </c>
      <c r="H351" s="146">
        <f t="shared" si="131"/>
        <v>167851</v>
      </c>
      <c r="I351" s="145">
        <f>Дефляторы!$D$25</f>
        <v>1.052</v>
      </c>
      <c r="J351" s="146">
        <f t="shared" si="132"/>
        <v>176579</v>
      </c>
      <c r="K351" s="146">
        <f t="shared" si="133"/>
        <v>173961</v>
      </c>
      <c r="L351" s="172" t="s">
        <v>1150</v>
      </c>
      <c r="M351" s="147"/>
      <c r="N351" s="147"/>
    </row>
    <row r="352" spans="1:14" s="148" customFormat="1" ht="25.5" outlineLevel="3" x14ac:dyDescent="0.2">
      <c r="A352" s="95" t="s">
        <v>1981</v>
      </c>
      <c r="B352" s="42" t="s">
        <v>1190</v>
      </c>
      <c r="C352" s="42" t="s">
        <v>1145</v>
      </c>
      <c r="D352" s="100" t="s">
        <v>377</v>
      </c>
      <c r="E352" s="100">
        <f>428.8/1.08</f>
        <v>397.04</v>
      </c>
      <c r="F352" s="149">
        <f>(5159)*(1.023*1.005-2.3%*15%)*6.99+0*4.09</f>
        <v>36951</v>
      </c>
      <c r="G352" s="145">
        <f t="shared" si="134"/>
        <v>1.139</v>
      </c>
      <c r="H352" s="146">
        <f t="shared" si="131"/>
        <v>42087</v>
      </c>
      <c r="I352" s="145">
        <f>Дефляторы!$D$25</f>
        <v>1.052</v>
      </c>
      <c r="J352" s="146">
        <f t="shared" si="132"/>
        <v>44276</v>
      </c>
      <c r="K352" s="146">
        <f t="shared" si="133"/>
        <v>43619</v>
      </c>
      <c r="L352" s="172" t="s">
        <v>1150</v>
      </c>
      <c r="M352" s="147"/>
      <c r="N352" s="147"/>
    </row>
    <row r="353" spans="1:14" s="148" customFormat="1" ht="25.5" outlineLevel="3" x14ac:dyDescent="0.2">
      <c r="A353" s="95" t="s">
        <v>1982</v>
      </c>
      <c r="B353" s="42" t="s">
        <v>1191</v>
      </c>
      <c r="C353" s="42" t="s">
        <v>1147</v>
      </c>
      <c r="D353" s="100" t="s">
        <v>377</v>
      </c>
      <c r="E353" s="100">
        <f>3160.1/1.08-0.01</f>
        <v>2926.01</v>
      </c>
      <c r="F353" s="149">
        <f>(24658)*(1.023*1.005-2.3%*15%)*6.99+0*4.09</f>
        <v>176611</v>
      </c>
      <c r="G353" s="145">
        <f t="shared" si="134"/>
        <v>1.139</v>
      </c>
      <c r="H353" s="146">
        <f t="shared" si="131"/>
        <v>201160</v>
      </c>
      <c r="I353" s="145">
        <f>Дефляторы!$D$25</f>
        <v>1.052</v>
      </c>
      <c r="J353" s="146">
        <f t="shared" si="132"/>
        <v>211620</v>
      </c>
      <c r="K353" s="146">
        <f t="shared" si="133"/>
        <v>208482</v>
      </c>
      <c r="L353" s="172" t="s">
        <v>1150</v>
      </c>
      <c r="M353" s="147"/>
      <c r="N353" s="147"/>
    </row>
    <row r="354" spans="1:14" s="148" customFormat="1" ht="25.5" outlineLevel="3" x14ac:dyDescent="0.2">
      <c r="A354" s="95" t="s">
        <v>1983</v>
      </c>
      <c r="B354" s="42" t="s">
        <v>1192</v>
      </c>
      <c r="C354" s="42" t="s">
        <v>1148</v>
      </c>
      <c r="D354" s="100" t="s">
        <v>377</v>
      </c>
      <c r="E354" s="100">
        <f>351/1.08</f>
        <v>325</v>
      </c>
      <c r="F354" s="149">
        <f>(5518)*(1.023*1.005-2.3%*15%)*6.99+0*4.09</f>
        <v>39522</v>
      </c>
      <c r="G354" s="145">
        <f t="shared" si="134"/>
        <v>1.139</v>
      </c>
      <c r="H354" s="146">
        <f t="shared" si="131"/>
        <v>45016</v>
      </c>
      <c r="I354" s="145">
        <f>Дефляторы!$D$25</f>
        <v>1.052</v>
      </c>
      <c r="J354" s="146">
        <f t="shared" si="132"/>
        <v>47357</v>
      </c>
      <c r="K354" s="146">
        <f t="shared" si="133"/>
        <v>46655</v>
      </c>
      <c r="L354" s="172" t="s">
        <v>1150</v>
      </c>
      <c r="M354" s="147"/>
      <c r="N354" s="147"/>
    </row>
    <row r="355" spans="1:14" s="148" customFormat="1" ht="25.5" outlineLevel="3" x14ac:dyDescent="0.2">
      <c r="A355" s="95" t="s">
        <v>1984</v>
      </c>
      <c r="B355" s="42" t="s">
        <v>1193</v>
      </c>
      <c r="C355" s="42" t="s">
        <v>1149</v>
      </c>
      <c r="D355" s="100" t="s">
        <v>377</v>
      </c>
      <c r="E355" s="100">
        <f>216/1.08</f>
        <v>200</v>
      </c>
      <c r="F355" s="149">
        <f>(2748)*(1.023*1.005-2.3%*15%)*6.99+0*4.09</f>
        <v>19682</v>
      </c>
      <c r="G355" s="145">
        <f t="shared" si="134"/>
        <v>1.139</v>
      </c>
      <c r="H355" s="146">
        <f t="shared" si="131"/>
        <v>22418</v>
      </c>
      <c r="I355" s="145">
        <f>Дефляторы!$D$25</f>
        <v>1.052</v>
      </c>
      <c r="J355" s="146">
        <f t="shared" si="132"/>
        <v>23584</v>
      </c>
      <c r="K355" s="146">
        <f t="shared" si="133"/>
        <v>23234</v>
      </c>
      <c r="L355" s="172" t="s">
        <v>1150</v>
      </c>
      <c r="M355" s="147"/>
      <c r="N355" s="147"/>
    </row>
    <row r="356" spans="1:14" s="148" customFormat="1" ht="25.5" outlineLevel="3" x14ac:dyDescent="0.2">
      <c r="A356" s="95" t="s">
        <v>1985</v>
      </c>
      <c r="B356" s="42" t="s">
        <v>1194</v>
      </c>
      <c r="C356" s="42" t="s">
        <v>1151</v>
      </c>
      <c r="D356" s="100" t="s">
        <v>377</v>
      </c>
      <c r="E356" s="100">
        <v>200</v>
      </c>
      <c r="F356" s="149">
        <f>(24320)*(1.023*1.005-2.3%*15%)*6.99+0*4.09</f>
        <v>174190</v>
      </c>
      <c r="G356" s="145">
        <f t="shared" si="134"/>
        <v>1.139</v>
      </c>
      <c r="H356" s="146">
        <f t="shared" si="131"/>
        <v>198402</v>
      </c>
      <c r="I356" s="145">
        <f>Дефляторы!$D$25</f>
        <v>1.052</v>
      </c>
      <c r="J356" s="146">
        <f t="shared" si="132"/>
        <v>208719</v>
      </c>
      <c r="K356" s="146">
        <f t="shared" si="133"/>
        <v>205624</v>
      </c>
      <c r="L356" s="172" t="s">
        <v>1150</v>
      </c>
      <c r="M356" s="147"/>
      <c r="N356" s="147"/>
    </row>
    <row r="357" spans="1:14" s="148" customFormat="1" ht="25.5" outlineLevel="3" x14ac:dyDescent="0.2">
      <c r="A357" s="95" t="s">
        <v>1986</v>
      </c>
      <c r="B357" s="42" t="s">
        <v>1195</v>
      </c>
      <c r="C357" s="42" t="s">
        <v>1152</v>
      </c>
      <c r="D357" s="100" t="s">
        <v>377</v>
      </c>
      <c r="E357" s="100">
        <f>540/1.08</f>
        <v>500</v>
      </c>
      <c r="F357" s="149">
        <f>(238837)*(1.023*1.005-2.3%*15%)*6.99+0*4.09</f>
        <v>1710648</v>
      </c>
      <c r="G357" s="145">
        <f t="shared" si="134"/>
        <v>1.139</v>
      </c>
      <c r="H357" s="146">
        <f t="shared" si="131"/>
        <v>1948428</v>
      </c>
      <c r="I357" s="145">
        <f>Дефляторы!$D$25</f>
        <v>1.052</v>
      </c>
      <c r="J357" s="146">
        <f t="shared" si="132"/>
        <v>2049746</v>
      </c>
      <c r="K357" s="146">
        <f t="shared" si="133"/>
        <v>2019351</v>
      </c>
      <c r="L357" s="172" t="s">
        <v>1150</v>
      </c>
      <c r="M357" s="147"/>
      <c r="N357" s="147"/>
    </row>
    <row r="358" spans="1:14" s="148" customFormat="1" ht="25.5" outlineLevel="3" x14ac:dyDescent="0.2">
      <c r="A358" s="95" t="s">
        <v>1987</v>
      </c>
      <c r="B358" s="42" t="s">
        <v>1196</v>
      </c>
      <c r="C358" s="42" t="s">
        <v>1153</v>
      </c>
      <c r="D358" s="100" t="s">
        <v>377</v>
      </c>
      <c r="E358" s="100">
        <f>54/1.08</f>
        <v>50</v>
      </c>
      <c r="F358" s="149">
        <f>(26542)*(1.023*1.005-2.3%*15%)*6.99+0*4.09</f>
        <v>190105</v>
      </c>
      <c r="G358" s="145">
        <f t="shared" si="134"/>
        <v>1.139</v>
      </c>
      <c r="H358" s="146">
        <f t="shared" si="131"/>
        <v>216530</v>
      </c>
      <c r="I358" s="145">
        <f>Дефляторы!$D$25</f>
        <v>1.052</v>
      </c>
      <c r="J358" s="146">
        <f t="shared" si="132"/>
        <v>227790</v>
      </c>
      <c r="K358" s="146">
        <f t="shared" si="133"/>
        <v>224412</v>
      </c>
      <c r="L358" s="172" t="s">
        <v>1150</v>
      </c>
      <c r="M358" s="147"/>
      <c r="N358" s="147"/>
    </row>
    <row r="359" spans="1:14" s="237" customFormat="1" ht="15.75" outlineLevel="2" x14ac:dyDescent="0.2">
      <c r="A359" s="238" t="s">
        <v>445</v>
      </c>
      <c r="B359" s="229" t="s">
        <v>172</v>
      </c>
      <c r="C359" s="229" t="s">
        <v>1921</v>
      </c>
      <c r="D359" s="239" t="s">
        <v>292</v>
      </c>
      <c r="E359" s="240">
        <v>1</v>
      </c>
      <c r="F359" s="240">
        <f>SUM(F360:F364)</f>
        <v>705784</v>
      </c>
      <c r="G359" s="241">
        <f t="shared" si="134"/>
        <v>1.139</v>
      </c>
      <c r="H359" s="240">
        <f>SUM(H360:H364)</f>
        <v>803889</v>
      </c>
      <c r="I359" s="241">
        <f>Дефляторы!$D$25</f>
        <v>1.052</v>
      </c>
      <c r="J359" s="240">
        <f>SUM(J360:J364)</f>
        <v>845691</v>
      </c>
      <c r="K359" s="240">
        <f>SUM(K360:K364)</f>
        <v>833151</v>
      </c>
      <c r="L359" s="256"/>
      <c r="M359" s="256"/>
      <c r="N359" s="256"/>
    </row>
    <row r="360" spans="1:14" s="148" customFormat="1" ht="15.75" outlineLevel="3" x14ac:dyDescent="0.2">
      <c r="A360" s="95"/>
      <c r="B360" s="42"/>
      <c r="C360" s="157" t="s">
        <v>367</v>
      </c>
      <c r="D360" s="100"/>
      <c r="E360" s="100"/>
      <c r="F360" s="149"/>
      <c r="G360" s="145"/>
      <c r="H360" s="146"/>
      <c r="I360" s="145">
        <f>Дефляторы!$D$25</f>
        <v>1.052</v>
      </c>
      <c r="J360" s="146"/>
      <c r="K360" s="146"/>
      <c r="L360" s="147"/>
      <c r="M360" s="147"/>
      <c r="N360" s="147"/>
    </row>
    <row r="361" spans="1:14" s="148" customFormat="1" ht="25.5" outlineLevel="3" x14ac:dyDescent="0.2">
      <c r="A361" s="95" t="s">
        <v>446</v>
      </c>
      <c r="B361" s="42" t="s">
        <v>1200</v>
      </c>
      <c r="C361" s="42" t="s">
        <v>356</v>
      </c>
      <c r="D361" s="100" t="s">
        <v>300</v>
      </c>
      <c r="E361" s="100">
        <f>225.74</f>
        <v>225.74</v>
      </c>
      <c r="F361" s="149">
        <f>(45014)*(1.023*1.005-2.3%*15%)*6.99+0*4.09+14</f>
        <v>322423</v>
      </c>
      <c r="G361" s="145">
        <f t="shared" ref="G361:G414" si="135">$G$766</f>
        <v>1.139</v>
      </c>
      <c r="H361" s="146">
        <f t="shared" ref="H361:H364" si="136">F361*G361</f>
        <v>367240</v>
      </c>
      <c r="I361" s="145">
        <f>Дефляторы!$D$25</f>
        <v>1.052</v>
      </c>
      <c r="J361" s="146">
        <f t="shared" ref="J361:J364" si="137">H361*I361</f>
        <v>386336</v>
      </c>
      <c r="K361" s="146">
        <f t="shared" ref="K361:K364" si="138">H361+(J361-H361)*(1-30/100)</f>
        <v>380607</v>
      </c>
      <c r="L361" s="147"/>
      <c r="M361" s="147"/>
      <c r="N361" s="147"/>
    </row>
    <row r="362" spans="1:14" s="148" customFormat="1" ht="15.75" outlineLevel="3" x14ac:dyDescent="0.2">
      <c r="A362" s="95" t="s">
        <v>447</v>
      </c>
      <c r="B362" s="42" t="s">
        <v>1201</v>
      </c>
      <c r="C362" s="42" t="s">
        <v>373</v>
      </c>
      <c r="D362" s="100" t="s">
        <v>300</v>
      </c>
      <c r="E362" s="100">
        <f>225.74</f>
        <v>225.74</v>
      </c>
      <c r="F362" s="149">
        <f>(19753)*(1.023*1.005-2.3%*15%)*6.99+0*4.09</f>
        <v>141479</v>
      </c>
      <c r="G362" s="145">
        <f t="shared" si="135"/>
        <v>1.139</v>
      </c>
      <c r="H362" s="146">
        <f t="shared" si="136"/>
        <v>161145</v>
      </c>
      <c r="I362" s="145">
        <f>Дефляторы!$D$25</f>
        <v>1.052</v>
      </c>
      <c r="J362" s="146">
        <f t="shared" si="137"/>
        <v>169525</v>
      </c>
      <c r="K362" s="146">
        <f t="shared" si="138"/>
        <v>167011</v>
      </c>
      <c r="L362" s="147"/>
      <c r="M362" s="147"/>
      <c r="N362" s="147"/>
    </row>
    <row r="363" spans="1:14" s="148" customFormat="1" ht="25.5" outlineLevel="3" x14ac:dyDescent="0.2">
      <c r="A363" s="95" t="s">
        <v>448</v>
      </c>
      <c r="B363" s="42" t="s">
        <v>1202</v>
      </c>
      <c r="C363" s="42" t="s">
        <v>750</v>
      </c>
      <c r="D363" s="100" t="s">
        <v>300</v>
      </c>
      <c r="E363" s="100">
        <f>225.74</f>
        <v>225.74</v>
      </c>
      <c r="F363" s="149">
        <f>(3052)*(1.023*1.005-2.3%*15%)*6.99+0*4.09</f>
        <v>21860</v>
      </c>
      <c r="G363" s="145">
        <f t="shared" si="135"/>
        <v>1.139</v>
      </c>
      <c r="H363" s="146">
        <f t="shared" si="136"/>
        <v>24899</v>
      </c>
      <c r="I363" s="145">
        <f>Дефляторы!$D$25</f>
        <v>1.052</v>
      </c>
      <c r="J363" s="146">
        <f t="shared" si="137"/>
        <v>26194</v>
      </c>
      <c r="K363" s="146">
        <f t="shared" si="138"/>
        <v>25806</v>
      </c>
      <c r="L363" s="147"/>
      <c r="M363" s="147"/>
      <c r="N363" s="147"/>
    </row>
    <row r="364" spans="1:14" s="148" customFormat="1" ht="15.75" outlineLevel="3" x14ac:dyDescent="0.2">
      <c r="A364" s="95" t="s">
        <v>1988</v>
      </c>
      <c r="B364" s="42" t="s">
        <v>1203</v>
      </c>
      <c r="C364" s="42" t="s">
        <v>379</v>
      </c>
      <c r="D364" s="100" t="s">
        <v>292</v>
      </c>
      <c r="E364" s="100">
        <v>1</v>
      </c>
      <c r="F364" s="149">
        <f>(30719)*(1.023*1.005-2.3%*15%)*6.99+0*4.09</f>
        <v>220022</v>
      </c>
      <c r="G364" s="145">
        <f t="shared" si="135"/>
        <v>1.139</v>
      </c>
      <c r="H364" s="146">
        <f t="shared" si="136"/>
        <v>250605</v>
      </c>
      <c r="I364" s="145">
        <f>Дефляторы!$D$25</f>
        <v>1.052</v>
      </c>
      <c r="J364" s="146">
        <f t="shared" si="137"/>
        <v>263636</v>
      </c>
      <c r="K364" s="146">
        <f t="shared" si="138"/>
        <v>259727</v>
      </c>
      <c r="L364" s="147"/>
      <c r="M364" s="147"/>
      <c r="N364" s="147"/>
    </row>
    <row r="365" spans="1:14" s="237" customFormat="1" ht="15.75" outlineLevel="2" x14ac:dyDescent="0.2">
      <c r="A365" s="238" t="s">
        <v>449</v>
      </c>
      <c r="B365" s="229" t="s">
        <v>174</v>
      </c>
      <c r="C365" s="229" t="s">
        <v>1922</v>
      </c>
      <c r="D365" s="239" t="s">
        <v>292</v>
      </c>
      <c r="E365" s="240">
        <v>1</v>
      </c>
      <c r="F365" s="240">
        <f>SUM(F366:F370)</f>
        <v>21389313</v>
      </c>
      <c r="G365" s="241">
        <f t="shared" si="135"/>
        <v>1.139</v>
      </c>
      <c r="H365" s="240">
        <f>SUM(H366:H370)</f>
        <v>24362427</v>
      </c>
      <c r="I365" s="241">
        <f>Дефляторы!$D$25</f>
        <v>1.052</v>
      </c>
      <c r="J365" s="240">
        <f>SUM(J366:J370)</f>
        <v>25629274</v>
      </c>
      <c r="K365" s="240">
        <f>SUM(K366:K370)</f>
        <v>25249220</v>
      </c>
      <c r="L365" s="256"/>
      <c r="M365" s="256"/>
      <c r="N365" s="256"/>
    </row>
    <row r="366" spans="1:14" s="148" customFormat="1" ht="25.5" outlineLevel="3" x14ac:dyDescent="0.2">
      <c r="A366" s="95" t="s">
        <v>450</v>
      </c>
      <c r="B366" s="42" t="s">
        <v>1205</v>
      </c>
      <c r="C366" s="42" t="s">
        <v>1204</v>
      </c>
      <c r="D366" s="100" t="s">
        <v>408</v>
      </c>
      <c r="E366" s="149">
        <v>1</v>
      </c>
      <c r="F366" s="149">
        <f>(33890)*(1.023*1.005-2.3%*15%)*6.99+0*4.09</f>
        <v>242734</v>
      </c>
      <c r="G366" s="145">
        <f t="shared" si="135"/>
        <v>1.139</v>
      </c>
      <c r="H366" s="146">
        <f t="shared" ref="H366:H370" si="139">F366*G366</f>
        <v>276474</v>
      </c>
      <c r="I366" s="145">
        <f>Дефляторы!$D$25</f>
        <v>1.052</v>
      </c>
      <c r="J366" s="146">
        <f t="shared" ref="J366:J370" si="140">H366*I366</f>
        <v>290851</v>
      </c>
      <c r="K366" s="146">
        <f t="shared" ref="K366:K370" si="141">H366+(J366-H366)*(1-30/100)</f>
        <v>286538</v>
      </c>
      <c r="L366" s="147"/>
      <c r="M366" s="147"/>
      <c r="N366" s="147"/>
    </row>
    <row r="367" spans="1:14" s="148" customFormat="1" ht="25.5" outlineLevel="3" x14ac:dyDescent="0.2">
      <c r="A367" s="95" t="s">
        <v>451</v>
      </c>
      <c r="B367" s="42" t="s">
        <v>1207</v>
      </c>
      <c r="C367" s="42" t="s">
        <v>1206</v>
      </c>
      <c r="D367" s="100" t="s">
        <v>408</v>
      </c>
      <c r="E367" s="149">
        <v>1</v>
      </c>
      <c r="F367" s="149">
        <f>(2821+27187)*(1.023*1.005-2.3%*15%)*6.99+4768776*4.09+24</f>
        <v>19719247</v>
      </c>
      <c r="G367" s="145">
        <f t="shared" si="135"/>
        <v>1.139</v>
      </c>
      <c r="H367" s="146">
        <f t="shared" si="139"/>
        <v>22460222</v>
      </c>
      <c r="I367" s="145">
        <f>Дефляторы!$D$25</f>
        <v>1.052</v>
      </c>
      <c r="J367" s="146">
        <f t="shared" si="140"/>
        <v>23628154</v>
      </c>
      <c r="K367" s="146">
        <f t="shared" si="141"/>
        <v>23277774</v>
      </c>
      <c r="L367" s="147"/>
      <c r="M367" s="147"/>
      <c r="N367" s="147"/>
    </row>
    <row r="368" spans="1:14" s="148" customFormat="1" ht="15.75" outlineLevel="3" x14ac:dyDescent="0.2">
      <c r="A368" s="95" t="s">
        <v>1989</v>
      </c>
      <c r="B368" s="42" t="s">
        <v>1209</v>
      </c>
      <c r="C368" s="42" t="s">
        <v>1208</v>
      </c>
      <c r="D368" s="100" t="s">
        <v>292</v>
      </c>
      <c r="E368" s="149">
        <v>1</v>
      </c>
      <c r="F368" s="149">
        <f>(93585)*(1.023*1.005-2.3%*15%)*6.99+0*4.09</f>
        <v>670294</v>
      </c>
      <c r="G368" s="145">
        <f t="shared" si="135"/>
        <v>1.139</v>
      </c>
      <c r="H368" s="146">
        <f t="shared" si="139"/>
        <v>763465</v>
      </c>
      <c r="I368" s="145">
        <f>Дефляторы!$D$25</f>
        <v>1.052</v>
      </c>
      <c r="J368" s="146">
        <f t="shared" si="140"/>
        <v>803165</v>
      </c>
      <c r="K368" s="146">
        <f t="shared" si="141"/>
        <v>791255</v>
      </c>
      <c r="L368" s="147"/>
      <c r="M368" s="147"/>
      <c r="N368" s="147"/>
    </row>
    <row r="369" spans="1:14" s="148" customFormat="1" ht="15.75" outlineLevel="3" x14ac:dyDescent="0.2">
      <c r="A369" s="95" t="s">
        <v>1990</v>
      </c>
      <c r="B369" s="42" t="s">
        <v>1211</v>
      </c>
      <c r="C369" s="42" t="s">
        <v>1210</v>
      </c>
      <c r="D369" s="100" t="s">
        <v>292</v>
      </c>
      <c r="E369" s="149">
        <v>1</v>
      </c>
      <c r="F369" s="149">
        <f>(52820)*(1.023*1.005-2.3%*15%)*6.99+0*4.09</f>
        <v>378318</v>
      </c>
      <c r="G369" s="145">
        <f t="shared" si="135"/>
        <v>1.139</v>
      </c>
      <c r="H369" s="146">
        <f t="shared" si="139"/>
        <v>430904</v>
      </c>
      <c r="I369" s="145">
        <f>Дефляторы!$D$25</f>
        <v>1.052</v>
      </c>
      <c r="J369" s="146">
        <f t="shared" si="140"/>
        <v>453311</v>
      </c>
      <c r="K369" s="146">
        <f t="shared" si="141"/>
        <v>446589</v>
      </c>
      <c r="L369" s="147"/>
      <c r="M369" s="147"/>
      <c r="N369" s="147"/>
    </row>
    <row r="370" spans="1:14" s="148" customFormat="1" ht="15.75" outlineLevel="3" x14ac:dyDescent="0.2">
      <c r="A370" s="95" t="s">
        <v>1991</v>
      </c>
      <c r="B370" s="42" t="s">
        <v>1213</v>
      </c>
      <c r="C370" s="42" t="s">
        <v>1212</v>
      </c>
      <c r="D370" s="100" t="s">
        <v>292</v>
      </c>
      <c r="E370" s="149">
        <v>1</v>
      </c>
      <c r="F370" s="149">
        <f>(52876)*(1.023*1.005-2.3%*15%)*6.99+0*4.09</f>
        <v>378720</v>
      </c>
      <c r="G370" s="145">
        <f t="shared" si="135"/>
        <v>1.139</v>
      </c>
      <c r="H370" s="146">
        <f t="shared" si="139"/>
        <v>431362</v>
      </c>
      <c r="I370" s="145">
        <f>Дефляторы!$D$25</f>
        <v>1.052</v>
      </c>
      <c r="J370" s="146">
        <f t="shared" si="140"/>
        <v>453793</v>
      </c>
      <c r="K370" s="146">
        <f t="shared" si="141"/>
        <v>447064</v>
      </c>
      <c r="L370" s="147"/>
      <c r="M370" s="147"/>
      <c r="N370" s="147"/>
    </row>
    <row r="371" spans="1:14" s="237" customFormat="1" ht="15.75" outlineLevel="2" x14ac:dyDescent="0.2">
      <c r="A371" s="238" t="s">
        <v>578</v>
      </c>
      <c r="B371" s="229" t="s">
        <v>176</v>
      </c>
      <c r="C371" s="229" t="s">
        <v>1923</v>
      </c>
      <c r="D371" s="239" t="s">
        <v>292</v>
      </c>
      <c r="E371" s="240">
        <v>1</v>
      </c>
      <c r="F371" s="240">
        <f>F372</f>
        <v>1394201</v>
      </c>
      <c r="G371" s="241">
        <f t="shared" si="135"/>
        <v>1.139</v>
      </c>
      <c r="H371" s="240">
        <f>H372</f>
        <v>1587995</v>
      </c>
      <c r="I371" s="241">
        <f>Дефляторы!$D$25</f>
        <v>1.052</v>
      </c>
      <c r="J371" s="240">
        <f>J372</f>
        <v>1670571</v>
      </c>
      <c r="K371" s="240">
        <f>K372</f>
        <v>1645798</v>
      </c>
      <c r="L371" s="256"/>
      <c r="M371" s="256"/>
      <c r="N371" s="256"/>
    </row>
    <row r="372" spans="1:14" s="148" customFormat="1" ht="15.75" outlineLevel="3" x14ac:dyDescent="0.2">
      <c r="A372" s="95" t="s">
        <v>1992</v>
      </c>
      <c r="B372" s="42" t="s">
        <v>1215</v>
      </c>
      <c r="C372" s="42" t="s">
        <v>1214</v>
      </c>
      <c r="D372" s="100" t="s">
        <v>292</v>
      </c>
      <c r="E372" s="149">
        <v>1</v>
      </c>
      <c r="F372" s="149">
        <f>(13201+80806)*(1.023*1.005-2.3%*15%)*6.99+176249*4.09+26</f>
        <v>1394201</v>
      </c>
      <c r="G372" s="145">
        <f t="shared" si="135"/>
        <v>1.139</v>
      </c>
      <c r="H372" s="146">
        <f t="shared" ref="H372" si="142">F372*G372</f>
        <v>1587995</v>
      </c>
      <c r="I372" s="145">
        <f>Дефляторы!$D$25</f>
        <v>1.052</v>
      </c>
      <c r="J372" s="146">
        <f t="shared" ref="J372" si="143">H372*I372</f>
        <v>1670571</v>
      </c>
      <c r="K372" s="146">
        <f t="shared" ref="K372" si="144">H372+(J372-H372)*(1-30/100)</f>
        <v>1645798</v>
      </c>
      <c r="L372" s="147"/>
      <c r="M372" s="147"/>
      <c r="N372" s="147"/>
    </row>
    <row r="373" spans="1:14" s="237" customFormat="1" ht="15.75" outlineLevel="2" x14ac:dyDescent="0.2">
      <c r="A373" s="238" t="s">
        <v>579</v>
      </c>
      <c r="B373" s="229" t="s">
        <v>178</v>
      </c>
      <c r="C373" s="229" t="s">
        <v>1924</v>
      </c>
      <c r="D373" s="239" t="s">
        <v>292</v>
      </c>
      <c r="E373" s="240">
        <v>1</v>
      </c>
      <c r="F373" s="240">
        <f>SUM(F374:F375)</f>
        <v>721922</v>
      </c>
      <c r="G373" s="241">
        <f t="shared" si="135"/>
        <v>1.139</v>
      </c>
      <c r="H373" s="240">
        <f>SUM(H374:H375)</f>
        <v>822269</v>
      </c>
      <c r="I373" s="241">
        <f>Дефляторы!$D$25</f>
        <v>1.052</v>
      </c>
      <c r="J373" s="240">
        <f>SUM(J374:J375)</f>
        <v>865027</v>
      </c>
      <c r="K373" s="240">
        <f>SUM(K374:K375)</f>
        <v>852200</v>
      </c>
      <c r="L373" s="256"/>
      <c r="M373" s="256"/>
      <c r="N373" s="256"/>
    </row>
    <row r="374" spans="1:14" s="148" customFormat="1" ht="15.75" outlineLevel="3" x14ac:dyDescent="0.2">
      <c r="A374" s="95" t="s">
        <v>1993</v>
      </c>
      <c r="B374" s="42" t="s">
        <v>1217</v>
      </c>
      <c r="C374" s="42" t="s">
        <v>1216</v>
      </c>
      <c r="D374" s="100" t="s">
        <v>292</v>
      </c>
      <c r="E374" s="149">
        <v>1</v>
      </c>
      <c r="F374" s="149">
        <f>(72088)*(1.023*1.005-2.3%*15%)*6.99+13967*4.09+4</f>
        <v>573453</v>
      </c>
      <c r="G374" s="145">
        <f t="shared" si="135"/>
        <v>1.139</v>
      </c>
      <c r="H374" s="146">
        <f t="shared" ref="H374:H375" si="145">F374*G374</f>
        <v>653163</v>
      </c>
      <c r="I374" s="145">
        <f>Дефляторы!$D$25</f>
        <v>1.052</v>
      </c>
      <c r="J374" s="146">
        <f t="shared" ref="J374:J375" si="146">H374*I374</f>
        <v>687127</v>
      </c>
      <c r="K374" s="146">
        <f t="shared" ref="K374:K375" si="147">H374+(J374-H374)*(1-30/100)</f>
        <v>676938</v>
      </c>
      <c r="L374" s="147"/>
      <c r="M374" s="147"/>
      <c r="N374" s="147"/>
    </row>
    <row r="375" spans="1:14" s="148" customFormat="1" ht="15.75" outlineLevel="3" x14ac:dyDescent="0.2">
      <c r="A375" s="95" t="s">
        <v>1994</v>
      </c>
      <c r="B375" s="42" t="s">
        <v>1219</v>
      </c>
      <c r="C375" s="42" t="s">
        <v>1218</v>
      </c>
      <c r="D375" s="100" t="s">
        <v>292</v>
      </c>
      <c r="E375" s="149">
        <v>1</v>
      </c>
      <c r="F375" s="149">
        <f>(18832)*(1.023*1.005-2.3%*15%)*6.99+3322*4.09</f>
        <v>148469</v>
      </c>
      <c r="G375" s="145">
        <f t="shared" si="135"/>
        <v>1.139</v>
      </c>
      <c r="H375" s="146">
        <f t="shared" si="145"/>
        <v>169106</v>
      </c>
      <c r="I375" s="145">
        <f>Дефляторы!$D$25</f>
        <v>1.052</v>
      </c>
      <c r="J375" s="146">
        <f t="shared" si="146"/>
        <v>177900</v>
      </c>
      <c r="K375" s="146">
        <f t="shared" si="147"/>
        <v>175262</v>
      </c>
      <c r="L375" s="147"/>
      <c r="M375" s="147"/>
      <c r="N375" s="147"/>
    </row>
    <row r="376" spans="1:14" s="237" customFormat="1" ht="25.5" outlineLevel="2" x14ac:dyDescent="0.2">
      <c r="A376" s="238" t="s">
        <v>581</v>
      </c>
      <c r="B376" s="229" t="s">
        <v>180</v>
      </c>
      <c r="C376" s="229" t="s">
        <v>1925</v>
      </c>
      <c r="D376" s="239" t="s">
        <v>292</v>
      </c>
      <c r="E376" s="240">
        <v>1</v>
      </c>
      <c r="F376" s="240">
        <f>SUM(F377:F412)</f>
        <v>32930043</v>
      </c>
      <c r="G376" s="241">
        <f t="shared" si="135"/>
        <v>1.139</v>
      </c>
      <c r="H376" s="240">
        <f>SUM(H377:H412)</f>
        <v>37507319</v>
      </c>
      <c r="I376" s="241">
        <f>Дефляторы!$D$25</f>
        <v>1.052</v>
      </c>
      <c r="J376" s="240">
        <f>SUM(J377:J412)</f>
        <v>39457699</v>
      </c>
      <c r="K376" s="240">
        <f>SUM(K377:K412)</f>
        <v>38872589</v>
      </c>
      <c r="L376" s="256"/>
      <c r="M376" s="256"/>
      <c r="N376" s="256"/>
    </row>
    <row r="377" spans="1:14" s="148" customFormat="1" ht="15.75" outlineLevel="3" x14ac:dyDescent="0.2">
      <c r="A377" s="95" t="s">
        <v>1995</v>
      </c>
      <c r="B377" s="42" t="s">
        <v>1221</v>
      </c>
      <c r="C377" s="42" t="s">
        <v>1220</v>
      </c>
      <c r="D377" s="100" t="s">
        <v>292</v>
      </c>
      <c r="E377" s="100">
        <v>1</v>
      </c>
      <c r="F377" s="149">
        <f>(129237+258)*(1.023*1.005-2.3%*15%)*6.99+8526*4.09</f>
        <v>962367</v>
      </c>
      <c r="G377" s="145">
        <f t="shared" si="135"/>
        <v>1.139</v>
      </c>
      <c r="H377" s="146">
        <f t="shared" ref="H377:H413" si="148">F377*G377</f>
        <v>1096136</v>
      </c>
      <c r="I377" s="145">
        <f>Дефляторы!$D$25</f>
        <v>1.052</v>
      </c>
      <c r="J377" s="146">
        <f t="shared" ref="J377:J413" si="149">H377*I377</f>
        <v>1153135</v>
      </c>
      <c r="K377" s="146">
        <f t="shared" ref="K377:K413" si="150">H377+(J377-H377)*(1-30/100)</f>
        <v>1136035</v>
      </c>
      <c r="L377" s="147"/>
      <c r="M377" s="147"/>
      <c r="N377" s="147"/>
    </row>
    <row r="378" spans="1:14" s="148" customFormat="1" ht="15.75" outlineLevel="3" x14ac:dyDescent="0.2">
      <c r="A378" s="95" t="s">
        <v>1996</v>
      </c>
      <c r="B378" s="42" t="s">
        <v>1223</v>
      </c>
      <c r="C378" s="42" t="s">
        <v>1222</v>
      </c>
      <c r="D378" s="100" t="s">
        <v>292</v>
      </c>
      <c r="E378" s="100">
        <v>1</v>
      </c>
      <c r="F378" s="149">
        <f>(125968)*(1.023*1.005-2.3%*15%)*6.99+0*4.09</f>
        <v>902234</v>
      </c>
      <c r="G378" s="145">
        <f t="shared" si="135"/>
        <v>1.139</v>
      </c>
      <c r="H378" s="146">
        <f t="shared" si="148"/>
        <v>1027645</v>
      </c>
      <c r="I378" s="145">
        <f>Дефляторы!$D$25</f>
        <v>1.052</v>
      </c>
      <c r="J378" s="146">
        <f t="shared" si="149"/>
        <v>1081083</v>
      </c>
      <c r="K378" s="146">
        <f t="shared" si="150"/>
        <v>1065052</v>
      </c>
      <c r="L378" s="147"/>
      <c r="M378" s="147"/>
      <c r="N378" s="147"/>
    </row>
    <row r="379" spans="1:14" s="148" customFormat="1" ht="15.75" outlineLevel="3" x14ac:dyDescent="0.2">
      <c r="A379" s="95" t="s">
        <v>1997</v>
      </c>
      <c r="B379" s="42" t="s">
        <v>1224</v>
      </c>
      <c r="C379" s="42" t="s">
        <v>1225</v>
      </c>
      <c r="D379" s="100" t="s">
        <v>292</v>
      </c>
      <c r="E379" s="100">
        <v>1</v>
      </c>
      <c r="F379" s="149">
        <f>(5434)*(1.023*1.005-2.3%*15%)*6.99+0*4.09</f>
        <v>38921</v>
      </c>
      <c r="G379" s="145">
        <f t="shared" si="135"/>
        <v>1.139</v>
      </c>
      <c r="H379" s="146">
        <f t="shared" si="148"/>
        <v>44331</v>
      </c>
      <c r="I379" s="145">
        <f>Дефляторы!$D$25</f>
        <v>1.052</v>
      </c>
      <c r="J379" s="146">
        <f t="shared" si="149"/>
        <v>46636</v>
      </c>
      <c r="K379" s="146">
        <f t="shared" si="150"/>
        <v>45945</v>
      </c>
      <c r="L379" s="147"/>
      <c r="M379" s="147"/>
      <c r="N379" s="147"/>
    </row>
    <row r="380" spans="1:14" s="148" customFormat="1" ht="15.75" outlineLevel="3" x14ac:dyDescent="0.2">
      <c r="A380" s="95" t="s">
        <v>1998</v>
      </c>
      <c r="B380" s="42" t="s">
        <v>1227</v>
      </c>
      <c r="C380" s="42" t="s">
        <v>1226</v>
      </c>
      <c r="D380" s="100" t="s">
        <v>292</v>
      </c>
      <c r="E380" s="100">
        <v>1</v>
      </c>
      <c r="F380" s="149">
        <f>(108172)*(1.023*1.005-2.3%*15%)*6.99+763629*4.09</f>
        <v>3898015</v>
      </c>
      <c r="G380" s="145">
        <f t="shared" si="135"/>
        <v>1.139</v>
      </c>
      <c r="H380" s="146">
        <f t="shared" si="148"/>
        <v>4439839</v>
      </c>
      <c r="I380" s="145">
        <f>Дефляторы!$D$25</f>
        <v>1.052</v>
      </c>
      <c r="J380" s="146">
        <f t="shared" si="149"/>
        <v>4670711</v>
      </c>
      <c r="K380" s="146">
        <f t="shared" si="150"/>
        <v>4601449</v>
      </c>
      <c r="L380" s="147"/>
      <c r="M380" s="147"/>
      <c r="N380" s="147"/>
    </row>
    <row r="381" spans="1:14" s="148" customFormat="1" ht="15.75" outlineLevel="3" x14ac:dyDescent="0.2">
      <c r="A381" s="95" t="s">
        <v>1999</v>
      </c>
      <c r="B381" s="42" t="s">
        <v>1229</v>
      </c>
      <c r="C381" s="42" t="s">
        <v>1228</v>
      </c>
      <c r="D381" s="100" t="s">
        <v>292</v>
      </c>
      <c r="E381" s="100">
        <v>1</v>
      </c>
      <c r="F381" s="149">
        <f>(39501)*(1.023*1.005-2.3%*15%)*6.99+227393*4.09</f>
        <v>1212960</v>
      </c>
      <c r="G381" s="145">
        <f t="shared" si="135"/>
        <v>1.139</v>
      </c>
      <c r="H381" s="146">
        <f t="shared" si="148"/>
        <v>1381561</v>
      </c>
      <c r="I381" s="145">
        <f>Дефляторы!$D$25</f>
        <v>1.052</v>
      </c>
      <c r="J381" s="146">
        <f t="shared" si="149"/>
        <v>1453402</v>
      </c>
      <c r="K381" s="146">
        <f t="shared" si="150"/>
        <v>1431850</v>
      </c>
      <c r="L381" s="147"/>
      <c r="M381" s="147"/>
      <c r="N381" s="147"/>
    </row>
    <row r="382" spans="1:14" s="148" customFormat="1" ht="15.75" outlineLevel="3" x14ac:dyDescent="0.2">
      <c r="A382" s="95" t="s">
        <v>2000</v>
      </c>
      <c r="B382" s="42" t="s">
        <v>1231</v>
      </c>
      <c r="C382" s="42" t="s">
        <v>1230</v>
      </c>
      <c r="D382" s="100" t="s">
        <v>292</v>
      </c>
      <c r="E382" s="100">
        <v>1</v>
      </c>
      <c r="F382" s="149">
        <f>(5563)*(1.023*1.005-2.3%*15%)*6.99+175892*4.09</f>
        <v>759243</v>
      </c>
      <c r="G382" s="145">
        <f t="shared" si="135"/>
        <v>1.139</v>
      </c>
      <c r="H382" s="146">
        <f t="shared" si="148"/>
        <v>864778</v>
      </c>
      <c r="I382" s="145">
        <f>Дефляторы!$D$25</f>
        <v>1.052</v>
      </c>
      <c r="J382" s="146">
        <f t="shared" si="149"/>
        <v>909746</v>
      </c>
      <c r="K382" s="146">
        <f t="shared" si="150"/>
        <v>896256</v>
      </c>
      <c r="L382" s="147"/>
      <c r="M382" s="147"/>
      <c r="N382" s="147"/>
    </row>
    <row r="383" spans="1:14" s="148" customFormat="1" ht="15.75" outlineLevel="3" x14ac:dyDescent="0.2">
      <c r="A383" s="95" t="s">
        <v>2001</v>
      </c>
      <c r="B383" s="42" t="s">
        <v>1233</v>
      </c>
      <c r="C383" s="42" t="s">
        <v>1232</v>
      </c>
      <c r="D383" s="100" t="s">
        <v>292</v>
      </c>
      <c r="E383" s="100">
        <v>1</v>
      </c>
      <c r="F383" s="149">
        <f>(71382)*(1.023*1.005-2.3%*15%)*6.99+227879*4.09</f>
        <v>1443292</v>
      </c>
      <c r="G383" s="145">
        <f t="shared" si="135"/>
        <v>1.139</v>
      </c>
      <c r="H383" s="146">
        <f t="shared" si="148"/>
        <v>1643910</v>
      </c>
      <c r="I383" s="145">
        <f>Дефляторы!$D$25</f>
        <v>1.052</v>
      </c>
      <c r="J383" s="146">
        <f t="shared" si="149"/>
        <v>1729393</v>
      </c>
      <c r="K383" s="146">
        <f t="shared" si="150"/>
        <v>1703748</v>
      </c>
      <c r="L383" s="147"/>
      <c r="M383" s="147"/>
      <c r="N383" s="147"/>
    </row>
    <row r="384" spans="1:14" s="148" customFormat="1" ht="15.75" outlineLevel="3" x14ac:dyDescent="0.2">
      <c r="A384" s="95" t="s">
        <v>2002</v>
      </c>
      <c r="B384" s="42" t="s">
        <v>1235</v>
      </c>
      <c r="C384" s="42" t="s">
        <v>1234</v>
      </c>
      <c r="D384" s="100" t="s">
        <v>292</v>
      </c>
      <c r="E384" s="100">
        <v>1</v>
      </c>
      <c r="F384" s="149">
        <f>(66619)*(1.023*1.005-2.3%*15%)*6.99+309513*4.09</f>
        <v>1743061</v>
      </c>
      <c r="G384" s="145">
        <f t="shared" si="135"/>
        <v>1.139</v>
      </c>
      <c r="H384" s="146">
        <f t="shared" si="148"/>
        <v>1985346</v>
      </c>
      <c r="I384" s="145">
        <f>Дефляторы!$D$25</f>
        <v>1.052</v>
      </c>
      <c r="J384" s="146">
        <f t="shared" si="149"/>
        <v>2088584</v>
      </c>
      <c r="K384" s="146">
        <f t="shared" si="150"/>
        <v>2057613</v>
      </c>
      <c r="L384" s="147"/>
      <c r="M384" s="147"/>
      <c r="N384" s="147"/>
    </row>
    <row r="385" spans="1:14" s="148" customFormat="1" ht="15.75" outlineLevel="3" x14ac:dyDescent="0.2">
      <c r="A385" s="95" t="s">
        <v>2003</v>
      </c>
      <c r="B385" s="42" t="s">
        <v>1237</v>
      </c>
      <c r="C385" s="42" t="s">
        <v>1236</v>
      </c>
      <c r="D385" s="100" t="s">
        <v>292</v>
      </c>
      <c r="E385" s="100">
        <v>1</v>
      </c>
      <c r="F385" s="149">
        <f>(21222)*(1.023*1.005-2.3%*15%)*6.99+236503*4.09</f>
        <v>1119298</v>
      </c>
      <c r="G385" s="145">
        <f t="shared" si="135"/>
        <v>1.139</v>
      </c>
      <c r="H385" s="146">
        <f t="shared" si="148"/>
        <v>1274880</v>
      </c>
      <c r="I385" s="145">
        <f>Дефляторы!$D$25</f>
        <v>1.052</v>
      </c>
      <c r="J385" s="146">
        <f t="shared" si="149"/>
        <v>1341174</v>
      </c>
      <c r="K385" s="146">
        <f t="shared" si="150"/>
        <v>1321286</v>
      </c>
      <c r="L385" s="147"/>
      <c r="M385" s="147"/>
      <c r="N385" s="147"/>
    </row>
    <row r="386" spans="1:14" s="148" customFormat="1" ht="15.75" outlineLevel="3" x14ac:dyDescent="0.2">
      <c r="A386" s="95" t="s">
        <v>2004</v>
      </c>
      <c r="B386" s="42" t="s">
        <v>1239</v>
      </c>
      <c r="C386" s="42" t="s">
        <v>1238</v>
      </c>
      <c r="D386" s="100" t="s">
        <v>292</v>
      </c>
      <c r="E386" s="100">
        <v>1</v>
      </c>
      <c r="F386" s="149">
        <f>(10293+20)*(1.023*1.005-2.3%*15%)*6.99+4550*4.09</f>
        <v>92475</v>
      </c>
      <c r="G386" s="145">
        <f t="shared" si="135"/>
        <v>1.139</v>
      </c>
      <c r="H386" s="146">
        <f t="shared" si="148"/>
        <v>105329</v>
      </c>
      <c r="I386" s="145">
        <f>Дефляторы!$D$25</f>
        <v>1.052</v>
      </c>
      <c r="J386" s="146">
        <f t="shared" si="149"/>
        <v>110806</v>
      </c>
      <c r="K386" s="146">
        <f t="shared" si="150"/>
        <v>109163</v>
      </c>
      <c r="L386" s="147"/>
      <c r="M386" s="147"/>
      <c r="N386" s="147"/>
    </row>
    <row r="387" spans="1:14" s="148" customFormat="1" ht="15.75" outlineLevel="3" x14ac:dyDescent="0.2">
      <c r="A387" s="95" t="s">
        <v>2005</v>
      </c>
      <c r="B387" s="42" t="s">
        <v>1241</v>
      </c>
      <c r="C387" s="42" t="s">
        <v>1240</v>
      </c>
      <c r="D387" s="100" t="s">
        <v>292</v>
      </c>
      <c r="E387" s="100">
        <v>1</v>
      </c>
      <c r="F387" s="149">
        <f>(19131)*(1.023*1.005-2.3%*15%)*6.99+254462*4.09</f>
        <v>1177774</v>
      </c>
      <c r="G387" s="145">
        <f t="shared" si="135"/>
        <v>1.139</v>
      </c>
      <c r="H387" s="146">
        <f t="shared" si="148"/>
        <v>1341485</v>
      </c>
      <c r="I387" s="145">
        <f>Дефляторы!$D$25</f>
        <v>1.052</v>
      </c>
      <c r="J387" s="146">
        <f t="shared" si="149"/>
        <v>1411242</v>
      </c>
      <c r="K387" s="146">
        <f t="shared" si="150"/>
        <v>1390315</v>
      </c>
      <c r="L387" s="147"/>
      <c r="M387" s="147"/>
      <c r="N387" s="147"/>
    </row>
    <row r="388" spans="1:14" s="148" customFormat="1" ht="15.75" outlineLevel="3" x14ac:dyDescent="0.2">
      <c r="A388" s="95" t="s">
        <v>2006</v>
      </c>
      <c r="B388" s="42" t="s">
        <v>1243</v>
      </c>
      <c r="C388" s="42" t="s">
        <v>1242</v>
      </c>
      <c r="D388" s="100" t="s">
        <v>292</v>
      </c>
      <c r="E388" s="100">
        <v>1</v>
      </c>
      <c r="F388" s="149">
        <f>(23875)*(1.023*1.005-2.3%*15%)*6.99+251235*4.09</f>
        <v>1198554</v>
      </c>
      <c r="G388" s="145">
        <f t="shared" si="135"/>
        <v>1.139</v>
      </c>
      <c r="H388" s="146">
        <f t="shared" si="148"/>
        <v>1365153</v>
      </c>
      <c r="I388" s="145">
        <f>Дефляторы!$D$25</f>
        <v>1.052</v>
      </c>
      <c r="J388" s="146">
        <f t="shared" si="149"/>
        <v>1436141</v>
      </c>
      <c r="K388" s="146">
        <f t="shared" si="150"/>
        <v>1414845</v>
      </c>
      <c r="L388" s="147"/>
      <c r="M388" s="147"/>
      <c r="N388" s="147"/>
    </row>
    <row r="389" spans="1:14" s="148" customFormat="1" ht="15.75" outlineLevel="3" x14ac:dyDescent="0.2">
      <c r="A389" s="95" t="s">
        <v>2007</v>
      </c>
      <c r="B389" s="42" t="s">
        <v>1245</v>
      </c>
      <c r="C389" s="42" t="s">
        <v>1244</v>
      </c>
      <c r="D389" s="100" t="s">
        <v>292</v>
      </c>
      <c r="E389" s="100">
        <v>1</v>
      </c>
      <c r="F389" s="149">
        <f>(6649)*(1.023*1.005-2.3%*15%)*6.99+34968*4.09</f>
        <v>190642</v>
      </c>
      <c r="G389" s="145">
        <f t="shared" si="135"/>
        <v>1.139</v>
      </c>
      <c r="H389" s="146">
        <f t="shared" si="148"/>
        <v>217141</v>
      </c>
      <c r="I389" s="145">
        <f>Дефляторы!$D$25</f>
        <v>1.052</v>
      </c>
      <c r="J389" s="146">
        <f t="shared" si="149"/>
        <v>228432</v>
      </c>
      <c r="K389" s="146">
        <f t="shared" si="150"/>
        <v>225045</v>
      </c>
      <c r="L389" s="147"/>
      <c r="M389" s="147"/>
      <c r="N389" s="147"/>
    </row>
    <row r="390" spans="1:14" s="148" customFormat="1" ht="15.75" outlineLevel="3" x14ac:dyDescent="0.2">
      <c r="A390" s="95" t="s">
        <v>2008</v>
      </c>
      <c r="B390" s="42" t="s">
        <v>1247</v>
      </c>
      <c r="C390" s="42" t="s">
        <v>1246</v>
      </c>
      <c r="D390" s="100" t="s">
        <v>292</v>
      </c>
      <c r="E390" s="100">
        <v>1</v>
      </c>
      <c r="F390" s="149">
        <f>(14561)*(1.023*1.005-2.3%*15%)*6.99+48321*4.09</f>
        <v>301925</v>
      </c>
      <c r="G390" s="145">
        <f t="shared" si="135"/>
        <v>1.139</v>
      </c>
      <c r="H390" s="146">
        <f t="shared" si="148"/>
        <v>343893</v>
      </c>
      <c r="I390" s="145">
        <f>Дефляторы!$D$25</f>
        <v>1.052</v>
      </c>
      <c r="J390" s="146">
        <f t="shared" si="149"/>
        <v>361775</v>
      </c>
      <c r="K390" s="146">
        <f t="shared" si="150"/>
        <v>356410</v>
      </c>
      <c r="L390" s="147"/>
      <c r="M390" s="147"/>
      <c r="N390" s="147"/>
    </row>
    <row r="391" spans="1:14" s="148" customFormat="1" ht="15.75" outlineLevel="3" x14ac:dyDescent="0.2">
      <c r="A391" s="95" t="s">
        <v>2009</v>
      </c>
      <c r="B391" s="42" t="s">
        <v>1249</v>
      </c>
      <c r="C391" s="42" t="s">
        <v>1248</v>
      </c>
      <c r="D391" s="100" t="s">
        <v>292</v>
      </c>
      <c r="E391" s="100">
        <v>1</v>
      </c>
      <c r="F391" s="149">
        <f>(12266)*(1.023*1.005-2.3%*15%)*6.99+38070*4.09</f>
        <v>243560</v>
      </c>
      <c r="G391" s="145">
        <f t="shared" si="135"/>
        <v>1.139</v>
      </c>
      <c r="H391" s="146">
        <f t="shared" si="148"/>
        <v>277415</v>
      </c>
      <c r="I391" s="145">
        <f>Дефляторы!$D$25</f>
        <v>1.052</v>
      </c>
      <c r="J391" s="146">
        <f t="shared" si="149"/>
        <v>291841</v>
      </c>
      <c r="K391" s="146">
        <f t="shared" si="150"/>
        <v>287513</v>
      </c>
      <c r="L391" s="147"/>
      <c r="M391" s="147"/>
      <c r="N391" s="147"/>
    </row>
    <row r="392" spans="1:14" s="148" customFormat="1" ht="15.75" outlineLevel="3" x14ac:dyDescent="0.2">
      <c r="A392" s="95" t="s">
        <v>2010</v>
      </c>
      <c r="B392" s="42" t="s">
        <v>1251</v>
      </c>
      <c r="C392" s="42" t="s">
        <v>1250</v>
      </c>
      <c r="D392" s="100" t="s">
        <v>292</v>
      </c>
      <c r="E392" s="100">
        <v>1</v>
      </c>
      <c r="F392" s="149">
        <f>(9687)*(1.023*1.005-2.3%*15%)*6.99+31777*4.09</f>
        <v>199350</v>
      </c>
      <c r="G392" s="145">
        <f t="shared" si="135"/>
        <v>1.139</v>
      </c>
      <c r="H392" s="146">
        <f t="shared" si="148"/>
        <v>227060</v>
      </c>
      <c r="I392" s="145">
        <f>Дефляторы!$D$25</f>
        <v>1.052</v>
      </c>
      <c r="J392" s="146">
        <f t="shared" si="149"/>
        <v>238867</v>
      </c>
      <c r="K392" s="146">
        <f t="shared" si="150"/>
        <v>235325</v>
      </c>
      <c r="L392" s="147"/>
      <c r="M392" s="147"/>
      <c r="N392" s="147"/>
    </row>
    <row r="393" spans="1:14" s="148" customFormat="1" ht="15.75" outlineLevel="3" x14ac:dyDescent="0.2">
      <c r="A393" s="95" t="s">
        <v>2011</v>
      </c>
      <c r="B393" s="42" t="s">
        <v>1253</v>
      </c>
      <c r="C393" s="42" t="s">
        <v>1252</v>
      </c>
      <c r="D393" s="100" t="s">
        <v>292</v>
      </c>
      <c r="E393" s="100">
        <v>1</v>
      </c>
      <c r="F393" s="149">
        <f>(11652)*(1.023*1.005-2.3%*15%)*6.99+31777*4.09</f>
        <v>213424</v>
      </c>
      <c r="G393" s="145">
        <f t="shared" si="135"/>
        <v>1.139</v>
      </c>
      <c r="H393" s="146">
        <f t="shared" si="148"/>
        <v>243090</v>
      </c>
      <c r="I393" s="145">
        <f>Дефляторы!$D$25</f>
        <v>1.052</v>
      </c>
      <c r="J393" s="146">
        <f t="shared" si="149"/>
        <v>255731</v>
      </c>
      <c r="K393" s="146">
        <f t="shared" si="150"/>
        <v>251939</v>
      </c>
      <c r="L393" s="147"/>
      <c r="M393" s="147"/>
      <c r="N393" s="147"/>
    </row>
    <row r="394" spans="1:14" s="148" customFormat="1" ht="15.75" outlineLevel="3" x14ac:dyDescent="0.2">
      <c r="A394" s="95" t="s">
        <v>2012</v>
      </c>
      <c r="B394" s="42" t="s">
        <v>1255</v>
      </c>
      <c r="C394" s="42" t="s">
        <v>1254</v>
      </c>
      <c r="D394" s="100" t="s">
        <v>292</v>
      </c>
      <c r="E394" s="100">
        <v>1</v>
      </c>
      <c r="F394" s="149">
        <f>(13011)*(1.023*1.005-2.3%*15%)*6.99+29931*4.09</f>
        <v>215608</v>
      </c>
      <c r="G394" s="145">
        <f t="shared" si="135"/>
        <v>1.139</v>
      </c>
      <c r="H394" s="146">
        <f t="shared" si="148"/>
        <v>245578</v>
      </c>
      <c r="I394" s="145">
        <f>Дефляторы!$D$25</f>
        <v>1.052</v>
      </c>
      <c r="J394" s="146">
        <f t="shared" si="149"/>
        <v>258348</v>
      </c>
      <c r="K394" s="146">
        <f t="shared" si="150"/>
        <v>254517</v>
      </c>
      <c r="L394" s="147"/>
      <c r="M394" s="147"/>
      <c r="N394" s="147"/>
    </row>
    <row r="395" spans="1:14" s="148" customFormat="1" ht="15.75" outlineLevel="3" x14ac:dyDescent="0.2">
      <c r="A395" s="95" t="s">
        <v>2013</v>
      </c>
      <c r="B395" s="42" t="s">
        <v>1257</v>
      </c>
      <c r="C395" s="42" t="s">
        <v>1256</v>
      </c>
      <c r="D395" s="100" t="s">
        <v>292</v>
      </c>
      <c r="E395" s="100">
        <v>1</v>
      </c>
      <c r="F395" s="149">
        <f>(6755)*(1.023*1.005-2.3%*15%)*6.99+11309*4.09</f>
        <v>94636</v>
      </c>
      <c r="G395" s="145">
        <f t="shared" si="135"/>
        <v>1.139</v>
      </c>
      <c r="H395" s="146">
        <f t="shared" si="148"/>
        <v>107790</v>
      </c>
      <c r="I395" s="145">
        <f>Дефляторы!$D$25</f>
        <v>1.052</v>
      </c>
      <c r="J395" s="146">
        <f t="shared" si="149"/>
        <v>113395</v>
      </c>
      <c r="K395" s="146">
        <f t="shared" si="150"/>
        <v>111714</v>
      </c>
      <c r="L395" s="147"/>
      <c r="M395" s="147"/>
      <c r="N395" s="147"/>
    </row>
    <row r="396" spans="1:14" s="148" customFormat="1" ht="15.75" outlineLevel="3" x14ac:dyDescent="0.2">
      <c r="A396" s="95" t="s">
        <v>2014</v>
      </c>
      <c r="B396" s="42" t="s">
        <v>1259</v>
      </c>
      <c r="C396" s="42" t="s">
        <v>1258</v>
      </c>
      <c r="D396" s="100" t="s">
        <v>292</v>
      </c>
      <c r="E396" s="100">
        <v>1</v>
      </c>
      <c r="F396" s="149">
        <f>(51105)*(1.023*1.005-2.3%*15%)*6.99+59976*4.09</f>
        <v>611337</v>
      </c>
      <c r="G396" s="145">
        <f t="shared" si="135"/>
        <v>1.139</v>
      </c>
      <c r="H396" s="146">
        <f t="shared" si="148"/>
        <v>696313</v>
      </c>
      <c r="I396" s="145">
        <f>Дефляторы!$D$25</f>
        <v>1.052</v>
      </c>
      <c r="J396" s="146">
        <f t="shared" si="149"/>
        <v>732521</v>
      </c>
      <c r="K396" s="146">
        <f t="shared" si="150"/>
        <v>721659</v>
      </c>
      <c r="L396" s="147"/>
      <c r="M396" s="147"/>
      <c r="N396" s="147"/>
    </row>
    <row r="397" spans="1:14" s="148" customFormat="1" ht="15.75" outlineLevel="3" x14ac:dyDescent="0.2">
      <c r="A397" s="95" t="s">
        <v>2015</v>
      </c>
      <c r="B397" s="42" t="s">
        <v>1261</v>
      </c>
      <c r="C397" s="42" t="s">
        <v>1260</v>
      </c>
      <c r="D397" s="100" t="s">
        <v>292</v>
      </c>
      <c r="E397" s="100">
        <v>1</v>
      </c>
      <c r="F397" s="149">
        <f>(19466)*(1.023*1.005-2.3%*15%)*6.99+59976*4.09</f>
        <v>384725</v>
      </c>
      <c r="G397" s="145">
        <f t="shared" si="135"/>
        <v>1.139</v>
      </c>
      <c r="H397" s="146">
        <f t="shared" si="148"/>
        <v>438202</v>
      </c>
      <c r="I397" s="145">
        <f>Дефляторы!$D$25</f>
        <v>1.052</v>
      </c>
      <c r="J397" s="146">
        <f t="shared" si="149"/>
        <v>460989</v>
      </c>
      <c r="K397" s="146">
        <f t="shared" si="150"/>
        <v>454153</v>
      </c>
      <c r="L397" s="147"/>
      <c r="M397" s="147"/>
      <c r="N397" s="147"/>
    </row>
    <row r="398" spans="1:14" s="148" customFormat="1" ht="15.75" outlineLevel="3" x14ac:dyDescent="0.2">
      <c r="A398" s="95" t="s">
        <v>2016</v>
      </c>
      <c r="B398" s="42" t="s">
        <v>1263</v>
      </c>
      <c r="C398" s="42" t="s">
        <v>1262</v>
      </c>
      <c r="D398" s="100" t="s">
        <v>292</v>
      </c>
      <c r="E398" s="100">
        <v>1</v>
      </c>
      <c r="F398" s="149">
        <f>(17402)*(1.023*1.005-2.3%*15%)*6.99+60934*4.09</f>
        <v>373860</v>
      </c>
      <c r="G398" s="145">
        <f t="shared" si="135"/>
        <v>1.139</v>
      </c>
      <c r="H398" s="146">
        <f t="shared" si="148"/>
        <v>425827</v>
      </c>
      <c r="I398" s="145">
        <f>Дефляторы!$D$25</f>
        <v>1.052</v>
      </c>
      <c r="J398" s="146">
        <f t="shared" si="149"/>
        <v>447970</v>
      </c>
      <c r="K398" s="146">
        <f t="shared" si="150"/>
        <v>441327</v>
      </c>
      <c r="L398" s="147"/>
      <c r="M398" s="147"/>
      <c r="N398" s="147"/>
    </row>
    <row r="399" spans="1:14" s="148" customFormat="1" ht="15.75" outlineLevel="3" x14ac:dyDescent="0.2">
      <c r="A399" s="95" t="s">
        <v>2017</v>
      </c>
      <c r="B399" s="42" t="s">
        <v>1265</v>
      </c>
      <c r="C399" s="42" t="s">
        <v>1264</v>
      </c>
      <c r="D399" s="100" t="s">
        <v>292</v>
      </c>
      <c r="E399" s="100">
        <v>1</v>
      </c>
      <c r="F399" s="149">
        <f>(38158)*(1.023*1.005-2.3%*15%)*6.99+72562*4.09</f>
        <v>570082</v>
      </c>
      <c r="G399" s="145">
        <f t="shared" si="135"/>
        <v>1.139</v>
      </c>
      <c r="H399" s="146">
        <f t="shared" si="148"/>
        <v>649323</v>
      </c>
      <c r="I399" s="145">
        <f>Дефляторы!$D$25</f>
        <v>1.052</v>
      </c>
      <c r="J399" s="146">
        <f t="shared" si="149"/>
        <v>683088</v>
      </c>
      <c r="K399" s="146">
        <f t="shared" si="150"/>
        <v>672959</v>
      </c>
      <c r="L399" s="147"/>
      <c r="M399" s="147"/>
      <c r="N399" s="147"/>
    </row>
    <row r="400" spans="1:14" s="148" customFormat="1" ht="15.75" outlineLevel="3" x14ac:dyDescent="0.2">
      <c r="A400" s="95" t="s">
        <v>2018</v>
      </c>
      <c r="B400" s="42" t="s">
        <v>1267</v>
      </c>
      <c r="C400" s="42" t="s">
        <v>1266</v>
      </c>
      <c r="D400" s="100" t="s">
        <v>292</v>
      </c>
      <c r="E400" s="100">
        <v>1</v>
      </c>
      <c r="F400" s="149">
        <f>(5694+20)*(1.023*1.005-2.3%*15%)*6.99+5910*4.09</f>
        <v>65098</v>
      </c>
      <c r="G400" s="145">
        <f t="shared" si="135"/>
        <v>1.139</v>
      </c>
      <c r="H400" s="146">
        <f t="shared" si="148"/>
        <v>74147</v>
      </c>
      <c r="I400" s="145">
        <f>Дефляторы!$D$25</f>
        <v>1.052</v>
      </c>
      <c r="J400" s="146">
        <f t="shared" si="149"/>
        <v>78003</v>
      </c>
      <c r="K400" s="146">
        <f t="shared" si="150"/>
        <v>76846</v>
      </c>
      <c r="L400" s="147"/>
      <c r="M400" s="147"/>
      <c r="N400" s="147"/>
    </row>
    <row r="401" spans="1:14" s="148" customFormat="1" ht="15.75" outlineLevel="3" x14ac:dyDescent="0.2">
      <c r="A401" s="95" t="s">
        <v>2019</v>
      </c>
      <c r="B401" s="42" t="s">
        <v>1269</v>
      </c>
      <c r="C401" s="42" t="s">
        <v>1268</v>
      </c>
      <c r="D401" s="100" t="s">
        <v>292</v>
      </c>
      <c r="E401" s="100">
        <v>1</v>
      </c>
      <c r="F401" s="149">
        <f>(15852)*(1.023*1.005-2.3%*15%)*6.99+60028*4.09</f>
        <v>359053</v>
      </c>
      <c r="G401" s="145">
        <f t="shared" si="135"/>
        <v>1.139</v>
      </c>
      <c r="H401" s="146">
        <f t="shared" si="148"/>
        <v>408961</v>
      </c>
      <c r="I401" s="145">
        <f>Дефляторы!$D$25</f>
        <v>1.052</v>
      </c>
      <c r="J401" s="146">
        <f t="shared" si="149"/>
        <v>430227</v>
      </c>
      <c r="K401" s="146">
        <f t="shared" si="150"/>
        <v>423847</v>
      </c>
      <c r="L401" s="147"/>
      <c r="M401" s="147"/>
      <c r="N401" s="147"/>
    </row>
    <row r="402" spans="1:14" s="148" customFormat="1" ht="15.75" outlineLevel="3" x14ac:dyDescent="0.2">
      <c r="A402" s="95" t="s">
        <v>2020</v>
      </c>
      <c r="B402" s="42" t="s">
        <v>1271</v>
      </c>
      <c r="C402" s="42" t="s">
        <v>1270</v>
      </c>
      <c r="D402" s="100" t="s">
        <v>292</v>
      </c>
      <c r="E402" s="100">
        <v>1</v>
      </c>
      <c r="F402" s="149">
        <f>(19794)*(1.023*1.005-2.3%*15%)*6.99+71259*4.09</f>
        <v>433222</v>
      </c>
      <c r="G402" s="145">
        <f t="shared" si="135"/>
        <v>1.139</v>
      </c>
      <c r="H402" s="146">
        <f t="shared" si="148"/>
        <v>493440</v>
      </c>
      <c r="I402" s="145">
        <f>Дефляторы!$D$25</f>
        <v>1.052</v>
      </c>
      <c r="J402" s="146">
        <f t="shared" si="149"/>
        <v>519099</v>
      </c>
      <c r="K402" s="146">
        <f t="shared" si="150"/>
        <v>511401</v>
      </c>
      <c r="L402" s="147"/>
      <c r="M402" s="147"/>
      <c r="N402" s="147"/>
    </row>
    <row r="403" spans="1:14" s="148" customFormat="1" ht="15.75" outlineLevel="3" x14ac:dyDescent="0.2">
      <c r="A403" s="95" t="s">
        <v>2021</v>
      </c>
      <c r="B403" s="42" t="s">
        <v>1273</v>
      </c>
      <c r="C403" s="42" t="s">
        <v>1272</v>
      </c>
      <c r="D403" s="100" t="s">
        <v>292</v>
      </c>
      <c r="E403" s="100">
        <v>1</v>
      </c>
      <c r="F403" s="149">
        <f>(74612)*(1.023*1.005-2.3%*15%)*6.99+171769*4.09</f>
        <v>1236937</v>
      </c>
      <c r="G403" s="145">
        <f t="shared" si="135"/>
        <v>1.139</v>
      </c>
      <c r="H403" s="146">
        <f t="shared" si="148"/>
        <v>1408871</v>
      </c>
      <c r="I403" s="145">
        <f>Дефляторы!$D$25</f>
        <v>1.052</v>
      </c>
      <c r="J403" s="146">
        <f t="shared" si="149"/>
        <v>1482132</v>
      </c>
      <c r="K403" s="146">
        <f t="shared" si="150"/>
        <v>1460154</v>
      </c>
      <c r="L403" s="147"/>
      <c r="M403" s="147"/>
      <c r="N403" s="147"/>
    </row>
    <row r="404" spans="1:14" s="148" customFormat="1" ht="15.75" outlineLevel="3" x14ac:dyDescent="0.2">
      <c r="A404" s="95" t="s">
        <v>2022</v>
      </c>
      <c r="B404" s="42" t="s">
        <v>1275</v>
      </c>
      <c r="C404" s="42" t="s">
        <v>1274</v>
      </c>
      <c r="D404" s="100" t="s">
        <v>292</v>
      </c>
      <c r="E404" s="100">
        <v>1</v>
      </c>
      <c r="F404" s="149">
        <f>(78918)*(1.023*1.005-2.3%*15%)*6.99+181201*4.09</f>
        <v>1306355</v>
      </c>
      <c r="G404" s="145">
        <f t="shared" si="135"/>
        <v>1.139</v>
      </c>
      <c r="H404" s="146">
        <f t="shared" si="148"/>
        <v>1487938</v>
      </c>
      <c r="I404" s="145">
        <f>Дефляторы!$D$25</f>
        <v>1.052</v>
      </c>
      <c r="J404" s="146">
        <f t="shared" si="149"/>
        <v>1565311</v>
      </c>
      <c r="K404" s="146">
        <f t="shared" si="150"/>
        <v>1542099</v>
      </c>
      <c r="L404" s="147"/>
      <c r="M404" s="147"/>
      <c r="N404" s="147"/>
    </row>
    <row r="405" spans="1:14" s="148" customFormat="1" ht="15.75" outlineLevel="3" x14ac:dyDescent="0.2">
      <c r="A405" s="95" t="s">
        <v>2023</v>
      </c>
      <c r="B405" s="42" t="s">
        <v>1277</v>
      </c>
      <c r="C405" s="42" t="s">
        <v>1276</v>
      </c>
      <c r="D405" s="100" t="s">
        <v>292</v>
      </c>
      <c r="E405" s="100">
        <v>1</v>
      </c>
      <c r="F405" s="149">
        <f>(78674)*(1.023*1.005-2.3%*15%)*6.99+176485*4.09</f>
        <v>1285319</v>
      </c>
      <c r="G405" s="145">
        <f t="shared" si="135"/>
        <v>1.139</v>
      </c>
      <c r="H405" s="146">
        <f t="shared" si="148"/>
        <v>1463978</v>
      </c>
      <c r="I405" s="145">
        <f>Дефляторы!$D$25</f>
        <v>1.052</v>
      </c>
      <c r="J405" s="146">
        <f t="shared" si="149"/>
        <v>1540105</v>
      </c>
      <c r="K405" s="146">
        <f t="shared" si="150"/>
        <v>1517267</v>
      </c>
      <c r="L405" s="147"/>
      <c r="M405" s="147"/>
      <c r="N405" s="147"/>
    </row>
    <row r="406" spans="1:14" s="148" customFormat="1" ht="15.75" outlineLevel="3" x14ac:dyDescent="0.2">
      <c r="A406" s="95" t="s">
        <v>2024</v>
      </c>
      <c r="B406" s="42" t="s">
        <v>1279</v>
      </c>
      <c r="C406" s="42" t="s">
        <v>1278</v>
      </c>
      <c r="D406" s="100" t="s">
        <v>292</v>
      </c>
      <c r="E406" s="100">
        <v>1</v>
      </c>
      <c r="F406" s="149">
        <f>(78918)*(1.023*1.005-2.3%*15%)*6.99+225699*4.09</f>
        <v>1488352</v>
      </c>
      <c r="G406" s="145">
        <f t="shared" si="135"/>
        <v>1.139</v>
      </c>
      <c r="H406" s="146">
        <f t="shared" si="148"/>
        <v>1695233</v>
      </c>
      <c r="I406" s="145">
        <f>Дефляторы!$D$25</f>
        <v>1.052</v>
      </c>
      <c r="J406" s="146">
        <f t="shared" si="149"/>
        <v>1783385</v>
      </c>
      <c r="K406" s="146">
        <f t="shared" si="150"/>
        <v>1756939</v>
      </c>
      <c r="L406" s="147"/>
      <c r="M406" s="147"/>
      <c r="N406" s="147"/>
    </row>
    <row r="407" spans="1:14" s="148" customFormat="1" ht="15.75" outlineLevel="3" x14ac:dyDescent="0.2">
      <c r="A407" s="95" t="s">
        <v>2025</v>
      </c>
      <c r="B407" s="42" t="s">
        <v>1281</v>
      </c>
      <c r="C407" s="42" t="s">
        <v>1280</v>
      </c>
      <c r="D407" s="100" t="s">
        <v>292</v>
      </c>
      <c r="E407" s="100">
        <v>1</v>
      </c>
      <c r="F407" s="149">
        <f>(43424)*(1.023*1.005-2.3%*15%)*6.99+43454*4.09</f>
        <v>488747</v>
      </c>
      <c r="G407" s="145">
        <f t="shared" si="135"/>
        <v>1.139</v>
      </c>
      <c r="H407" s="146">
        <f t="shared" si="148"/>
        <v>556683</v>
      </c>
      <c r="I407" s="145">
        <f>Дефляторы!$D$25</f>
        <v>1.052</v>
      </c>
      <c r="J407" s="146">
        <f t="shared" si="149"/>
        <v>585631</v>
      </c>
      <c r="K407" s="146">
        <f t="shared" si="150"/>
        <v>576947</v>
      </c>
      <c r="L407" s="147"/>
      <c r="M407" s="147"/>
      <c r="N407" s="147"/>
    </row>
    <row r="408" spans="1:14" s="148" customFormat="1" ht="15.75" outlineLevel="3" x14ac:dyDescent="0.2">
      <c r="A408" s="95" t="s">
        <v>2026</v>
      </c>
      <c r="B408" s="42" t="s">
        <v>1283</v>
      </c>
      <c r="C408" s="42" t="s">
        <v>1282</v>
      </c>
      <c r="D408" s="100" t="s">
        <v>292</v>
      </c>
      <c r="E408" s="100">
        <v>1</v>
      </c>
      <c r="F408" s="149">
        <f>(38583)*(1.023*1.005-2.3%*15%)*6.99+39278*4.09</f>
        <v>436994</v>
      </c>
      <c r="G408" s="145">
        <f t="shared" si="135"/>
        <v>1.139</v>
      </c>
      <c r="H408" s="146">
        <f t="shared" si="148"/>
        <v>497736</v>
      </c>
      <c r="I408" s="145">
        <f>Дефляторы!$D$25</f>
        <v>1.052</v>
      </c>
      <c r="J408" s="146">
        <f t="shared" si="149"/>
        <v>523618</v>
      </c>
      <c r="K408" s="146">
        <f t="shared" si="150"/>
        <v>515853</v>
      </c>
      <c r="L408" s="147"/>
      <c r="M408" s="147"/>
      <c r="N408" s="147"/>
    </row>
    <row r="409" spans="1:14" s="148" customFormat="1" ht="15.75" outlineLevel="3" x14ac:dyDescent="0.2">
      <c r="A409" s="95" t="s">
        <v>2027</v>
      </c>
      <c r="B409" s="42" t="s">
        <v>1285</v>
      </c>
      <c r="C409" s="42" t="s">
        <v>1284</v>
      </c>
      <c r="D409" s="100" t="s">
        <v>292</v>
      </c>
      <c r="E409" s="100">
        <v>1</v>
      </c>
      <c r="F409" s="149">
        <f>(48691)*(1.023*1.005-2.3%*15%)*6.99+38827*4.09</f>
        <v>507547</v>
      </c>
      <c r="G409" s="145">
        <f t="shared" si="135"/>
        <v>1.139</v>
      </c>
      <c r="H409" s="146">
        <f t="shared" si="148"/>
        <v>578096</v>
      </c>
      <c r="I409" s="145">
        <f>Дефляторы!$D$25</f>
        <v>1.052</v>
      </c>
      <c r="J409" s="146">
        <f t="shared" si="149"/>
        <v>608157</v>
      </c>
      <c r="K409" s="146">
        <f t="shared" si="150"/>
        <v>599139</v>
      </c>
      <c r="L409" s="147"/>
      <c r="M409" s="147"/>
      <c r="N409" s="147"/>
    </row>
    <row r="410" spans="1:14" s="148" customFormat="1" ht="15.75" outlineLevel="3" x14ac:dyDescent="0.2">
      <c r="A410" s="95" t="s">
        <v>2028</v>
      </c>
      <c r="B410" s="42" t="s">
        <v>1287</v>
      </c>
      <c r="C410" s="42" t="s">
        <v>1286</v>
      </c>
      <c r="D410" s="100" t="s">
        <v>292</v>
      </c>
      <c r="E410" s="100">
        <v>1</v>
      </c>
      <c r="F410" s="149">
        <f>(48936)*(1.023*1.005-2.3%*15%)*6.99+51874*4.09</f>
        <v>562664</v>
      </c>
      <c r="G410" s="145">
        <f t="shared" si="135"/>
        <v>1.139</v>
      </c>
      <c r="H410" s="146">
        <f t="shared" si="148"/>
        <v>640874</v>
      </c>
      <c r="I410" s="145">
        <f>Дефляторы!$D$25</f>
        <v>1.052</v>
      </c>
      <c r="J410" s="146">
        <f t="shared" si="149"/>
        <v>674199</v>
      </c>
      <c r="K410" s="146">
        <f t="shared" si="150"/>
        <v>664202</v>
      </c>
      <c r="L410" s="147"/>
      <c r="M410" s="147"/>
      <c r="N410" s="147"/>
    </row>
    <row r="411" spans="1:14" s="148" customFormat="1" ht="15.75" outlineLevel="3" x14ac:dyDescent="0.2">
      <c r="A411" s="95" t="s">
        <v>2029</v>
      </c>
      <c r="B411" s="42" t="s">
        <v>1289</v>
      </c>
      <c r="C411" s="42" t="s">
        <v>1288</v>
      </c>
      <c r="D411" s="100" t="s">
        <v>292</v>
      </c>
      <c r="E411" s="100">
        <v>1</v>
      </c>
      <c r="F411" s="149">
        <f>(4123+303)*(1.023*1.005-2.3%*15%)*6.99+217631*4.09</f>
        <v>921812</v>
      </c>
      <c r="G411" s="145">
        <f t="shared" si="135"/>
        <v>1.139</v>
      </c>
      <c r="H411" s="146">
        <f t="shared" si="148"/>
        <v>1049944</v>
      </c>
      <c r="I411" s="145">
        <f>Дефляторы!$D$25</f>
        <v>1.052</v>
      </c>
      <c r="J411" s="146">
        <f t="shared" si="149"/>
        <v>1104541</v>
      </c>
      <c r="K411" s="146">
        <f t="shared" si="150"/>
        <v>1088162</v>
      </c>
      <c r="L411" s="147"/>
      <c r="M411" s="147"/>
      <c r="N411" s="147"/>
    </row>
    <row r="412" spans="1:14" s="148" customFormat="1" ht="15.75" outlineLevel="3" x14ac:dyDescent="0.2">
      <c r="A412" s="95" t="s">
        <v>2030</v>
      </c>
      <c r="B412" s="42" t="s">
        <v>1291</v>
      </c>
      <c r="C412" s="42" t="s">
        <v>1290</v>
      </c>
      <c r="D412" s="100" t="s">
        <v>292</v>
      </c>
      <c r="E412" s="100">
        <v>1</v>
      </c>
      <c r="F412" s="149">
        <f>(196130+8851)*(1.023*1.005-2.3%*15%)*6.99+1081277*4.09+19</f>
        <v>5890600</v>
      </c>
      <c r="G412" s="145">
        <f t="shared" si="135"/>
        <v>1.139</v>
      </c>
      <c r="H412" s="146">
        <f t="shared" si="148"/>
        <v>6709393</v>
      </c>
      <c r="I412" s="145">
        <f>Дефляторы!$D$25</f>
        <v>1.052</v>
      </c>
      <c r="J412" s="146">
        <f t="shared" si="149"/>
        <v>7058281</v>
      </c>
      <c r="K412" s="146">
        <f t="shared" si="150"/>
        <v>6953615</v>
      </c>
      <c r="L412" s="147"/>
      <c r="M412" s="147"/>
      <c r="N412" s="147"/>
    </row>
    <row r="413" spans="1:14" s="237" customFormat="1" ht="15.75" outlineLevel="2" x14ac:dyDescent="0.2">
      <c r="A413" s="238" t="s">
        <v>2031</v>
      </c>
      <c r="B413" s="229" t="s">
        <v>182</v>
      </c>
      <c r="C413" s="229" t="s">
        <v>1926</v>
      </c>
      <c r="D413" s="239" t="s">
        <v>292</v>
      </c>
      <c r="E413" s="240">
        <v>1</v>
      </c>
      <c r="F413" s="240">
        <f>(68309)*(1.023*1.005-2.3%*15%)*6.99+810635*4.09+28</f>
        <v>3804782</v>
      </c>
      <c r="G413" s="241">
        <f t="shared" si="135"/>
        <v>1.139</v>
      </c>
      <c r="H413" s="242">
        <f t="shared" si="148"/>
        <v>4333647</v>
      </c>
      <c r="I413" s="241">
        <f>Дефляторы!$D$25</f>
        <v>1.052</v>
      </c>
      <c r="J413" s="242">
        <f t="shared" si="149"/>
        <v>4558997</v>
      </c>
      <c r="K413" s="242">
        <f t="shared" si="150"/>
        <v>4491392</v>
      </c>
      <c r="L413" s="256"/>
      <c r="M413" s="256"/>
      <c r="N413" s="256"/>
    </row>
    <row r="414" spans="1:14" s="237" customFormat="1" ht="25.5" outlineLevel="2" x14ac:dyDescent="0.2">
      <c r="A414" s="238" t="s">
        <v>2032</v>
      </c>
      <c r="B414" s="229" t="s">
        <v>184</v>
      </c>
      <c r="C414" s="229" t="s">
        <v>185</v>
      </c>
      <c r="D414" s="239" t="s">
        <v>292</v>
      </c>
      <c r="E414" s="240">
        <v>1</v>
      </c>
      <c r="F414" s="240">
        <f>SUM(F415:F418)</f>
        <v>40826</v>
      </c>
      <c r="G414" s="241">
        <f t="shared" si="135"/>
        <v>1.139</v>
      </c>
      <c r="H414" s="240">
        <f>SUM(H415:H418)</f>
        <v>46501</v>
      </c>
      <c r="I414" s="241">
        <f>Дефляторы!$D$25</f>
        <v>1.052</v>
      </c>
      <c r="J414" s="240">
        <f>SUM(J415:J418)</f>
        <v>48919</v>
      </c>
      <c r="K414" s="240">
        <f>SUM(K415:K418)</f>
        <v>48194</v>
      </c>
      <c r="L414" s="256"/>
      <c r="M414" s="256"/>
      <c r="N414" s="256"/>
    </row>
    <row r="415" spans="1:14" s="148" customFormat="1" ht="15.75" outlineLevel="3" x14ac:dyDescent="0.2">
      <c r="A415" s="95"/>
      <c r="B415" s="42"/>
      <c r="C415" s="42" t="s">
        <v>1292</v>
      </c>
      <c r="D415" s="100"/>
      <c r="E415" s="100"/>
      <c r="F415" s="149"/>
      <c r="G415" s="145"/>
      <c r="H415" s="146"/>
      <c r="I415" s="145">
        <f>Дефляторы!$D$25</f>
        <v>1.052</v>
      </c>
      <c r="J415" s="146"/>
      <c r="K415" s="146"/>
      <c r="L415" s="147"/>
      <c r="M415" s="147"/>
      <c r="N415" s="147"/>
    </row>
    <row r="416" spans="1:14" s="148" customFormat="1" ht="51" outlineLevel="3" x14ac:dyDescent="0.2">
      <c r="A416" s="95" t="s">
        <v>2033</v>
      </c>
      <c r="B416" s="42" t="s">
        <v>1293</v>
      </c>
      <c r="C416" s="42" t="s">
        <v>435</v>
      </c>
      <c r="D416" s="100" t="s">
        <v>408</v>
      </c>
      <c r="E416" s="149">
        <v>1</v>
      </c>
      <c r="F416" s="149">
        <f>(3680)*(1.023*1.005-2.3%*15%)*6.99+0*4.09+14</f>
        <v>26372</v>
      </c>
      <c r="G416" s="145">
        <f t="shared" ref="G416:G426" si="151">$G$766</f>
        <v>1.139</v>
      </c>
      <c r="H416" s="146">
        <f t="shared" ref="H416:H418" si="152">F416*G416</f>
        <v>30038</v>
      </c>
      <c r="I416" s="145">
        <f>Дефляторы!$D$25</f>
        <v>1.052</v>
      </c>
      <c r="J416" s="146">
        <f t="shared" ref="J416:J418" si="153">H416*I416</f>
        <v>31600</v>
      </c>
      <c r="K416" s="146">
        <f t="shared" ref="K416:K418" si="154">H416+(J416-H416)*(1-30/100)</f>
        <v>31131</v>
      </c>
      <c r="L416" s="172" t="s">
        <v>1296</v>
      </c>
      <c r="M416" s="147"/>
      <c r="N416" s="147"/>
    </row>
    <row r="417" spans="1:14" s="148" customFormat="1" ht="51" outlineLevel="3" x14ac:dyDescent="0.2">
      <c r="A417" s="95" t="s">
        <v>2034</v>
      </c>
      <c r="B417" s="42" t="s">
        <v>1294</v>
      </c>
      <c r="C417" s="42" t="s">
        <v>437</v>
      </c>
      <c r="D417" s="100" t="s">
        <v>408</v>
      </c>
      <c r="E417" s="149">
        <v>1</v>
      </c>
      <c r="F417" s="149">
        <f>(1064)*(1.023*1.005-2.3%*15%)*6.99+0*4.09</f>
        <v>7621</v>
      </c>
      <c r="G417" s="145">
        <f t="shared" si="151"/>
        <v>1.139</v>
      </c>
      <c r="H417" s="146">
        <f t="shared" si="152"/>
        <v>8680</v>
      </c>
      <c r="I417" s="145">
        <f>Дефляторы!$D$25</f>
        <v>1.052</v>
      </c>
      <c r="J417" s="146">
        <f t="shared" si="153"/>
        <v>9131</v>
      </c>
      <c r="K417" s="146">
        <f t="shared" si="154"/>
        <v>8996</v>
      </c>
      <c r="L417" s="172" t="s">
        <v>1296</v>
      </c>
      <c r="M417" s="147"/>
      <c r="N417" s="147"/>
    </row>
    <row r="418" spans="1:14" s="148" customFormat="1" ht="63.75" outlineLevel="3" x14ac:dyDescent="0.2">
      <c r="A418" s="95" t="s">
        <v>2035</v>
      </c>
      <c r="B418" s="42" t="s">
        <v>1295</v>
      </c>
      <c r="C418" s="42" t="s">
        <v>439</v>
      </c>
      <c r="D418" s="100" t="s">
        <v>408</v>
      </c>
      <c r="E418" s="149">
        <v>1</v>
      </c>
      <c r="F418" s="149">
        <f>(954)*(1.023*1.005-2.3%*15%)*6.99+0*4.09</f>
        <v>6833</v>
      </c>
      <c r="G418" s="145">
        <f t="shared" si="151"/>
        <v>1.139</v>
      </c>
      <c r="H418" s="146">
        <f t="shared" si="152"/>
        <v>7783</v>
      </c>
      <c r="I418" s="145">
        <f>Дефляторы!$D$25</f>
        <v>1.052</v>
      </c>
      <c r="J418" s="146">
        <f t="shared" si="153"/>
        <v>8188</v>
      </c>
      <c r="K418" s="146">
        <f t="shared" si="154"/>
        <v>8067</v>
      </c>
      <c r="L418" s="172" t="s">
        <v>1296</v>
      </c>
      <c r="M418" s="147"/>
      <c r="N418" s="147"/>
    </row>
    <row r="419" spans="1:14" s="237" customFormat="1" ht="25.5" outlineLevel="2" x14ac:dyDescent="0.2">
      <c r="A419" s="238" t="s">
        <v>2036</v>
      </c>
      <c r="B419" s="229" t="s">
        <v>186</v>
      </c>
      <c r="C419" s="229" t="s">
        <v>1927</v>
      </c>
      <c r="D419" s="239" t="s">
        <v>292</v>
      </c>
      <c r="E419" s="240">
        <v>1</v>
      </c>
      <c r="F419" s="240">
        <f>SUM(F420:F423)</f>
        <v>2640270</v>
      </c>
      <c r="G419" s="241">
        <f t="shared" si="151"/>
        <v>1.139</v>
      </c>
      <c r="H419" s="240">
        <f>SUM(H420:H423)</f>
        <v>3007266</v>
      </c>
      <c r="I419" s="241">
        <f>Дефляторы!$D$25</f>
        <v>1.052</v>
      </c>
      <c r="J419" s="240">
        <f>SUM(J420:J423)</f>
        <v>3163643</v>
      </c>
      <c r="K419" s="240">
        <f>SUM(K420:K423)</f>
        <v>3116730</v>
      </c>
      <c r="L419" s="256"/>
      <c r="M419" s="256"/>
      <c r="N419" s="256"/>
    </row>
    <row r="420" spans="1:14" s="148" customFormat="1" ht="15.75" outlineLevel="3" x14ac:dyDescent="0.2">
      <c r="A420" s="95" t="s">
        <v>2037</v>
      </c>
      <c r="B420" s="42" t="s">
        <v>1298</v>
      </c>
      <c r="C420" s="42" t="s">
        <v>1297</v>
      </c>
      <c r="D420" s="100" t="s">
        <v>292</v>
      </c>
      <c r="E420" s="149">
        <v>1</v>
      </c>
      <c r="F420" s="149">
        <f>(76200)*(1.023*1.005-2.3%*15%)*6.99+32980*4.09</f>
        <v>680664</v>
      </c>
      <c r="G420" s="145">
        <f t="shared" si="151"/>
        <v>1.139</v>
      </c>
      <c r="H420" s="146">
        <f t="shared" ref="H420:H423" si="155">F420*G420</f>
        <v>775276</v>
      </c>
      <c r="I420" s="145">
        <f>Дефляторы!$D$25</f>
        <v>1.052</v>
      </c>
      <c r="J420" s="146">
        <f t="shared" ref="J420:J423" si="156">H420*I420</f>
        <v>815590</v>
      </c>
      <c r="K420" s="146">
        <f t="shared" ref="K420:K423" si="157">H420+(J420-H420)*(1-30/100)</f>
        <v>803496</v>
      </c>
      <c r="L420" s="147"/>
      <c r="M420" s="147"/>
      <c r="N420" s="147"/>
    </row>
    <row r="421" spans="1:14" s="148" customFormat="1" ht="15.75" outlineLevel="3" x14ac:dyDescent="0.2">
      <c r="A421" s="95" t="s">
        <v>2038</v>
      </c>
      <c r="B421" s="42" t="s">
        <v>1300</v>
      </c>
      <c r="C421" s="42" t="s">
        <v>1299</v>
      </c>
      <c r="D421" s="100" t="s">
        <v>292</v>
      </c>
      <c r="E421" s="149">
        <v>1</v>
      </c>
      <c r="F421" s="149">
        <f>(68555)*(1.023*1.005-2.3%*15%)*6.99+132456*4.09+2</f>
        <v>1032766</v>
      </c>
      <c r="G421" s="145">
        <f t="shared" si="151"/>
        <v>1.139</v>
      </c>
      <c r="H421" s="146">
        <f t="shared" si="155"/>
        <v>1176320</v>
      </c>
      <c r="I421" s="145">
        <f>Дефляторы!$D$25</f>
        <v>1.052</v>
      </c>
      <c r="J421" s="146">
        <f t="shared" si="156"/>
        <v>1237489</v>
      </c>
      <c r="K421" s="146">
        <f t="shared" si="157"/>
        <v>1219138</v>
      </c>
      <c r="L421" s="147"/>
      <c r="M421" s="147"/>
      <c r="N421" s="147"/>
    </row>
    <row r="422" spans="1:14" s="148" customFormat="1" ht="15.75" outlineLevel="3" x14ac:dyDescent="0.2">
      <c r="A422" s="95" t="s">
        <v>2039</v>
      </c>
      <c r="B422" s="42" t="s">
        <v>1302</v>
      </c>
      <c r="C422" s="42" t="s">
        <v>1301</v>
      </c>
      <c r="D422" s="100" t="s">
        <v>292</v>
      </c>
      <c r="E422" s="149">
        <v>1</v>
      </c>
      <c r="F422" s="149">
        <f>(46853)*(1.023*1.005-2.3%*15%)*6.99+1695*4.09</f>
        <v>342513</v>
      </c>
      <c r="G422" s="145">
        <f t="shared" si="151"/>
        <v>1.139</v>
      </c>
      <c r="H422" s="146">
        <f t="shared" si="155"/>
        <v>390122</v>
      </c>
      <c r="I422" s="145">
        <f>Дефляторы!$D$25</f>
        <v>1.052</v>
      </c>
      <c r="J422" s="146">
        <f t="shared" si="156"/>
        <v>410408</v>
      </c>
      <c r="K422" s="146">
        <f t="shared" si="157"/>
        <v>404322</v>
      </c>
      <c r="L422" s="147"/>
      <c r="M422" s="147"/>
      <c r="N422" s="147"/>
    </row>
    <row r="423" spans="1:14" s="148" customFormat="1" ht="15.75" outlineLevel="3" x14ac:dyDescent="0.2">
      <c r="A423" s="95" t="s">
        <v>2040</v>
      </c>
      <c r="B423" s="42" t="s">
        <v>1304</v>
      </c>
      <c r="C423" s="42" t="s">
        <v>1303</v>
      </c>
      <c r="D423" s="100" t="s">
        <v>292</v>
      </c>
      <c r="E423" s="149">
        <v>1</v>
      </c>
      <c r="F423" s="149">
        <f>(62881)*(1.023*1.005-2.3%*15%)*6.99+32750*4.09</f>
        <v>584327</v>
      </c>
      <c r="G423" s="145">
        <f t="shared" si="151"/>
        <v>1.139</v>
      </c>
      <c r="H423" s="146">
        <f t="shared" si="155"/>
        <v>665548</v>
      </c>
      <c r="I423" s="145">
        <f>Дефляторы!$D$25</f>
        <v>1.052</v>
      </c>
      <c r="J423" s="146">
        <f t="shared" si="156"/>
        <v>700156</v>
      </c>
      <c r="K423" s="146">
        <f t="shared" si="157"/>
        <v>689774</v>
      </c>
      <c r="L423" s="147"/>
      <c r="M423" s="147"/>
      <c r="N423" s="147"/>
    </row>
    <row r="424" spans="1:14" s="237" customFormat="1" ht="25.5" outlineLevel="2" x14ac:dyDescent="0.2">
      <c r="A424" s="238" t="s">
        <v>2041</v>
      </c>
      <c r="B424" s="229" t="s">
        <v>188</v>
      </c>
      <c r="C424" s="229" t="s">
        <v>189</v>
      </c>
      <c r="D424" s="239" t="s">
        <v>292</v>
      </c>
      <c r="E424" s="240">
        <v>1</v>
      </c>
      <c r="F424" s="240">
        <f>SUM(F425:F426)</f>
        <v>178588</v>
      </c>
      <c r="G424" s="241">
        <f t="shared" si="151"/>
        <v>1.139</v>
      </c>
      <c r="H424" s="240">
        <f>SUM(H425:H426)</f>
        <v>203412</v>
      </c>
      <c r="I424" s="241">
        <f>Дефляторы!$D$25</f>
        <v>1.052</v>
      </c>
      <c r="J424" s="240">
        <f>SUM(J425:J426)</f>
        <v>213989</v>
      </c>
      <c r="K424" s="240">
        <f>SUM(K425:K426)</f>
        <v>210816</v>
      </c>
      <c r="L424" s="256"/>
      <c r="M424" s="256"/>
      <c r="N424" s="256"/>
    </row>
    <row r="425" spans="1:14" s="148" customFormat="1" ht="25.5" outlineLevel="3" x14ac:dyDescent="0.2">
      <c r="A425" s="95" t="s">
        <v>2042</v>
      </c>
      <c r="B425" s="42" t="s">
        <v>1306</v>
      </c>
      <c r="C425" s="42" t="s">
        <v>1305</v>
      </c>
      <c r="D425" s="100" t="s">
        <v>292</v>
      </c>
      <c r="E425" s="149">
        <v>1</v>
      </c>
      <c r="F425" s="149">
        <f>(19479)*(1.023*1.005-2.3%*15%)*6.99+4043*4.09+47</f>
        <v>156099</v>
      </c>
      <c r="G425" s="145">
        <f t="shared" si="151"/>
        <v>1.139</v>
      </c>
      <c r="H425" s="146">
        <f t="shared" ref="H425:H426" si="158">F425*G425</f>
        <v>177797</v>
      </c>
      <c r="I425" s="145">
        <f>Дефляторы!$D$25</f>
        <v>1.052</v>
      </c>
      <c r="J425" s="146">
        <f t="shared" ref="J425:J426" si="159">H425*I425</f>
        <v>187042</v>
      </c>
      <c r="K425" s="146">
        <f t="shared" ref="K425:K426" si="160">H425+(J425-H425)*(1-30/100)</f>
        <v>184269</v>
      </c>
      <c r="L425" s="147"/>
      <c r="M425" s="147"/>
      <c r="N425" s="147"/>
    </row>
    <row r="426" spans="1:14" s="148" customFormat="1" ht="25.5" outlineLevel="3" x14ac:dyDescent="0.2">
      <c r="A426" s="95" t="s">
        <v>2043</v>
      </c>
      <c r="B426" s="42" t="s">
        <v>1308</v>
      </c>
      <c r="C426" s="42" t="s">
        <v>1307</v>
      </c>
      <c r="D426" s="100" t="s">
        <v>292</v>
      </c>
      <c r="E426" s="149">
        <v>1</v>
      </c>
      <c r="F426" s="149">
        <f>(3044)*(1.023*1.005-2.3%*15%)*6.99+168*4.09</f>
        <v>22489</v>
      </c>
      <c r="G426" s="145">
        <f t="shared" si="151"/>
        <v>1.139</v>
      </c>
      <c r="H426" s="146">
        <f t="shared" si="158"/>
        <v>25615</v>
      </c>
      <c r="I426" s="145">
        <f>Дефляторы!$D$25</f>
        <v>1.052</v>
      </c>
      <c r="J426" s="146">
        <f t="shared" si="159"/>
        <v>26947</v>
      </c>
      <c r="K426" s="146">
        <f t="shared" si="160"/>
        <v>26547</v>
      </c>
      <c r="L426" s="147"/>
      <c r="M426" s="147"/>
      <c r="N426" s="147"/>
    </row>
    <row r="427" spans="1:14" s="243" customFormat="1" ht="25.5" outlineLevel="1" x14ac:dyDescent="0.2">
      <c r="A427" s="244" t="s">
        <v>452</v>
      </c>
      <c r="B427" s="245" t="s">
        <v>31</v>
      </c>
      <c r="C427" s="245" t="s">
        <v>32</v>
      </c>
      <c r="D427" s="246" t="s">
        <v>292</v>
      </c>
      <c r="E427" s="247">
        <v>1</v>
      </c>
      <c r="F427" s="247">
        <f>F428+F449+F466+F473</f>
        <v>38549400</v>
      </c>
      <c r="G427" s="248"/>
      <c r="H427" s="247">
        <f>H428+H449+H466+H473</f>
        <v>43907769</v>
      </c>
      <c r="I427" s="248">
        <f>Дефляторы!$D$25</f>
        <v>1.052</v>
      </c>
      <c r="J427" s="247">
        <f>J428+J449+J466+J473</f>
        <v>46190974</v>
      </c>
      <c r="K427" s="247">
        <f>K428+K449+K466+K473</f>
        <v>45506016</v>
      </c>
      <c r="L427" s="269"/>
      <c r="M427" s="269"/>
      <c r="N427" s="269"/>
    </row>
    <row r="428" spans="1:14" s="237" customFormat="1" ht="25.5" outlineLevel="2" x14ac:dyDescent="0.2">
      <c r="A428" s="238" t="s">
        <v>453</v>
      </c>
      <c r="B428" s="229" t="s">
        <v>215</v>
      </c>
      <c r="C428" s="229" t="s">
        <v>216</v>
      </c>
      <c r="D428" s="239" t="s">
        <v>292</v>
      </c>
      <c r="E428" s="240">
        <v>1</v>
      </c>
      <c r="F428" s="240">
        <f>SUM(F429:F448)</f>
        <v>14517844</v>
      </c>
      <c r="G428" s="241">
        <f>$G$766</f>
        <v>1.139</v>
      </c>
      <c r="H428" s="240">
        <f>SUM(H429:H448)</f>
        <v>16535823</v>
      </c>
      <c r="I428" s="241">
        <f>Дефляторы!$D$25</f>
        <v>1.052</v>
      </c>
      <c r="J428" s="240">
        <f>SUM(J429:J448)</f>
        <v>17395688</v>
      </c>
      <c r="K428" s="240">
        <f>SUM(K429:K448)</f>
        <v>17137729</v>
      </c>
      <c r="L428" s="256"/>
      <c r="M428" s="256"/>
      <c r="N428" s="256"/>
    </row>
    <row r="429" spans="1:14" s="148" customFormat="1" ht="15.75" outlineLevel="3" x14ac:dyDescent="0.2">
      <c r="A429" s="95" t="s">
        <v>454</v>
      </c>
      <c r="B429" s="42" t="s">
        <v>1338</v>
      </c>
      <c r="C429" s="42" t="s">
        <v>1309</v>
      </c>
      <c r="D429" s="100" t="s">
        <v>292</v>
      </c>
      <c r="E429" s="149">
        <v>1</v>
      </c>
      <c r="F429" s="149">
        <f>(197847)*(1.023*1.005-2.3%*15%)*6.99+0*4.09</f>
        <v>1417061</v>
      </c>
      <c r="G429" s="145">
        <f>$G$766</f>
        <v>1.139</v>
      </c>
      <c r="H429" s="146">
        <f t="shared" ref="H429:H430" si="161">F429*G429</f>
        <v>1614032</v>
      </c>
      <c r="I429" s="145">
        <f>Дефляторы!$D$25</f>
        <v>1.052</v>
      </c>
      <c r="J429" s="146">
        <f t="shared" ref="J429:J430" si="162">H429*I429</f>
        <v>1697962</v>
      </c>
      <c r="K429" s="146">
        <f t="shared" ref="K429:K430" si="163">H429+(J429-H429)*(1-30/100)</f>
        <v>1672783</v>
      </c>
      <c r="L429" s="147"/>
      <c r="M429" s="147"/>
      <c r="N429" s="147"/>
    </row>
    <row r="430" spans="1:14" s="148" customFormat="1" ht="15.75" outlineLevel="3" x14ac:dyDescent="0.2">
      <c r="A430" s="95" t="s">
        <v>2044</v>
      </c>
      <c r="B430" s="42" t="s">
        <v>1337</v>
      </c>
      <c r="C430" s="42" t="s">
        <v>1310</v>
      </c>
      <c r="D430" s="100" t="s">
        <v>292</v>
      </c>
      <c r="E430" s="149">
        <v>1</v>
      </c>
      <c r="F430" s="149">
        <f>(14269)*(1.023*1.005-2.3%*15%)*6.99+0*4.09</f>
        <v>102200</v>
      </c>
      <c r="G430" s="145">
        <f>$G$766</f>
        <v>1.139</v>
      </c>
      <c r="H430" s="146">
        <f t="shared" si="161"/>
        <v>116406</v>
      </c>
      <c r="I430" s="145">
        <f>Дефляторы!$D$25</f>
        <v>1.052</v>
      </c>
      <c r="J430" s="146">
        <f t="shared" si="162"/>
        <v>122459</v>
      </c>
      <c r="K430" s="146">
        <f t="shared" si="163"/>
        <v>120643</v>
      </c>
      <c r="L430" s="147"/>
      <c r="M430" s="147"/>
      <c r="N430" s="147"/>
    </row>
    <row r="431" spans="1:14" s="148" customFormat="1" ht="15.75" outlineLevel="3" x14ac:dyDescent="0.2">
      <c r="A431" s="95"/>
      <c r="B431" s="42"/>
      <c r="C431" s="42" t="s">
        <v>1311</v>
      </c>
      <c r="D431" s="100"/>
      <c r="E431" s="100"/>
      <c r="F431" s="149"/>
      <c r="G431" s="145"/>
      <c r="H431" s="146"/>
      <c r="I431" s="145">
        <f>Дефляторы!$D$25</f>
        <v>1.052</v>
      </c>
      <c r="J431" s="146"/>
      <c r="K431" s="146"/>
      <c r="L431" s="147"/>
      <c r="M431" s="147"/>
      <c r="N431" s="147"/>
    </row>
    <row r="432" spans="1:14" s="148" customFormat="1" ht="25.5" outlineLevel="3" x14ac:dyDescent="0.2">
      <c r="A432" s="95" t="s">
        <v>2045</v>
      </c>
      <c r="B432" s="42" t="s">
        <v>1336</v>
      </c>
      <c r="C432" s="42" t="s">
        <v>1312</v>
      </c>
      <c r="D432" s="100" t="s">
        <v>404</v>
      </c>
      <c r="E432" s="100">
        <f>424.6</f>
        <v>424.6</v>
      </c>
      <c r="F432" s="149">
        <f>(142090)*(1.023*1.005-2.3%*15%)*6.99+0*4.09</f>
        <v>1017707</v>
      </c>
      <c r="G432" s="145">
        <f t="shared" ref="G432:G444" si="164">$G$766</f>
        <v>1.139</v>
      </c>
      <c r="H432" s="146">
        <f t="shared" ref="H432:H444" si="165">F432*G432</f>
        <v>1159168</v>
      </c>
      <c r="I432" s="145">
        <f>Дефляторы!$D$25</f>
        <v>1.052</v>
      </c>
      <c r="J432" s="146">
        <f t="shared" ref="J432:J444" si="166">H432*I432</f>
        <v>1219445</v>
      </c>
      <c r="K432" s="146">
        <f t="shared" ref="K432:K444" si="167">H432+(J432-H432)*(1-30/100)</f>
        <v>1201362</v>
      </c>
      <c r="L432" s="147"/>
      <c r="M432" s="147"/>
      <c r="N432" s="147"/>
    </row>
    <row r="433" spans="1:14" s="148" customFormat="1" ht="15.75" outlineLevel="3" x14ac:dyDescent="0.2">
      <c r="A433" s="95" t="s">
        <v>2046</v>
      </c>
      <c r="B433" s="42" t="s">
        <v>1335</v>
      </c>
      <c r="C433" s="42" t="s">
        <v>1313</v>
      </c>
      <c r="D433" s="100" t="s">
        <v>404</v>
      </c>
      <c r="E433" s="100">
        <f>248.82</f>
        <v>248.82</v>
      </c>
      <c r="F433" s="149">
        <f>(70136)*(1.023*1.005-2.3%*15%)*6.99+0*4.09</f>
        <v>502343</v>
      </c>
      <c r="G433" s="145">
        <f t="shared" si="164"/>
        <v>1.139</v>
      </c>
      <c r="H433" s="146">
        <f t="shared" si="165"/>
        <v>572169</v>
      </c>
      <c r="I433" s="145">
        <f>Дефляторы!$D$25</f>
        <v>1.052</v>
      </c>
      <c r="J433" s="146">
        <f t="shared" si="166"/>
        <v>601922</v>
      </c>
      <c r="K433" s="146">
        <f t="shared" si="167"/>
        <v>592996</v>
      </c>
      <c r="L433" s="147"/>
      <c r="M433" s="147"/>
      <c r="N433" s="147"/>
    </row>
    <row r="434" spans="1:14" s="148" customFormat="1" ht="38.25" outlineLevel="3" x14ac:dyDescent="0.2">
      <c r="A434" s="95" t="s">
        <v>2047</v>
      </c>
      <c r="B434" s="42" t="s">
        <v>1334</v>
      </c>
      <c r="C434" s="230" t="s">
        <v>1315</v>
      </c>
      <c r="D434" s="100" t="s">
        <v>404</v>
      </c>
      <c r="E434" s="100">
        <f>547</f>
        <v>547</v>
      </c>
      <c r="F434" s="149">
        <f>(156865)*(1.023*1.005-2.3%*15%)*6.99+0*4.09</f>
        <v>1123531</v>
      </c>
      <c r="G434" s="145">
        <f t="shared" si="164"/>
        <v>1.139</v>
      </c>
      <c r="H434" s="146">
        <f t="shared" si="165"/>
        <v>1279702</v>
      </c>
      <c r="I434" s="145">
        <f>Дефляторы!$D$25</f>
        <v>1.052</v>
      </c>
      <c r="J434" s="146">
        <f t="shared" si="166"/>
        <v>1346247</v>
      </c>
      <c r="K434" s="146">
        <f t="shared" si="167"/>
        <v>1326284</v>
      </c>
      <c r="L434" s="147"/>
      <c r="M434" s="147"/>
      <c r="N434" s="147"/>
    </row>
    <row r="435" spans="1:14" s="148" customFormat="1" ht="15.75" outlineLevel="3" x14ac:dyDescent="0.2">
      <c r="A435" s="95" t="s">
        <v>2048</v>
      </c>
      <c r="B435" s="42" t="s">
        <v>1333</v>
      </c>
      <c r="C435" s="42" t="s">
        <v>1314</v>
      </c>
      <c r="D435" s="100" t="s">
        <v>404</v>
      </c>
      <c r="E435" s="100">
        <f>116</f>
        <v>116</v>
      </c>
      <c r="F435" s="149">
        <f>(15935)*(1.023*1.005-2.3%*15%)*6.99+0*4.09</f>
        <v>114133</v>
      </c>
      <c r="G435" s="145">
        <f t="shared" si="164"/>
        <v>1.139</v>
      </c>
      <c r="H435" s="146">
        <f t="shared" si="165"/>
        <v>129997</v>
      </c>
      <c r="I435" s="145">
        <f>Дефляторы!$D$25</f>
        <v>1.052</v>
      </c>
      <c r="J435" s="146">
        <f t="shared" si="166"/>
        <v>136757</v>
      </c>
      <c r="K435" s="146">
        <f t="shared" si="167"/>
        <v>134729</v>
      </c>
      <c r="L435" s="147"/>
      <c r="M435" s="147"/>
      <c r="N435" s="147"/>
    </row>
    <row r="436" spans="1:14" s="148" customFormat="1" ht="15.75" outlineLevel="3" x14ac:dyDescent="0.2">
      <c r="A436" s="95" t="s">
        <v>2049</v>
      </c>
      <c r="B436" s="42" t="s">
        <v>1332</v>
      </c>
      <c r="C436" s="42" t="s">
        <v>1317</v>
      </c>
      <c r="D436" s="100" t="s">
        <v>404</v>
      </c>
      <c r="E436" s="100">
        <f>126.9</f>
        <v>126.9</v>
      </c>
      <c r="F436" s="149">
        <f>(35004)*(1.023*1.005-2.3%*15%)*6.99+0*4.09</f>
        <v>250713</v>
      </c>
      <c r="G436" s="145">
        <f t="shared" si="164"/>
        <v>1.139</v>
      </c>
      <c r="H436" s="146">
        <f t="shared" si="165"/>
        <v>285562</v>
      </c>
      <c r="I436" s="145">
        <f>Дефляторы!$D$25</f>
        <v>1.052</v>
      </c>
      <c r="J436" s="146">
        <f t="shared" si="166"/>
        <v>300411</v>
      </c>
      <c r="K436" s="146">
        <f t="shared" si="167"/>
        <v>295956</v>
      </c>
      <c r="L436" s="147"/>
      <c r="M436" s="147"/>
      <c r="N436" s="147"/>
    </row>
    <row r="437" spans="1:14" s="148" customFormat="1" ht="15.75" outlineLevel="3" x14ac:dyDescent="0.2">
      <c r="A437" s="95" t="s">
        <v>2050</v>
      </c>
      <c r="B437" s="42" t="s">
        <v>1331</v>
      </c>
      <c r="C437" s="42" t="s">
        <v>1316</v>
      </c>
      <c r="D437" s="100" t="s">
        <v>404</v>
      </c>
      <c r="E437" s="100">
        <f>364.9</f>
        <v>364.9</v>
      </c>
      <c r="F437" s="149">
        <f>(122117)*(1.023*1.005-2.3%*15%)*6.99+0*4.09</f>
        <v>874652</v>
      </c>
      <c r="G437" s="145">
        <f t="shared" si="164"/>
        <v>1.139</v>
      </c>
      <c r="H437" s="146">
        <f t="shared" si="165"/>
        <v>996229</v>
      </c>
      <c r="I437" s="145">
        <f>Дефляторы!$D$25</f>
        <v>1.052</v>
      </c>
      <c r="J437" s="146">
        <f t="shared" si="166"/>
        <v>1048033</v>
      </c>
      <c r="K437" s="146">
        <f t="shared" si="167"/>
        <v>1032492</v>
      </c>
      <c r="L437" s="147"/>
      <c r="M437" s="147"/>
      <c r="N437" s="147"/>
    </row>
    <row r="438" spans="1:14" s="148" customFormat="1" ht="15.75" outlineLevel="3" x14ac:dyDescent="0.2">
      <c r="A438" s="95" t="s">
        <v>2051</v>
      </c>
      <c r="B438" s="42" t="s">
        <v>1330</v>
      </c>
      <c r="C438" s="42" t="s">
        <v>864</v>
      </c>
      <c r="D438" s="100" t="s">
        <v>404</v>
      </c>
      <c r="E438" s="161">
        <v>7640</v>
      </c>
      <c r="F438" s="149">
        <f>(348367)*(1.023*1.005-2.3%*15%)*6.99+0*4.09-24</f>
        <v>2495123</v>
      </c>
      <c r="G438" s="145">
        <f t="shared" si="164"/>
        <v>1.139</v>
      </c>
      <c r="H438" s="146">
        <f t="shared" si="165"/>
        <v>2841945</v>
      </c>
      <c r="I438" s="145">
        <f>Дефляторы!$D$25</f>
        <v>1.052</v>
      </c>
      <c r="J438" s="146">
        <f t="shared" si="166"/>
        <v>2989726</v>
      </c>
      <c r="K438" s="146">
        <f t="shared" si="167"/>
        <v>2945392</v>
      </c>
      <c r="L438" s="147" t="s">
        <v>1318</v>
      </c>
      <c r="M438" s="147"/>
      <c r="N438" s="147"/>
    </row>
    <row r="439" spans="1:14" s="148" customFormat="1" ht="15.75" outlineLevel="3" x14ac:dyDescent="0.2">
      <c r="A439" s="95" t="s">
        <v>2052</v>
      </c>
      <c r="B439" s="42" t="s">
        <v>1329</v>
      </c>
      <c r="C439" s="42" t="s">
        <v>1319</v>
      </c>
      <c r="D439" s="100" t="s">
        <v>404</v>
      </c>
      <c r="E439" s="100">
        <f>52.6</f>
        <v>52.6</v>
      </c>
      <c r="F439" s="149">
        <f>(18293)*(1.023*1.005-2.3%*15%)*6.99+0*4.09</f>
        <v>131022</v>
      </c>
      <c r="G439" s="145">
        <f t="shared" si="164"/>
        <v>1.139</v>
      </c>
      <c r="H439" s="146">
        <f t="shared" si="165"/>
        <v>149234</v>
      </c>
      <c r="I439" s="145">
        <f>Дефляторы!$D$25</f>
        <v>1.052</v>
      </c>
      <c r="J439" s="146">
        <f t="shared" si="166"/>
        <v>156994</v>
      </c>
      <c r="K439" s="146">
        <f t="shared" si="167"/>
        <v>154666</v>
      </c>
      <c r="L439" s="147"/>
      <c r="M439" s="147"/>
      <c r="N439" s="147"/>
    </row>
    <row r="440" spans="1:14" s="148" customFormat="1" ht="15.75" outlineLevel="3" x14ac:dyDescent="0.2">
      <c r="A440" s="95" t="s">
        <v>2053</v>
      </c>
      <c r="B440" s="42" t="s">
        <v>1328</v>
      </c>
      <c r="C440" s="42" t="s">
        <v>1320</v>
      </c>
      <c r="D440" s="100" t="s">
        <v>292</v>
      </c>
      <c r="E440" s="100">
        <v>1</v>
      </c>
      <c r="F440" s="149">
        <f>(83681)*(1.023*1.005-2.3%*15%)*6.99+0*4.09</f>
        <v>599357</v>
      </c>
      <c r="G440" s="145">
        <f t="shared" si="164"/>
        <v>1.139</v>
      </c>
      <c r="H440" s="146">
        <f t="shared" si="165"/>
        <v>682668</v>
      </c>
      <c r="I440" s="145">
        <f>Дефляторы!$D$25</f>
        <v>1.052</v>
      </c>
      <c r="J440" s="146">
        <f t="shared" si="166"/>
        <v>718167</v>
      </c>
      <c r="K440" s="146">
        <f t="shared" si="167"/>
        <v>707517</v>
      </c>
      <c r="L440" s="147"/>
      <c r="M440" s="147"/>
      <c r="N440" s="147"/>
    </row>
    <row r="441" spans="1:14" s="148" customFormat="1" ht="25.5" outlineLevel="3" x14ac:dyDescent="0.2">
      <c r="A441" s="95" t="s">
        <v>2054</v>
      </c>
      <c r="B441" s="42" t="s">
        <v>1323</v>
      </c>
      <c r="C441" s="42" t="s">
        <v>1321</v>
      </c>
      <c r="D441" s="100" t="s">
        <v>404</v>
      </c>
      <c r="E441" s="100">
        <f>320.8</f>
        <v>320.8</v>
      </c>
      <c r="F441" s="149">
        <f>(343570)*(1.023*1.005-2.3%*15%)*6.99+0*4.09</f>
        <v>2460789</v>
      </c>
      <c r="G441" s="145">
        <f t="shared" si="164"/>
        <v>1.139</v>
      </c>
      <c r="H441" s="146">
        <f t="shared" si="165"/>
        <v>2802839</v>
      </c>
      <c r="I441" s="145">
        <f>Дефляторы!$D$25</f>
        <v>1.052</v>
      </c>
      <c r="J441" s="146">
        <f t="shared" si="166"/>
        <v>2948587</v>
      </c>
      <c r="K441" s="146">
        <f t="shared" si="167"/>
        <v>2904863</v>
      </c>
      <c r="L441" s="231" t="s">
        <v>1322</v>
      </c>
      <c r="M441" s="147"/>
      <c r="N441" s="147"/>
    </row>
    <row r="442" spans="1:14" s="148" customFormat="1" ht="15.75" outlineLevel="3" x14ac:dyDescent="0.2">
      <c r="A442" s="95" t="s">
        <v>2055</v>
      </c>
      <c r="B442" s="42" t="s">
        <v>1325</v>
      </c>
      <c r="C442" s="42" t="s">
        <v>1324</v>
      </c>
      <c r="D442" s="100" t="s">
        <v>292</v>
      </c>
      <c r="E442" s="100">
        <v>1</v>
      </c>
      <c r="F442" s="149">
        <f>(61878)*(1.023*1.005-2.3%*15%)*6.99+0*4.09</f>
        <v>443196</v>
      </c>
      <c r="G442" s="145">
        <f t="shared" si="164"/>
        <v>1.139</v>
      </c>
      <c r="H442" s="146">
        <f t="shared" si="165"/>
        <v>504800</v>
      </c>
      <c r="I442" s="145">
        <f>Дефляторы!$D$25</f>
        <v>1.052</v>
      </c>
      <c r="J442" s="146">
        <f t="shared" si="166"/>
        <v>531050</v>
      </c>
      <c r="K442" s="146">
        <f t="shared" si="167"/>
        <v>523175</v>
      </c>
      <c r="L442" s="147"/>
      <c r="M442" s="147"/>
      <c r="N442" s="147"/>
    </row>
    <row r="443" spans="1:14" s="148" customFormat="1" ht="15.75" outlineLevel="3" x14ac:dyDescent="0.2">
      <c r="A443" s="95" t="s">
        <v>2056</v>
      </c>
      <c r="B443" s="42" t="s">
        <v>1327</v>
      </c>
      <c r="C443" s="42" t="s">
        <v>1326</v>
      </c>
      <c r="D443" s="100" t="s">
        <v>377</v>
      </c>
      <c r="E443" s="100">
        <f>30.1+68.1</f>
        <v>98.2</v>
      </c>
      <c r="F443" s="149">
        <f>(18427)*(1.023*1.005-2.3%*15%)*6.99+0*4.09</f>
        <v>131982</v>
      </c>
      <c r="G443" s="145">
        <f t="shared" si="164"/>
        <v>1.139</v>
      </c>
      <c r="H443" s="146">
        <f t="shared" si="165"/>
        <v>150327</v>
      </c>
      <c r="I443" s="145">
        <f>Дефляторы!$D$25</f>
        <v>1.052</v>
      </c>
      <c r="J443" s="146">
        <f t="shared" si="166"/>
        <v>158144</v>
      </c>
      <c r="K443" s="146">
        <f t="shared" si="167"/>
        <v>155799</v>
      </c>
      <c r="L443" s="147"/>
      <c r="M443" s="147"/>
      <c r="N443" s="147"/>
    </row>
    <row r="444" spans="1:14" s="148" customFormat="1" ht="25.5" outlineLevel="3" x14ac:dyDescent="0.2">
      <c r="A444" s="95" t="s">
        <v>2057</v>
      </c>
      <c r="B444" s="42" t="s">
        <v>1340</v>
      </c>
      <c r="C444" s="42" t="s">
        <v>1339</v>
      </c>
      <c r="D444" s="100" t="s">
        <v>404</v>
      </c>
      <c r="E444" s="100">
        <f>592.4</f>
        <v>592.4</v>
      </c>
      <c r="F444" s="149">
        <f>(2244)*(1.023*1.005-2.3%*15%)*6.99+0*4.09</f>
        <v>16072</v>
      </c>
      <c r="G444" s="145">
        <f t="shared" si="164"/>
        <v>1.139</v>
      </c>
      <c r="H444" s="146">
        <f t="shared" si="165"/>
        <v>18306</v>
      </c>
      <c r="I444" s="145">
        <f>Дефляторы!$D$25</f>
        <v>1.052</v>
      </c>
      <c r="J444" s="146">
        <f t="shared" si="166"/>
        <v>19258</v>
      </c>
      <c r="K444" s="146">
        <f t="shared" si="167"/>
        <v>18972</v>
      </c>
      <c r="L444" s="147"/>
      <c r="M444" s="147"/>
      <c r="N444" s="147"/>
    </row>
    <row r="445" spans="1:14" s="148" customFormat="1" ht="15.75" outlineLevel="3" x14ac:dyDescent="0.2">
      <c r="A445" s="95"/>
      <c r="B445" s="42"/>
      <c r="C445" s="157" t="s">
        <v>1341</v>
      </c>
      <c r="D445" s="100"/>
      <c r="E445" s="100"/>
      <c r="F445" s="149"/>
      <c r="G445" s="145"/>
      <c r="H445" s="146"/>
      <c r="I445" s="145">
        <f>Дефляторы!$D$25</f>
        <v>1.052</v>
      </c>
      <c r="J445" s="146"/>
      <c r="K445" s="146"/>
      <c r="L445" s="147"/>
      <c r="M445" s="147"/>
      <c r="N445" s="147"/>
    </row>
    <row r="446" spans="1:14" s="148" customFormat="1" ht="15.75" outlineLevel="3" x14ac:dyDescent="0.2">
      <c r="A446" s="95" t="s">
        <v>2058</v>
      </c>
      <c r="B446" s="42" t="s">
        <v>1345</v>
      </c>
      <c r="C446" s="42" t="s">
        <v>1342</v>
      </c>
      <c r="D446" s="100" t="s">
        <v>408</v>
      </c>
      <c r="E446" s="149">
        <v>1</v>
      </c>
      <c r="F446" s="149">
        <f>(1089)*(1.023*1.005-2.3%*15%)*6.99+256110*4.09</f>
        <v>1055290</v>
      </c>
      <c r="G446" s="145">
        <f>$G$766</f>
        <v>1.139</v>
      </c>
      <c r="H446" s="146">
        <f t="shared" ref="H446:H448" si="168">F446*G446</f>
        <v>1201975</v>
      </c>
      <c r="I446" s="145">
        <f>Дефляторы!$D$25</f>
        <v>1.052</v>
      </c>
      <c r="J446" s="146">
        <f t="shared" ref="J446:J448" si="169">H446*I446</f>
        <v>1264478</v>
      </c>
      <c r="K446" s="146">
        <f t="shared" ref="K446:K448" si="170">H446+(J446-H446)*(1-30/100)</f>
        <v>1245727</v>
      </c>
      <c r="L446" s="147"/>
      <c r="M446" s="147"/>
      <c r="N446" s="147"/>
    </row>
    <row r="447" spans="1:14" s="148" customFormat="1" ht="15.75" outlineLevel="3" x14ac:dyDescent="0.2">
      <c r="A447" s="95" t="s">
        <v>2059</v>
      </c>
      <c r="B447" s="42" t="s">
        <v>1346</v>
      </c>
      <c r="C447" s="42" t="s">
        <v>1343</v>
      </c>
      <c r="D447" s="100" t="s">
        <v>408</v>
      </c>
      <c r="E447" s="149">
        <v>1</v>
      </c>
      <c r="F447" s="149">
        <f>(1089)*(1.023*1.005-2.3%*15%)*6.99+244005*4.09</f>
        <v>1005780</v>
      </c>
      <c r="G447" s="145">
        <f>$G$766</f>
        <v>1.139</v>
      </c>
      <c r="H447" s="146">
        <f t="shared" si="168"/>
        <v>1145583</v>
      </c>
      <c r="I447" s="145">
        <f>Дефляторы!$D$25</f>
        <v>1.052</v>
      </c>
      <c r="J447" s="146">
        <f t="shared" si="169"/>
        <v>1205153</v>
      </c>
      <c r="K447" s="146">
        <f t="shared" si="170"/>
        <v>1187282</v>
      </c>
      <c r="L447" s="147"/>
      <c r="M447" s="147"/>
      <c r="N447" s="147"/>
    </row>
    <row r="448" spans="1:14" s="148" customFormat="1" ht="15.75" outlineLevel="3" x14ac:dyDescent="0.2">
      <c r="A448" s="270" t="s">
        <v>2060</v>
      </c>
      <c r="B448" s="271" t="s">
        <v>1347</v>
      </c>
      <c r="C448" s="271" t="s">
        <v>1344</v>
      </c>
      <c r="D448" s="272" t="s">
        <v>408</v>
      </c>
      <c r="E448" s="273">
        <v>1</v>
      </c>
      <c r="F448" s="273">
        <f>(240)*(1.023*1.005-2.3%*15%)*6.99+189529*4.09</f>
        <v>776893</v>
      </c>
      <c r="G448" s="274">
        <f>$G$766</f>
        <v>1.139</v>
      </c>
      <c r="H448" s="275">
        <f t="shared" si="168"/>
        <v>884881</v>
      </c>
      <c r="I448" s="274">
        <f>Дефляторы!$D$25</f>
        <v>1.052</v>
      </c>
      <c r="J448" s="275">
        <f t="shared" si="169"/>
        <v>930895</v>
      </c>
      <c r="K448" s="275">
        <f t="shared" si="170"/>
        <v>917091</v>
      </c>
      <c r="L448" s="276"/>
      <c r="M448" s="276"/>
      <c r="N448" s="276"/>
    </row>
    <row r="449" spans="1:14" s="237" customFormat="1" ht="38.25" outlineLevel="2" x14ac:dyDescent="0.2">
      <c r="A449" s="238" t="s">
        <v>456</v>
      </c>
      <c r="B449" s="229" t="s">
        <v>217</v>
      </c>
      <c r="C449" s="229" t="s">
        <v>218</v>
      </c>
      <c r="D449" s="239" t="s">
        <v>292</v>
      </c>
      <c r="E449" s="240">
        <v>1</v>
      </c>
      <c r="F449" s="240">
        <f>SUM(F450:F465)</f>
        <v>22495477</v>
      </c>
      <c r="G449" s="241">
        <f>$G$766</f>
        <v>1.139</v>
      </c>
      <c r="H449" s="240">
        <f>SUM(H450:H465)</f>
        <v>25622350</v>
      </c>
      <c r="I449" s="241">
        <f>Дефляторы!$D$25</f>
        <v>1.052</v>
      </c>
      <c r="J449" s="240">
        <f>SUM(J450:J465)</f>
        <v>26954712</v>
      </c>
      <c r="K449" s="240">
        <f>SUM(K450:K465)</f>
        <v>26555004</v>
      </c>
      <c r="L449" s="256"/>
      <c r="M449" s="256"/>
      <c r="N449" s="256"/>
    </row>
    <row r="450" spans="1:14" s="148" customFormat="1" ht="15.75" outlineLevel="3" x14ac:dyDescent="0.2">
      <c r="A450" s="95"/>
      <c r="B450" s="42"/>
      <c r="C450" s="42" t="s">
        <v>367</v>
      </c>
      <c r="D450" s="100"/>
      <c r="E450" s="100"/>
      <c r="F450" s="149"/>
      <c r="G450" s="145"/>
      <c r="H450" s="146"/>
      <c r="I450" s="145">
        <f>Дефляторы!$D$25</f>
        <v>1.052</v>
      </c>
      <c r="J450" s="146"/>
      <c r="K450" s="146"/>
      <c r="L450" s="147"/>
      <c r="M450" s="147"/>
      <c r="N450" s="147"/>
    </row>
    <row r="451" spans="1:14" s="148" customFormat="1" ht="15.75" outlineLevel="3" x14ac:dyDescent="0.2">
      <c r="A451" s="95" t="s">
        <v>457</v>
      </c>
      <c r="B451" s="42" t="s">
        <v>458</v>
      </c>
      <c r="C451" s="42" t="s">
        <v>1348</v>
      </c>
      <c r="D451" s="100" t="s">
        <v>300</v>
      </c>
      <c r="E451" s="100">
        <v>25</v>
      </c>
      <c r="F451" s="149">
        <f>(4176)*(1.023*1.005-2.3%*15%)*6.99+0*4.09</f>
        <v>29910</v>
      </c>
      <c r="G451" s="145">
        <f t="shared" ref="G451:G458" si="171">$G$766</f>
        <v>1.139</v>
      </c>
      <c r="H451" s="146">
        <f t="shared" ref="H451:H458" si="172">F451*G451</f>
        <v>34067</v>
      </c>
      <c r="I451" s="145">
        <f>Дефляторы!$D$25</f>
        <v>1.052</v>
      </c>
      <c r="J451" s="146">
        <f t="shared" ref="J451:J458" si="173">H451*I451</f>
        <v>35838</v>
      </c>
      <c r="K451" s="146">
        <f t="shared" ref="K451:K458" si="174">H451+(J451-H451)*(1-30/100)</f>
        <v>35307</v>
      </c>
      <c r="L451" s="147" t="s">
        <v>1349</v>
      </c>
      <c r="M451" s="147"/>
      <c r="N451" s="147"/>
    </row>
    <row r="452" spans="1:14" s="148" customFormat="1" ht="15.75" outlineLevel="3" x14ac:dyDescent="0.2">
      <c r="A452" s="95" t="s">
        <v>459</v>
      </c>
      <c r="B452" s="42" t="s">
        <v>1350</v>
      </c>
      <c r="C452" s="42" t="s">
        <v>1010</v>
      </c>
      <c r="D452" s="100" t="s">
        <v>300</v>
      </c>
      <c r="E452" s="100">
        <f>151.9</f>
        <v>151.9</v>
      </c>
      <c r="F452" s="149">
        <f>(275464)*(1.023*1.005-2.3%*15%)*6.99+0*4.09</f>
        <v>1972986</v>
      </c>
      <c r="G452" s="145">
        <f t="shared" si="171"/>
        <v>1.139</v>
      </c>
      <c r="H452" s="146">
        <f t="shared" si="172"/>
        <v>2247231</v>
      </c>
      <c r="I452" s="145">
        <f>Дефляторы!$D$25</f>
        <v>1.052</v>
      </c>
      <c r="J452" s="146">
        <f t="shared" si="173"/>
        <v>2364087</v>
      </c>
      <c r="K452" s="146">
        <f t="shared" si="174"/>
        <v>2329030</v>
      </c>
      <c r="L452" s="147"/>
      <c r="M452" s="147"/>
      <c r="N452" s="147"/>
    </row>
    <row r="453" spans="1:14" s="148" customFormat="1" ht="15.75" outlineLevel="3" x14ac:dyDescent="0.2">
      <c r="A453" s="95" t="s">
        <v>461</v>
      </c>
      <c r="B453" s="42" t="s">
        <v>1352</v>
      </c>
      <c r="C453" s="42" t="s">
        <v>1351</v>
      </c>
      <c r="D453" s="100" t="s">
        <v>300</v>
      </c>
      <c r="E453" s="100">
        <f>63.7</f>
        <v>63.7</v>
      </c>
      <c r="F453" s="149">
        <f>(96782)*(1.023*1.005-2.3%*15%)*6.99+0*4.09</f>
        <v>693192</v>
      </c>
      <c r="G453" s="145">
        <f t="shared" si="171"/>
        <v>1.139</v>
      </c>
      <c r="H453" s="146">
        <f t="shared" si="172"/>
        <v>789546</v>
      </c>
      <c r="I453" s="145">
        <f>Дефляторы!$D$25</f>
        <v>1.052</v>
      </c>
      <c r="J453" s="146">
        <f t="shared" si="173"/>
        <v>830602</v>
      </c>
      <c r="K453" s="146">
        <f t="shared" si="174"/>
        <v>818285</v>
      </c>
      <c r="L453" s="147"/>
      <c r="M453" s="147"/>
      <c r="N453" s="147"/>
    </row>
    <row r="454" spans="1:14" s="148" customFormat="1" ht="15.75" outlineLevel="3" x14ac:dyDescent="0.2">
      <c r="A454" s="95" t="s">
        <v>462</v>
      </c>
      <c r="B454" s="42" t="s">
        <v>1354</v>
      </c>
      <c r="C454" s="42" t="s">
        <v>1353</v>
      </c>
      <c r="D454" s="100" t="s">
        <v>300</v>
      </c>
      <c r="E454" s="100">
        <f>10.3</f>
        <v>10.3</v>
      </c>
      <c r="F454" s="149">
        <f>(16135)*(1.023*1.005-2.3%*15%)*6.99+0*4.09</f>
        <v>115565</v>
      </c>
      <c r="G454" s="145">
        <f t="shared" si="171"/>
        <v>1.139</v>
      </c>
      <c r="H454" s="146">
        <f t="shared" si="172"/>
        <v>131629</v>
      </c>
      <c r="I454" s="145">
        <f>Дефляторы!$D$25</f>
        <v>1.052</v>
      </c>
      <c r="J454" s="146">
        <f t="shared" si="173"/>
        <v>138474</v>
      </c>
      <c r="K454" s="146">
        <f t="shared" si="174"/>
        <v>136421</v>
      </c>
      <c r="L454" s="147"/>
      <c r="M454" s="147"/>
      <c r="N454" s="147"/>
    </row>
    <row r="455" spans="1:14" s="148" customFormat="1" ht="15.75" outlineLevel="3" x14ac:dyDescent="0.2">
      <c r="A455" s="95" t="s">
        <v>463</v>
      </c>
      <c r="B455" s="42" t="s">
        <v>1356</v>
      </c>
      <c r="C455" s="42" t="s">
        <v>1355</v>
      </c>
      <c r="D455" s="100" t="s">
        <v>300</v>
      </c>
      <c r="E455" s="100">
        <f>39</f>
        <v>39</v>
      </c>
      <c r="F455" s="149">
        <f>(133405)*(1.023*1.005-2.3%*15%)*6.99+0*4.09</f>
        <v>955501</v>
      </c>
      <c r="G455" s="145">
        <f t="shared" si="171"/>
        <v>1.139</v>
      </c>
      <c r="H455" s="146">
        <f t="shared" si="172"/>
        <v>1088316</v>
      </c>
      <c r="I455" s="145">
        <f>Дефляторы!$D$25</f>
        <v>1.052</v>
      </c>
      <c r="J455" s="146">
        <f t="shared" si="173"/>
        <v>1144908</v>
      </c>
      <c r="K455" s="146">
        <f t="shared" si="174"/>
        <v>1127930</v>
      </c>
      <c r="L455" s="147"/>
      <c r="M455" s="147"/>
      <c r="N455" s="147"/>
    </row>
    <row r="456" spans="1:14" s="148" customFormat="1" ht="15.75" outlineLevel="3" x14ac:dyDescent="0.2">
      <c r="A456" s="95" t="s">
        <v>464</v>
      </c>
      <c r="B456" s="42" t="s">
        <v>1358</v>
      </c>
      <c r="C456" s="42" t="s">
        <v>1357</v>
      </c>
      <c r="D456" s="100" t="s">
        <v>300</v>
      </c>
      <c r="E456" s="100">
        <f>134</f>
        <v>134</v>
      </c>
      <c r="F456" s="149">
        <f>(259297)*(1.023*1.005-2.3%*15%)*6.99+0*4.09</f>
        <v>1857191</v>
      </c>
      <c r="G456" s="145">
        <f t="shared" si="171"/>
        <v>1.139</v>
      </c>
      <c r="H456" s="146">
        <f t="shared" si="172"/>
        <v>2115341</v>
      </c>
      <c r="I456" s="145">
        <f>Дефляторы!$D$25</f>
        <v>1.052</v>
      </c>
      <c r="J456" s="146">
        <f t="shared" si="173"/>
        <v>2225339</v>
      </c>
      <c r="K456" s="146">
        <f t="shared" si="174"/>
        <v>2192340</v>
      </c>
      <c r="L456" s="147"/>
      <c r="M456" s="147"/>
      <c r="N456" s="147"/>
    </row>
    <row r="457" spans="1:14" s="148" customFormat="1" ht="15.75" outlineLevel="3" x14ac:dyDescent="0.2">
      <c r="A457" s="95" t="s">
        <v>466</v>
      </c>
      <c r="B457" s="42" t="s">
        <v>1360</v>
      </c>
      <c r="C457" s="42" t="s">
        <v>1359</v>
      </c>
      <c r="D457" s="100" t="s">
        <v>300</v>
      </c>
      <c r="E457" s="100">
        <v>16.7</v>
      </c>
      <c r="F457" s="149">
        <f>(29512)*(1.023*1.005-2.3%*15%)*6.99+0*4.09</f>
        <v>211377</v>
      </c>
      <c r="G457" s="145">
        <f t="shared" si="171"/>
        <v>1.139</v>
      </c>
      <c r="H457" s="146">
        <f t="shared" si="172"/>
        <v>240758</v>
      </c>
      <c r="I457" s="145">
        <f>Дефляторы!$D$25</f>
        <v>1.052</v>
      </c>
      <c r="J457" s="146">
        <f t="shared" si="173"/>
        <v>253277</v>
      </c>
      <c r="K457" s="146">
        <f t="shared" si="174"/>
        <v>249521</v>
      </c>
      <c r="L457" s="147"/>
      <c r="M457" s="147"/>
      <c r="N457" s="147"/>
    </row>
    <row r="458" spans="1:14" s="148" customFormat="1" ht="25.5" outlineLevel="3" x14ac:dyDescent="0.2">
      <c r="A458" s="95" t="s">
        <v>467</v>
      </c>
      <c r="B458" s="42" t="s">
        <v>1361</v>
      </c>
      <c r="C458" s="42" t="s">
        <v>1019</v>
      </c>
      <c r="D458" s="100" t="s">
        <v>292</v>
      </c>
      <c r="E458" s="100">
        <v>1</v>
      </c>
      <c r="F458" s="149">
        <f>(80274)*(1.023*1.005-2.3%*15%)*6.99+0*4.09</f>
        <v>574955</v>
      </c>
      <c r="G458" s="145">
        <f t="shared" si="171"/>
        <v>1.139</v>
      </c>
      <c r="H458" s="146">
        <f t="shared" si="172"/>
        <v>654874</v>
      </c>
      <c r="I458" s="145">
        <f>Дефляторы!$D$25</f>
        <v>1.052</v>
      </c>
      <c r="J458" s="146">
        <f t="shared" si="173"/>
        <v>688927</v>
      </c>
      <c r="K458" s="146">
        <f t="shared" si="174"/>
        <v>678711</v>
      </c>
      <c r="L458" s="147"/>
      <c r="M458" s="147"/>
      <c r="N458" s="147"/>
    </row>
    <row r="459" spans="1:14" s="148" customFormat="1" ht="15.75" outlineLevel="3" x14ac:dyDescent="0.2">
      <c r="A459" s="95"/>
      <c r="B459" s="42"/>
      <c r="C459" s="42" t="s">
        <v>1026</v>
      </c>
      <c r="D459" s="100"/>
      <c r="E459" s="100"/>
      <c r="F459" s="149"/>
      <c r="G459" s="145"/>
      <c r="H459" s="146"/>
      <c r="I459" s="145">
        <f>Дефляторы!$D$25</f>
        <v>1.052</v>
      </c>
      <c r="J459" s="146"/>
      <c r="K459" s="146"/>
      <c r="L459" s="147"/>
      <c r="M459" s="147"/>
      <c r="N459" s="147"/>
    </row>
    <row r="460" spans="1:14" s="148" customFormat="1" ht="15.75" outlineLevel="3" x14ac:dyDescent="0.2">
      <c r="A460" s="95" t="s">
        <v>468</v>
      </c>
      <c r="B460" s="42" t="s">
        <v>1362</v>
      </c>
      <c r="C460" s="42" t="s">
        <v>1027</v>
      </c>
      <c r="D460" s="100" t="s">
        <v>292</v>
      </c>
      <c r="E460" s="100">
        <v>1</v>
      </c>
      <c r="F460" s="149">
        <f>(100140)*(1.023*1.005-2.3%*15%)*6.99+0*4.09</f>
        <v>717244</v>
      </c>
      <c r="G460" s="145">
        <f>$G$766</f>
        <v>1.139</v>
      </c>
      <c r="H460" s="146">
        <f t="shared" ref="H460:H462" si="175">F460*G460</f>
        <v>816941</v>
      </c>
      <c r="I460" s="145">
        <f>Дефляторы!$D$25</f>
        <v>1.052</v>
      </c>
      <c r="J460" s="146">
        <f t="shared" ref="J460:J462" si="176">H460*I460</f>
        <v>859422</v>
      </c>
      <c r="K460" s="146">
        <f t="shared" ref="K460:K462" si="177">H460+(J460-H460)*(1-30/100)</f>
        <v>846678</v>
      </c>
      <c r="L460" s="147" t="s">
        <v>1363</v>
      </c>
      <c r="M460" s="147"/>
      <c r="N460" s="147"/>
    </row>
    <row r="461" spans="1:14" s="148" customFormat="1" ht="15.75" outlineLevel="3" x14ac:dyDescent="0.2">
      <c r="A461" s="95" t="s">
        <v>469</v>
      </c>
      <c r="B461" s="42" t="s">
        <v>1364</v>
      </c>
      <c r="C461" s="42" t="s">
        <v>1031</v>
      </c>
      <c r="D461" s="100" t="s">
        <v>292</v>
      </c>
      <c r="E461" s="100">
        <v>1</v>
      </c>
      <c r="F461" s="149">
        <f>(1459391)*(1.023*1.005-2.3%*15%)*6.99+0*4.09+15</f>
        <v>10452769</v>
      </c>
      <c r="G461" s="145">
        <f>$G$766</f>
        <v>1.139</v>
      </c>
      <c r="H461" s="146">
        <f t="shared" si="175"/>
        <v>11905704</v>
      </c>
      <c r="I461" s="145">
        <f>Дефляторы!$D$25</f>
        <v>1.052</v>
      </c>
      <c r="J461" s="146">
        <f t="shared" si="176"/>
        <v>12524801</v>
      </c>
      <c r="K461" s="146">
        <f t="shared" si="177"/>
        <v>12339072</v>
      </c>
      <c r="L461" s="147"/>
      <c r="M461" s="147"/>
      <c r="N461" s="147"/>
    </row>
    <row r="462" spans="1:14" s="148" customFormat="1" ht="15.75" outlineLevel="3" x14ac:dyDescent="0.2">
      <c r="A462" s="95" t="s">
        <v>2061</v>
      </c>
      <c r="B462" s="42" t="s">
        <v>1365</v>
      </c>
      <c r="C462" s="42" t="s">
        <v>1036</v>
      </c>
      <c r="D462" s="100" t="s">
        <v>637</v>
      </c>
      <c r="E462" s="100">
        <v>1.5</v>
      </c>
      <c r="F462" s="149">
        <f>(21691)*(1.023*1.005-2.3%*15%)*6.99+0*4.09</f>
        <v>155360</v>
      </c>
      <c r="G462" s="145">
        <f>$G$766</f>
        <v>1.139</v>
      </c>
      <c r="H462" s="146">
        <f t="shared" si="175"/>
        <v>176955</v>
      </c>
      <c r="I462" s="145">
        <f>Дефляторы!$D$25</f>
        <v>1.052</v>
      </c>
      <c r="J462" s="146">
        <f t="shared" si="176"/>
        <v>186157</v>
      </c>
      <c r="K462" s="146">
        <f t="shared" si="177"/>
        <v>183396</v>
      </c>
      <c r="L462" s="147"/>
      <c r="M462" s="147"/>
      <c r="N462" s="147"/>
    </row>
    <row r="463" spans="1:14" s="148" customFormat="1" ht="15.75" outlineLevel="3" x14ac:dyDescent="0.2">
      <c r="A463" s="95"/>
      <c r="B463" s="42"/>
      <c r="C463" s="42" t="s">
        <v>1366</v>
      </c>
      <c r="D463" s="100"/>
      <c r="E463" s="100"/>
      <c r="F463" s="149"/>
      <c r="G463" s="145"/>
      <c r="H463" s="146"/>
      <c r="I463" s="145">
        <f>Дефляторы!$D$25</f>
        <v>1.052</v>
      </c>
      <c r="J463" s="146"/>
      <c r="K463" s="146"/>
      <c r="L463" s="147"/>
      <c r="M463" s="147"/>
      <c r="N463" s="147"/>
    </row>
    <row r="464" spans="1:14" s="148" customFormat="1" ht="25.5" outlineLevel="3" x14ac:dyDescent="0.2">
      <c r="A464" s="95" t="s">
        <v>2062</v>
      </c>
      <c r="B464" s="42" t="s">
        <v>1368</v>
      </c>
      <c r="C464" s="42" t="s">
        <v>1367</v>
      </c>
      <c r="D464" s="100" t="s">
        <v>404</v>
      </c>
      <c r="E464" s="100">
        <f>4010</f>
        <v>4010</v>
      </c>
      <c r="F464" s="149">
        <f>(526355)*(1.023*1.005-2.3%*15%)*6.99+0*4.09</f>
        <v>3769969</v>
      </c>
      <c r="G464" s="145">
        <f>$G$766</f>
        <v>1.139</v>
      </c>
      <c r="H464" s="146">
        <f t="shared" ref="H464:H465" si="178">F464*G464</f>
        <v>4293995</v>
      </c>
      <c r="I464" s="145">
        <f>Дефляторы!$D$25</f>
        <v>1.052</v>
      </c>
      <c r="J464" s="146">
        <f t="shared" ref="J464:J465" si="179">H464*I464</f>
        <v>4517283</v>
      </c>
      <c r="K464" s="146">
        <f t="shared" ref="K464:K465" si="180">H464+(J464-H464)*(1-30/100)</f>
        <v>4450297</v>
      </c>
      <c r="L464" s="147"/>
      <c r="M464" s="147"/>
      <c r="N464" s="147"/>
    </row>
    <row r="465" spans="1:14" s="148" customFormat="1" ht="38.25" outlineLevel="3" x14ac:dyDescent="0.2">
      <c r="A465" s="95" t="s">
        <v>2063</v>
      </c>
      <c r="B465" s="42" t="s">
        <v>1371</v>
      </c>
      <c r="C465" s="42" t="s">
        <v>1369</v>
      </c>
      <c r="D465" s="100" t="s">
        <v>404</v>
      </c>
      <c r="E465" s="100">
        <f>198</f>
        <v>198</v>
      </c>
      <c r="F465" s="149">
        <f>(138146)*(1.023*1.005-2.3%*15%)*6.99+0*4.09</f>
        <v>989458</v>
      </c>
      <c r="G465" s="145">
        <f>$G$766</f>
        <v>1.139</v>
      </c>
      <c r="H465" s="146">
        <f t="shared" si="178"/>
        <v>1126993</v>
      </c>
      <c r="I465" s="145">
        <f>Дефляторы!$D$25</f>
        <v>1.052</v>
      </c>
      <c r="J465" s="146">
        <f t="shared" si="179"/>
        <v>1185597</v>
      </c>
      <c r="K465" s="146">
        <f t="shared" si="180"/>
        <v>1168016</v>
      </c>
      <c r="L465" s="172" t="s">
        <v>1370</v>
      </c>
      <c r="M465" s="147"/>
      <c r="N465" s="147"/>
    </row>
    <row r="466" spans="1:14" s="237" customFormat="1" ht="38.25" outlineLevel="2" x14ac:dyDescent="0.2">
      <c r="A466" s="238" t="s">
        <v>470</v>
      </c>
      <c r="B466" s="229" t="s">
        <v>219</v>
      </c>
      <c r="C466" s="229" t="s">
        <v>1372</v>
      </c>
      <c r="D466" s="239" t="s">
        <v>292</v>
      </c>
      <c r="E466" s="240">
        <v>1</v>
      </c>
      <c r="F466" s="240">
        <f>SUM(F467:F472)</f>
        <v>853430</v>
      </c>
      <c r="G466" s="241">
        <f>$G$766</f>
        <v>1.139</v>
      </c>
      <c r="H466" s="240">
        <f>SUM(H467:H472)</f>
        <v>972058</v>
      </c>
      <c r="I466" s="241">
        <f>Дефляторы!$D$25</f>
        <v>1.052</v>
      </c>
      <c r="J466" s="240">
        <f>SUM(J467:J472)</f>
        <v>1022604</v>
      </c>
      <c r="K466" s="240">
        <f>SUM(K467:K472)</f>
        <v>1007441</v>
      </c>
      <c r="L466" s="256"/>
      <c r="M466" s="256"/>
      <c r="N466" s="256"/>
    </row>
    <row r="467" spans="1:14" s="148" customFormat="1" ht="15.75" outlineLevel="3" x14ac:dyDescent="0.2">
      <c r="A467" s="95"/>
      <c r="B467" s="42"/>
      <c r="C467" s="42" t="s">
        <v>1098</v>
      </c>
      <c r="D467" s="100"/>
      <c r="E467" s="149"/>
      <c r="F467" s="149"/>
      <c r="G467" s="145"/>
      <c r="H467" s="146"/>
      <c r="I467" s="145">
        <f>Дефляторы!$D$25</f>
        <v>1.052</v>
      </c>
      <c r="J467" s="146"/>
      <c r="K467" s="146"/>
      <c r="L467" s="147"/>
      <c r="M467" s="147"/>
      <c r="N467" s="147"/>
    </row>
    <row r="468" spans="1:14" s="148" customFormat="1" ht="25.5" outlineLevel="3" x14ac:dyDescent="0.2">
      <c r="A468" s="95" t="s">
        <v>471</v>
      </c>
      <c r="B468" s="42" t="s">
        <v>1373</v>
      </c>
      <c r="C468" s="42" t="s">
        <v>427</v>
      </c>
      <c r="D468" s="100" t="s">
        <v>408</v>
      </c>
      <c r="E468" s="149">
        <v>1</v>
      </c>
      <c r="F468" s="149">
        <f>(1724)*(1.023*1.005-2.3%*15%)*6.99+23912*4.09</f>
        <v>110148</v>
      </c>
      <c r="G468" s="145">
        <f t="shared" ref="G468:G473" si="181">$G$766</f>
        <v>1.139</v>
      </c>
      <c r="H468" s="146">
        <f t="shared" ref="H468:H472" si="182">F468*G468</f>
        <v>125459</v>
      </c>
      <c r="I468" s="145">
        <f>Дефляторы!$D$25</f>
        <v>1.052</v>
      </c>
      <c r="J468" s="146">
        <f t="shared" ref="J468:J472" si="183">H468*I468</f>
        <v>131983</v>
      </c>
      <c r="K468" s="146">
        <f t="shared" ref="K468:K472" si="184">H468+(J468-H468)*(1-30/100)</f>
        <v>130026</v>
      </c>
      <c r="L468" s="147"/>
      <c r="M468" s="147"/>
      <c r="N468" s="147"/>
    </row>
    <row r="469" spans="1:14" s="148" customFormat="1" ht="25.5" outlineLevel="3" x14ac:dyDescent="0.2">
      <c r="A469" s="95" t="s">
        <v>472</v>
      </c>
      <c r="B469" s="42" t="s">
        <v>1374</v>
      </c>
      <c r="C469" s="42" t="s">
        <v>429</v>
      </c>
      <c r="D469" s="100" t="s">
        <v>408</v>
      </c>
      <c r="E469" s="149">
        <v>1</v>
      </c>
      <c r="F469" s="149">
        <f>(309)*(1.023*1.005-2.3%*15%)*6.99+42376*4.09</f>
        <v>175531</v>
      </c>
      <c r="G469" s="145">
        <f t="shared" si="181"/>
        <v>1.139</v>
      </c>
      <c r="H469" s="146">
        <f t="shared" si="182"/>
        <v>199930</v>
      </c>
      <c r="I469" s="145">
        <f>Дефляторы!$D$25</f>
        <v>1.052</v>
      </c>
      <c r="J469" s="146">
        <f t="shared" si="183"/>
        <v>210326</v>
      </c>
      <c r="K469" s="146">
        <f t="shared" si="184"/>
        <v>207207</v>
      </c>
      <c r="L469" s="147"/>
      <c r="M469" s="147"/>
      <c r="N469" s="147"/>
    </row>
    <row r="470" spans="1:14" s="148" customFormat="1" ht="15.75" outlineLevel="3" x14ac:dyDescent="0.2">
      <c r="A470" s="95" t="s">
        <v>473</v>
      </c>
      <c r="B470" s="42" t="s">
        <v>1375</v>
      </c>
      <c r="C470" s="42" t="s">
        <v>379</v>
      </c>
      <c r="D470" s="100" t="s">
        <v>292</v>
      </c>
      <c r="E470" s="149">
        <v>1</v>
      </c>
      <c r="F470" s="149">
        <f>(52744)*(1.023*1.005-2.3%*15%)*6.99+0*4.09+22</f>
        <v>377796</v>
      </c>
      <c r="G470" s="145">
        <f t="shared" si="181"/>
        <v>1.139</v>
      </c>
      <c r="H470" s="146">
        <f t="shared" si="182"/>
        <v>430310</v>
      </c>
      <c r="I470" s="145">
        <f>Дефляторы!$D$25</f>
        <v>1.052</v>
      </c>
      <c r="J470" s="146">
        <f t="shared" si="183"/>
        <v>452686</v>
      </c>
      <c r="K470" s="146">
        <f t="shared" si="184"/>
        <v>445973</v>
      </c>
      <c r="L470" s="147"/>
      <c r="M470" s="147"/>
      <c r="N470" s="147"/>
    </row>
    <row r="471" spans="1:14" s="148" customFormat="1" ht="15.75" outlineLevel="3" x14ac:dyDescent="0.2">
      <c r="A471" s="95" t="s">
        <v>474</v>
      </c>
      <c r="B471" s="42" t="s">
        <v>1376</v>
      </c>
      <c r="C471" s="42" t="s">
        <v>1102</v>
      </c>
      <c r="D471" s="100" t="s">
        <v>292</v>
      </c>
      <c r="E471" s="149">
        <v>1</v>
      </c>
      <c r="F471" s="149">
        <f>(26320)*(1.023*1.005-2.3%*15%)*6.99+0*4.09</f>
        <v>188515</v>
      </c>
      <c r="G471" s="145">
        <f t="shared" si="181"/>
        <v>1.139</v>
      </c>
      <c r="H471" s="146">
        <f t="shared" si="182"/>
        <v>214719</v>
      </c>
      <c r="I471" s="145">
        <f>Дефляторы!$D$25</f>
        <v>1.052</v>
      </c>
      <c r="J471" s="146">
        <f t="shared" si="183"/>
        <v>225884</v>
      </c>
      <c r="K471" s="146">
        <f t="shared" si="184"/>
        <v>222535</v>
      </c>
      <c r="L471" s="147"/>
      <c r="M471" s="147"/>
      <c r="N471" s="147"/>
    </row>
    <row r="472" spans="1:14" s="148" customFormat="1" ht="25.5" outlineLevel="3" x14ac:dyDescent="0.2">
      <c r="A472" s="95" t="s">
        <v>475</v>
      </c>
      <c r="B472" s="42" t="s">
        <v>1377</v>
      </c>
      <c r="C472" s="42" t="s">
        <v>1105</v>
      </c>
      <c r="D472" s="100" t="s">
        <v>408</v>
      </c>
      <c r="E472" s="100">
        <v>10</v>
      </c>
      <c r="F472" s="149">
        <f>(201)*(1.023*1.005-2.3%*15%)*6.99+0*4.09</f>
        <v>1440</v>
      </c>
      <c r="G472" s="145">
        <f t="shared" si="181"/>
        <v>1.139</v>
      </c>
      <c r="H472" s="146">
        <f t="shared" si="182"/>
        <v>1640</v>
      </c>
      <c r="I472" s="145">
        <f>Дефляторы!$D$25</f>
        <v>1.052</v>
      </c>
      <c r="J472" s="146">
        <f t="shared" si="183"/>
        <v>1725</v>
      </c>
      <c r="K472" s="146">
        <f t="shared" si="184"/>
        <v>1700</v>
      </c>
      <c r="L472" s="147"/>
      <c r="M472" s="147"/>
      <c r="N472" s="147"/>
    </row>
    <row r="473" spans="1:14" s="256" customFormat="1" ht="25.5" outlineLevel="2" x14ac:dyDescent="0.2">
      <c r="A473" s="238" t="s">
        <v>476</v>
      </c>
      <c r="B473" s="229" t="s">
        <v>221</v>
      </c>
      <c r="C473" s="229" t="s">
        <v>222</v>
      </c>
      <c r="D473" s="239" t="s">
        <v>292</v>
      </c>
      <c r="E473" s="240">
        <v>1</v>
      </c>
      <c r="F473" s="240">
        <f>SUM(F474:F488)</f>
        <v>682649</v>
      </c>
      <c r="G473" s="241">
        <f t="shared" si="181"/>
        <v>1.139</v>
      </c>
      <c r="H473" s="240">
        <f>SUM(H474:H488)</f>
        <v>777538</v>
      </c>
      <c r="I473" s="241">
        <f>Дефляторы!$D$25</f>
        <v>1.052</v>
      </c>
      <c r="J473" s="240">
        <f>SUM(J474:J488)</f>
        <v>817970</v>
      </c>
      <c r="K473" s="240">
        <f>SUM(K474:K488)</f>
        <v>805842</v>
      </c>
    </row>
    <row r="474" spans="1:14" s="148" customFormat="1" ht="15.75" outlineLevel="3" x14ac:dyDescent="0.2">
      <c r="A474" s="277"/>
      <c r="B474" s="278"/>
      <c r="C474" s="279" t="s">
        <v>1378</v>
      </c>
      <c r="D474" s="280"/>
      <c r="E474" s="280"/>
      <c r="F474" s="281"/>
      <c r="G474" s="282"/>
      <c r="H474" s="283"/>
      <c r="I474" s="282">
        <f>Дефляторы!$D$25</f>
        <v>1.052</v>
      </c>
      <c r="J474" s="283"/>
      <c r="K474" s="283"/>
      <c r="L474" s="284"/>
      <c r="M474" s="284"/>
      <c r="N474" s="284"/>
    </row>
    <row r="475" spans="1:14" s="148" customFormat="1" ht="38.25" outlineLevel="3" x14ac:dyDescent="0.2">
      <c r="A475" s="95" t="s">
        <v>478</v>
      </c>
      <c r="B475" s="42" t="s">
        <v>1388</v>
      </c>
      <c r="C475" s="42" t="s">
        <v>1379</v>
      </c>
      <c r="D475" s="100" t="s">
        <v>408</v>
      </c>
      <c r="E475" s="149">
        <v>1</v>
      </c>
      <c r="F475" s="149">
        <f>(821)*(1.023*1.005-2.3%*15%)*6.99+0*4.09</f>
        <v>5880</v>
      </c>
      <c r="G475" s="145">
        <f t="shared" ref="G475:G480" si="185">$G$766</f>
        <v>1.139</v>
      </c>
      <c r="H475" s="146">
        <f t="shared" ref="H475:H480" si="186">F475*G475</f>
        <v>6697</v>
      </c>
      <c r="I475" s="145">
        <f>Дефляторы!$D$25</f>
        <v>1.052</v>
      </c>
      <c r="J475" s="146">
        <f t="shared" ref="J475:J480" si="187">H475*I475</f>
        <v>7045</v>
      </c>
      <c r="K475" s="146">
        <f t="shared" ref="K475:K480" si="188">H475+(J475-H475)*(1-30/100)</f>
        <v>6941</v>
      </c>
      <c r="L475" s="172" t="s">
        <v>1399</v>
      </c>
      <c r="M475" s="147"/>
      <c r="N475" s="147"/>
    </row>
    <row r="476" spans="1:14" s="148" customFormat="1" ht="63.75" outlineLevel="3" x14ac:dyDescent="0.2">
      <c r="A476" s="95" t="s">
        <v>479</v>
      </c>
      <c r="B476" s="42" t="s">
        <v>1387</v>
      </c>
      <c r="C476" s="42" t="s">
        <v>1380</v>
      </c>
      <c r="D476" s="100" t="s">
        <v>408</v>
      </c>
      <c r="E476" s="149">
        <v>1</v>
      </c>
      <c r="F476" s="149">
        <f>(1484)*(1.023*1.005-2.3%*15%)*6.99+0*4.09</f>
        <v>10629</v>
      </c>
      <c r="G476" s="145">
        <f t="shared" si="185"/>
        <v>1.139</v>
      </c>
      <c r="H476" s="146">
        <f t="shared" si="186"/>
        <v>12106</v>
      </c>
      <c r="I476" s="145">
        <f>Дефляторы!$D$25</f>
        <v>1.052</v>
      </c>
      <c r="J476" s="146">
        <f t="shared" si="187"/>
        <v>12736</v>
      </c>
      <c r="K476" s="146">
        <f t="shared" si="188"/>
        <v>12547</v>
      </c>
      <c r="L476" s="172" t="s">
        <v>1399</v>
      </c>
      <c r="M476" s="147"/>
      <c r="N476" s="147"/>
    </row>
    <row r="477" spans="1:14" s="148" customFormat="1" ht="38.25" outlineLevel="3" x14ac:dyDescent="0.2">
      <c r="A477" s="95" t="s">
        <v>480</v>
      </c>
      <c r="B477" s="42" t="s">
        <v>1389</v>
      </c>
      <c r="C477" s="42" t="s">
        <v>1381</v>
      </c>
      <c r="D477" s="100" t="s">
        <v>408</v>
      </c>
      <c r="E477" s="149">
        <v>1</v>
      </c>
      <c r="F477" s="149">
        <f>(925)*(1.023*1.005-2.3%*15%)*6.99+0*4.09</f>
        <v>6625</v>
      </c>
      <c r="G477" s="145">
        <f t="shared" si="185"/>
        <v>1.139</v>
      </c>
      <c r="H477" s="146">
        <f t="shared" si="186"/>
        <v>7546</v>
      </c>
      <c r="I477" s="145">
        <f>Дефляторы!$D$25</f>
        <v>1.052</v>
      </c>
      <c r="J477" s="146">
        <f t="shared" si="187"/>
        <v>7938</v>
      </c>
      <c r="K477" s="146">
        <f t="shared" si="188"/>
        <v>7820</v>
      </c>
      <c r="L477" s="172" t="s">
        <v>1399</v>
      </c>
      <c r="M477" s="147"/>
      <c r="N477" s="147"/>
    </row>
    <row r="478" spans="1:14" s="148" customFormat="1" ht="38.25" outlineLevel="3" x14ac:dyDescent="0.2">
      <c r="A478" s="95" t="s">
        <v>481</v>
      </c>
      <c r="B478" s="42" t="s">
        <v>1390</v>
      </c>
      <c r="C478" s="42" t="s">
        <v>1382</v>
      </c>
      <c r="D478" s="100" t="s">
        <v>408</v>
      </c>
      <c r="E478" s="149">
        <v>1</v>
      </c>
      <c r="F478" s="149">
        <f>(1198)*(1.023*1.005-2.3%*15%)*6.99+0*4.09</f>
        <v>8581</v>
      </c>
      <c r="G478" s="145">
        <f t="shared" si="185"/>
        <v>1.139</v>
      </c>
      <c r="H478" s="146">
        <f t="shared" si="186"/>
        <v>9774</v>
      </c>
      <c r="I478" s="145">
        <f>Дефляторы!$D$25</f>
        <v>1.052</v>
      </c>
      <c r="J478" s="146">
        <f t="shared" si="187"/>
        <v>10282</v>
      </c>
      <c r="K478" s="146">
        <f t="shared" si="188"/>
        <v>10130</v>
      </c>
      <c r="L478" s="172" t="s">
        <v>1399</v>
      </c>
      <c r="M478" s="147"/>
      <c r="N478" s="147"/>
    </row>
    <row r="479" spans="1:14" s="148" customFormat="1" ht="63.75" outlineLevel="3" x14ac:dyDescent="0.2">
      <c r="A479" s="95" t="s">
        <v>2064</v>
      </c>
      <c r="B479" s="42" t="s">
        <v>1391</v>
      </c>
      <c r="C479" s="42" t="s">
        <v>439</v>
      </c>
      <c r="D479" s="100" t="s">
        <v>408</v>
      </c>
      <c r="E479" s="149">
        <v>1</v>
      </c>
      <c r="F479" s="149">
        <f>(954)*(1.023*1.005-2.3%*15%)*6.99+0*4.09</f>
        <v>6833</v>
      </c>
      <c r="G479" s="145">
        <f t="shared" si="185"/>
        <v>1.139</v>
      </c>
      <c r="H479" s="146">
        <f t="shared" si="186"/>
        <v>7783</v>
      </c>
      <c r="I479" s="145">
        <f>Дефляторы!$D$25</f>
        <v>1.052</v>
      </c>
      <c r="J479" s="146">
        <f t="shared" si="187"/>
        <v>8188</v>
      </c>
      <c r="K479" s="146">
        <f t="shared" si="188"/>
        <v>8067</v>
      </c>
      <c r="L479" s="172" t="s">
        <v>1399</v>
      </c>
      <c r="M479" s="147"/>
      <c r="N479" s="147"/>
    </row>
    <row r="480" spans="1:14" s="148" customFormat="1" ht="25.5" outlineLevel="3" x14ac:dyDescent="0.2">
      <c r="A480" s="95" t="s">
        <v>2065</v>
      </c>
      <c r="B480" s="42" t="s">
        <v>1392</v>
      </c>
      <c r="C480" s="42" t="s">
        <v>1383</v>
      </c>
      <c r="D480" s="100" t="s">
        <v>408</v>
      </c>
      <c r="E480" s="149">
        <v>1</v>
      </c>
      <c r="F480" s="149">
        <f>(77576)*(1.023*1.005-2.3%*15%)*6.99+0*4.09</f>
        <v>555631</v>
      </c>
      <c r="G480" s="145">
        <f t="shared" si="185"/>
        <v>1.139</v>
      </c>
      <c r="H480" s="146">
        <f t="shared" si="186"/>
        <v>632864</v>
      </c>
      <c r="I480" s="145">
        <f>Дефляторы!$D$25</f>
        <v>1.052</v>
      </c>
      <c r="J480" s="146">
        <f t="shared" si="187"/>
        <v>665773</v>
      </c>
      <c r="K480" s="146">
        <f t="shared" si="188"/>
        <v>655900</v>
      </c>
      <c r="L480" s="172" t="s">
        <v>1399</v>
      </c>
      <c r="M480" s="147"/>
      <c r="N480" s="147"/>
    </row>
    <row r="481" spans="1:14" s="148" customFormat="1" ht="15.75" outlineLevel="3" x14ac:dyDescent="0.2">
      <c r="A481" s="95"/>
      <c r="B481" s="42"/>
      <c r="C481" s="157" t="s">
        <v>1292</v>
      </c>
      <c r="D481" s="100"/>
      <c r="E481" s="149"/>
      <c r="F481" s="149"/>
      <c r="G481" s="145"/>
      <c r="H481" s="146"/>
      <c r="I481" s="145">
        <f>Дефляторы!$D$25</f>
        <v>1.052</v>
      </c>
      <c r="J481" s="146"/>
      <c r="K481" s="146"/>
      <c r="L481" s="147"/>
      <c r="M481" s="147"/>
      <c r="N481" s="147"/>
    </row>
    <row r="482" spans="1:14" s="148" customFormat="1" ht="51" outlineLevel="3" x14ac:dyDescent="0.2">
      <c r="A482" s="95" t="s">
        <v>2066</v>
      </c>
      <c r="B482" s="42" t="s">
        <v>1393</v>
      </c>
      <c r="C482" s="42" t="s">
        <v>435</v>
      </c>
      <c r="D482" s="100" t="s">
        <v>408</v>
      </c>
      <c r="E482" s="149">
        <v>1</v>
      </c>
      <c r="F482" s="149">
        <f>(3680)*(1.023*1.005-2.3%*15%)*6.99+0*4.09</f>
        <v>26358</v>
      </c>
      <c r="G482" s="145">
        <f>$G$766</f>
        <v>1.139</v>
      </c>
      <c r="H482" s="146">
        <f t="shared" ref="H482:H484" si="189">F482*G482</f>
        <v>30022</v>
      </c>
      <c r="I482" s="145">
        <f>Дефляторы!$D$25</f>
        <v>1.052</v>
      </c>
      <c r="J482" s="146">
        <f t="shared" ref="J482:J484" si="190">H482*I482</f>
        <v>31583</v>
      </c>
      <c r="K482" s="146">
        <f t="shared" ref="K482:K484" si="191">H482+(J482-H482)*(1-30/100)</f>
        <v>31115</v>
      </c>
      <c r="L482" s="172" t="s">
        <v>1399</v>
      </c>
      <c r="M482" s="147"/>
      <c r="N482" s="147"/>
    </row>
    <row r="483" spans="1:14" s="148" customFormat="1" ht="51" outlineLevel="3" x14ac:dyDescent="0.2">
      <c r="A483" s="95" t="s">
        <v>2067</v>
      </c>
      <c r="B483" s="42" t="s">
        <v>1394</v>
      </c>
      <c r="C483" s="42" t="s">
        <v>437</v>
      </c>
      <c r="D483" s="100" t="s">
        <v>408</v>
      </c>
      <c r="E483" s="149">
        <v>1</v>
      </c>
      <c r="F483" s="149">
        <f>(1064)*(1.023*1.005-2.3%*15%)*6.99+0*4.09</f>
        <v>7621</v>
      </c>
      <c r="G483" s="145">
        <f>$G$766</f>
        <v>1.139</v>
      </c>
      <c r="H483" s="146">
        <f t="shared" si="189"/>
        <v>8680</v>
      </c>
      <c r="I483" s="145">
        <f>Дефляторы!$D$25</f>
        <v>1.052</v>
      </c>
      <c r="J483" s="146">
        <f t="shared" si="190"/>
        <v>9131</v>
      </c>
      <c r="K483" s="146">
        <f t="shared" si="191"/>
        <v>8996</v>
      </c>
      <c r="L483" s="172" t="s">
        <v>1399</v>
      </c>
      <c r="M483" s="147"/>
      <c r="N483" s="147"/>
    </row>
    <row r="484" spans="1:14" s="148" customFormat="1" ht="63.75" outlineLevel="3" x14ac:dyDescent="0.2">
      <c r="A484" s="95" t="s">
        <v>2068</v>
      </c>
      <c r="B484" s="42" t="s">
        <v>1395</v>
      </c>
      <c r="C484" s="42" t="s">
        <v>439</v>
      </c>
      <c r="D484" s="100" t="s">
        <v>408</v>
      </c>
      <c r="E484" s="149">
        <v>1</v>
      </c>
      <c r="F484" s="149">
        <f>(954)*(1.023*1.005-2.3%*15%)*6.99+0*4.09</f>
        <v>6833</v>
      </c>
      <c r="G484" s="145">
        <f>$G$766</f>
        <v>1.139</v>
      </c>
      <c r="H484" s="146">
        <f t="shared" si="189"/>
        <v>7783</v>
      </c>
      <c r="I484" s="145">
        <f>Дефляторы!$D$25</f>
        <v>1.052</v>
      </c>
      <c r="J484" s="146">
        <f t="shared" si="190"/>
        <v>8188</v>
      </c>
      <c r="K484" s="146">
        <f t="shared" si="191"/>
        <v>8067</v>
      </c>
      <c r="L484" s="172" t="s">
        <v>1399</v>
      </c>
      <c r="M484" s="147"/>
      <c r="N484" s="147"/>
    </row>
    <row r="485" spans="1:14" s="148" customFormat="1" ht="15.75" outlineLevel="3" x14ac:dyDescent="0.2">
      <c r="A485" s="95"/>
      <c r="B485" s="42"/>
      <c r="C485" s="157" t="s">
        <v>1384</v>
      </c>
      <c r="D485" s="100"/>
      <c r="E485" s="149"/>
      <c r="F485" s="149"/>
      <c r="G485" s="145"/>
      <c r="H485" s="146"/>
      <c r="I485" s="145">
        <f>Дефляторы!$D$25</f>
        <v>1.052</v>
      </c>
      <c r="J485" s="146"/>
      <c r="K485" s="146"/>
      <c r="L485" s="147"/>
      <c r="M485" s="147"/>
      <c r="N485" s="147"/>
    </row>
    <row r="486" spans="1:14" s="148" customFormat="1" ht="51" outlineLevel="3" x14ac:dyDescent="0.2">
      <c r="A486" s="95" t="s">
        <v>2069</v>
      </c>
      <c r="B486" s="42" t="s">
        <v>1396</v>
      </c>
      <c r="C486" s="42" t="s">
        <v>1385</v>
      </c>
      <c r="D486" s="100" t="s">
        <v>408</v>
      </c>
      <c r="E486" s="149">
        <v>2</v>
      </c>
      <c r="F486" s="149">
        <f>(4392)*(1.023*1.005-2.3%*15%)*6.99+0*4.09</f>
        <v>31457</v>
      </c>
      <c r="G486" s="145">
        <f>$G$766</f>
        <v>1.139</v>
      </c>
      <c r="H486" s="146">
        <f t="shared" ref="H486:H488" si="192">F486*G486</f>
        <v>35830</v>
      </c>
      <c r="I486" s="145">
        <f>Дефляторы!$D$25</f>
        <v>1.052</v>
      </c>
      <c r="J486" s="146">
        <f t="shared" ref="J486:J488" si="193">H486*I486</f>
        <v>37693</v>
      </c>
      <c r="K486" s="146">
        <f t="shared" ref="K486:K488" si="194">H486+(J486-H486)*(1-30/100)</f>
        <v>37134</v>
      </c>
      <c r="L486" s="147"/>
      <c r="M486" s="147"/>
      <c r="N486" s="147"/>
    </row>
    <row r="487" spans="1:14" s="148" customFormat="1" ht="63.75" outlineLevel="3" x14ac:dyDescent="0.2">
      <c r="A487" s="95" t="s">
        <v>2070</v>
      </c>
      <c r="B487" s="42" t="s">
        <v>1397</v>
      </c>
      <c r="C487" s="42" t="s">
        <v>1380</v>
      </c>
      <c r="D487" s="100" t="s">
        <v>408</v>
      </c>
      <c r="E487" s="149">
        <v>1</v>
      </c>
      <c r="F487" s="149">
        <f>(1484)*(1.023*1.005-2.3%*15%)*6.99+0*4.09</f>
        <v>10629</v>
      </c>
      <c r="G487" s="145">
        <f>$G$766</f>
        <v>1.139</v>
      </c>
      <c r="H487" s="146">
        <f t="shared" si="192"/>
        <v>12106</v>
      </c>
      <c r="I487" s="145">
        <f>Дефляторы!$D$25</f>
        <v>1.052</v>
      </c>
      <c r="J487" s="146">
        <f t="shared" si="193"/>
        <v>12736</v>
      </c>
      <c r="K487" s="146">
        <f t="shared" si="194"/>
        <v>12547</v>
      </c>
      <c r="L487" s="172" t="s">
        <v>1399</v>
      </c>
      <c r="M487" s="147"/>
      <c r="N487" s="147"/>
    </row>
    <row r="488" spans="1:14" s="148" customFormat="1" ht="76.5" outlineLevel="3" x14ac:dyDescent="0.2">
      <c r="A488" s="95" t="s">
        <v>2071</v>
      </c>
      <c r="B488" s="42" t="s">
        <v>1398</v>
      </c>
      <c r="C488" s="42" t="s">
        <v>1386</v>
      </c>
      <c r="D488" s="100" t="s">
        <v>408</v>
      </c>
      <c r="E488" s="149">
        <v>1</v>
      </c>
      <c r="F488" s="149">
        <f>(778)*(1.023*1.005-2.3%*15%)*6.99+0*4.09</f>
        <v>5572</v>
      </c>
      <c r="G488" s="145">
        <f>$G$766</f>
        <v>1.139</v>
      </c>
      <c r="H488" s="146">
        <f t="shared" si="192"/>
        <v>6347</v>
      </c>
      <c r="I488" s="145">
        <f>Дефляторы!$D$25</f>
        <v>1.052</v>
      </c>
      <c r="J488" s="146">
        <f t="shared" si="193"/>
        <v>6677</v>
      </c>
      <c r="K488" s="146">
        <f t="shared" si="194"/>
        <v>6578</v>
      </c>
      <c r="L488" s="172" t="s">
        <v>1399</v>
      </c>
      <c r="M488" s="147"/>
      <c r="N488" s="147"/>
    </row>
    <row r="489" spans="1:14" s="237" customFormat="1" ht="25.5" outlineLevel="1" x14ac:dyDescent="0.2">
      <c r="A489" s="238" t="s">
        <v>490</v>
      </c>
      <c r="B489" s="229" t="s">
        <v>35</v>
      </c>
      <c r="C489" s="229" t="s">
        <v>36</v>
      </c>
      <c r="D489" s="239" t="s">
        <v>292</v>
      </c>
      <c r="E489" s="240">
        <v>1</v>
      </c>
      <c r="F489" s="240">
        <f>SUM(F491:F503)</f>
        <v>13919782</v>
      </c>
      <c r="G489" s="241"/>
      <c r="H489" s="240">
        <f>SUM(H491:H503)</f>
        <v>15854632</v>
      </c>
      <c r="I489" s="241">
        <f>Дефляторы!$D$25</f>
        <v>1.052</v>
      </c>
      <c r="J489" s="240">
        <f>SUM(J491:J503)</f>
        <v>16679074</v>
      </c>
      <c r="K489" s="240">
        <f>SUM(K491:K503)</f>
        <v>16431741</v>
      </c>
      <c r="L489" s="256"/>
      <c r="M489" s="256"/>
      <c r="N489" s="256"/>
    </row>
    <row r="490" spans="1:14" s="148" customFormat="1" ht="15.75" outlineLevel="2" x14ac:dyDescent="0.2">
      <c r="A490" s="95"/>
      <c r="B490" s="42"/>
      <c r="C490" s="42" t="s">
        <v>367</v>
      </c>
      <c r="D490" s="100"/>
      <c r="E490" s="100"/>
      <c r="F490" s="149"/>
      <c r="G490" s="145"/>
      <c r="H490" s="146"/>
      <c r="I490" s="145">
        <f>Дефляторы!$D$25</f>
        <v>1.052</v>
      </c>
      <c r="J490" s="146"/>
      <c r="K490" s="146"/>
      <c r="L490" s="147"/>
      <c r="M490" s="147"/>
      <c r="N490" s="147"/>
    </row>
    <row r="491" spans="1:14" s="148" customFormat="1" ht="25.5" outlineLevel="2" x14ac:dyDescent="0.2">
      <c r="A491" s="95" t="s">
        <v>491</v>
      </c>
      <c r="B491" s="42" t="s">
        <v>1400</v>
      </c>
      <c r="C491" s="42" t="s">
        <v>356</v>
      </c>
      <c r="D491" s="100" t="s">
        <v>300</v>
      </c>
      <c r="E491" s="100">
        <f>773.01</f>
        <v>773.01</v>
      </c>
      <c r="F491" s="149">
        <f>(154145)*(1.023*1.005-2.3%*15%)*6.99+0*4.09-13</f>
        <v>1104036</v>
      </c>
      <c r="G491" s="145">
        <f t="shared" ref="G491:G497" si="195">$G$766</f>
        <v>1.139</v>
      </c>
      <c r="H491" s="146">
        <f t="shared" ref="H491:H497" si="196">F491*G491</f>
        <v>1257497</v>
      </c>
      <c r="I491" s="145">
        <f>Дефляторы!$D$25</f>
        <v>1.052</v>
      </c>
      <c r="J491" s="146">
        <f t="shared" ref="J491:J497" si="197">H491*I491</f>
        <v>1322887</v>
      </c>
      <c r="K491" s="146">
        <f t="shared" ref="K491:K497" si="198">H491+(J491-H491)*(1-30/100)</f>
        <v>1303270</v>
      </c>
      <c r="L491" s="147"/>
      <c r="M491" s="147"/>
      <c r="N491" s="147"/>
    </row>
    <row r="492" spans="1:14" s="148" customFormat="1" ht="15.75" outlineLevel="2" x14ac:dyDescent="0.2">
      <c r="A492" s="95" t="s">
        <v>495</v>
      </c>
      <c r="B492" s="42" t="s">
        <v>1401</v>
      </c>
      <c r="C492" s="42" t="s">
        <v>398</v>
      </c>
      <c r="D492" s="100" t="s">
        <v>300</v>
      </c>
      <c r="E492" s="100">
        <f>287.91</f>
        <v>287.91000000000003</v>
      </c>
      <c r="F492" s="149">
        <f>(4995)*(1.023*1.005-2.3%*15%)*6.99+0*4.09</f>
        <v>35776</v>
      </c>
      <c r="G492" s="145">
        <f t="shared" si="195"/>
        <v>1.139</v>
      </c>
      <c r="H492" s="146">
        <f t="shared" si="196"/>
        <v>40749</v>
      </c>
      <c r="I492" s="145">
        <f>Дефляторы!$D$25</f>
        <v>1.052</v>
      </c>
      <c r="J492" s="146">
        <f t="shared" si="197"/>
        <v>42868</v>
      </c>
      <c r="K492" s="146">
        <f t="shared" si="198"/>
        <v>42232</v>
      </c>
      <c r="L492" s="147"/>
      <c r="M492" s="147"/>
      <c r="N492" s="147"/>
    </row>
    <row r="493" spans="1:14" s="148" customFormat="1" ht="25.5" outlineLevel="2" x14ac:dyDescent="0.2">
      <c r="A493" s="95" t="s">
        <v>586</v>
      </c>
      <c r="B493" s="42" t="s">
        <v>1403</v>
      </c>
      <c r="C493" s="42" t="s">
        <v>1402</v>
      </c>
      <c r="D493" s="100" t="s">
        <v>300</v>
      </c>
      <c r="E493" s="100">
        <f>253.2</f>
        <v>253.2</v>
      </c>
      <c r="F493" s="149">
        <f>(9182)*(1.023*1.005-2.3%*15%)*6.99+0*4.09</f>
        <v>65765</v>
      </c>
      <c r="G493" s="145">
        <f t="shared" si="195"/>
        <v>1.139</v>
      </c>
      <c r="H493" s="146">
        <f t="shared" si="196"/>
        <v>74906</v>
      </c>
      <c r="I493" s="145">
        <f>Дефляторы!$D$25</f>
        <v>1.052</v>
      </c>
      <c r="J493" s="146">
        <f t="shared" si="197"/>
        <v>78801</v>
      </c>
      <c r="K493" s="146">
        <f t="shared" si="198"/>
        <v>77633</v>
      </c>
      <c r="L493" s="147"/>
      <c r="M493" s="147"/>
      <c r="N493" s="147"/>
    </row>
    <row r="494" spans="1:14" s="148" customFormat="1" ht="25.5" outlineLevel="2" x14ac:dyDescent="0.2">
      <c r="A494" s="95" t="s">
        <v>588</v>
      </c>
      <c r="B494" s="42" t="s">
        <v>1404</v>
      </c>
      <c r="C494" s="42" t="s">
        <v>1405</v>
      </c>
      <c r="D494" s="100" t="s">
        <v>300</v>
      </c>
      <c r="E494" s="100">
        <f>154.6</f>
        <v>154.6</v>
      </c>
      <c r="F494" s="149">
        <f>(20599)*(1.023*1.005-2.3%*15%)*6.99+0*4.09</f>
        <v>147538</v>
      </c>
      <c r="G494" s="145">
        <f t="shared" si="195"/>
        <v>1.139</v>
      </c>
      <c r="H494" s="146">
        <f t="shared" si="196"/>
        <v>168046</v>
      </c>
      <c r="I494" s="145">
        <f>Дефляторы!$D$25</f>
        <v>1.052</v>
      </c>
      <c r="J494" s="146">
        <f t="shared" si="197"/>
        <v>176784</v>
      </c>
      <c r="K494" s="146">
        <f t="shared" si="198"/>
        <v>174163</v>
      </c>
      <c r="L494" s="147"/>
      <c r="M494" s="147"/>
      <c r="N494" s="147"/>
    </row>
    <row r="495" spans="1:14" s="148" customFormat="1" ht="15.75" outlineLevel="2" x14ac:dyDescent="0.2">
      <c r="A495" s="95" t="s">
        <v>590</v>
      </c>
      <c r="B495" s="42" t="s">
        <v>1407</v>
      </c>
      <c r="C495" s="42" t="s">
        <v>1406</v>
      </c>
      <c r="D495" s="100" t="s">
        <v>300</v>
      </c>
      <c r="E495" s="100">
        <f>77.3</f>
        <v>77.3</v>
      </c>
      <c r="F495" s="149">
        <f>(9506)*(1.023*1.005-2.3%*15%)*6.99+0*4.09</f>
        <v>68086</v>
      </c>
      <c r="G495" s="145">
        <f t="shared" si="195"/>
        <v>1.139</v>
      </c>
      <c r="H495" s="146">
        <f t="shared" si="196"/>
        <v>77550</v>
      </c>
      <c r="I495" s="145">
        <f>Дефляторы!$D$25</f>
        <v>1.052</v>
      </c>
      <c r="J495" s="146">
        <f t="shared" si="197"/>
        <v>81583</v>
      </c>
      <c r="K495" s="146">
        <f t="shared" si="198"/>
        <v>80373</v>
      </c>
      <c r="L495" s="147"/>
      <c r="M495" s="147"/>
      <c r="N495" s="147"/>
    </row>
    <row r="496" spans="1:14" s="148" customFormat="1" ht="25.5" outlineLevel="2" x14ac:dyDescent="0.2">
      <c r="A496" s="95" t="s">
        <v>593</v>
      </c>
      <c r="B496" s="42" t="s">
        <v>1408</v>
      </c>
      <c r="C496" s="42" t="s">
        <v>750</v>
      </c>
      <c r="D496" s="100" t="s">
        <v>300</v>
      </c>
      <c r="E496" s="100">
        <f>519.81</f>
        <v>519.80999999999995</v>
      </c>
      <c r="F496" s="149">
        <f>(7030)*(1.023*1.005-2.3%*15%)*6.99+0*4.09</f>
        <v>50352</v>
      </c>
      <c r="G496" s="145">
        <f t="shared" si="195"/>
        <v>1.139</v>
      </c>
      <c r="H496" s="146">
        <f t="shared" si="196"/>
        <v>57351</v>
      </c>
      <c r="I496" s="145">
        <f>Дефляторы!$D$25</f>
        <v>1.052</v>
      </c>
      <c r="J496" s="146">
        <f t="shared" si="197"/>
        <v>60333</v>
      </c>
      <c r="K496" s="146">
        <f t="shared" si="198"/>
        <v>59438</v>
      </c>
      <c r="L496" s="147"/>
      <c r="M496" s="147"/>
      <c r="N496" s="147"/>
    </row>
    <row r="497" spans="1:14" s="148" customFormat="1" ht="25.5" outlineLevel="2" x14ac:dyDescent="0.2">
      <c r="A497" s="95" t="s">
        <v>595</v>
      </c>
      <c r="B497" s="42" t="s">
        <v>1410</v>
      </c>
      <c r="C497" s="42" t="s">
        <v>1409</v>
      </c>
      <c r="D497" s="100" t="s">
        <v>377</v>
      </c>
      <c r="E497" s="100">
        <v>2110</v>
      </c>
      <c r="F497" s="149">
        <f>(1043596)*(1.023*1.005-2.3%*15%)*6.99+0*4.09</f>
        <v>7474661</v>
      </c>
      <c r="G497" s="145">
        <f t="shared" si="195"/>
        <v>1.139</v>
      </c>
      <c r="H497" s="146">
        <f t="shared" si="196"/>
        <v>8513639</v>
      </c>
      <c r="I497" s="145">
        <f>Дефляторы!$D$25</f>
        <v>1.052</v>
      </c>
      <c r="J497" s="146">
        <f t="shared" si="197"/>
        <v>8956348</v>
      </c>
      <c r="K497" s="146">
        <f t="shared" si="198"/>
        <v>8823535</v>
      </c>
      <c r="L497" s="172" t="s">
        <v>1411</v>
      </c>
      <c r="M497" s="147"/>
      <c r="N497" s="147"/>
    </row>
    <row r="498" spans="1:14" s="148" customFormat="1" ht="15.75" outlineLevel="2" x14ac:dyDescent="0.2">
      <c r="A498" s="95"/>
      <c r="B498" s="42"/>
      <c r="C498" s="42" t="s">
        <v>379</v>
      </c>
      <c r="D498" s="100"/>
      <c r="E498" s="100"/>
      <c r="F498" s="149"/>
      <c r="G498" s="145"/>
      <c r="H498" s="146"/>
      <c r="I498" s="145">
        <f>Дефляторы!$D$25</f>
        <v>1.052</v>
      </c>
      <c r="J498" s="146"/>
      <c r="K498" s="146"/>
      <c r="L498" s="147"/>
      <c r="M498" s="147"/>
      <c r="N498" s="147"/>
    </row>
    <row r="499" spans="1:14" s="148" customFormat="1" ht="25.5" outlineLevel="2" x14ac:dyDescent="0.2">
      <c r="A499" s="95" t="s">
        <v>597</v>
      </c>
      <c r="B499" s="42" t="s">
        <v>1413</v>
      </c>
      <c r="C499" s="42" t="s">
        <v>1412</v>
      </c>
      <c r="D499" s="100" t="s">
        <v>377</v>
      </c>
      <c r="E499" s="100">
        <f>6330</f>
        <v>6330</v>
      </c>
      <c r="F499" s="149">
        <f>(640959)*(1.023*1.005-2.3%*15%)*6.99+0*4.09</f>
        <v>4590810</v>
      </c>
      <c r="G499" s="145">
        <f>$G$766</f>
        <v>1.139</v>
      </c>
      <c r="H499" s="146">
        <f t="shared" ref="H499:H503" si="199">F499*G499</f>
        <v>5228933</v>
      </c>
      <c r="I499" s="145">
        <f>Дефляторы!$D$25</f>
        <v>1.052</v>
      </c>
      <c r="J499" s="146">
        <f t="shared" ref="J499:J503" si="200">H499*I499</f>
        <v>5500838</v>
      </c>
      <c r="K499" s="146">
        <f t="shared" ref="K499:K503" si="201">H499+(J499-H499)*(1-30/100)</f>
        <v>5419267</v>
      </c>
      <c r="L499" s="147"/>
      <c r="M499" s="147"/>
      <c r="N499" s="147"/>
    </row>
    <row r="500" spans="1:14" s="148" customFormat="1" ht="38.25" outlineLevel="2" x14ac:dyDescent="0.2">
      <c r="A500" s="95" t="s">
        <v>600</v>
      </c>
      <c r="B500" s="42" t="s">
        <v>1415</v>
      </c>
      <c r="C500" s="42" t="s">
        <v>1414</v>
      </c>
      <c r="D500" s="100" t="s">
        <v>377</v>
      </c>
      <c r="E500" s="100">
        <v>240</v>
      </c>
      <c r="F500" s="149">
        <f>(24546)*(1.023*1.005-2.3%*15%)*6.99+0*4.09</f>
        <v>175808</v>
      </c>
      <c r="G500" s="145">
        <f>$G$766</f>
        <v>1.139</v>
      </c>
      <c r="H500" s="146">
        <f t="shared" si="199"/>
        <v>200245</v>
      </c>
      <c r="I500" s="145">
        <f>Дефляторы!$D$25</f>
        <v>1.052</v>
      </c>
      <c r="J500" s="146">
        <f t="shared" si="200"/>
        <v>210658</v>
      </c>
      <c r="K500" s="146">
        <f t="shared" si="201"/>
        <v>207534</v>
      </c>
      <c r="L500" s="147"/>
      <c r="M500" s="147"/>
      <c r="N500" s="147"/>
    </row>
    <row r="501" spans="1:14" s="148" customFormat="1" ht="15.75" outlineLevel="2" x14ac:dyDescent="0.2">
      <c r="A501" s="95" t="s">
        <v>602</v>
      </c>
      <c r="B501" s="42" t="s">
        <v>1417</v>
      </c>
      <c r="C501" s="42" t="s">
        <v>1416</v>
      </c>
      <c r="D501" s="100" t="s">
        <v>408</v>
      </c>
      <c r="E501" s="100">
        <v>8</v>
      </c>
      <c r="F501" s="149">
        <f>(13535)*(1.023*1.005-2.3%*15%)*6.99+0*4.09</f>
        <v>96943</v>
      </c>
      <c r="G501" s="145">
        <f>$G$766</f>
        <v>1.139</v>
      </c>
      <c r="H501" s="146">
        <f t="shared" si="199"/>
        <v>110418</v>
      </c>
      <c r="I501" s="145">
        <f>Дефляторы!$D$25</f>
        <v>1.052</v>
      </c>
      <c r="J501" s="146">
        <f t="shared" si="200"/>
        <v>116160</v>
      </c>
      <c r="K501" s="146">
        <f t="shared" si="201"/>
        <v>114437</v>
      </c>
      <c r="L501" s="147"/>
      <c r="M501" s="147"/>
      <c r="N501" s="147"/>
    </row>
    <row r="502" spans="1:14" s="148" customFormat="1" ht="25.5" outlineLevel="2" x14ac:dyDescent="0.2">
      <c r="A502" s="95" t="s">
        <v>604</v>
      </c>
      <c r="B502" s="42" t="s">
        <v>1419</v>
      </c>
      <c r="C502" s="42" t="s">
        <v>1418</v>
      </c>
      <c r="D502" s="100" t="s">
        <v>408</v>
      </c>
      <c r="E502" s="100">
        <v>8</v>
      </c>
      <c r="F502" s="149">
        <f>(13238)*(1.023*1.005-2.3%*15%)*6.99+0*4.09</f>
        <v>94816</v>
      </c>
      <c r="G502" s="145">
        <f>$G$766</f>
        <v>1.139</v>
      </c>
      <c r="H502" s="146">
        <f t="shared" si="199"/>
        <v>107995</v>
      </c>
      <c r="I502" s="145">
        <f>Дефляторы!$D$25</f>
        <v>1.052</v>
      </c>
      <c r="J502" s="146">
        <f t="shared" si="200"/>
        <v>113611</v>
      </c>
      <c r="K502" s="146">
        <f t="shared" si="201"/>
        <v>111926</v>
      </c>
      <c r="L502" s="147"/>
      <c r="M502" s="147"/>
      <c r="N502" s="147"/>
    </row>
    <row r="503" spans="1:14" s="148" customFormat="1" ht="25.5" outlineLevel="2" x14ac:dyDescent="0.2">
      <c r="A503" s="95" t="s">
        <v>605</v>
      </c>
      <c r="B503" s="42" t="s">
        <v>1421</v>
      </c>
      <c r="C503" s="42" t="s">
        <v>1420</v>
      </c>
      <c r="D503" s="100" t="s">
        <v>404</v>
      </c>
      <c r="E503" s="100">
        <f>28.64</f>
        <v>28.64</v>
      </c>
      <c r="F503" s="149">
        <f>(2121)*(1.023*1.005-2.3%*15%)*6.99+0*4.09</f>
        <v>15191</v>
      </c>
      <c r="G503" s="145">
        <f>$G$766</f>
        <v>1.139</v>
      </c>
      <c r="H503" s="146">
        <f t="shared" si="199"/>
        <v>17303</v>
      </c>
      <c r="I503" s="145">
        <f>Дефляторы!$D$25</f>
        <v>1.052</v>
      </c>
      <c r="J503" s="146">
        <f t="shared" si="200"/>
        <v>18203</v>
      </c>
      <c r="K503" s="146">
        <f t="shared" si="201"/>
        <v>17933</v>
      </c>
      <c r="L503" s="147"/>
      <c r="M503" s="147"/>
      <c r="N503" s="147"/>
    </row>
    <row r="504" spans="1:14" s="237" customFormat="1" ht="25.5" outlineLevel="1" x14ac:dyDescent="0.2">
      <c r="A504" s="238" t="s">
        <v>497</v>
      </c>
      <c r="B504" s="229" t="s">
        <v>37</v>
      </c>
      <c r="C504" s="229" t="s">
        <v>38</v>
      </c>
      <c r="D504" s="239" t="s">
        <v>292</v>
      </c>
      <c r="E504" s="240">
        <v>1</v>
      </c>
      <c r="F504" s="240">
        <f>SUM(F505:F543)</f>
        <v>21302976</v>
      </c>
      <c r="G504" s="241"/>
      <c r="H504" s="240">
        <f>SUM(H505:H543)</f>
        <v>24264086</v>
      </c>
      <c r="I504" s="241">
        <f>Дефляторы!$D$25</f>
        <v>1.052</v>
      </c>
      <c r="J504" s="240">
        <f>SUM(J505:J543)</f>
        <v>25525817</v>
      </c>
      <c r="K504" s="240">
        <f>SUM(K505:K543)</f>
        <v>25147301</v>
      </c>
      <c r="L504" s="256"/>
      <c r="M504" s="256"/>
      <c r="N504" s="256"/>
    </row>
    <row r="505" spans="1:14" s="148" customFormat="1" ht="15.75" outlineLevel="2" x14ac:dyDescent="0.2">
      <c r="A505" s="95"/>
      <c r="B505" s="42"/>
      <c r="C505" s="42" t="s">
        <v>367</v>
      </c>
      <c r="D505" s="100"/>
      <c r="E505" s="100"/>
      <c r="F505" s="149"/>
      <c r="G505" s="145"/>
      <c r="H505" s="146"/>
      <c r="I505" s="145">
        <f>Дефляторы!$D$25</f>
        <v>1.052</v>
      </c>
      <c r="J505" s="146"/>
      <c r="K505" s="146"/>
      <c r="L505" s="147"/>
      <c r="M505" s="147"/>
      <c r="N505" s="147"/>
    </row>
    <row r="506" spans="1:14" s="148" customFormat="1" ht="25.5" outlineLevel="2" x14ac:dyDescent="0.2">
      <c r="A506" s="95" t="s">
        <v>498</v>
      </c>
      <c r="B506" s="42" t="s">
        <v>499</v>
      </c>
      <c r="C506" s="42" t="s">
        <v>356</v>
      </c>
      <c r="D506" s="100" t="s">
        <v>300</v>
      </c>
      <c r="E506" s="100">
        <f>844.67</f>
        <v>844.67</v>
      </c>
      <c r="F506" s="149">
        <f>(168436)*(1.023*1.005-2.3%*15%)*6.99+0*4.09-67</f>
        <v>1206340</v>
      </c>
      <c r="G506" s="145">
        <f t="shared" ref="G506:G512" si="202">$G$766</f>
        <v>1.139</v>
      </c>
      <c r="H506" s="146">
        <f t="shared" ref="H506:H512" si="203">F506*G506</f>
        <v>1374021</v>
      </c>
      <c r="I506" s="145">
        <f>Дефляторы!$D$25</f>
        <v>1.052</v>
      </c>
      <c r="J506" s="146">
        <f t="shared" ref="J506:J512" si="204">H506*I506</f>
        <v>1445470</v>
      </c>
      <c r="K506" s="146">
        <f t="shared" ref="K506:K512" si="205">H506+(J506-H506)*(1-30/100)</f>
        <v>1424035</v>
      </c>
      <c r="L506" s="147"/>
      <c r="M506" s="147"/>
      <c r="N506" s="147"/>
    </row>
    <row r="507" spans="1:14" s="148" customFormat="1" ht="15.75" outlineLevel="2" x14ac:dyDescent="0.2">
      <c r="A507" s="95" t="s">
        <v>500</v>
      </c>
      <c r="B507" s="42" t="s">
        <v>1422</v>
      </c>
      <c r="C507" s="42" t="s">
        <v>398</v>
      </c>
      <c r="D507" s="100" t="s">
        <v>300</v>
      </c>
      <c r="E507" s="100">
        <f>312.69</f>
        <v>312.69</v>
      </c>
      <c r="F507" s="149">
        <f>(5425)*(1.023*1.005-2.3%*15%)*6.99+0*4.09</f>
        <v>38856</v>
      </c>
      <c r="G507" s="145">
        <f t="shared" si="202"/>
        <v>1.139</v>
      </c>
      <c r="H507" s="146">
        <f t="shared" si="203"/>
        <v>44257</v>
      </c>
      <c r="I507" s="145">
        <f>Дефляторы!$D$25</f>
        <v>1.052</v>
      </c>
      <c r="J507" s="146">
        <f t="shared" si="204"/>
        <v>46558</v>
      </c>
      <c r="K507" s="146">
        <f t="shared" si="205"/>
        <v>45868</v>
      </c>
      <c r="L507" s="147"/>
      <c r="M507" s="147"/>
      <c r="N507" s="147"/>
    </row>
    <row r="508" spans="1:14" s="148" customFormat="1" ht="25.5" outlineLevel="2" x14ac:dyDescent="0.2">
      <c r="A508" s="95" t="s">
        <v>501</v>
      </c>
      <c r="B508" s="42" t="s">
        <v>1423</v>
      </c>
      <c r="C508" s="42" t="s">
        <v>1402</v>
      </c>
      <c r="D508" s="100" t="s">
        <v>300</v>
      </c>
      <c r="E508" s="100">
        <f>278.58</f>
        <v>278.58</v>
      </c>
      <c r="F508" s="149">
        <f>(10103)*(1.023*1.005-2.3%*15%)*6.99+0*4.09</f>
        <v>72362</v>
      </c>
      <c r="G508" s="145">
        <f t="shared" si="202"/>
        <v>1.139</v>
      </c>
      <c r="H508" s="146">
        <f t="shared" si="203"/>
        <v>82420</v>
      </c>
      <c r="I508" s="145">
        <f>Дефляторы!$D$25</f>
        <v>1.052</v>
      </c>
      <c r="J508" s="146">
        <f t="shared" si="204"/>
        <v>86706</v>
      </c>
      <c r="K508" s="146">
        <f t="shared" si="205"/>
        <v>85420</v>
      </c>
      <c r="L508" s="147"/>
      <c r="M508" s="147"/>
      <c r="N508" s="147"/>
    </row>
    <row r="509" spans="1:14" s="148" customFormat="1" ht="25.5" outlineLevel="2" x14ac:dyDescent="0.2">
      <c r="A509" s="95" t="s">
        <v>502</v>
      </c>
      <c r="B509" s="42" t="s">
        <v>1424</v>
      </c>
      <c r="C509" s="42" t="s">
        <v>1405</v>
      </c>
      <c r="D509" s="100" t="s">
        <v>300</v>
      </c>
      <c r="E509" s="100">
        <f>168.93</f>
        <v>168.93</v>
      </c>
      <c r="F509" s="149">
        <f>(22506)*(1.023*1.005-2.3%*15%)*6.99+0*4.09</f>
        <v>161197</v>
      </c>
      <c r="G509" s="145">
        <f t="shared" si="202"/>
        <v>1.139</v>
      </c>
      <c r="H509" s="146">
        <f t="shared" si="203"/>
        <v>183603</v>
      </c>
      <c r="I509" s="145">
        <f>Дефляторы!$D$25</f>
        <v>1.052</v>
      </c>
      <c r="J509" s="146">
        <f t="shared" si="204"/>
        <v>193150</v>
      </c>
      <c r="K509" s="146">
        <f t="shared" si="205"/>
        <v>190286</v>
      </c>
      <c r="L509" s="147"/>
      <c r="M509" s="147"/>
      <c r="N509" s="147"/>
    </row>
    <row r="510" spans="1:14" s="148" customFormat="1" ht="15.75" outlineLevel="2" x14ac:dyDescent="0.2">
      <c r="A510" s="95" t="s">
        <v>503</v>
      </c>
      <c r="B510" s="42" t="s">
        <v>1425</v>
      </c>
      <c r="C510" s="42" t="s">
        <v>1406</v>
      </c>
      <c r="D510" s="100" t="s">
        <v>300</v>
      </c>
      <c r="E510" s="100">
        <f>84.47</f>
        <v>84.47</v>
      </c>
      <c r="F510" s="149">
        <f>(10389)*(1.023*1.005-2.3%*15%)*6.99+0*4.09</f>
        <v>74410</v>
      </c>
      <c r="G510" s="145">
        <f t="shared" si="202"/>
        <v>1.139</v>
      </c>
      <c r="H510" s="146">
        <f t="shared" si="203"/>
        <v>84753</v>
      </c>
      <c r="I510" s="145">
        <f>Дефляторы!$D$25</f>
        <v>1.052</v>
      </c>
      <c r="J510" s="146">
        <f t="shared" si="204"/>
        <v>89160</v>
      </c>
      <c r="K510" s="146">
        <f t="shared" si="205"/>
        <v>87838</v>
      </c>
      <c r="L510" s="147"/>
      <c r="M510" s="147"/>
      <c r="N510" s="147"/>
    </row>
    <row r="511" spans="1:14" s="148" customFormat="1" ht="25.5" outlineLevel="2" x14ac:dyDescent="0.2">
      <c r="A511" s="95" t="s">
        <v>615</v>
      </c>
      <c r="B511" s="42" t="s">
        <v>1426</v>
      </c>
      <c r="C511" s="42" t="s">
        <v>750</v>
      </c>
      <c r="D511" s="100" t="s">
        <v>300</v>
      </c>
      <c r="E511" s="100">
        <f>566.09</f>
        <v>566.09</v>
      </c>
      <c r="F511" s="149">
        <f>(7654)*(1.023*1.005-2.3%*15%)*6.99+0*4.09</f>
        <v>54821</v>
      </c>
      <c r="G511" s="145">
        <f t="shared" si="202"/>
        <v>1.139</v>
      </c>
      <c r="H511" s="146">
        <f t="shared" si="203"/>
        <v>62441</v>
      </c>
      <c r="I511" s="145">
        <f>Дефляторы!$D$25</f>
        <v>1.052</v>
      </c>
      <c r="J511" s="146">
        <f t="shared" si="204"/>
        <v>65688</v>
      </c>
      <c r="K511" s="146">
        <f t="shared" si="205"/>
        <v>64714</v>
      </c>
      <c r="L511" s="147"/>
      <c r="M511" s="147"/>
      <c r="N511" s="147"/>
    </row>
    <row r="512" spans="1:14" s="148" customFormat="1" ht="25.5" outlineLevel="2" x14ac:dyDescent="0.2">
      <c r="A512" s="95" t="s">
        <v>616</v>
      </c>
      <c r="B512" s="42" t="s">
        <v>1428</v>
      </c>
      <c r="C512" s="42" t="s">
        <v>1427</v>
      </c>
      <c r="D512" s="100" t="s">
        <v>377</v>
      </c>
      <c r="E512" s="100">
        <v>2396</v>
      </c>
      <c r="F512" s="149">
        <f>(571892)*(1.023*1.005-2.3%*15%)*6.99+0*4.09</f>
        <v>4096124</v>
      </c>
      <c r="G512" s="145">
        <f t="shared" si="202"/>
        <v>1.139</v>
      </c>
      <c r="H512" s="146">
        <f t="shared" si="203"/>
        <v>4665485</v>
      </c>
      <c r="I512" s="145">
        <f>Дефляторы!$D$25</f>
        <v>1.052</v>
      </c>
      <c r="J512" s="146">
        <f t="shared" si="204"/>
        <v>4908090</v>
      </c>
      <c r="K512" s="146">
        <f t="shared" si="205"/>
        <v>4835309</v>
      </c>
      <c r="L512" s="172" t="s">
        <v>1411</v>
      </c>
      <c r="M512" s="147"/>
      <c r="N512" s="147"/>
    </row>
    <row r="513" spans="1:14" s="148" customFormat="1" ht="15.75" outlineLevel="2" x14ac:dyDescent="0.2">
      <c r="A513" s="95"/>
      <c r="B513" s="42"/>
      <c r="C513" s="42" t="s">
        <v>379</v>
      </c>
      <c r="D513" s="100"/>
      <c r="E513" s="100"/>
      <c r="F513" s="149"/>
      <c r="G513" s="145"/>
      <c r="H513" s="146"/>
      <c r="I513" s="145">
        <f>Дефляторы!$D$25</f>
        <v>1.052</v>
      </c>
      <c r="J513" s="146"/>
      <c r="K513" s="146"/>
      <c r="L513" s="147"/>
      <c r="M513" s="147"/>
      <c r="N513" s="147"/>
    </row>
    <row r="514" spans="1:14" s="148" customFormat="1" ht="15.75" outlineLevel="2" x14ac:dyDescent="0.2">
      <c r="A514" s="95" t="s">
        <v>617</v>
      </c>
      <c r="B514" s="42" t="s">
        <v>1430</v>
      </c>
      <c r="C514" s="42" t="s">
        <v>1429</v>
      </c>
      <c r="D514" s="100" t="s">
        <v>377</v>
      </c>
      <c r="E514" s="100">
        <v>10</v>
      </c>
      <c r="F514" s="149">
        <f>(1067)*(1.023*1.005-2.3%*15%)*6.99+0*4.09</f>
        <v>7642</v>
      </c>
      <c r="G514" s="145">
        <f t="shared" ref="G514:G543" si="206">$G$766</f>
        <v>1.139</v>
      </c>
      <c r="H514" s="146">
        <f t="shared" ref="H514:H543" si="207">F514*G514</f>
        <v>8704</v>
      </c>
      <c r="I514" s="145">
        <f>Дефляторы!$D$25</f>
        <v>1.052</v>
      </c>
      <c r="J514" s="146">
        <f t="shared" ref="J514:J543" si="208">H514*I514</f>
        <v>9157</v>
      </c>
      <c r="K514" s="146">
        <f t="shared" ref="K514:K543" si="209">H514+(J514-H514)*(1-30/100)</f>
        <v>9021</v>
      </c>
      <c r="L514" s="147"/>
      <c r="M514" s="147"/>
      <c r="N514" s="147"/>
    </row>
    <row r="515" spans="1:14" s="148" customFormat="1" ht="25.5" outlineLevel="2" x14ac:dyDescent="0.2">
      <c r="A515" s="95" t="s">
        <v>618</v>
      </c>
      <c r="B515" s="42" t="s">
        <v>1432</v>
      </c>
      <c r="C515" s="42" t="s">
        <v>1431</v>
      </c>
      <c r="D515" s="100" t="s">
        <v>377</v>
      </c>
      <c r="E515" s="100">
        <v>180</v>
      </c>
      <c r="F515" s="149">
        <f>(45395)*(1.023*1.005-2.3%*15%)*6.99+0*4.09</f>
        <v>325138</v>
      </c>
      <c r="G515" s="145">
        <f t="shared" si="206"/>
        <v>1.139</v>
      </c>
      <c r="H515" s="146">
        <f t="shared" si="207"/>
        <v>370332</v>
      </c>
      <c r="I515" s="145">
        <f>Дефляторы!$D$25</f>
        <v>1.052</v>
      </c>
      <c r="J515" s="146">
        <f t="shared" si="208"/>
        <v>389589</v>
      </c>
      <c r="K515" s="146">
        <f t="shared" si="209"/>
        <v>383812</v>
      </c>
      <c r="L515" s="147"/>
      <c r="M515" s="147"/>
      <c r="N515" s="147"/>
    </row>
    <row r="516" spans="1:14" s="148" customFormat="1" ht="15.75" outlineLevel="2" x14ac:dyDescent="0.2">
      <c r="A516" s="95" t="s">
        <v>619</v>
      </c>
      <c r="B516" s="42" t="s">
        <v>1435</v>
      </c>
      <c r="C516" s="42" t="s">
        <v>1433</v>
      </c>
      <c r="D516" s="100" t="s">
        <v>377</v>
      </c>
      <c r="E516" s="100">
        <v>7</v>
      </c>
      <c r="F516" s="149">
        <f>(4510)*(1.023*1.005-2.3%*15%)*6.99+0*4.09</f>
        <v>32302</v>
      </c>
      <c r="G516" s="145">
        <f t="shared" si="206"/>
        <v>1.139</v>
      </c>
      <c r="H516" s="146">
        <f t="shared" si="207"/>
        <v>36792</v>
      </c>
      <c r="I516" s="145">
        <f>Дефляторы!$D$25</f>
        <v>1.052</v>
      </c>
      <c r="J516" s="146">
        <f t="shared" si="208"/>
        <v>38705</v>
      </c>
      <c r="K516" s="146">
        <f t="shared" si="209"/>
        <v>38131</v>
      </c>
      <c r="L516" s="147"/>
      <c r="M516" s="147"/>
      <c r="N516" s="147"/>
    </row>
    <row r="517" spans="1:14" s="148" customFormat="1" ht="15.75" outlineLevel="2" x14ac:dyDescent="0.2">
      <c r="A517" s="95" t="s">
        <v>620</v>
      </c>
      <c r="B517" s="42" t="s">
        <v>1436</v>
      </c>
      <c r="C517" s="42" t="s">
        <v>1434</v>
      </c>
      <c r="D517" s="100" t="s">
        <v>377</v>
      </c>
      <c r="E517" s="100">
        <v>1955</v>
      </c>
      <c r="F517" s="149">
        <f>(1027302)*(1.023*1.005-2.3%*15%)*6.99+0*4.09</f>
        <v>7357956</v>
      </c>
      <c r="G517" s="145">
        <f t="shared" si="206"/>
        <v>1.139</v>
      </c>
      <c r="H517" s="146">
        <f t="shared" si="207"/>
        <v>8380712</v>
      </c>
      <c r="I517" s="145">
        <f>Дефляторы!$D$25</f>
        <v>1.052</v>
      </c>
      <c r="J517" s="146">
        <f t="shared" si="208"/>
        <v>8816509</v>
      </c>
      <c r="K517" s="146">
        <f t="shared" si="209"/>
        <v>8685770</v>
      </c>
      <c r="L517" s="147"/>
      <c r="M517" s="147"/>
      <c r="N517" s="147"/>
    </row>
    <row r="518" spans="1:14" s="148" customFormat="1" ht="15.75" outlineLevel="2" x14ac:dyDescent="0.2">
      <c r="A518" s="95" t="s">
        <v>621</v>
      </c>
      <c r="B518" s="42" t="s">
        <v>1437</v>
      </c>
      <c r="C518" s="42" t="s">
        <v>1438</v>
      </c>
      <c r="D518" s="100" t="s">
        <v>377</v>
      </c>
      <c r="E518" s="100">
        <v>412</v>
      </c>
      <c r="F518" s="149">
        <f>(412559)*(1.023*1.005-2.3%*15%)*6.99+0*4.09</f>
        <v>2954916</v>
      </c>
      <c r="G518" s="145">
        <f t="shared" si="206"/>
        <v>1.139</v>
      </c>
      <c r="H518" s="146">
        <f t="shared" si="207"/>
        <v>3365649</v>
      </c>
      <c r="I518" s="145">
        <f>Дефляторы!$D$25</f>
        <v>1.052</v>
      </c>
      <c r="J518" s="146">
        <f t="shared" si="208"/>
        <v>3540663</v>
      </c>
      <c r="K518" s="146">
        <f t="shared" si="209"/>
        <v>3488159</v>
      </c>
      <c r="L518" s="147"/>
      <c r="M518" s="147"/>
      <c r="N518" s="147"/>
    </row>
    <row r="519" spans="1:14" s="148" customFormat="1" ht="25.5" outlineLevel="2" x14ac:dyDescent="0.2">
      <c r="A519" s="95" t="s">
        <v>622</v>
      </c>
      <c r="B519" s="42" t="s">
        <v>1439</v>
      </c>
      <c r="C519" s="42" t="s">
        <v>1440</v>
      </c>
      <c r="D519" s="100" t="s">
        <v>377</v>
      </c>
      <c r="E519" s="100">
        <v>7</v>
      </c>
      <c r="F519" s="149">
        <f>(742)*(1.023*1.005-2.3%*15%)*6.99+0*4.09</f>
        <v>5315</v>
      </c>
      <c r="G519" s="145">
        <f t="shared" si="206"/>
        <v>1.139</v>
      </c>
      <c r="H519" s="146">
        <f t="shared" si="207"/>
        <v>6054</v>
      </c>
      <c r="I519" s="145">
        <f>Дефляторы!$D$25</f>
        <v>1.052</v>
      </c>
      <c r="J519" s="146">
        <f t="shared" si="208"/>
        <v>6369</v>
      </c>
      <c r="K519" s="146">
        <f t="shared" si="209"/>
        <v>6275</v>
      </c>
      <c r="L519" s="147"/>
      <c r="M519" s="147"/>
      <c r="N519" s="147"/>
    </row>
    <row r="520" spans="1:14" s="148" customFormat="1" ht="25.5" outlineLevel="2" x14ac:dyDescent="0.2">
      <c r="A520" s="95" t="s">
        <v>623</v>
      </c>
      <c r="B520" s="42" t="s">
        <v>1442</v>
      </c>
      <c r="C520" s="42" t="s">
        <v>1441</v>
      </c>
      <c r="D520" s="100" t="s">
        <v>377</v>
      </c>
      <c r="E520" s="100">
        <f>50</f>
        <v>50</v>
      </c>
      <c r="F520" s="149">
        <f>(5622)*(1.023*1.005-2.3%*15%)*6.99+0*4.09</f>
        <v>40267</v>
      </c>
      <c r="G520" s="145">
        <f t="shared" si="206"/>
        <v>1.139</v>
      </c>
      <c r="H520" s="146">
        <f t="shared" si="207"/>
        <v>45864</v>
      </c>
      <c r="I520" s="145">
        <f>Дефляторы!$D$25</f>
        <v>1.052</v>
      </c>
      <c r="J520" s="146">
        <f t="shared" si="208"/>
        <v>48249</v>
      </c>
      <c r="K520" s="146">
        <f t="shared" si="209"/>
        <v>47534</v>
      </c>
      <c r="L520" s="147"/>
      <c r="M520" s="147"/>
      <c r="N520" s="147"/>
    </row>
    <row r="521" spans="1:14" s="148" customFormat="1" ht="25.5" outlineLevel="2" x14ac:dyDescent="0.2">
      <c r="A521" s="95" t="s">
        <v>624</v>
      </c>
      <c r="B521" s="42" t="s">
        <v>1444</v>
      </c>
      <c r="C521" s="42" t="s">
        <v>1443</v>
      </c>
      <c r="D521" s="100" t="s">
        <v>377</v>
      </c>
      <c r="E521" s="100">
        <v>100</v>
      </c>
      <c r="F521" s="149">
        <f>(31596)*(1.023*1.005-2.3%*15%)*6.99+0*4.09</f>
        <v>226303</v>
      </c>
      <c r="G521" s="145">
        <f t="shared" si="206"/>
        <v>1.139</v>
      </c>
      <c r="H521" s="146">
        <f t="shared" si="207"/>
        <v>257759</v>
      </c>
      <c r="I521" s="145">
        <f>Дефляторы!$D$25</f>
        <v>1.052</v>
      </c>
      <c r="J521" s="146">
        <f t="shared" si="208"/>
        <v>271162</v>
      </c>
      <c r="K521" s="146">
        <f t="shared" si="209"/>
        <v>267141</v>
      </c>
      <c r="L521" s="147"/>
      <c r="M521" s="147"/>
      <c r="N521" s="147"/>
    </row>
    <row r="522" spans="1:14" s="148" customFormat="1" ht="38.25" outlineLevel="2" x14ac:dyDescent="0.2">
      <c r="A522" s="95" t="s">
        <v>625</v>
      </c>
      <c r="B522" s="42" t="s">
        <v>1446</v>
      </c>
      <c r="C522" s="42" t="s">
        <v>1445</v>
      </c>
      <c r="D522" s="100" t="s">
        <v>377</v>
      </c>
      <c r="E522" s="100">
        <v>100</v>
      </c>
      <c r="F522" s="149">
        <f>(25026)*(1.023*1.005-2.3%*15%)*6.99+0*4.09</f>
        <v>179246</v>
      </c>
      <c r="G522" s="145">
        <f t="shared" si="206"/>
        <v>1.139</v>
      </c>
      <c r="H522" s="146">
        <f t="shared" si="207"/>
        <v>204161</v>
      </c>
      <c r="I522" s="145">
        <f>Дефляторы!$D$25</f>
        <v>1.052</v>
      </c>
      <c r="J522" s="146">
        <f t="shared" si="208"/>
        <v>214777</v>
      </c>
      <c r="K522" s="146">
        <f t="shared" si="209"/>
        <v>211592</v>
      </c>
      <c r="L522" s="147"/>
      <c r="M522" s="147"/>
      <c r="N522" s="147"/>
    </row>
    <row r="523" spans="1:14" s="148" customFormat="1" ht="38.25" outlineLevel="2" x14ac:dyDescent="0.2">
      <c r="A523" s="95" t="s">
        <v>626</v>
      </c>
      <c r="B523" s="42" t="s">
        <v>1447</v>
      </c>
      <c r="C523" s="42" t="s">
        <v>1449</v>
      </c>
      <c r="D523" s="100" t="s">
        <v>377</v>
      </c>
      <c r="E523" s="100">
        <v>12</v>
      </c>
      <c r="F523" s="149">
        <f>(7708)*(1.023*1.005-2.3%*15%)*6.99+0*4.09</f>
        <v>55208</v>
      </c>
      <c r="G523" s="145">
        <f t="shared" si="206"/>
        <v>1.139</v>
      </c>
      <c r="H523" s="146">
        <f t="shared" si="207"/>
        <v>62882</v>
      </c>
      <c r="I523" s="145">
        <f>Дефляторы!$D$25</f>
        <v>1.052</v>
      </c>
      <c r="J523" s="146">
        <f t="shared" si="208"/>
        <v>66152</v>
      </c>
      <c r="K523" s="146">
        <f t="shared" si="209"/>
        <v>65171</v>
      </c>
      <c r="L523" s="147"/>
      <c r="M523" s="147"/>
      <c r="N523" s="147"/>
    </row>
    <row r="524" spans="1:14" s="148" customFormat="1" ht="38.25" outlineLevel="2" x14ac:dyDescent="0.2">
      <c r="A524" s="95" t="s">
        <v>627</v>
      </c>
      <c r="B524" s="42" t="s">
        <v>1448</v>
      </c>
      <c r="C524" s="42" t="s">
        <v>1450</v>
      </c>
      <c r="D524" s="100" t="s">
        <v>377</v>
      </c>
      <c r="E524" s="100">
        <v>40</v>
      </c>
      <c r="F524" s="149">
        <f>(20941)*(1.023*1.005-2.3%*15%)*6.99+0*4.09</f>
        <v>149988</v>
      </c>
      <c r="G524" s="145">
        <f t="shared" si="206"/>
        <v>1.139</v>
      </c>
      <c r="H524" s="146">
        <f t="shared" si="207"/>
        <v>170836</v>
      </c>
      <c r="I524" s="145">
        <f>Дефляторы!$D$25</f>
        <v>1.052</v>
      </c>
      <c r="J524" s="146">
        <f t="shared" si="208"/>
        <v>179719</v>
      </c>
      <c r="K524" s="146">
        <f t="shared" si="209"/>
        <v>177054</v>
      </c>
      <c r="L524" s="147"/>
      <c r="M524" s="147"/>
      <c r="N524" s="147"/>
    </row>
    <row r="525" spans="1:14" s="148" customFormat="1" ht="38.25" outlineLevel="2" x14ac:dyDescent="0.2">
      <c r="A525" s="95" t="s">
        <v>628</v>
      </c>
      <c r="B525" s="42" t="s">
        <v>1451</v>
      </c>
      <c r="C525" s="42" t="s">
        <v>1453</v>
      </c>
      <c r="D525" s="100" t="s">
        <v>377</v>
      </c>
      <c r="E525" s="100">
        <v>62</v>
      </c>
      <c r="F525" s="149">
        <f>(61954)*(1.023*1.005-2.3%*15%)*6.99+0*4.09</f>
        <v>443740</v>
      </c>
      <c r="G525" s="145">
        <f t="shared" si="206"/>
        <v>1.139</v>
      </c>
      <c r="H525" s="146">
        <f t="shared" si="207"/>
        <v>505420</v>
      </c>
      <c r="I525" s="145">
        <f>Дефляторы!$D$25</f>
        <v>1.052</v>
      </c>
      <c r="J525" s="146">
        <f t="shared" si="208"/>
        <v>531702</v>
      </c>
      <c r="K525" s="146">
        <f t="shared" si="209"/>
        <v>523817</v>
      </c>
      <c r="L525" s="147"/>
      <c r="M525" s="147"/>
      <c r="N525" s="147"/>
    </row>
    <row r="526" spans="1:14" s="148" customFormat="1" ht="38.25" outlineLevel="2" x14ac:dyDescent="0.2">
      <c r="A526" s="95" t="s">
        <v>629</v>
      </c>
      <c r="B526" s="42" t="s">
        <v>1452</v>
      </c>
      <c r="C526" s="42" t="s">
        <v>1454</v>
      </c>
      <c r="D526" s="100" t="s">
        <v>377</v>
      </c>
      <c r="E526" s="100">
        <v>120</v>
      </c>
      <c r="F526" s="149">
        <f>(128300)*(1.023*1.005-2.3%*15%)*6.99+0*4.09</f>
        <v>918937</v>
      </c>
      <c r="G526" s="145">
        <f t="shared" si="206"/>
        <v>1.139</v>
      </c>
      <c r="H526" s="146">
        <f t="shared" si="207"/>
        <v>1046669</v>
      </c>
      <c r="I526" s="145">
        <f>Дефляторы!$D$25</f>
        <v>1.052</v>
      </c>
      <c r="J526" s="146">
        <f t="shared" si="208"/>
        <v>1101096</v>
      </c>
      <c r="K526" s="146">
        <f t="shared" si="209"/>
        <v>1084768</v>
      </c>
      <c r="L526" s="147"/>
      <c r="M526" s="147"/>
      <c r="N526" s="147"/>
    </row>
    <row r="527" spans="1:14" s="148" customFormat="1" ht="15.75" outlineLevel="2" x14ac:dyDescent="0.2">
      <c r="A527" s="95" t="s">
        <v>630</v>
      </c>
      <c r="B527" s="42" t="s">
        <v>1456</v>
      </c>
      <c r="C527" s="42" t="s">
        <v>1455</v>
      </c>
      <c r="D527" s="100" t="s">
        <v>300</v>
      </c>
      <c r="E527" s="100">
        <v>7.2</v>
      </c>
      <c r="F527" s="149">
        <f>(1295)*(1.023*1.005-2.3%*15%)*6.99+0*4.09</f>
        <v>9275</v>
      </c>
      <c r="G527" s="145">
        <f t="shared" si="206"/>
        <v>1.139</v>
      </c>
      <c r="H527" s="146">
        <f t="shared" si="207"/>
        <v>10564</v>
      </c>
      <c r="I527" s="145">
        <f>Дефляторы!$D$25</f>
        <v>1.052</v>
      </c>
      <c r="J527" s="146">
        <f t="shared" si="208"/>
        <v>11113</v>
      </c>
      <c r="K527" s="146">
        <f t="shared" si="209"/>
        <v>10948</v>
      </c>
      <c r="L527" s="147"/>
      <c r="M527" s="147"/>
      <c r="N527" s="147"/>
    </row>
    <row r="528" spans="1:14" s="148" customFormat="1" ht="15.75" outlineLevel="2" x14ac:dyDescent="0.2">
      <c r="A528" s="95" t="s">
        <v>631</v>
      </c>
      <c r="B528" s="42" t="s">
        <v>1463</v>
      </c>
      <c r="C528" s="42" t="s">
        <v>1457</v>
      </c>
      <c r="D528" s="100" t="s">
        <v>377</v>
      </c>
      <c r="E528" s="100">
        <v>33</v>
      </c>
      <c r="F528" s="149">
        <f>(21303)*(1.023*1.005-2.3%*15%)*6.99+0*4.09</f>
        <v>152581</v>
      </c>
      <c r="G528" s="145">
        <f t="shared" si="206"/>
        <v>1.139</v>
      </c>
      <c r="H528" s="146">
        <f t="shared" si="207"/>
        <v>173790</v>
      </c>
      <c r="I528" s="145">
        <f>Дефляторы!$D$25</f>
        <v>1.052</v>
      </c>
      <c r="J528" s="146">
        <f t="shared" si="208"/>
        <v>182827</v>
      </c>
      <c r="K528" s="146">
        <f t="shared" si="209"/>
        <v>180116</v>
      </c>
      <c r="L528" s="147"/>
      <c r="M528" s="147"/>
      <c r="N528" s="147"/>
    </row>
    <row r="529" spans="1:14" s="148" customFormat="1" ht="15.75" outlineLevel="2" x14ac:dyDescent="0.2">
      <c r="A529" s="95" t="s">
        <v>632</v>
      </c>
      <c r="B529" s="42" t="s">
        <v>1462</v>
      </c>
      <c r="C529" s="42" t="s">
        <v>1461</v>
      </c>
      <c r="D529" s="100" t="s">
        <v>377</v>
      </c>
      <c r="E529" s="100">
        <v>120</v>
      </c>
      <c r="F529" s="149">
        <f>(63211)*(1.023*1.005-2.3%*15%)*6.99+0*4.09</f>
        <v>452743</v>
      </c>
      <c r="G529" s="145">
        <f t="shared" si="206"/>
        <v>1.139</v>
      </c>
      <c r="H529" s="146">
        <f t="shared" si="207"/>
        <v>515674</v>
      </c>
      <c r="I529" s="145">
        <f>Дефляторы!$D$25</f>
        <v>1.052</v>
      </c>
      <c r="J529" s="146">
        <f t="shared" si="208"/>
        <v>542489</v>
      </c>
      <c r="K529" s="146">
        <f t="shared" si="209"/>
        <v>534445</v>
      </c>
      <c r="L529" s="147"/>
      <c r="M529" s="147"/>
      <c r="N529" s="147"/>
    </row>
    <row r="530" spans="1:14" s="148" customFormat="1" ht="25.5" outlineLevel="2" x14ac:dyDescent="0.2">
      <c r="A530" s="95" t="s">
        <v>633</v>
      </c>
      <c r="B530" s="42" t="s">
        <v>1468</v>
      </c>
      <c r="C530" s="42" t="s">
        <v>1464</v>
      </c>
      <c r="D530" s="100" t="s">
        <v>408</v>
      </c>
      <c r="E530" s="100">
        <v>80</v>
      </c>
      <c r="F530" s="149">
        <f>(366)*(1.023*1.005-2.3%*15%)*6.99+0*4.09</f>
        <v>2621</v>
      </c>
      <c r="G530" s="145">
        <f t="shared" si="206"/>
        <v>1.139</v>
      </c>
      <c r="H530" s="146">
        <f t="shared" si="207"/>
        <v>2985</v>
      </c>
      <c r="I530" s="145">
        <f>Дефляторы!$D$25</f>
        <v>1.052</v>
      </c>
      <c r="J530" s="146">
        <f t="shared" si="208"/>
        <v>3140</v>
      </c>
      <c r="K530" s="146">
        <f t="shared" si="209"/>
        <v>3094</v>
      </c>
      <c r="L530" s="147"/>
      <c r="M530" s="147"/>
      <c r="N530" s="147"/>
    </row>
    <row r="531" spans="1:14" s="148" customFormat="1" ht="25.5" outlineLevel="2" x14ac:dyDescent="0.2">
      <c r="A531" s="95" t="s">
        <v>2072</v>
      </c>
      <c r="B531" s="42" t="s">
        <v>1469</v>
      </c>
      <c r="C531" s="42" t="s">
        <v>1465</v>
      </c>
      <c r="D531" s="100" t="s">
        <v>408</v>
      </c>
      <c r="E531" s="100">
        <v>80</v>
      </c>
      <c r="F531" s="149">
        <f>(457)*(1.023*1.005-2.3%*15%)*6.99+0*4.09</f>
        <v>3273</v>
      </c>
      <c r="G531" s="145">
        <f t="shared" si="206"/>
        <v>1.139</v>
      </c>
      <c r="H531" s="146">
        <f t="shared" si="207"/>
        <v>3728</v>
      </c>
      <c r="I531" s="145">
        <f>Дефляторы!$D$25</f>
        <v>1.052</v>
      </c>
      <c r="J531" s="146">
        <f t="shared" si="208"/>
        <v>3922</v>
      </c>
      <c r="K531" s="146">
        <f t="shared" si="209"/>
        <v>3864</v>
      </c>
      <c r="L531" s="147"/>
      <c r="M531" s="147"/>
      <c r="N531" s="147"/>
    </row>
    <row r="532" spans="1:14" s="148" customFormat="1" ht="25.5" outlineLevel="2" x14ac:dyDescent="0.2">
      <c r="A532" s="95" t="s">
        <v>2073</v>
      </c>
      <c r="B532" s="42" t="s">
        <v>1470</v>
      </c>
      <c r="C532" s="42" t="s">
        <v>1466</v>
      </c>
      <c r="D532" s="100" t="s">
        <v>408</v>
      </c>
      <c r="E532" s="100">
        <v>88</v>
      </c>
      <c r="F532" s="149">
        <f>(755)*(1.023*1.005-2.3%*15%)*6.99+0*4.09</f>
        <v>5408</v>
      </c>
      <c r="G532" s="145">
        <f t="shared" si="206"/>
        <v>1.139</v>
      </c>
      <c r="H532" s="146">
        <f t="shared" si="207"/>
        <v>6160</v>
      </c>
      <c r="I532" s="145">
        <f>Дефляторы!$D$25</f>
        <v>1.052</v>
      </c>
      <c r="J532" s="146">
        <f t="shared" si="208"/>
        <v>6480</v>
      </c>
      <c r="K532" s="146">
        <f t="shared" si="209"/>
        <v>6384</v>
      </c>
      <c r="L532" s="147"/>
      <c r="M532" s="147"/>
      <c r="N532" s="147"/>
    </row>
    <row r="533" spans="1:14" s="148" customFormat="1" ht="25.5" outlineLevel="2" x14ac:dyDescent="0.2">
      <c r="A533" s="95" t="s">
        <v>2074</v>
      </c>
      <c r="B533" s="42" t="s">
        <v>1471</v>
      </c>
      <c r="C533" s="42" t="s">
        <v>1467</v>
      </c>
      <c r="D533" s="100" t="s">
        <v>408</v>
      </c>
      <c r="E533" s="100">
        <v>96</v>
      </c>
      <c r="F533" s="149">
        <f>(1101)*(1.023*1.005-2.3%*15%)*6.99+0*4.09</f>
        <v>7886</v>
      </c>
      <c r="G533" s="145">
        <f t="shared" si="206"/>
        <v>1.139</v>
      </c>
      <c r="H533" s="146">
        <f t="shared" si="207"/>
        <v>8982</v>
      </c>
      <c r="I533" s="145">
        <f>Дефляторы!$D$25</f>
        <v>1.052</v>
      </c>
      <c r="J533" s="146">
        <f t="shared" si="208"/>
        <v>9449</v>
      </c>
      <c r="K533" s="146">
        <f t="shared" si="209"/>
        <v>9309</v>
      </c>
      <c r="L533" s="147"/>
      <c r="M533" s="147"/>
      <c r="N533" s="147"/>
    </row>
    <row r="534" spans="1:14" s="148" customFormat="1" ht="15.75" outlineLevel="2" x14ac:dyDescent="0.2">
      <c r="A534" s="95" t="s">
        <v>2075</v>
      </c>
      <c r="B534" s="42" t="s">
        <v>1474</v>
      </c>
      <c r="C534" s="42" t="s">
        <v>1472</v>
      </c>
      <c r="D534" s="100" t="s">
        <v>408</v>
      </c>
      <c r="E534" s="100">
        <v>16</v>
      </c>
      <c r="F534" s="149">
        <f>(107116)*(1.023*1.005-2.3%*15%)*6.99+0*4.09</f>
        <v>767209</v>
      </c>
      <c r="G534" s="145">
        <f t="shared" si="206"/>
        <v>1.139</v>
      </c>
      <c r="H534" s="146">
        <f t="shared" si="207"/>
        <v>873851</v>
      </c>
      <c r="I534" s="145">
        <f>Дефляторы!$D$25</f>
        <v>1.052</v>
      </c>
      <c r="J534" s="146">
        <f t="shared" si="208"/>
        <v>919291</v>
      </c>
      <c r="K534" s="146">
        <f t="shared" si="209"/>
        <v>905659</v>
      </c>
      <c r="L534" s="147"/>
      <c r="M534" s="147"/>
      <c r="N534" s="147"/>
    </row>
    <row r="535" spans="1:14" s="148" customFormat="1" ht="15.75" outlineLevel="2" x14ac:dyDescent="0.2">
      <c r="A535" s="95" t="s">
        <v>2076</v>
      </c>
      <c r="B535" s="42" t="s">
        <v>1475</v>
      </c>
      <c r="C535" s="42" t="s">
        <v>1473</v>
      </c>
      <c r="D535" s="100" t="s">
        <v>408</v>
      </c>
      <c r="E535" s="100">
        <v>8</v>
      </c>
      <c r="F535" s="149">
        <f>(20026)*(1.023*1.005-2.3%*15%)*6.99+0*4.09</f>
        <v>143434</v>
      </c>
      <c r="G535" s="145">
        <f t="shared" si="206"/>
        <v>1.139</v>
      </c>
      <c r="H535" s="146">
        <f t="shared" si="207"/>
        <v>163371</v>
      </c>
      <c r="I535" s="145">
        <f>Дефляторы!$D$25</f>
        <v>1.052</v>
      </c>
      <c r="J535" s="146">
        <f t="shared" si="208"/>
        <v>171866</v>
      </c>
      <c r="K535" s="146">
        <f t="shared" si="209"/>
        <v>169318</v>
      </c>
      <c r="L535" s="147"/>
      <c r="M535" s="147"/>
      <c r="N535" s="147"/>
    </row>
    <row r="536" spans="1:14" s="148" customFormat="1" ht="15.75" outlineLevel="2" x14ac:dyDescent="0.2">
      <c r="A536" s="95" t="s">
        <v>2077</v>
      </c>
      <c r="B536" s="42" t="s">
        <v>1478</v>
      </c>
      <c r="C536" s="42" t="s">
        <v>1476</v>
      </c>
      <c r="D536" s="100" t="s">
        <v>408</v>
      </c>
      <c r="E536" s="100">
        <v>4</v>
      </c>
      <c r="F536" s="149">
        <f>(24765)*(1.023*1.005-2.3%*15%)*6.99+0*4.09</f>
        <v>177377</v>
      </c>
      <c r="G536" s="145">
        <f t="shared" si="206"/>
        <v>1.139</v>
      </c>
      <c r="H536" s="146">
        <f t="shared" si="207"/>
        <v>202032</v>
      </c>
      <c r="I536" s="145">
        <f>Дефляторы!$D$25</f>
        <v>1.052</v>
      </c>
      <c r="J536" s="146">
        <f t="shared" si="208"/>
        <v>212538</v>
      </c>
      <c r="K536" s="146">
        <f t="shared" si="209"/>
        <v>209386</v>
      </c>
      <c r="L536" s="147"/>
      <c r="M536" s="147"/>
      <c r="N536" s="147"/>
    </row>
    <row r="537" spans="1:14" s="148" customFormat="1" ht="15.75" outlineLevel="2" x14ac:dyDescent="0.2">
      <c r="A537" s="95" t="s">
        <v>2078</v>
      </c>
      <c r="B537" s="42" t="s">
        <v>1479</v>
      </c>
      <c r="C537" s="42" t="s">
        <v>1477</v>
      </c>
      <c r="D537" s="100" t="s">
        <v>408</v>
      </c>
      <c r="E537" s="100">
        <v>16</v>
      </c>
      <c r="F537" s="149">
        <f>(102811)*(1.023*1.005-2.3%*15%)*6.99+0*4.09</f>
        <v>736374</v>
      </c>
      <c r="G537" s="145">
        <f t="shared" si="206"/>
        <v>1.139</v>
      </c>
      <c r="H537" s="146">
        <f t="shared" si="207"/>
        <v>838730</v>
      </c>
      <c r="I537" s="145">
        <f>Дефляторы!$D$25</f>
        <v>1.052</v>
      </c>
      <c r="J537" s="146">
        <f t="shared" si="208"/>
        <v>882344</v>
      </c>
      <c r="K537" s="146">
        <f t="shared" si="209"/>
        <v>869260</v>
      </c>
      <c r="L537" s="147"/>
      <c r="M537" s="147"/>
      <c r="N537" s="147"/>
    </row>
    <row r="538" spans="1:14" s="148" customFormat="1" ht="25.5" outlineLevel="2" x14ac:dyDescent="0.2">
      <c r="A538" s="95" t="s">
        <v>2079</v>
      </c>
      <c r="B538" s="42" t="s">
        <v>1481</v>
      </c>
      <c r="C538" s="42" t="s">
        <v>1480</v>
      </c>
      <c r="D538" s="100" t="s">
        <v>408</v>
      </c>
      <c r="E538" s="100">
        <v>8</v>
      </c>
      <c r="F538" s="149">
        <f>(11275)*(1.023*1.005-2.3%*15%)*6.99+0*4.09</f>
        <v>80756</v>
      </c>
      <c r="G538" s="145">
        <f t="shared" si="206"/>
        <v>1.139</v>
      </c>
      <c r="H538" s="146">
        <f t="shared" si="207"/>
        <v>91981</v>
      </c>
      <c r="I538" s="145">
        <f>Дефляторы!$D$25</f>
        <v>1.052</v>
      </c>
      <c r="J538" s="146">
        <f t="shared" si="208"/>
        <v>96764</v>
      </c>
      <c r="K538" s="146">
        <f t="shared" si="209"/>
        <v>95329</v>
      </c>
      <c r="L538" s="147"/>
      <c r="M538" s="147"/>
      <c r="N538" s="147"/>
    </row>
    <row r="539" spans="1:14" s="148" customFormat="1" ht="15.75" outlineLevel="2" x14ac:dyDescent="0.2">
      <c r="A539" s="95" t="s">
        <v>2080</v>
      </c>
      <c r="B539" s="42" t="s">
        <v>1483</v>
      </c>
      <c r="C539" s="42" t="s">
        <v>1482</v>
      </c>
      <c r="D539" s="100" t="s">
        <v>408</v>
      </c>
      <c r="E539" s="100">
        <v>4</v>
      </c>
      <c r="F539" s="149">
        <f>(19239)*(1.023*1.005-2.3%*15%)*6.99+0*4.09</f>
        <v>137798</v>
      </c>
      <c r="G539" s="145">
        <f t="shared" si="206"/>
        <v>1.139</v>
      </c>
      <c r="H539" s="146">
        <f t="shared" si="207"/>
        <v>156952</v>
      </c>
      <c r="I539" s="145">
        <f>Дефляторы!$D$25</f>
        <v>1.052</v>
      </c>
      <c r="J539" s="146">
        <f t="shared" si="208"/>
        <v>165114</v>
      </c>
      <c r="K539" s="146">
        <f t="shared" si="209"/>
        <v>162665</v>
      </c>
      <c r="L539" s="147"/>
      <c r="M539" s="147"/>
      <c r="N539" s="147"/>
    </row>
    <row r="540" spans="1:14" s="148" customFormat="1" ht="25.5" outlineLevel="2" x14ac:dyDescent="0.2">
      <c r="A540" s="95" t="s">
        <v>2081</v>
      </c>
      <c r="B540" s="42" t="s">
        <v>1485</v>
      </c>
      <c r="C540" s="42" t="s">
        <v>1484</v>
      </c>
      <c r="D540" s="100" t="s">
        <v>408</v>
      </c>
      <c r="E540" s="100">
        <v>2</v>
      </c>
      <c r="F540" s="149">
        <f>(15735)*(1.023*1.005-2.3%*15%)*6.99+0*4.09</f>
        <v>112700</v>
      </c>
      <c r="G540" s="145">
        <f t="shared" si="206"/>
        <v>1.139</v>
      </c>
      <c r="H540" s="146">
        <f t="shared" si="207"/>
        <v>128365</v>
      </c>
      <c r="I540" s="145">
        <f>Дефляторы!$D$25</f>
        <v>1.052</v>
      </c>
      <c r="J540" s="146">
        <f t="shared" si="208"/>
        <v>135040</v>
      </c>
      <c r="K540" s="146">
        <f t="shared" si="209"/>
        <v>133038</v>
      </c>
      <c r="L540" s="147"/>
      <c r="M540" s="147"/>
      <c r="N540" s="147"/>
    </row>
    <row r="541" spans="1:14" s="148" customFormat="1" ht="15.75" outlineLevel="2" x14ac:dyDescent="0.2">
      <c r="A541" s="95" t="s">
        <v>2082</v>
      </c>
      <c r="B541" s="42" t="s">
        <v>1486</v>
      </c>
      <c r="C541" s="42" t="s">
        <v>1487</v>
      </c>
      <c r="D541" s="100" t="s">
        <v>408</v>
      </c>
      <c r="E541" s="100">
        <v>6</v>
      </c>
      <c r="F541" s="149">
        <f>(699)*(1.023*1.005-2.3%*15%)*6.99+361*4.09</f>
        <v>6483</v>
      </c>
      <c r="G541" s="145">
        <f t="shared" si="206"/>
        <v>1.139</v>
      </c>
      <c r="H541" s="146">
        <f t="shared" si="207"/>
        <v>7384</v>
      </c>
      <c r="I541" s="145">
        <f>Дефляторы!$D$25</f>
        <v>1.052</v>
      </c>
      <c r="J541" s="146">
        <f t="shared" si="208"/>
        <v>7768</v>
      </c>
      <c r="K541" s="146">
        <f t="shared" si="209"/>
        <v>7653</v>
      </c>
      <c r="L541" s="147"/>
      <c r="M541" s="147"/>
      <c r="N541" s="147"/>
    </row>
    <row r="542" spans="1:14" s="148" customFormat="1" ht="38.25" outlineLevel="2" x14ac:dyDescent="0.2">
      <c r="A542" s="95" t="s">
        <v>2083</v>
      </c>
      <c r="B542" s="42" t="s">
        <v>1488</v>
      </c>
      <c r="C542" s="42" t="s">
        <v>1489</v>
      </c>
      <c r="D542" s="100" t="s">
        <v>408</v>
      </c>
      <c r="E542" s="100">
        <v>2</v>
      </c>
      <c r="F542" s="149">
        <f>(62+6500)*(1.023*1.005-2.3%*15%)*6.99+0*4.09</f>
        <v>47000</v>
      </c>
      <c r="G542" s="145">
        <f t="shared" si="206"/>
        <v>1.139</v>
      </c>
      <c r="H542" s="146">
        <f t="shared" si="207"/>
        <v>53533</v>
      </c>
      <c r="I542" s="145">
        <f>Дефляторы!$D$25</f>
        <v>1.052</v>
      </c>
      <c r="J542" s="146">
        <f t="shared" si="208"/>
        <v>56317</v>
      </c>
      <c r="K542" s="146">
        <f t="shared" si="209"/>
        <v>55482</v>
      </c>
      <c r="L542" s="147"/>
      <c r="M542" s="147"/>
      <c r="N542" s="147"/>
    </row>
    <row r="543" spans="1:14" s="148" customFormat="1" ht="25.5" outlineLevel="2" x14ac:dyDescent="0.2">
      <c r="A543" s="95" t="s">
        <v>2084</v>
      </c>
      <c r="B543" s="42" t="s">
        <v>1491</v>
      </c>
      <c r="C543" s="42" t="s">
        <v>1490</v>
      </c>
      <c r="D543" s="100" t="s">
        <v>404</v>
      </c>
      <c r="E543" s="100">
        <f>111.2</f>
        <v>111.2</v>
      </c>
      <c r="F543" s="149">
        <f>(8236)*(1.023*1.005-2.3%*15%)*6.99+0*4.09</f>
        <v>58990</v>
      </c>
      <c r="G543" s="145">
        <f t="shared" si="206"/>
        <v>1.139</v>
      </c>
      <c r="H543" s="146">
        <f t="shared" si="207"/>
        <v>67190</v>
      </c>
      <c r="I543" s="145">
        <f>Дефляторы!$D$25</f>
        <v>1.052</v>
      </c>
      <c r="J543" s="146">
        <f t="shared" si="208"/>
        <v>70684</v>
      </c>
      <c r="K543" s="146">
        <f t="shared" si="209"/>
        <v>69636</v>
      </c>
      <c r="L543" s="147"/>
      <c r="M543" s="147"/>
      <c r="N543" s="147"/>
    </row>
    <row r="544" spans="1:14" s="249" customFormat="1" ht="15.75" outlineLevel="1" x14ac:dyDescent="0.2">
      <c r="A544" s="244" t="s">
        <v>504</v>
      </c>
      <c r="B544" s="245" t="s">
        <v>39</v>
      </c>
      <c r="C544" s="245" t="s">
        <v>1795</v>
      </c>
      <c r="D544" s="246" t="s">
        <v>408</v>
      </c>
      <c r="E544" s="247">
        <v>1</v>
      </c>
      <c r="F544" s="247">
        <f>F545+F557</f>
        <v>25566042</v>
      </c>
      <c r="G544" s="248"/>
      <c r="H544" s="247">
        <f>H545+H557</f>
        <v>29119720</v>
      </c>
      <c r="I544" s="248">
        <f>Дефляторы!$D$25</f>
        <v>1.052</v>
      </c>
      <c r="J544" s="247">
        <f>J545+J557</f>
        <v>30633945</v>
      </c>
      <c r="K544" s="247">
        <f>K545+K557</f>
        <v>30179680</v>
      </c>
      <c r="L544" s="268"/>
      <c r="M544" s="268"/>
      <c r="N544" s="268"/>
    </row>
    <row r="545" spans="1:14" s="237" customFormat="1" ht="15.75" outlineLevel="2" x14ac:dyDescent="0.2">
      <c r="A545" s="238" t="s">
        <v>505</v>
      </c>
      <c r="B545" s="229" t="s">
        <v>227</v>
      </c>
      <c r="C545" s="229" t="s">
        <v>648</v>
      </c>
      <c r="D545" s="239" t="s">
        <v>292</v>
      </c>
      <c r="E545" s="240">
        <v>1</v>
      </c>
      <c r="F545" s="240">
        <f>SUM(F546:F556)</f>
        <v>735078</v>
      </c>
      <c r="G545" s="241">
        <f>$G$766</f>
        <v>1.139</v>
      </c>
      <c r="H545" s="240">
        <f>SUM(H546:H556)</f>
        <v>837252</v>
      </c>
      <c r="I545" s="241">
        <f>Дефляторы!$D$25</f>
        <v>1.052</v>
      </c>
      <c r="J545" s="240">
        <f>SUM(J546:J556)</f>
        <v>880789</v>
      </c>
      <c r="K545" s="240">
        <f>SUM(K546:K556)</f>
        <v>867730</v>
      </c>
      <c r="L545" s="256"/>
      <c r="M545" s="256"/>
      <c r="N545" s="256"/>
    </row>
    <row r="546" spans="1:14" s="148" customFormat="1" ht="15.75" outlineLevel="3" x14ac:dyDescent="0.2">
      <c r="A546" s="95"/>
      <c r="B546" s="42"/>
      <c r="C546" s="42" t="s">
        <v>367</v>
      </c>
      <c r="D546" s="100"/>
      <c r="E546" s="100"/>
      <c r="F546" s="149"/>
      <c r="G546" s="145"/>
      <c r="H546" s="146"/>
      <c r="I546" s="145">
        <f>Дефляторы!$D$25</f>
        <v>1.052</v>
      </c>
      <c r="J546" s="146"/>
      <c r="K546" s="146"/>
      <c r="L546" s="147"/>
      <c r="M546" s="147"/>
      <c r="N546" s="147"/>
    </row>
    <row r="547" spans="1:14" s="148" customFormat="1" ht="25.5" outlineLevel="3" x14ac:dyDescent="0.2">
      <c r="A547" s="95" t="s">
        <v>2085</v>
      </c>
      <c r="B547" s="42" t="s">
        <v>506</v>
      </c>
      <c r="C547" s="42" t="s">
        <v>1492</v>
      </c>
      <c r="D547" s="100" t="s">
        <v>300</v>
      </c>
      <c r="E547" s="100">
        <f>176</f>
        <v>176</v>
      </c>
      <c r="F547" s="149">
        <f>(35096)*(1.023*1.005-2.3%*15%)*6.99+0*4.09+28</f>
        <v>251400</v>
      </c>
      <c r="G547" s="145">
        <f t="shared" ref="G547:G558" si="210">$G$766</f>
        <v>1.139</v>
      </c>
      <c r="H547" s="146">
        <f t="shared" ref="H547:H556" si="211">F547*G547</f>
        <v>286345</v>
      </c>
      <c r="I547" s="145">
        <f>Дефляторы!$D$25</f>
        <v>1.052</v>
      </c>
      <c r="J547" s="146">
        <f t="shared" ref="J547:J556" si="212">H547*I547</f>
        <v>301235</v>
      </c>
      <c r="K547" s="146">
        <f t="shared" ref="K547:K556" si="213">H547+(J547-H547)*(1-30/100)</f>
        <v>296768</v>
      </c>
      <c r="L547" s="147"/>
      <c r="M547" s="147"/>
      <c r="N547" s="147"/>
    </row>
    <row r="548" spans="1:14" s="148" customFormat="1" ht="15.75" outlineLevel="3" x14ac:dyDescent="0.2">
      <c r="A548" s="95" t="s">
        <v>2086</v>
      </c>
      <c r="B548" s="42" t="s">
        <v>1494</v>
      </c>
      <c r="C548" s="42" t="s">
        <v>656</v>
      </c>
      <c r="D548" s="100" t="s">
        <v>300</v>
      </c>
      <c r="E548" s="100">
        <f>76.32</f>
        <v>76.319999999999993</v>
      </c>
      <c r="F548" s="149">
        <f>(3577)*(1.023*1.005-2.3%*15%)*6.99+0*4.09</f>
        <v>25620</v>
      </c>
      <c r="G548" s="145">
        <f t="shared" si="210"/>
        <v>1.139</v>
      </c>
      <c r="H548" s="146">
        <f t="shared" si="211"/>
        <v>29181</v>
      </c>
      <c r="I548" s="145">
        <f>Дефляторы!$D$25</f>
        <v>1.052</v>
      </c>
      <c r="J548" s="146">
        <f t="shared" si="212"/>
        <v>30698</v>
      </c>
      <c r="K548" s="146">
        <f t="shared" si="213"/>
        <v>30243</v>
      </c>
      <c r="L548" s="147"/>
      <c r="M548" s="147"/>
      <c r="N548" s="147"/>
    </row>
    <row r="549" spans="1:14" s="148" customFormat="1" ht="15.75" outlineLevel="3" x14ac:dyDescent="0.2">
      <c r="A549" s="95" t="s">
        <v>2087</v>
      </c>
      <c r="B549" s="42" t="s">
        <v>1495</v>
      </c>
      <c r="C549" s="42" t="s">
        <v>1493</v>
      </c>
      <c r="D549" s="100" t="s">
        <v>300</v>
      </c>
      <c r="E549" s="100">
        <f>99.68</f>
        <v>99.68</v>
      </c>
      <c r="F549" s="149">
        <f>(1279)*(1.023*1.005-2.3%*15%)*6.99+0*4.09</f>
        <v>9161</v>
      </c>
      <c r="G549" s="145">
        <f t="shared" si="210"/>
        <v>1.139</v>
      </c>
      <c r="H549" s="146">
        <f t="shared" si="211"/>
        <v>10434</v>
      </c>
      <c r="I549" s="145">
        <f>Дефляторы!$D$25</f>
        <v>1.052</v>
      </c>
      <c r="J549" s="146">
        <f t="shared" si="212"/>
        <v>10977</v>
      </c>
      <c r="K549" s="146">
        <f t="shared" si="213"/>
        <v>10814</v>
      </c>
      <c r="L549" s="147"/>
      <c r="M549" s="147"/>
      <c r="N549" s="147"/>
    </row>
    <row r="550" spans="1:14" s="148" customFormat="1" ht="25.5" outlineLevel="3" x14ac:dyDescent="0.2">
      <c r="A550" s="95" t="s">
        <v>2088</v>
      </c>
      <c r="B550" s="42" t="s">
        <v>1496</v>
      </c>
      <c r="C550" s="42" t="s">
        <v>750</v>
      </c>
      <c r="D550" s="100" t="s">
        <v>300</v>
      </c>
      <c r="E550" s="100">
        <f>99.68</f>
        <v>99.68</v>
      </c>
      <c r="F550" s="149">
        <f>(1071)*(1.023*1.005-2.3%*15%)*6.99+0*4.09</f>
        <v>7671</v>
      </c>
      <c r="G550" s="145">
        <f t="shared" si="210"/>
        <v>1.139</v>
      </c>
      <c r="H550" s="146">
        <f t="shared" si="211"/>
        <v>8737</v>
      </c>
      <c r="I550" s="145">
        <f>Дефляторы!$D$25</f>
        <v>1.052</v>
      </c>
      <c r="J550" s="146">
        <f t="shared" si="212"/>
        <v>9191</v>
      </c>
      <c r="K550" s="146">
        <f t="shared" si="213"/>
        <v>9055</v>
      </c>
      <c r="L550" s="147"/>
      <c r="M550" s="147"/>
      <c r="N550" s="147"/>
    </row>
    <row r="551" spans="1:14" s="148" customFormat="1" ht="15.75" outlineLevel="3" x14ac:dyDescent="0.2">
      <c r="A551" s="95" t="s">
        <v>2089</v>
      </c>
      <c r="B551" s="42" t="s">
        <v>1497</v>
      </c>
      <c r="C551" s="42" t="s">
        <v>492</v>
      </c>
      <c r="D551" s="100" t="s">
        <v>300</v>
      </c>
      <c r="E551" s="100">
        <f>9.72</f>
        <v>9.7200000000000006</v>
      </c>
      <c r="F551" s="149">
        <f>(36328)*(1.023*1.005-2.3%*15%)*6.99+0*4.09</f>
        <v>260196</v>
      </c>
      <c r="G551" s="145">
        <f t="shared" si="210"/>
        <v>1.139</v>
      </c>
      <c r="H551" s="146">
        <f t="shared" si="211"/>
        <v>296363</v>
      </c>
      <c r="I551" s="145">
        <f>Дефляторы!$D$25</f>
        <v>1.052</v>
      </c>
      <c r="J551" s="146">
        <f t="shared" si="212"/>
        <v>311774</v>
      </c>
      <c r="K551" s="146">
        <f t="shared" si="213"/>
        <v>307151</v>
      </c>
      <c r="L551" s="147"/>
      <c r="M551" s="147"/>
      <c r="N551" s="147"/>
    </row>
    <row r="552" spans="1:14" s="148" customFormat="1" ht="15.75" outlineLevel="3" x14ac:dyDescent="0.2">
      <c r="A552" s="95" t="s">
        <v>2090</v>
      </c>
      <c r="B552" s="42" t="s">
        <v>1499</v>
      </c>
      <c r="C552" s="42" t="s">
        <v>1498</v>
      </c>
      <c r="D552" s="100" t="s">
        <v>292</v>
      </c>
      <c r="E552" s="100">
        <v>1</v>
      </c>
      <c r="F552" s="149">
        <f>(3101)*(1.023*1.005-2.3%*15%)*6.99+0*4.09</f>
        <v>22211</v>
      </c>
      <c r="G552" s="145">
        <f t="shared" si="210"/>
        <v>1.139</v>
      </c>
      <c r="H552" s="146">
        <f t="shared" si="211"/>
        <v>25298</v>
      </c>
      <c r="I552" s="145">
        <f>Дефляторы!$D$25</f>
        <v>1.052</v>
      </c>
      <c r="J552" s="146">
        <f t="shared" si="212"/>
        <v>26613</v>
      </c>
      <c r="K552" s="146">
        <f t="shared" si="213"/>
        <v>26219</v>
      </c>
      <c r="L552" s="147"/>
      <c r="M552" s="147"/>
      <c r="N552" s="147"/>
    </row>
    <row r="553" spans="1:14" s="148" customFormat="1" ht="15.75" outlineLevel="3" x14ac:dyDescent="0.2">
      <c r="A553" s="95" t="s">
        <v>2091</v>
      </c>
      <c r="B553" s="42" t="s">
        <v>1500</v>
      </c>
      <c r="C553" s="42" t="s">
        <v>414</v>
      </c>
      <c r="D553" s="100" t="s">
        <v>404</v>
      </c>
      <c r="E553" s="100">
        <v>28</v>
      </c>
      <c r="F553" s="149">
        <f>(4589)*(1.023*1.005-2.3%*15%)*6.99+0*4.09</f>
        <v>32868</v>
      </c>
      <c r="G553" s="145">
        <f t="shared" si="210"/>
        <v>1.139</v>
      </c>
      <c r="H553" s="146">
        <f t="shared" si="211"/>
        <v>37437</v>
      </c>
      <c r="I553" s="145">
        <f>Дефляторы!$D$25</f>
        <v>1.052</v>
      </c>
      <c r="J553" s="146">
        <f t="shared" si="212"/>
        <v>39384</v>
      </c>
      <c r="K553" s="146">
        <f t="shared" si="213"/>
        <v>38800</v>
      </c>
      <c r="L553" s="147"/>
      <c r="M553" s="147"/>
      <c r="N553" s="147"/>
    </row>
    <row r="554" spans="1:14" s="148" customFormat="1" ht="15.75" outlineLevel="3" x14ac:dyDescent="0.2">
      <c r="A554" s="95" t="s">
        <v>2092</v>
      </c>
      <c r="B554" s="42" t="s">
        <v>1502</v>
      </c>
      <c r="C554" s="42" t="s">
        <v>1501</v>
      </c>
      <c r="D554" s="100" t="s">
        <v>637</v>
      </c>
      <c r="E554" s="145">
        <f>0.144+0.152</f>
        <v>0.29599999999999999</v>
      </c>
      <c r="F554" s="149">
        <f>(3336)*(1.023*1.005-2.3%*15%)*6.99+0*4.09</f>
        <v>23894</v>
      </c>
      <c r="G554" s="145">
        <f t="shared" si="210"/>
        <v>1.139</v>
      </c>
      <c r="H554" s="146">
        <f t="shared" si="211"/>
        <v>27215</v>
      </c>
      <c r="I554" s="145">
        <f>Дефляторы!$D$25</f>
        <v>1.052</v>
      </c>
      <c r="J554" s="146">
        <f t="shared" si="212"/>
        <v>28630</v>
      </c>
      <c r="K554" s="146">
        <f t="shared" si="213"/>
        <v>28206</v>
      </c>
      <c r="L554" s="147"/>
      <c r="M554" s="147"/>
      <c r="N554" s="147"/>
    </row>
    <row r="555" spans="1:14" s="148" customFormat="1" ht="15.75" outlineLevel="3" x14ac:dyDescent="0.2">
      <c r="A555" s="95" t="s">
        <v>2093</v>
      </c>
      <c r="B555" s="42" t="s">
        <v>1503</v>
      </c>
      <c r="C555" s="42" t="s">
        <v>493</v>
      </c>
      <c r="D555" s="100" t="s">
        <v>292</v>
      </c>
      <c r="E555" s="100">
        <v>1</v>
      </c>
      <c r="F555" s="149">
        <f>(11876)*(1.023*1.005-2.3%*15%)*6.99+0*4.09</f>
        <v>85061</v>
      </c>
      <c r="G555" s="145">
        <f t="shared" si="210"/>
        <v>1.139</v>
      </c>
      <c r="H555" s="146">
        <f t="shared" si="211"/>
        <v>96884</v>
      </c>
      <c r="I555" s="145">
        <f>Дефляторы!$D$25</f>
        <v>1.052</v>
      </c>
      <c r="J555" s="146">
        <f t="shared" si="212"/>
        <v>101922</v>
      </c>
      <c r="K555" s="146">
        <f t="shared" si="213"/>
        <v>100411</v>
      </c>
      <c r="L555" s="147"/>
      <c r="M555" s="147"/>
      <c r="N555" s="147"/>
    </row>
    <row r="556" spans="1:14" s="148" customFormat="1" ht="15.75" outlineLevel="3" x14ac:dyDescent="0.2">
      <c r="A556" s="95" t="s">
        <v>2094</v>
      </c>
      <c r="B556" s="42" t="s">
        <v>1504</v>
      </c>
      <c r="C556" s="42" t="s">
        <v>494</v>
      </c>
      <c r="D556" s="100" t="s">
        <v>404</v>
      </c>
      <c r="E556" s="100">
        <f>21.2</f>
        <v>21.2</v>
      </c>
      <c r="F556" s="149">
        <f>(2373)*(1.023*1.005-2.3%*15%)*6.99+0*4.09</f>
        <v>16996</v>
      </c>
      <c r="G556" s="145">
        <f t="shared" si="210"/>
        <v>1.139</v>
      </c>
      <c r="H556" s="146">
        <f t="shared" si="211"/>
        <v>19358</v>
      </c>
      <c r="I556" s="145">
        <f>Дефляторы!$D$25</f>
        <v>1.052</v>
      </c>
      <c r="J556" s="146">
        <f t="shared" si="212"/>
        <v>20365</v>
      </c>
      <c r="K556" s="146">
        <f t="shared" si="213"/>
        <v>20063</v>
      </c>
      <c r="L556" s="147"/>
      <c r="M556" s="147"/>
      <c r="N556" s="147"/>
    </row>
    <row r="557" spans="1:14" s="237" customFormat="1" ht="15.75" outlineLevel="2" x14ac:dyDescent="0.2">
      <c r="A557" s="238" t="s">
        <v>507</v>
      </c>
      <c r="B557" s="229" t="s">
        <v>229</v>
      </c>
      <c r="C557" s="229" t="s">
        <v>646</v>
      </c>
      <c r="D557" s="239" t="s">
        <v>292</v>
      </c>
      <c r="E557" s="240">
        <v>1</v>
      </c>
      <c r="F557" s="240">
        <f>F558</f>
        <v>24830964</v>
      </c>
      <c r="G557" s="241">
        <f t="shared" si="210"/>
        <v>1.139</v>
      </c>
      <c r="H557" s="240">
        <f>H558</f>
        <v>28282468</v>
      </c>
      <c r="I557" s="241">
        <f>Дефляторы!$D$25</f>
        <v>1.052</v>
      </c>
      <c r="J557" s="240">
        <f>J558</f>
        <v>29753156</v>
      </c>
      <c r="K557" s="240">
        <f>K558</f>
        <v>29311950</v>
      </c>
      <c r="L557" s="256"/>
      <c r="M557" s="256"/>
      <c r="N557" s="256"/>
    </row>
    <row r="558" spans="1:14" s="148" customFormat="1" ht="25.5" outlineLevel="3" x14ac:dyDescent="0.2">
      <c r="A558" s="95" t="s">
        <v>2095</v>
      </c>
      <c r="B558" s="42" t="s">
        <v>1505</v>
      </c>
      <c r="C558" s="42" t="s">
        <v>496</v>
      </c>
      <c r="D558" s="100" t="s">
        <v>408</v>
      </c>
      <c r="E558" s="100">
        <v>1</v>
      </c>
      <c r="F558" s="149">
        <f>(1059+70040)*(1.023*1.005-2.3%*15%)*6.99+5946634*4.09-9</f>
        <v>24830964</v>
      </c>
      <c r="G558" s="145">
        <f t="shared" si="210"/>
        <v>1.139</v>
      </c>
      <c r="H558" s="146">
        <f t="shared" ref="H558" si="214">F558*G558</f>
        <v>28282468</v>
      </c>
      <c r="I558" s="145">
        <f>Дефляторы!$D$25</f>
        <v>1.052</v>
      </c>
      <c r="J558" s="146">
        <f t="shared" ref="J558" si="215">H558*I558</f>
        <v>29753156</v>
      </c>
      <c r="K558" s="146">
        <f t="shared" ref="K558" si="216">H558+(J558-H558)*(1-30/100)</f>
        <v>29311950</v>
      </c>
      <c r="L558" s="147"/>
      <c r="M558" s="147"/>
      <c r="N558" s="147"/>
    </row>
    <row r="559" spans="1:14" s="243" customFormat="1" ht="15.75" outlineLevel="1" x14ac:dyDescent="0.2">
      <c r="A559" s="244" t="s">
        <v>508</v>
      </c>
      <c r="B559" s="245" t="s">
        <v>41</v>
      </c>
      <c r="C559" s="245" t="s">
        <v>2096</v>
      </c>
      <c r="D559" s="246" t="s">
        <v>408</v>
      </c>
      <c r="E559" s="247">
        <v>1</v>
      </c>
      <c r="F559" s="247">
        <f>F560+F571</f>
        <v>30784938</v>
      </c>
      <c r="G559" s="248"/>
      <c r="H559" s="247">
        <f>H560+H571</f>
        <v>35064043</v>
      </c>
      <c r="I559" s="248">
        <f>Дефляторы!$D$25</f>
        <v>1.052</v>
      </c>
      <c r="J559" s="247">
        <f>J560+J571</f>
        <v>36887373</v>
      </c>
      <c r="K559" s="247">
        <f>K560+K571</f>
        <v>36340376</v>
      </c>
      <c r="L559" s="269"/>
      <c r="M559" s="269"/>
      <c r="N559" s="269"/>
    </row>
    <row r="560" spans="1:14" s="237" customFormat="1" ht="15.75" outlineLevel="2" x14ac:dyDescent="0.2">
      <c r="A560" s="238" t="s">
        <v>634</v>
      </c>
      <c r="B560" s="229" t="s">
        <v>233</v>
      </c>
      <c r="C560" s="229" t="s">
        <v>648</v>
      </c>
      <c r="D560" s="239" t="s">
        <v>292</v>
      </c>
      <c r="E560" s="240">
        <v>1</v>
      </c>
      <c r="F560" s="240">
        <f>SUM(F561:F570)</f>
        <v>727343</v>
      </c>
      <c r="G560" s="241"/>
      <c r="H560" s="240">
        <f>SUM(H561:H570)</f>
        <v>828442</v>
      </c>
      <c r="I560" s="241">
        <f>Дефляторы!$D$25</f>
        <v>1.052</v>
      </c>
      <c r="J560" s="240">
        <f>SUM(J561:J570)</f>
        <v>871521</v>
      </c>
      <c r="K560" s="240">
        <f>SUM(K561:K570)</f>
        <v>858599</v>
      </c>
      <c r="L560" s="256"/>
      <c r="M560" s="256"/>
      <c r="N560" s="256"/>
    </row>
    <row r="561" spans="1:14" s="148" customFormat="1" ht="15.75" outlineLevel="3" x14ac:dyDescent="0.2">
      <c r="A561" s="95"/>
      <c r="B561" s="42"/>
      <c r="C561" s="42" t="s">
        <v>367</v>
      </c>
      <c r="D561" s="100"/>
      <c r="E561" s="100"/>
      <c r="F561" s="149"/>
      <c r="G561" s="145"/>
      <c r="H561" s="146"/>
      <c r="I561" s="145">
        <f>Дефляторы!$D$25</f>
        <v>1.052</v>
      </c>
      <c r="J561" s="146"/>
      <c r="K561" s="146"/>
      <c r="L561" s="147"/>
      <c r="M561" s="147"/>
      <c r="N561" s="147"/>
    </row>
    <row r="562" spans="1:14" s="148" customFormat="1" ht="25.5" outlineLevel="3" x14ac:dyDescent="0.2">
      <c r="A562" s="95" t="s">
        <v>635</v>
      </c>
      <c r="B562" s="42" t="s">
        <v>1507</v>
      </c>
      <c r="C562" s="42" t="s">
        <v>1506</v>
      </c>
      <c r="D562" s="100" t="s">
        <v>300</v>
      </c>
      <c r="E562" s="100">
        <f>176</f>
        <v>176</v>
      </c>
      <c r="F562" s="149">
        <f>(35096)*(1.023*1.005-2.3%*15%)*6.99+0*4.09-36</f>
        <v>251336</v>
      </c>
      <c r="G562" s="145">
        <f t="shared" ref="G562:G570" si="217">$G$766</f>
        <v>1.139</v>
      </c>
      <c r="H562" s="146">
        <f t="shared" ref="H562:H570" si="218">F562*G562</f>
        <v>286272</v>
      </c>
      <c r="I562" s="145">
        <f>Дефляторы!$D$25</f>
        <v>1.052</v>
      </c>
      <c r="J562" s="146">
        <f t="shared" ref="J562:J570" si="219">H562*I562</f>
        <v>301158</v>
      </c>
      <c r="K562" s="146">
        <f t="shared" ref="K562:K570" si="220">H562+(J562-H562)*(1-30/100)</f>
        <v>296692</v>
      </c>
      <c r="L562" s="147"/>
      <c r="M562" s="147"/>
      <c r="N562" s="147"/>
    </row>
    <row r="563" spans="1:14" s="148" customFormat="1" ht="15.75" outlineLevel="3" x14ac:dyDescent="0.2">
      <c r="A563" s="95" t="s">
        <v>636</v>
      </c>
      <c r="B563" s="42" t="s">
        <v>1508</v>
      </c>
      <c r="C563" s="42" t="s">
        <v>656</v>
      </c>
      <c r="D563" s="100" t="s">
        <v>300</v>
      </c>
      <c r="E563" s="100">
        <f>76.32</f>
        <v>76.319999999999993</v>
      </c>
      <c r="F563" s="149">
        <f>(3577)*(1.023*1.005-2.3%*15%)*6.99+0*4.09</f>
        <v>25620</v>
      </c>
      <c r="G563" s="145">
        <f t="shared" si="217"/>
        <v>1.139</v>
      </c>
      <c r="H563" s="146">
        <f t="shared" si="218"/>
        <v>29181</v>
      </c>
      <c r="I563" s="145">
        <f>Дефляторы!$D$25</f>
        <v>1.052</v>
      </c>
      <c r="J563" s="146">
        <f t="shared" si="219"/>
        <v>30698</v>
      </c>
      <c r="K563" s="146">
        <f t="shared" si="220"/>
        <v>30243</v>
      </c>
      <c r="L563" s="147"/>
      <c r="M563" s="147"/>
      <c r="N563" s="147"/>
    </row>
    <row r="564" spans="1:14" s="148" customFormat="1" ht="15.75" outlineLevel="3" x14ac:dyDescent="0.2">
      <c r="A564" s="95" t="s">
        <v>639</v>
      </c>
      <c r="B564" s="42" t="s">
        <v>1509</v>
      </c>
      <c r="C564" s="42" t="s">
        <v>1493</v>
      </c>
      <c r="D564" s="100" t="s">
        <v>300</v>
      </c>
      <c r="E564" s="100">
        <f>99.68</f>
        <v>99.68</v>
      </c>
      <c r="F564" s="149">
        <f>(1279)*(1.023*1.005-2.3%*15%)*6.99+0*4.09</f>
        <v>9161</v>
      </c>
      <c r="G564" s="145">
        <f t="shared" si="217"/>
        <v>1.139</v>
      </c>
      <c r="H564" s="146">
        <f t="shared" si="218"/>
        <v>10434</v>
      </c>
      <c r="I564" s="145">
        <f>Дефляторы!$D$25</f>
        <v>1.052</v>
      </c>
      <c r="J564" s="146">
        <f t="shared" si="219"/>
        <v>10977</v>
      </c>
      <c r="K564" s="146">
        <f t="shared" si="220"/>
        <v>10814</v>
      </c>
      <c r="L564" s="147"/>
      <c r="M564" s="147"/>
      <c r="N564" s="147"/>
    </row>
    <row r="565" spans="1:14" s="148" customFormat="1" ht="15.75" outlineLevel="3" x14ac:dyDescent="0.2">
      <c r="A565" s="95" t="s">
        <v>640</v>
      </c>
      <c r="B565" s="42" t="s">
        <v>1510</v>
      </c>
      <c r="C565" s="42" t="s">
        <v>492</v>
      </c>
      <c r="D565" s="100" t="s">
        <v>300</v>
      </c>
      <c r="E565" s="100">
        <f>9.72</f>
        <v>9.7200000000000006</v>
      </c>
      <c r="F565" s="149">
        <f>(36328)*(1.023*1.005-2.3%*15%)*6.99+0*4.09</f>
        <v>260196</v>
      </c>
      <c r="G565" s="145">
        <f t="shared" si="217"/>
        <v>1.139</v>
      </c>
      <c r="H565" s="146">
        <f t="shared" si="218"/>
        <v>296363</v>
      </c>
      <c r="I565" s="145">
        <f>Дефляторы!$D$25</f>
        <v>1.052</v>
      </c>
      <c r="J565" s="146">
        <f t="shared" si="219"/>
        <v>311774</v>
      </c>
      <c r="K565" s="146">
        <f t="shared" si="220"/>
        <v>307151</v>
      </c>
      <c r="L565" s="147"/>
      <c r="M565" s="147"/>
      <c r="N565" s="147"/>
    </row>
    <row r="566" spans="1:14" s="148" customFormat="1" ht="15.75" outlineLevel="3" x14ac:dyDescent="0.2">
      <c r="A566" s="95" t="s">
        <v>641</v>
      </c>
      <c r="B566" s="42" t="s">
        <v>1511</v>
      </c>
      <c r="C566" s="42" t="s">
        <v>1498</v>
      </c>
      <c r="D566" s="100" t="s">
        <v>292</v>
      </c>
      <c r="E566" s="100">
        <v>1</v>
      </c>
      <c r="F566" s="149">
        <f>(3101)*(1.023*1.005-2.3%*15%)*6.99+0*4.09</f>
        <v>22211</v>
      </c>
      <c r="G566" s="145">
        <f t="shared" si="217"/>
        <v>1.139</v>
      </c>
      <c r="H566" s="146">
        <f t="shared" si="218"/>
        <v>25298</v>
      </c>
      <c r="I566" s="145">
        <f>Дефляторы!$D$25</f>
        <v>1.052</v>
      </c>
      <c r="J566" s="146">
        <f t="shared" si="219"/>
        <v>26613</v>
      </c>
      <c r="K566" s="146">
        <f t="shared" si="220"/>
        <v>26219</v>
      </c>
      <c r="L566" s="147"/>
      <c r="M566" s="147"/>
      <c r="N566" s="147"/>
    </row>
    <row r="567" spans="1:14" s="148" customFormat="1" ht="15.75" outlineLevel="3" x14ac:dyDescent="0.2">
      <c r="A567" s="95" t="s">
        <v>642</v>
      </c>
      <c r="B567" s="42" t="s">
        <v>1512</v>
      </c>
      <c r="C567" s="42" t="s">
        <v>414</v>
      </c>
      <c r="D567" s="100" t="s">
        <v>404</v>
      </c>
      <c r="E567" s="100">
        <v>28</v>
      </c>
      <c r="F567" s="149">
        <f>(4589)*(1.023*1.005-2.3%*15%)*6.99+0*4.09</f>
        <v>32868</v>
      </c>
      <c r="G567" s="145">
        <f t="shared" si="217"/>
        <v>1.139</v>
      </c>
      <c r="H567" s="146">
        <f t="shared" si="218"/>
        <v>37437</v>
      </c>
      <c r="I567" s="145">
        <f>Дефляторы!$D$25</f>
        <v>1.052</v>
      </c>
      <c r="J567" s="146">
        <f t="shared" si="219"/>
        <v>39384</v>
      </c>
      <c r="K567" s="146">
        <f t="shared" si="220"/>
        <v>38800</v>
      </c>
      <c r="L567" s="147"/>
      <c r="M567" s="147"/>
      <c r="N567" s="147"/>
    </row>
    <row r="568" spans="1:14" s="148" customFormat="1" ht="15.75" outlineLevel="3" x14ac:dyDescent="0.2">
      <c r="A568" s="95" t="s">
        <v>643</v>
      </c>
      <c r="B568" s="42" t="s">
        <v>1513</v>
      </c>
      <c r="C568" s="42" t="s">
        <v>1514</v>
      </c>
      <c r="D568" s="100" t="s">
        <v>637</v>
      </c>
      <c r="E568" s="145">
        <f>0.144+0.152</f>
        <v>0.29599999999999999</v>
      </c>
      <c r="F568" s="149">
        <f>(3336)*(1.023*1.005-2.3%*15%)*6.99+0*4.09</f>
        <v>23894</v>
      </c>
      <c r="G568" s="145">
        <f t="shared" si="217"/>
        <v>1.139</v>
      </c>
      <c r="H568" s="146">
        <f t="shared" si="218"/>
        <v>27215</v>
      </c>
      <c r="I568" s="145">
        <f>Дефляторы!$D$25</f>
        <v>1.052</v>
      </c>
      <c r="J568" s="146">
        <f t="shared" si="219"/>
        <v>28630</v>
      </c>
      <c r="K568" s="146">
        <f t="shared" si="220"/>
        <v>28206</v>
      </c>
      <c r="L568" s="147"/>
      <c r="M568" s="147"/>
      <c r="N568" s="147"/>
    </row>
    <row r="569" spans="1:14" s="148" customFormat="1" ht="15.75" outlineLevel="3" x14ac:dyDescent="0.2">
      <c r="A569" s="95" t="s">
        <v>644</v>
      </c>
      <c r="B569" s="42" t="s">
        <v>1515</v>
      </c>
      <c r="C569" s="42" t="s">
        <v>493</v>
      </c>
      <c r="D569" s="100" t="s">
        <v>292</v>
      </c>
      <c r="E569" s="149">
        <v>1</v>
      </c>
      <c r="F569" s="149">
        <f>(11876)*(1.023*1.005-2.3%*15%)*6.99+0*4.09</f>
        <v>85061</v>
      </c>
      <c r="G569" s="145">
        <f t="shared" si="217"/>
        <v>1.139</v>
      </c>
      <c r="H569" s="146">
        <f t="shared" si="218"/>
        <v>96884</v>
      </c>
      <c r="I569" s="145">
        <f>Дефляторы!$D$25</f>
        <v>1.052</v>
      </c>
      <c r="J569" s="146">
        <f t="shared" si="219"/>
        <v>101922</v>
      </c>
      <c r="K569" s="146">
        <f t="shared" si="220"/>
        <v>100411</v>
      </c>
      <c r="L569" s="147"/>
      <c r="M569" s="147"/>
      <c r="N569" s="147"/>
    </row>
    <row r="570" spans="1:14" s="148" customFormat="1" ht="15.75" outlineLevel="3" x14ac:dyDescent="0.2">
      <c r="A570" s="95" t="s">
        <v>645</v>
      </c>
      <c r="B570" s="42" t="s">
        <v>1516</v>
      </c>
      <c r="C570" s="42" t="s">
        <v>494</v>
      </c>
      <c r="D570" s="100" t="s">
        <v>404</v>
      </c>
      <c r="E570" s="100">
        <f>21.2</f>
        <v>21.2</v>
      </c>
      <c r="F570" s="149">
        <f>(2373)*(1.023*1.005-2.3%*15%)*6.99+0*4.09</f>
        <v>16996</v>
      </c>
      <c r="G570" s="145">
        <f t="shared" si="217"/>
        <v>1.139</v>
      </c>
      <c r="H570" s="146">
        <f t="shared" si="218"/>
        <v>19358</v>
      </c>
      <c r="I570" s="145">
        <f>Дефляторы!$D$25</f>
        <v>1.052</v>
      </c>
      <c r="J570" s="146">
        <f t="shared" si="219"/>
        <v>20365</v>
      </c>
      <c r="K570" s="146">
        <f t="shared" si="220"/>
        <v>20063</v>
      </c>
      <c r="L570" s="147"/>
      <c r="M570" s="147"/>
      <c r="N570" s="147"/>
    </row>
    <row r="571" spans="1:14" s="237" customFormat="1" ht="15.75" outlineLevel="2" x14ac:dyDescent="0.2">
      <c r="A571" s="238" t="s">
        <v>647</v>
      </c>
      <c r="B571" s="229" t="s">
        <v>235</v>
      </c>
      <c r="C571" s="229" t="s">
        <v>646</v>
      </c>
      <c r="D571" s="239" t="s">
        <v>292</v>
      </c>
      <c r="E571" s="240">
        <v>1</v>
      </c>
      <c r="F571" s="240">
        <f>F572</f>
        <v>30057595</v>
      </c>
      <c r="G571" s="241"/>
      <c r="H571" s="240">
        <f>H572</f>
        <v>34235601</v>
      </c>
      <c r="I571" s="241">
        <f>Дефляторы!$D$25</f>
        <v>1.052</v>
      </c>
      <c r="J571" s="240">
        <f>J572</f>
        <v>36015852</v>
      </c>
      <c r="K571" s="240">
        <f>K572</f>
        <v>35481777</v>
      </c>
      <c r="L571" s="256"/>
      <c r="M571" s="256"/>
      <c r="N571" s="256"/>
    </row>
    <row r="572" spans="1:14" s="148" customFormat="1" ht="38.25" outlineLevel="3" x14ac:dyDescent="0.2">
      <c r="A572" s="95" t="s">
        <v>649</v>
      </c>
      <c r="B572" s="42" t="s">
        <v>1517</v>
      </c>
      <c r="C572" s="42" t="s">
        <v>1518</v>
      </c>
      <c r="D572" s="100" t="s">
        <v>408</v>
      </c>
      <c r="E572" s="149">
        <v>1</v>
      </c>
      <c r="F572" s="149">
        <f>(1059+72109)*(1.023*1.005-2.3%*15%)*6.99+7220913*4.09+2</f>
        <v>30057595</v>
      </c>
      <c r="G572" s="145">
        <f>$G$766</f>
        <v>1.139</v>
      </c>
      <c r="H572" s="146">
        <f t="shared" ref="H572:H573" si="221">F572*G572</f>
        <v>34235601</v>
      </c>
      <c r="I572" s="145">
        <f>Дефляторы!$D$25</f>
        <v>1.052</v>
      </c>
      <c r="J572" s="146">
        <f t="shared" ref="J572:J573" si="222">H572*I572</f>
        <v>36015852</v>
      </c>
      <c r="K572" s="146">
        <f t="shared" ref="K572:K573" si="223">H572+(J572-H572)*(1-30/100)</f>
        <v>35481777</v>
      </c>
      <c r="L572" s="147"/>
      <c r="M572" s="147"/>
      <c r="N572" s="147"/>
    </row>
    <row r="573" spans="1:14" s="148" customFormat="1" ht="15.75" outlineLevel="1" x14ac:dyDescent="0.2">
      <c r="A573" s="238" t="s">
        <v>509</v>
      </c>
      <c r="B573" s="229" t="s">
        <v>45</v>
      </c>
      <c r="C573" s="229" t="s">
        <v>46</v>
      </c>
      <c r="D573" s="239" t="s">
        <v>292</v>
      </c>
      <c r="E573" s="240">
        <v>1</v>
      </c>
      <c r="F573" s="240">
        <f>(18122+268877)*(1.023*1.005-2.3%*15%)*6.99+4903*4.09-5</f>
        <v>2075652</v>
      </c>
      <c r="G573" s="241">
        <f>$G$766</f>
        <v>1.139</v>
      </c>
      <c r="H573" s="242">
        <f t="shared" si="221"/>
        <v>2364168</v>
      </c>
      <c r="I573" s="241">
        <f>Дефляторы!$D$25</f>
        <v>1.052</v>
      </c>
      <c r="J573" s="242">
        <f t="shared" si="222"/>
        <v>2487105</v>
      </c>
      <c r="K573" s="242">
        <f t="shared" si="223"/>
        <v>2450224</v>
      </c>
      <c r="L573" s="147"/>
      <c r="M573" s="147"/>
      <c r="N573" s="147"/>
    </row>
    <row r="574" spans="1:14" s="249" customFormat="1" ht="15.75" outlineLevel="1" x14ac:dyDescent="0.2">
      <c r="A574" s="244" t="s">
        <v>512</v>
      </c>
      <c r="B574" s="245" t="s">
        <v>49</v>
      </c>
      <c r="C574" s="245" t="s">
        <v>50</v>
      </c>
      <c r="D574" s="246" t="s">
        <v>292</v>
      </c>
      <c r="E574" s="247">
        <v>1</v>
      </c>
      <c r="F574" s="247">
        <f>F575+F626+F632</f>
        <v>102030049</v>
      </c>
      <c r="G574" s="248"/>
      <c r="H574" s="247">
        <f>H575+H626+H632</f>
        <v>116212223</v>
      </c>
      <c r="I574" s="248">
        <f>Дефляторы!$D$25</f>
        <v>1.052</v>
      </c>
      <c r="J574" s="247">
        <f>J575+J626+J632</f>
        <v>122255260</v>
      </c>
      <c r="K574" s="247">
        <f>K575+K626+K632</f>
        <v>120442353</v>
      </c>
      <c r="L574" s="268"/>
      <c r="M574" s="268"/>
      <c r="N574" s="268"/>
    </row>
    <row r="575" spans="1:14" s="148" customFormat="1" ht="15.75" outlineLevel="2" x14ac:dyDescent="0.2">
      <c r="A575" s="238" t="s">
        <v>513</v>
      </c>
      <c r="B575" s="229" t="s">
        <v>239</v>
      </c>
      <c r="C575" s="229" t="s">
        <v>240</v>
      </c>
      <c r="D575" s="239" t="s">
        <v>292</v>
      </c>
      <c r="E575" s="240">
        <v>1</v>
      </c>
      <c r="F575" s="240">
        <f>SUM(F577:F625)</f>
        <v>71817612</v>
      </c>
      <c r="G575" s="241"/>
      <c r="H575" s="240">
        <f>SUM(H577:H625)</f>
        <v>81800257</v>
      </c>
      <c r="I575" s="241">
        <f>Дефляторы!$D$25</f>
        <v>1.052</v>
      </c>
      <c r="J575" s="240">
        <f>SUM(J577:J625)</f>
        <v>86053870</v>
      </c>
      <c r="K575" s="240">
        <f>SUM(K577:K625)</f>
        <v>84777790</v>
      </c>
      <c r="L575" s="147"/>
      <c r="M575" s="147"/>
      <c r="N575" s="147"/>
    </row>
    <row r="576" spans="1:14" s="148" customFormat="1" ht="15.75" outlineLevel="3" x14ac:dyDescent="0.2">
      <c r="A576" s="95"/>
      <c r="B576" s="42"/>
      <c r="C576" s="42" t="s">
        <v>367</v>
      </c>
      <c r="D576" s="100"/>
      <c r="E576" s="100"/>
      <c r="F576" s="149"/>
      <c r="G576" s="145"/>
      <c r="H576" s="146"/>
      <c r="I576" s="145">
        <f>Дефляторы!$D$25</f>
        <v>1.052</v>
      </c>
      <c r="J576" s="146"/>
      <c r="K576" s="146"/>
      <c r="L576" s="147"/>
      <c r="M576" s="147"/>
      <c r="N576" s="147"/>
    </row>
    <row r="577" spans="1:14" s="148" customFormat="1" ht="25.5" outlineLevel="3" x14ac:dyDescent="0.2">
      <c r="A577" s="95" t="s">
        <v>2097</v>
      </c>
      <c r="B577" s="42" t="s">
        <v>1520</v>
      </c>
      <c r="C577" s="42" t="s">
        <v>510</v>
      </c>
      <c r="D577" s="100" t="s">
        <v>300</v>
      </c>
      <c r="E577" s="100">
        <f>22435</f>
        <v>22435</v>
      </c>
      <c r="F577" s="149">
        <f>(4473740)*(1.023*1.005-2.3%*15%)*6.99+0*4.09-62</f>
        <v>32042691</v>
      </c>
      <c r="G577" s="145">
        <f t="shared" ref="G577:G600" si="224">$G$766</f>
        <v>1.139</v>
      </c>
      <c r="H577" s="146">
        <f t="shared" ref="H577:H600" si="225">F577*G577</f>
        <v>36496625</v>
      </c>
      <c r="I577" s="145">
        <f>Дефляторы!$D$25</f>
        <v>1.052</v>
      </c>
      <c r="J577" s="146">
        <f t="shared" ref="J577:J600" si="226">H577*I577</f>
        <v>38394450</v>
      </c>
      <c r="K577" s="146">
        <f t="shared" ref="K577:K600" si="227">H577+(J577-H577)*(1-30/100)</f>
        <v>37825103</v>
      </c>
      <c r="L577" s="147"/>
      <c r="M577" s="147"/>
      <c r="N577" s="147"/>
    </row>
    <row r="578" spans="1:14" s="148" customFormat="1" ht="38.25" outlineLevel="3" x14ac:dyDescent="0.2">
      <c r="A578" s="95" t="s">
        <v>2098</v>
      </c>
      <c r="B578" s="42" t="s">
        <v>1523</v>
      </c>
      <c r="C578" s="42" t="s">
        <v>1521</v>
      </c>
      <c r="D578" s="100" t="s">
        <v>300</v>
      </c>
      <c r="E578" s="100">
        <f>20191.5</f>
        <v>20191.5</v>
      </c>
      <c r="F578" s="149">
        <f>(331083)*(1.023*1.005-2.3%*15%)*6.99+0*4.09</f>
        <v>2371352</v>
      </c>
      <c r="G578" s="145">
        <f t="shared" si="224"/>
        <v>1.139</v>
      </c>
      <c r="H578" s="146">
        <f t="shared" si="225"/>
        <v>2700970</v>
      </c>
      <c r="I578" s="145">
        <f>Дефляторы!$D$25</f>
        <v>1.052</v>
      </c>
      <c r="J578" s="146">
        <f t="shared" si="226"/>
        <v>2841420</v>
      </c>
      <c r="K578" s="146">
        <f t="shared" si="227"/>
        <v>2799285</v>
      </c>
      <c r="L578" s="147"/>
      <c r="M578" s="147"/>
      <c r="N578" s="147"/>
    </row>
    <row r="579" spans="1:14" s="148" customFormat="1" ht="25.5" outlineLevel="3" x14ac:dyDescent="0.2">
      <c r="A579" s="95" t="s">
        <v>2099</v>
      </c>
      <c r="B579" s="42" t="s">
        <v>1524</v>
      </c>
      <c r="C579" s="42" t="s">
        <v>1522</v>
      </c>
      <c r="D579" s="100" t="s">
        <v>300</v>
      </c>
      <c r="E579" s="100">
        <f>2243.5</f>
        <v>2243.5</v>
      </c>
      <c r="F579" s="149">
        <f>(229932)*(1.023*1.005-2.3%*15%)*6.99+0*4.09</f>
        <v>1646867</v>
      </c>
      <c r="G579" s="145">
        <f t="shared" si="224"/>
        <v>1.139</v>
      </c>
      <c r="H579" s="146">
        <f t="shared" si="225"/>
        <v>1875782</v>
      </c>
      <c r="I579" s="145">
        <f>Дефляторы!$D$25</f>
        <v>1.052</v>
      </c>
      <c r="J579" s="146">
        <f t="shared" si="226"/>
        <v>1973323</v>
      </c>
      <c r="K579" s="146">
        <f t="shared" si="227"/>
        <v>1944061</v>
      </c>
      <c r="L579" s="147"/>
      <c r="M579" s="147"/>
      <c r="N579" s="147"/>
    </row>
    <row r="580" spans="1:14" s="148" customFormat="1" ht="15.75" outlineLevel="3" x14ac:dyDescent="0.2">
      <c r="A580" s="95" t="s">
        <v>2100</v>
      </c>
      <c r="B580" s="42" t="s">
        <v>1526</v>
      </c>
      <c r="C580" s="42" t="s">
        <v>1525</v>
      </c>
      <c r="D580" s="100" t="s">
        <v>300</v>
      </c>
      <c r="E580" s="100">
        <f>572.5</f>
        <v>572.5</v>
      </c>
      <c r="F580" s="149">
        <f>(114826)*(1.023*1.005-2.3%*15%)*6.99+0*4.09</f>
        <v>822431</v>
      </c>
      <c r="G580" s="145">
        <f t="shared" si="224"/>
        <v>1.139</v>
      </c>
      <c r="H580" s="146">
        <f t="shared" si="225"/>
        <v>936749</v>
      </c>
      <c r="I580" s="145">
        <f>Дефляторы!$D$25</f>
        <v>1.052</v>
      </c>
      <c r="J580" s="146">
        <f t="shared" si="226"/>
        <v>985460</v>
      </c>
      <c r="K580" s="146">
        <f t="shared" si="227"/>
        <v>970847</v>
      </c>
      <c r="L580" s="147"/>
      <c r="M580" s="147"/>
      <c r="N580" s="147"/>
    </row>
    <row r="581" spans="1:14" s="148" customFormat="1" ht="25.5" outlineLevel="3" x14ac:dyDescent="0.2">
      <c r="A581" s="95" t="s">
        <v>2101</v>
      </c>
      <c r="B581" s="42" t="s">
        <v>1528</v>
      </c>
      <c r="C581" s="42" t="s">
        <v>1529</v>
      </c>
      <c r="D581" s="100" t="s">
        <v>300</v>
      </c>
      <c r="E581" s="100">
        <f>2863.6</f>
        <v>2863.6</v>
      </c>
      <c r="F581" s="149">
        <f>(221455)*(1.023*1.005-2.3%*15%)*6.99+0*4.09</f>
        <v>1586151</v>
      </c>
      <c r="G581" s="145">
        <f t="shared" si="224"/>
        <v>1.139</v>
      </c>
      <c r="H581" s="146">
        <f t="shared" si="225"/>
        <v>1806626</v>
      </c>
      <c r="I581" s="145">
        <f>Дефляторы!$D$25</f>
        <v>1.052</v>
      </c>
      <c r="J581" s="146">
        <f t="shared" si="226"/>
        <v>1900571</v>
      </c>
      <c r="K581" s="146">
        <f t="shared" si="227"/>
        <v>1872388</v>
      </c>
      <c r="L581" s="147"/>
      <c r="M581" s="147"/>
      <c r="N581" s="147"/>
    </row>
    <row r="582" spans="1:14" s="148" customFormat="1" ht="25.5" outlineLevel="3" x14ac:dyDescent="0.2">
      <c r="A582" s="95" t="s">
        <v>2102</v>
      </c>
      <c r="B582" s="42" t="s">
        <v>1531</v>
      </c>
      <c r="C582" s="42" t="s">
        <v>1530</v>
      </c>
      <c r="D582" s="100" t="s">
        <v>300</v>
      </c>
      <c r="E582" s="100">
        <f>18444.7</f>
        <v>18444.7</v>
      </c>
      <c r="F582" s="149">
        <f>(277216)*(1.023*1.005-2.3%*15%)*6.99+0*4.09</f>
        <v>1985534</v>
      </c>
      <c r="G582" s="145">
        <f t="shared" si="224"/>
        <v>1.139</v>
      </c>
      <c r="H582" s="146">
        <f t="shared" si="225"/>
        <v>2261523</v>
      </c>
      <c r="I582" s="145">
        <f>Дефляторы!$D$25</f>
        <v>1.052</v>
      </c>
      <c r="J582" s="146">
        <f t="shared" si="226"/>
        <v>2379122</v>
      </c>
      <c r="K582" s="146">
        <f t="shared" si="227"/>
        <v>2343842</v>
      </c>
      <c r="L582" s="147"/>
      <c r="M582" s="147"/>
      <c r="N582" s="147"/>
    </row>
    <row r="583" spans="1:14" s="148" customFormat="1" ht="15.75" outlineLevel="3" x14ac:dyDescent="0.2">
      <c r="A583" s="95" t="s">
        <v>2103</v>
      </c>
      <c r="B583" s="42" t="s">
        <v>1533</v>
      </c>
      <c r="C583" s="42" t="s">
        <v>1532</v>
      </c>
      <c r="D583" s="100" t="s">
        <v>300</v>
      </c>
      <c r="E583" s="100">
        <f>3990.3</f>
        <v>3990.3</v>
      </c>
      <c r="F583" s="149">
        <f>(55031)*(1.023*1.005-2.3%*15%)*6.99+0*4.09</f>
        <v>394154</v>
      </c>
      <c r="G583" s="145">
        <f t="shared" si="224"/>
        <v>1.139</v>
      </c>
      <c r="H583" s="146">
        <f t="shared" si="225"/>
        <v>448941</v>
      </c>
      <c r="I583" s="145">
        <f>Дефляторы!$D$25</f>
        <v>1.052</v>
      </c>
      <c r="J583" s="146">
        <f t="shared" si="226"/>
        <v>472286</v>
      </c>
      <c r="K583" s="146">
        <f t="shared" si="227"/>
        <v>465283</v>
      </c>
      <c r="L583" s="147"/>
      <c r="M583" s="147"/>
      <c r="N583" s="147"/>
    </row>
    <row r="584" spans="1:14" s="148" customFormat="1" ht="25.5" outlineLevel="3" x14ac:dyDescent="0.2">
      <c r="A584" s="95" t="s">
        <v>2104</v>
      </c>
      <c r="B584" s="42" t="s">
        <v>1534</v>
      </c>
      <c r="C584" s="42" t="s">
        <v>1535</v>
      </c>
      <c r="D584" s="100" t="s">
        <v>404</v>
      </c>
      <c r="E584" s="100">
        <v>5370</v>
      </c>
      <c r="F584" s="149">
        <f>(109770)*(1.023*1.005-2.3%*15%)*6.99+0*4.09</f>
        <v>786218</v>
      </c>
      <c r="G584" s="145">
        <f t="shared" si="224"/>
        <v>1.139</v>
      </c>
      <c r="H584" s="146">
        <f t="shared" si="225"/>
        <v>895502</v>
      </c>
      <c r="I584" s="145">
        <f>Дефляторы!$D$25</f>
        <v>1.052</v>
      </c>
      <c r="J584" s="146">
        <f t="shared" si="226"/>
        <v>942068</v>
      </c>
      <c r="K584" s="146">
        <f t="shared" si="227"/>
        <v>928098</v>
      </c>
      <c r="L584" s="147"/>
      <c r="M584" s="147"/>
      <c r="N584" s="147"/>
    </row>
    <row r="585" spans="1:14" s="148" customFormat="1" ht="25.5" outlineLevel="3" x14ac:dyDescent="0.2">
      <c r="A585" s="95" t="s">
        <v>2105</v>
      </c>
      <c r="B585" s="42" t="s">
        <v>1537</v>
      </c>
      <c r="C585" s="42" t="s">
        <v>1536</v>
      </c>
      <c r="D585" s="100" t="s">
        <v>404</v>
      </c>
      <c r="E585" s="100">
        <f>3*2*20</f>
        <v>120</v>
      </c>
      <c r="F585" s="149">
        <f>(22613)*(1.023*1.005-2.3%*15%)*6.99+0*4.09</f>
        <v>161964</v>
      </c>
      <c r="G585" s="145">
        <f t="shared" si="224"/>
        <v>1.139</v>
      </c>
      <c r="H585" s="146">
        <f t="shared" si="225"/>
        <v>184477</v>
      </c>
      <c r="I585" s="145">
        <f>Дефляторы!$D$25</f>
        <v>1.052</v>
      </c>
      <c r="J585" s="146">
        <f t="shared" si="226"/>
        <v>194070</v>
      </c>
      <c r="K585" s="146">
        <f t="shared" si="227"/>
        <v>191192</v>
      </c>
      <c r="L585" s="147"/>
      <c r="M585" s="147"/>
      <c r="N585" s="147"/>
    </row>
    <row r="586" spans="1:14" s="148" customFormat="1" ht="25.5" outlineLevel="3" x14ac:dyDescent="0.2">
      <c r="A586" s="95" t="s">
        <v>2106</v>
      </c>
      <c r="B586" s="42" t="s">
        <v>1539</v>
      </c>
      <c r="C586" s="42" t="s">
        <v>1538</v>
      </c>
      <c r="D586" s="100" t="s">
        <v>377</v>
      </c>
      <c r="E586" s="100">
        <f>105</f>
        <v>105</v>
      </c>
      <c r="F586" s="149">
        <f>(66198)*(1.023*1.005-2.3%*15%)*6.99+0*4.09</f>
        <v>474137</v>
      </c>
      <c r="G586" s="145">
        <f t="shared" si="224"/>
        <v>1.139</v>
      </c>
      <c r="H586" s="146">
        <f t="shared" si="225"/>
        <v>540042</v>
      </c>
      <c r="I586" s="145">
        <f>Дефляторы!$D$25</f>
        <v>1.052</v>
      </c>
      <c r="J586" s="146">
        <f t="shared" si="226"/>
        <v>568124</v>
      </c>
      <c r="K586" s="146">
        <f t="shared" si="227"/>
        <v>559699</v>
      </c>
      <c r="L586" s="147"/>
      <c r="M586" s="147"/>
      <c r="N586" s="147"/>
    </row>
    <row r="587" spans="1:14" s="148" customFormat="1" ht="25.5" outlineLevel="3" x14ac:dyDescent="0.2">
      <c r="A587" s="95" t="s">
        <v>2107</v>
      </c>
      <c r="B587" s="42" t="s">
        <v>1541</v>
      </c>
      <c r="C587" s="42" t="s">
        <v>1540</v>
      </c>
      <c r="D587" s="100" t="s">
        <v>377</v>
      </c>
      <c r="E587" s="100">
        <f>135</f>
        <v>135</v>
      </c>
      <c r="F587" s="149">
        <f>(343866)*(1.023*1.005-2.3%*15%)*6.99+0*4.09</f>
        <v>2462909</v>
      </c>
      <c r="G587" s="145">
        <f t="shared" si="224"/>
        <v>1.139</v>
      </c>
      <c r="H587" s="146">
        <f t="shared" si="225"/>
        <v>2805253</v>
      </c>
      <c r="I587" s="145">
        <f>Дефляторы!$D$25</f>
        <v>1.052</v>
      </c>
      <c r="J587" s="146">
        <f t="shared" si="226"/>
        <v>2951126</v>
      </c>
      <c r="K587" s="146">
        <f t="shared" si="227"/>
        <v>2907364</v>
      </c>
      <c r="L587" s="147"/>
      <c r="M587" s="147"/>
      <c r="N587" s="147"/>
    </row>
    <row r="588" spans="1:14" s="148" customFormat="1" ht="25.5" outlineLevel="3" x14ac:dyDescent="0.2">
      <c r="A588" s="95" t="s">
        <v>2108</v>
      </c>
      <c r="B588" s="42" t="s">
        <v>1543</v>
      </c>
      <c r="C588" s="42" t="s">
        <v>1542</v>
      </c>
      <c r="D588" s="100" t="s">
        <v>377</v>
      </c>
      <c r="E588" s="100">
        <f>55</f>
        <v>55</v>
      </c>
      <c r="F588" s="149">
        <f>(55321)*(1.023*1.005-2.3%*15%)*6.99+0*4.09</f>
        <v>396232</v>
      </c>
      <c r="G588" s="145">
        <f t="shared" si="224"/>
        <v>1.139</v>
      </c>
      <c r="H588" s="146">
        <f t="shared" si="225"/>
        <v>451308</v>
      </c>
      <c r="I588" s="145">
        <f>Дефляторы!$D$25</f>
        <v>1.052</v>
      </c>
      <c r="J588" s="146">
        <f t="shared" si="226"/>
        <v>474776</v>
      </c>
      <c r="K588" s="146">
        <f t="shared" si="227"/>
        <v>467736</v>
      </c>
      <c r="L588" s="147"/>
      <c r="M588" s="147"/>
      <c r="N588" s="147"/>
    </row>
    <row r="589" spans="1:14" s="148" customFormat="1" ht="25.5" outlineLevel="3" x14ac:dyDescent="0.2">
      <c r="A589" s="95" t="s">
        <v>2109</v>
      </c>
      <c r="B589" s="42" t="s">
        <v>1546</v>
      </c>
      <c r="C589" s="42" t="s">
        <v>1544</v>
      </c>
      <c r="D589" s="100" t="s">
        <v>377</v>
      </c>
      <c r="E589" s="100">
        <v>25</v>
      </c>
      <c r="F589" s="149">
        <f>(78606)*(1.023*1.005-2.3%*15%)*6.99+0*4.09</f>
        <v>563008</v>
      </c>
      <c r="G589" s="145">
        <f t="shared" si="224"/>
        <v>1.139</v>
      </c>
      <c r="H589" s="146">
        <f t="shared" si="225"/>
        <v>641266</v>
      </c>
      <c r="I589" s="145">
        <f>Дефляторы!$D$25</f>
        <v>1.052</v>
      </c>
      <c r="J589" s="146">
        <f t="shared" si="226"/>
        <v>674612</v>
      </c>
      <c r="K589" s="146">
        <f t="shared" si="227"/>
        <v>664608</v>
      </c>
      <c r="L589" s="147"/>
      <c r="M589" s="147"/>
      <c r="N589" s="147"/>
    </row>
    <row r="590" spans="1:14" s="148" customFormat="1" ht="25.5" outlineLevel="3" x14ac:dyDescent="0.2">
      <c r="A590" s="95" t="s">
        <v>2110</v>
      </c>
      <c r="B590" s="42" t="s">
        <v>1547</v>
      </c>
      <c r="C590" s="42" t="s">
        <v>1545</v>
      </c>
      <c r="D590" s="100" t="s">
        <v>377</v>
      </c>
      <c r="E590" s="100">
        <v>20</v>
      </c>
      <c r="F590" s="149">
        <f>(63009)*(1.023*1.005-2.3%*15%)*6.99+0*4.09</f>
        <v>451296</v>
      </c>
      <c r="G590" s="145">
        <f t="shared" si="224"/>
        <v>1.139</v>
      </c>
      <c r="H590" s="146">
        <f t="shared" si="225"/>
        <v>514026</v>
      </c>
      <c r="I590" s="145">
        <f>Дефляторы!$D$25</f>
        <v>1.052</v>
      </c>
      <c r="J590" s="146">
        <f t="shared" si="226"/>
        <v>540755</v>
      </c>
      <c r="K590" s="146">
        <f t="shared" si="227"/>
        <v>532736</v>
      </c>
      <c r="L590" s="147"/>
      <c r="M590" s="147"/>
      <c r="N590" s="147"/>
    </row>
    <row r="591" spans="1:14" s="148" customFormat="1" ht="25.5" outlineLevel="3" x14ac:dyDescent="0.2">
      <c r="A591" s="95" t="s">
        <v>2111</v>
      </c>
      <c r="B591" s="42" t="s">
        <v>1548</v>
      </c>
      <c r="C591" s="42" t="s">
        <v>1549</v>
      </c>
      <c r="D591" s="100" t="s">
        <v>377</v>
      </c>
      <c r="E591" s="100">
        <v>13</v>
      </c>
      <c r="F591" s="149">
        <f>(22484)*(1.023*1.005-2.3%*15%)*6.99+0*4.09</f>
        <v>161040</v>
      </c>
      <c r="G591" s="145">
        <f t="shared" si="224"/>
        <v>1.139</v>
      </c>
      <c r="H591" s="146">
        <f t="shared" si="225"/>
        <v>183425</v>
      </c>
      <c r="I591" s="145">
        <f>Дефляторы!$D$25</f>
        <v>1.052</v>
      </c>
      <c r="J591" s="146">
        <f t="shared" si="226"/>
        <v>192963</v>
      </c>
      <c r="K591" s="146">
        <f t="shared" si="227"/>
        <v>190102</v>
      </c>
      <c r="L591" s="147"/>
      <c r="M591" s="147"/>
      <c r="N591" s="147"/>
    </row>
    <row r="592" spans="1:14" s="148" customFormat="1" ht="38.25" outlineLevel="3" x14ac:dyDescent="0.2">
      <c r="A592" s="95" t="s">
        <v>2112</v>
      </c>
      <c r="B592" s="42" t="s">
        <v>1551</v>
      </c>
      <c r="C592" s="42" t="s">
        <v>1550</v>
      </c>
      <c r="D592" s="100" t="s">
        <v>377</v>
      </c>
      <c r="E592" s="100">
        <f>1895</f>
        <v>1895</v>
      </c>
      <c r="F592" s="149">
        <f>(396114)*(1.023*1.005-2.3%*15%)*6.99+0*4.09</f>
        <v>2837130</v>
      </c>
      <c r="G592" s="145">
        <f t="shared" si="224"/>
        <v>1.139</v>
      </c>
      <c r="H592" s="146">
        <f t="shared" si="225"/>
        <v>3231491</v>
      </c>
      <c r="I592" s="145">
        <f>Дефляторы!$D$25</f>
        <v>1.052</v>
      </c>
      <c r="J592" s="146">
        <f t="shared" si="226"/>
        <v>3399529</v>
      </c>
      <c r="K592" s="146">
        <f t="shared" si="227"/>
        <v>3349118</v>
      </c>
      <c r="L592" s="147"/>
      <c r="M592" s="147"/>
      <c r="N592" s="147"/>
    </row>
    <row r="593" spans="1:14" s="148" customFormat="1" ht="38.25" outlineLevel="3" x14ac:dyDescent="0.2">
      <c r="A593" s="95" t="s">
        <v>2113</v>
      </c>
      <c r="B593" s="42" t="s">
        <v>1551</v>
      </c>
      <c r="C593" s="42" t="s">
        <v>1552</v>
      </c>
      <c r="D593" s="100" t="s">
        <v>377</v>
      </c>
      <c r="E593" s="100">
        <v>3441</v>
      </c>
      <c r="F593" s="149">
        <f>(719272)*(1.023*1.005-2.3%*15%)*6.99+0*4.09</f>
        <v>5151720</v>
      </c>
      <c r="G593" s="145">
        <f t="shared" si="224"/>
        <v>1.139</v>
      </c>
      <c r="H593" s="146">
        <f t="shared" si="225"/>
        <v>5867809</v>
      </c>
      <c r="I593" s="145">
        <f>Дефляторы!$D$25</f>
        <v>1.052</v>
      </c>
      <c r="J593" s="146">
        <f t="shared" si="226"/>
        <v>6172935</v>
      </c>
      <c r="K593" s="146">
        <f t="shared" si="227"/>
        <v>6081397</v>
      </c>
      <c r="L593" s="147"/>
      <c r="M593" s="147"/>
      <c r="N593" s="147"/>
    </row>
    <row r="594" spans="1:14" s="148" customFormat="1" ht="15.75" outlineLevel="3" x14ac:dyDescent="0.2">
      <c r="A594" s="95" t="s">
        <v>2114</v>
      </c>
      <c r="B594" s="42" t="s">
        <v>1554</v>
      </c>
      <c r="C594" s="42" t="s">
        <v>1553</v>
      </c>
      <c r="D594" s="100" t="s">
        <v>377</v>
      </c>
      <c r="E594" s="100">
        <v>65</v>
      </c>
      <c r="F594" s="149">
        <f>(7002)*(1.023*1.005-2.3%*15%)*6.99+0*4.09</f>
        <v>50151</v>
      </c>
      <c r="G594" s="145">
        <f t="shared" si="224"/>
        <v>1.139</v>
      </c>
      <c r="H594" s="146">
        <f t="shared" si="225"/>
        <v>57122</v>
      </c>
      <c r="I594" s="145">
        <f>Дефляторы!$D$25</f>
        <v>1.052</v>
      </c>
      <c r="J594" s="146">
        <f t="shared" si="226"/>
        <v>60092</v>
      </c>
      <c r="K594" s="146">
        <f t="shared" si="227"/>
        <v>59201</v>
      </c>
      <c r="L594" s="147"/>
      <c r="M594" s="147"/>
      <c r="N594" s="147"/>
    </row>
    <row r="595" spans="1:14" s="148" customFormat="1" ht="15.75" outlineLevel="3" x14ac:dyDescent="0.2">
      <c r="A595" s="95" t="s">
        <v>2115</v>
      </c>
      <c r="B595" s="42" t="s">
        <v>1555</v>
      </c>
      <c r="C595" s="42" t="s">
        <v>1556</v>
      </c>
      <c r="D595" s="100" t="s">
        <v>377</v>
      </c>
      <c r="E595" s="100">
        <f>15</f>
        <v>15</v>
      </c>
      <c r="F595" s="149">
        <f>(3199)*(1.023*1.005-2.3%*15%)*6.99+0*4.09</f>
        <v>22913</v>
      </c>
      <c r="G595" s="145">
        <f t="shared" si="224"/>
        <v>1.139</v>
      </c>
      <c r="H595" s="146">
        <f t="shared" si="225"/>
        <v>26098</v>
      </c>
      <c r="I595" s="145">
        <f>Дефляторы!$D$25</f>
        <v>1.052</v>
      </c>
      <c r="J595" s="146">
        <f t="shared" si="226"/>
        <v>27455</v>
      </c>
      <c r="K595" s="146">
        <f t="shared" si="227"/>
        <v>27048</v>
      </c>
      <c r="L595" s="147"/>
      <c r="M595" s="147"/>
      <c r="N595" s="147"/>
    </row>
    <row r="596" spans="1:14" s="148" customFormat="1" ht="15.75" outlineLevel="3" x14ac:dyDescent="0.2">
      <c r="A596" s="95" t="s">
        <v>2116</v>
      </c>
      <c r="B596" s="42" t="s">
        <v>1558</v>
      </c>
      <c r="C596" s="42" t="s">
        <v>1557</v>
      </c>
      <c r="D596" s="100" t="s">
        <v>377</v>
      </c>
      <c r="E596" s="100">
        <f>25</f>
        <v>25</v>
      </c>
      <c r="F596" s="149">
        <f>(1143)*(1.023*1.005-2.3%*15%)*6.99+0*4.09</f>
        <v>8187</v>
      </c>
      <c r="G596" s="145">
        <f t="shared" si="224"/>
        <v>1.139</v>
      </c>
      <c r="H596" s="146">
        <f t="shared" si="225"/>
        <v>9325</v>
      </c>
      <c r="I596" s="145">
        <f>Дефляторы!$D$25</f>
        <v>1.052</v>
      </c>
      <c r="J596" s="146">
        <f t="shared" si="226"/>
        <v>9810</v>
      </c>
      <c r="K596" s="146">
        <f t="shared" si="227"/>
        <v>9665</v>
      </c>
      <c r="L596" s="147"/>
      <c r="M596" s="147"/>
      <c r="N596" s="147"/>
    </row>
    <row r="597" spans="1:14" s="148" customFormat="1" ht="15.75" outlineLevel="3" x14ac:dyDescent="0.2">
      <c r="A597" s="95" t="s">
        <v>2117</v>
      </c>
      <c r="B597" s="42" t="s">
        <v>1560</v>
      </c>
      <c r="C597" s="42" t="s">
        <v>1559</v>
      </c>
      <c r="D597" s="100" t="s">
        <v>377</v>
      </c>
      <c r="E597" s="100">
        <v>24</v>
      </c>
      <c r="F597" s="149">
        <f>(10526)*(1.023*1.005-2.3%*15%)*6.99+0*4.09</f>
        <v>75392</v>
      </c>
      <c r="G597" s="145">
        <f t="shared" si="224"/>
        <v>1.139</v>
      </c>
      <c r="H597" s="146">
        <f t="shared" si="225"/>
        <v>85871</v>
      </c>
      <c r="I597" s="145">
        <f>Дефляторы!$D$25</f>
        <v>1.052</v>
      </c>
      <c r="J597" s="146">
        <f t="shared" si="226"/>
        <v>90336</v>
      </c>
      <c r="K597" s="146">
        <f t="shared" si="227"/>
        <v>88997</v>
      </c>
      <c r="L597" s="147"/>
      <c r="M597" s="147"/>
      <c r="N597" s="147"/>
    </row>
    <row r="598" spans="1:14" s="148" customFormat="1" ht="15.75" outlineLevel="3" x14ac:dyDescent="0.2">
      <c r="A598" s="95" t="s">
        <v>2118</v>
      </c>
      <c r="B598" s="42" t="s">
        <v>1562</v>
      </c>
      <c r="C598" s="42" t="s">
        <v>1561</v>
      </c>
      <c r="D598" s="100" t="s">
        <v>377</v>
      </c>
      <c r="E598" s="100">
        <v>13</v>
      </c>
      <c r="F598" s="149">
        <f>(10357)*(1.023*1.005-2.3%*15%)*6.99+0*4.09</f>
        <v>74181</v>
      </c>
      <c r="G598" s="145">
        <f t="shared" si="224"/>
        <v>1.139</v>
      </c>
      <c r="H598" s="146">
        <f t="shared" si="225"/>
        <v>84492</v>
      </c>
      <c r="I598" s="145">
        <f>Дефляторы!$D$25</f>
        <v>1.052</v>
      </c>
      <c r="J598" s="146">
        <f t="shared" si="226"/>
        <v>88886</v>
      </c>
      <c r="K598" s="146">
        <f t="shared" si="227"/>
        <v>87568</v>
      </c>
      <c r="L598" s="147"/>
      <c r="M598" s="147"/>
      <c r="N598" s="147"/>
    </row>
    <row r="599" spans="1:14" s="148" customFormat="1" ht="15.75" outlineLevel="3" x14ac:dyDescent="0.2">
      <c r="A599" s="95" t="s">
        <v>2119</v>
      </c>
      <c r="B599" s="42" t="s">
        <v>1563</v>
      </c>
      <c r="C599" s="42" t="s">
        <v>1564</v>
      </c>
      <c r="D599" s="100" t="s">
        <v>377</v>
      </c>
      <c r="E599" s="100">
        <v>18</v>
      </c>
      <c r="F599" s="149">
        <f>(9486)*(1.023*1.005-2.3%*15%)*6.99+0*4.09</f>
        <v>67943</v>
      </c>
      <c r="G599" s="145">
        <f t="shared" si="224"/>
        <v>1.139</v>
      </c>
      <c r="H599" s="146">
        <f t="shared" si="225"/>
        <v>77387</v>
      </c>
      <c r="I599" s="145">
        <f>Дефляторы!$D$25</f>
        <v>1.052</v>
      </c>
      <c r="J599" s="146">
        <f t="shared" si="226"/>
        <v>81411</v>
      </c>
      <c r="K599" s="146">
        <f t="shared" si="227"/>
        <v>80204</v>
      </c>
      <c r="L599" s="147"/>
      <c r="M599" s="147"/>
      <c r="N599" s="147"/>
    </row>
    <row r="600" spans="1:14" s="148" customFormat="1" ht="15.75" outlineLevel="3" x14ac:dyDescent="0.2">
      <c r="A600" s="95" t="s">
        <v>2120</v>
      </c>
      <c r="B600" s="42" t="s">
        <v>1566</v>
      </c>
      <c r="C600" s="42" t="s">
        <v>1565</v>
      </c>
      <c r="D600" s="100" t="s">
        <v>300</v>
      </c>
      <c r="E600" s="100">
        <v>410</v>
      </c>
      <c r="F600" s="149">
        <f>(1280847)*(1.023*1.005-2.3%*15%)*6.99+0*4.09</f>
        <v>9173949</v>
      </c>
      <c r="G600" s="145">
        <f t="shared" si="224"/>
        <v>1.139</v>
      </c>
      <c r="H600" s="146">
        <f t="shared" si="225"/>
        <v>10449128</v>
      </c>
      <c r="I600" s="145">
        <f>Дефляторы!$D$25</f>
        <v>1.052</v>
      </c>
      <c r="J600" s="146">
        <f t="shared" si="226"/>
        <v>10992483</v>
      </c>
      <c r="K600" s="146">
        <f t="shared" si="227"/>
        <v>10829477</v>
      </c>
      <c r="L600" s="147"/>
      <c r="M600" s="147"/>
      <c r="N600" s="147"/>
    </row>
    <row r="601" spans="1:14" s="148" customFormat="1" ht="15.75" outlineLevel="3" x14ac:dyDescent="0.2">
      <c r="A601" s="95"/>
      <c r="B601" s="42"/>
      <c r="C601" s="42" t="s">
        <v>1567</v>
      </c>
      <c r="D601" s="100"/>
      <c r="E601" s="100"/>
      <c r="F601" s="149"/>
      <c r="G601" s="145"/>
      <c r="H601" s="146"/>
      <c r="I601" s="145">
        <f>Дефляторы!$D$25</f>
        <v>1.052</v>
      </c>
      <c r="J601" s="146"/>
      <c r="K601" s="146"/>
      <c r="L601" s="147"/>
      <c r="M601" s="147"/>
      <c r="N601" s="147"/>
    </row>
    <row r="602" spans="1:14" s="148" customFormat="1" ht="15.75" outlineLevel="3" x14ac:dyDescent="0.2">
      <c r="A602" s="95" t="s">
        <v>2121</v>
      </c>
      <c r="B602" s="42" t="s">
        <v>1569</v>
      </c>
      <c r="C602" s="42" t="s">
        <v>1568</v>
      </c>
      <c r="D602" s="100" t="s">
        <v>408</v>
      </c>
      <c r="E602" s="100">
        <v>2</v>
      </c>
      <c r="F602" s="149">
        <f>(737)*(1.023*1.005-2.3%*15%)*6.99+0*4.09</f>
        <v>5279</v>
      </c>
      <c r="G602" s="145">
        <f t="shared" ref="G602:G610" si="228">$G$766</f>
        <v>1.139</v>
      </c>
      <c r="H602" s="146">
        <f t="shared" ref="H602:H610" si="229">F602*G602</f>
        <v>6013</v>
      </c>
      <c r="I602" s="145">
        <f>Дефляторы!$D$25</f>
        <v>1.052</v>
      </c>
      <c r="J602" s="146">
        <f t="shared" ref="J602:J610" si="230">H602*I602</f>
        <v>6326</v>
      </c>
      <c r="K602" s="146">
        <f t="shared" ref="K602:K610" si="231">H602+(J602-H602)*(1-30/100)</f>
        <v>6232</v>
      </c>
      <c r="L602" s="147"/>
      <c r="M602" s="147"/>
      <c r="N602" s="147"/>
    </row>
    <row r="603" spans="1:14" s="148" customFormat="1" ht="25.5" outlineLevel="3" x14ac:dyDescent="0.2">
      <c r="A603" s="95" t="s">
        <v>2122</v>
      </c>
      <c r="B603" s="42" t="s">
        <v>1571</v>
      </c>
      <c r="C603" s="42" t="s">
        <v>1570</v>
      </c>
      <c r="D603" s="100" t="s">
        <v>408</v>
      </c>
      <c r="E603" s="100">
        <v>5</v>
      </c>
      <c r="F603" s="149">
        <f>(10867)*(1.023*1.005-2.3%*15%)*6.99+0*4.09</f>
        <v>77834</v>
      </c>
      <c r="G603" s="145">
        <f t="shared" si="228"/>
        <v>1.139</v>
      </c>
      <c r="H603" s="146">
        <f t="shared" si="229"/>
        <v>88653</v>
      </c>
      <c r="I603" s="145">
        <f>Дефляторы!$D$25</f>
        <v>1.052</v>
      </c>
      <c r="J603" s="146">
        <f t="shared" si="230"/>
        <v>93263</v>
      </c>
      <c r="K603" s="146">
        <f t="shared" si="231"/>
        <v>91880</v>
      </c>
      <c r="L603" s="147" t="s">
        <v>1572</v>
      </c>
      <c r="M603" s="147"/>
      <c r="N603" s="147"/>
    </row>
    <row r="604" spans="1:14" s="148" customFormat="1" ht="25.5" outlineLevel="3" x14ac:dyDescent="0.2">
      <c r="A604" s="95" t="s">
        <v>2123</v>
      </c>
      <c r="B604" s="42" t="s">
        <v>1573</v>
      </c>
      <c r="C604" s="42" t="s">
        <v>1574</v>
      </c>
      <c r="D604" s="100" t="s">
        <v>408</v>
      </c>
      <c r="E604" s="100">
        <v>2</v>
      </c>
      <c r="F604" s="149">
        <f>(1937)*(1.023*1.005-2.3%*15%)*6.99+0*4.09</f>
        <v>13874</v>
      </c>
      <c r="G604" s="145">
        <f t="shared" si="228"/>
        <v>1.139</v>
      </c>
      <c r="H604" s="146">
        <f t="shared" si="229"/>
        <v>15802</v>
      </c>
      <c r="I604" s="145">
        <f>Дефляторы!$D$25</f>
        <v>1.052</v>
      </c>
      <c r="J604" s="146">
        <f t="shared" si="230"/>
        <v>16624</v>
      </c>
      <c r="K604" s="146">
        <f t="shared" si="231"/>
        <v>16377</v>
      </c>
      <c r="L604" s="147"/>
      <c r="M604" s="147"/>
      <c r="N604" s="147"/>
    </row>
    <row r="605" spans="1:14" s="148" customFormat="1" ht="15.75" outlineLevel="3" x14ac:dyDescent="0.2">
      <c r="A605" s="95" t="s">
        <v>2124</v>
      </c>
      <c r="B605" s="42" t="s">
        <v>1576</v>
      </c>
      <c r="C605" s="42" t="s">
        <v>1575</v>
      </c>
      <c r="D605" s="100" t="s">
        <v>408</v>
      </c>
      <c r="E605" s="100">
        <v>2</v>
      </c>
      <c r="F605" s="149">
        <f>(7342)*(1.023*1.005-2.3%*15%)*6.99+0*4.09</f>
        <v>52586</v>
      </c>
      <c r="G605" s="145">
        <f t="shared" si="228"/>
        <v>1.139</v>
      </c>
      <c r="H605" s="146">
        <f t="shared" si="229"/>
        <v>59895</v>
      </c>
      <c r="I605" s="145">
        <f>Дефляторы!$D$25</f>
        <v>1.052</v>
      </c>
      <c r="J605" s="146">
        <f t="shared" si="230"/>
        <v>63010</v>
      </c>
      <c r="K605" s="146">
        <f t="shared" si="231"/>
        <v>62076</v>
      </c>
      <c r="L605" s="147"/>
      <c r="M605" s="147"/>
      <c r="N605" s="147"/>
    </row>
    <row r="606" spans="1:14" s="148" customFormat="1" ht="15.75" outlineLevel="3" x14ac:dyDescent="0.2">
      <c r="A606" s="95" t="s">
        <v>2125</v>
      </c>
      <c r="B606" s="42" t="s">
        <v>1578</v>
      </c>
      <c r="C606" s="42" t="s">
        <v>1577</v>
      </c>
      <c r="D606" s="100" t="s">
        <v>408</v>
      </c>
      <c r="E606" s="100">
        <v>1</v>
      </c>
      <c r="F606" s="149">
        <f>(1119)*(1.023*1.005-2.3%*15%)*6.99+0*4.09</f>
        <v>8015</v>
      </c>
      <c r="G606" s="145">
        <f t="shared" si="228"/>
        <v>1.139</v>
      </c>
      <c r="H606" s="146">
        <f t="shared" si="229"/>
        <v>9129</v>
      </c>
      <c r="I606" s="145">
        <f>Дефляторы!$D$25</f>
        <v>1.052</v>
      </c>
      <c r="J606" s="146">
        <f t="shared" si="230"/>
        <v>9604</v>
      </c>
      <c r="K606" s="146">
        <f t="shared" si="231"/>
        <v>9462</v>
      </c>
      <c r="L606" s="147"/>
      <c r="M606" s="147"/>
      <c r="N606" s="147"/>
    </row>
    <row r="607" spans="1:14" s="148" customFormat="1" ht="15.75" outlineLevel="3" x14ac:dyDescent="0.2">
      <c r="A607" s="95" t="s">
        <v>2126</v>
      </c>
      <c r="B607" s="42" t="s">
        <v>1581</v>
      </c>
      <c r="C607" s="42" t="s">
        <v>1579</v>
      </c>
      <c r="D607" s="100" t="s">
        <v>408</v>
      </c>
      <c r="E607" s="100">
        <v>1</v>
      </c>
      <c r="F607" s="149">
        <f>(4523)*(1.023*1.005-2.3%*15%)*6.99+0*4.09</f>
        <v>32396</v>
      </c>
      <c r="G607" s="145">
        <f t="shared" si="228"/>
        <v>1.139</v>
      </c>
      <c r="H607" s="146">
        <f t="shared" si="229"/>
        <v>36899</v>
      </c>
      <c r="I607" s="145">
        <f>Дефляторы!$D$25</f>
        <v>1.052</v>
      </c>
      <c r="J607" s="146">
        <f t="shared" si="230"/>
        <v>38818</v>
      </c>
      <c r="K607" s="146">
        <f t="shared" si="231"/>
        <v>38242</v>
      </c>
      <c r="L607" s="147"/>
      <c r="M607" s="147"/>
      <c r="N607" s="147"/>
    </row>
    <row r="608" spans="1:14" s="148" customFormat="1" ht="15.75" outlineLevel="3" x14ac:dyDescent="0.2">
      <c r="A608" s="95" t="s">
        <v>2127</v>
      </c>
      <c r="B608" s="42" t="s">
        <v>1582</v>
      </c>
      <c r="C608" s="42" t="s">
        <v>1580</v>
      </c>
      <c r="D608" s="100" t="s">
        <v>408</v>
      </c>
      <c r="E608" s="100">
        <v>1</v>
      </c>
      <c r="F608" s="149">
        <f>(2695)*(1.023*1.005-2.3%*15%)*6.99+0*4.09</f>
        <v>19303</v>
      </c>
      <c r="G608" s="145">
        <f t="shared" si="228"/>
        <v>1.139</v>
      </c>
      <c r="H608" s="146">
        <f t="shared" si="229"/>
        <v>21986</v>
      </c>
      <c r="I608" s="145">
        <f>Дефляторы!$D$25</f>
        <v>1.052</v>
      </c>
      <c r="J608" s="146">
        <f t="shared" si="230"/>
        <v>23129</v>
      </c>
      <c r="K608" s="146">
        <f t="shared" si="231"/>
        <v>22786</v>
      </c>
      <c r="L608" s="147"/>
      <c r="M608" s="147"/>
      <c r="N608" s="147"/>
    </row>
    <row r="609" spans="1:14" s="148" customFormat="1" ht="15.75" outlineLevel="3" x14ac:dyDescent="0.2">
      <c r="A609" s="95" t="s">
        <v>2128</v>
      </c>
      <c r="B609" s="42" t="s">
        <v>1584</v>
      </c>
      <c r="C609" s="42" t="s">
        <v>1583</v>
      </c>
      <c r="D609" s="100" t="s">
        <v>408</v>
      </c>
      <c r="E609" s="100">
        <v>2</v>
      </c>
      <c r="F609" s="149">
        <f>(5523)*(1.023*1.005-2.3%*15%)*6.99+0*4.09</f>
        <v>39558</v>
      </c>
      <c r="G609" s="145">
        <f t="shared" si="228"/>
        <v>1.139</v>
      </c>
      <c r="H609" s="146">
        <f t="shared" si="229"/>
        <v>45057</v>
      </c>
      <c r="I609" s="145">
        <f>Дефляторы!$D$25</f>
        <v>1.052</v>
      </c>
      <c r="J609" s="146">
        <f t="shared" si="230"/>
        <v>47400</v>
      </c>
      <c r="K609" s="146">
        <f t="shared" si="231"/>
        <v>46697</v>
      </c>
      <c r="L609" s="147"/>
      <c r="M609" s="147"/>
      <c r="N609" s="147"/>
    </row>
    <row r="610" spans="1:14" s="148" customFormat="1" ht="25.5" outlineLevel="3" x14ac:dyDescent="0.2">
      <c r="A610" s="95" t="s">
        <v>2129</v>
      </c>
      <c r="B610" s="42" t="s">
        <v>1586</v>
      </c>
      <c r="C610" s="42" t="s">
        <v>1585</v>
      </c>
      <c r="D610" s="100" t="s">
        <v>408</v>
      </c>
      <c r="E610" s="100">
        <v>2</v>
      </c>
      <c r="F610" s="149">
        <f>(3535)*(1.023*1.005-2.3%*15%)*6.99+0*4.09</f>
        <v>25319</v>
      </c>
      <c r="G610" s="145">
        <f t="shared" si="228"/>
        <v>1.139</v>
      </c>
      <c r="H610" s="146">
        <f t="shared" si="229"/>
        <v>28838</v>
      </c>
      <c r="I610" s="145">
        <f>Дефляторы!$D$25</f>
        <v>1.052</v>
      </c>
      <c r="J610" s="146">
        <f t="shared" si="230"/>
        <v>30338</v>
      </c>
      <c r="K610" s="146">
        <f t="shared" si="231"/>
        <v>29888</v>
      </c>
      <c r="L610" s="147"/>
      <c r="M610" s="147"/>
      <c r="N610" s="147"/>
    </row>
    <row r="611" spans="1:14" s="148" customFormat="1" ht="15.75" outlineLevel="3" x14ac:dyDescent="0.2">
      <c r="A611" s="95"/>
      <c r="B611" s="42"/>
      <c r="C611" s="42" t="s">
        <v>1587</v>
      </c>
      <c r="D611" s="100"/>
      <c r="E611" s="100"/>
      <c r="F611" s="149"/>
      <c r="G611" s="145"/>
      <c r="H611" s="146"/>
      <c r="I611" s="145">
        <f>Дефляторы!$D$25</f>
        <v>1.052</v>
      </c>
      <c r="J611" s="146"/>
      <c r="K611" s="146"/>
      <c r="L611" s="147"/>
      <c r="M611" s="147"/>
      <c r="N611" s="147"/>
    </row>
    <row r="612" spans="1:14" s="148" customFormat="1" ht="51" outlineLevel="3" x14ac:dyDescent="0.2">
      <c r="A612" s="95" t="s">
        <v>2130</v>
      </c>
      <c r="B612" s="42" t="s">
        <v>1598</v>
      </c>
      <c r="C612" s="42" t="s">
        <v>1588</v>
      </c>
      <c r="D612" s="100" t="s">
        <v>408</v>
      </c>
      <c r="E612" s="100">
        <v>1</v>
      </c>
      <c r="F612" s="149">
        <f>(48059/11+30686+4863/11)*(1.023*1.005-2.3%*15%)*6.99+0*4.09</f>
        <v>254245</v>
      </c>
      <c r="G612" s="145">
        <f t="shared" ref="G612:G623" si="232">$G$766</f>
        <v>1.139</v>
      </c>
      <c r="H612" s="146">
        <f t="shared" ref="H612:H623" si="233">F612*G612</f>
        <v>289585</v>
      </c>
      <c r="I612" s="145">
        <f>Дефляторы!$D$25</f>
        <v>1.052</v>
      </c>
      <c r="J612" s="146">
        <f t="shared" ref="J612:J623" si="234">H612*I612</f>
        <v>304643</v>
      </c>
      <c r="K612" s="146">
        <f t="shared" ref="K612:K623" si="235">H612+(J612-H612)*(1-30/100)</f>
        <v>300126</v>
      </c>
      <c r="L612" s="147"/>
      <c r="M612" s="147"/>
      <c r="N612" s="147"/>
    </row>
    <row r="613" spans="1:14" s="148" customFormat="1" ht="38.25" outlineLevel="3" x14ac:dyDescent="0.2">
      <c r="A613" s="95" t="s">
        <v>2131</v>
      </c>
      <c r="B613" s="42" t="s">
        <v>1599</v>
      </c>
      <c r="C613" s="42" t="s">
        <v>1589</v>
      </c>
      <c r="D613" s="100" t="s">
        <v>408</v>
      </c>
      <c r="E613" s="100">
        <v>1</v>
      </c>
      <c r="F613" s="149">
        <f>(48059/11+84439+4863/11)*(1.023*1.005-2.3%*15%)*6.99+0*4.09</f>
        <v>639246</v>
      </c>
      <c r="G613" s="145">
        <f t="shared" si="232"/>
        <v>1.139</v>
      </c>
      <c r="H613" s="146">
        <f t="shared" si="233"/>
        <v>728101</v>
      </c>
      <c r="I613" s="145">
        <f>Дефляторы!$D$25</f>
        <v>1.052</v>
      </c>
      <c r="J613" s="146">
        <f t="shared" si="234"/>
        <v>765962</v>
      </c>
      <c r="K613" s="146">
        <f t="shared" si="235"/>
        <v>754604</v>
      </c>
      <c r="L613" s="147"/>
      <c r="M613" s="147"/>
      <c r="N613" s="147"/>
    </row>
    <row r="614" spans="1:14" s="148" customFormat="1" ht="38.25" outlineLevel="3" x14ac:dyDescent="0.2">
      <c r="A614" s="95" t="s">
        <v>2132</v>
      </c>
      <c r="B614" s="42" t="s">
        <v>1600</v>
      </c>
      <c r="C614" s="42" t="s">
        <v>1590</v>
      </c>
      <c r="D614" s="100" t="s">
        <v>408</v>
      </c>
      <c r="E614" s="100">
        <v>1</v>
      </c>
      <c r="F614" s="149">
        <f>(48059/11+84439+4863/11)*(1.023*1.005-2.3%*15%)*6.99+0*4.09</f>
        <v>639246</v>
      </c>
      <c r="G614" s="145">
        <f t="shared" si="232"/>
        <v>1.139</v>
      </c>
      <c r="H614" s="146">
        <f t="shared" si="233"/>
        <v>728101</v>
      </c>
      <c r="I614" s="145">
        <f>Дефляторы!$D$25</f>
        <v>1.052</v>
      </c>
      <c r="J614" s="146">
        <f t="shared" si="234"/>
        <v>765962</v>
      </c>
      <c r="K614" s="146">
        <f t="shared" si="235"/>
        <v>754604</v>
      </c>
      <c r="L614" s="147"/>
      <c r="M614" s="147"/>
      <c r="N614" s="147"/>
    </row>
    <row r="615" spans="1:14" s="148" customFormat="1" ht="63.75" outlineLevel="3" x14ac:dyDescent="0.2">
      <c r="A615" s="95" t="s">
        <v>2133</v>
      </c>
      <c r="B615" s="42" t="s">
        <v>1601</v>
      </c>
      <c r="C615" s="42" t="s">
        <v>1591</v>
      </c>
      <c r="D615" s="100" t="s">
        <v>408</v>
      </c>
      <c r="E615" s="100">
        <v>1</v>
      </c>
      <c r="F615" s="149">
        <f>(48059/11+44957+4863/11)*(1.023*1.005-2.3%*15%)*6.99+0*4.09</f>
        <v>356459</v>
      </c>
      <c r="G615" s="145">
        <f t="shared" si="232"/>
        <v>1.139</v>
      </c>
      <c r="H615" s="146">
        <f t="shared" si="233"/>
        <v>406007</v>
      </c>
      <c r="I615" s="145">
        <f>Дефляторы!$D$25</f>
        <v>1.052</v>
      </c>
      <c r="J615" s="146">
        <f t="shared" si="234"/>
        <v>427119</v>
      </c>
      <c r="K615" s="146">
        <f t="shared" si="235"/>
        <v>420785</v>
      </c>
      <c r="L615" s="147"/>
      <c r="M615" s="147"/>
      <c r="N615" s="147"/>
    </row>
    <row r="616" spans="1:14" s="148" customFormat="1" ht="38.25" outlineLevel="3" x14ac:dyDescent="0.2">
      <c r="A616" s="95" t="s">
        <v>2134</v>
      </c>
      <c r="B616" s="42" t="s">
        <v>1602</v>
      </c>
      <c r="C616" s="42" t="s">
        <v>1592</v>
      </c>
      <c r="D616" s="100" t="s">
        <v>408</v>
      </c>
      <c r="E616" s="100">
        <v>2</v>
      </c>
      <c r="F616" s="149">
        <f>(48059/11*2+89913+4863/11*2)*(1.023*1.005-2.3%*15%)*6.99+0*4.09</f>
        <v>712912</v>
      </c>
      <c r="G616" s="145">
        <f t="shared" si="232"/>
        <v>1.139</v>
      </c>
      <c r="H616" s="146">
        <f t="shared" si="233"/>
        <v>812007</v>
      </c>
      <c r="I616" s="145">
        <f>Дефляторы!$D$25</f>
        <v>1.052</v>
      </c>
      <c r="J616" s="146">
        <f t="shared" si="234"/>
        <v>854231</v>
      </c>
      <c r="K616" s="146">
        <f t="shared" si="235"/>
        <v>841564</v>
      </c>
      <c r="L616" s="147"/>
      <c r="M616" s="147"/>
      <c r="N616" s="147"/>
    </row>
    <row r="617" spans="1:14" s="148" customFormat="1" ht="38.25" outlineLevel="3" x14ac:dyDescent="0.2">
      <c r="A617" s="95" t="s">
        <v>2135</v>
      </c>
      <c r="B617" s="42" t="s">
        <v>1603</v>
      </c>
      <c r="C617" s="42" t="s">
        <v>1593</v>
      </c>
      <c r="D617" s="100" t="s">
        <v>408</v>
      </c>
      <c r="E617" s="100">
        <v>1</v>
      </c>
      <c r="F617" s="149">
        <f>(48059/11+44957+4863/11)*(1.023*1.005-2.3%*15%)*6.99+0*4.09</f>
        <v>356459</v>
      </c>
      <c r="G617" s="145">
        <f t="shared" si="232"/>
        <v>1.139</v>
      </c>
      <c r="H617" s="146">
        <f t="shared" si="233"/>
        <v>406007</v>
      </c>
      <c r="I617" s="145">
        <f>Дефляторы!$D$25</f>
        <v>1.052</v>
      </c>
      <c r="J617" s="146">
        <f t="shared" si="234"/>
        <v>427119</v>
      </c>
      <c r="K617" s="146">
        <f t="shared" si="235"/>
        <v>420785</v>
      </c>
      <c r="L617" s="147"/>
      <c r="M617" s="147"/>
      <c r="N617" s="147"/>
    </row>
    <row r="618" spans="1:14" s="148" customFormat="1" ht="38.25" outlineLevel="3" x14ac:dyDescent="0.2">
      <c r="A618" s="95" t="s">
        <v>2136</v>
      </c>
      <c r="B618" s="42" t="s">
        <v>1604</v>
      </c>
      <c r="C618" s="42" t="s">
        <v>1594</v>
      </c>
      <c r="D618" s="100" t="s">
        <v>408</v>
      </c>
      <c r="E618" s="100">
        <v>1</v>
      </c>
      <c r="F618" s="149">
        <f>(48059/11+30686+4863/11)*(1.023*1.005-2.3%*15%)*6.99+0*4.09</f>
        <v>254245</v>
      </c>
      <c r="G618" s="145">
        <f t="shared" si="232"/>
        <v>1.139</v>
      </c>
      <c r="H618" s="146">
        <f t="shared" si="233"/>
        <v>289585</v>
      </c>
      <c r="I618" s="145">
        <f>Дефляторы!$D$25</f>
        <v>1.052</v>
      </c>
      <c r="J618" s="146">
        <f t="shared" si="234"/>
        <v>304643</v>
      </c>
      <c r="K618" s="146">
        <f t="shared" si="235"/>
        <v>300126</v>
      </c>
      <c r="L618" s="147"/>
      <c r="M618" s="147"/>
      <c r="N618" s="147"/>
    </row>
    <row r="619" spans="1:14" s="148" customFormat="1" ht="38.25" outlineLevel="3" x14ac:dyDescent="0.2">
      <c r="A619" s="95" t="s">
        <v>2137</v>
      </c>
      <c r="B619" s="42" t="s">
        <v>1605</v>
      </c>
      <c r="C619" s="42" t="s">
        <v>1595</v>
      </c>
      <c r="D619" s="100" t="s">
        <v>408</v>
      </c>
      <c r="E619" s="100">
        <v>1</v>
      </c>
      <c r="F619" s="149">
        <f>(48059/11+44957+4863/11)*(1.023*1.005-2.3%*15%)*6.99+0*4.09</f>
        <v>356459</v>
      </c>
      <c r="G619" s="145">
        <f t="shared" si="232"/>
        <v>1.139</v>
      </c>
      <c r="H619" s="146">
        <f t="shared" si="233"/>
        <v>406007</v>
      </c>
      <c r="I619" s="145">
        <f>Дефляторы!$D$25</f>
        <v>1.052</v>
      </c>
      <c r="J619" s="146">
        <f t="shared" si="234"/>
        <v>427119</v>
      </c>
      <c r="K619" s="146">
        <f t="shared" si="235"/>
        <v>420785</v>
      </c>
      <c r="L619" s="147"/>
      <c r="M619" s="147"/>
      <c r="N619" s="147"/>
    </row>
    <row r="620" spans="1:14" s="148" customFormat="1" ht="38.25" outlineLevel="3" x14ac:dyDescent="0.2">
      <c r="A620" s="95" t="s">
        <v>2138</v>
      </c>
      <c r="B620" s="42" t="s">
        <v>1606</v>
      </c>
      <c r="C620" s="42" t="s">
        <v>1596</v>
      </c>
      <c r="D620" s="100" t="s">
        <v>408</v>
      </c>
      <c r="E620" s="100">
        <v>1</v>
      </c>
      <c r="F620" s="149">
        <f>(48059/11+29686+4863/11)*(1.023*1.005-2.3%*15%)*6.99+0*4.09</f>
        <v>247082</v>
      </c>
      <c r="G620" s="145">
        <f t="shared" si="232"/>
        <v>1.139</v>
      </c>
      <c r="H620" s="146">
        <f t="shared" si="233"/>
        <v>281426</v>
      </c>
      <c r="I620" s="145">
        <f>Дефляторы!$D$25</f>
        <v>1.052</v>
      </c>
      <c r="J620" s="146">
        <f t="shared" si="234"/>
        <v>296060</v>
      </c>
      <c r="K620" s="146">
        <f t="shared" si="235"/>
        <v>291670</v>
      </c>
      <c r="L620" s="147"/>
      <c r="M620" s="147"/>
      <c r="N620" s="147"/>
    </row>
    <row r="621" spans="1:14" s="148" customFormat="1" ht="51" outlineLevel="3" x14ac:dyDescent="0.2">
      <c r="A621" s="95" t="s">
        <v>2139</v>
      </c>
      <c r="B621" s="42" t="s">
        <v>1607</v>
      </c>
      <c r="C621" s="42" t="s">
        <v>1597</v>
      </c>
      <c r="D621" s="100" t="s">
        <v>408</v>
      </c>
      <c r="E621" s="100">
        <v>1</v>
      </c>
      <c r="F621" s="149">
        <f>(48059/11+29686+4863/11)*(1.023*1.005-2.3%*15%)*6.99+0*4.09</f>
        <v>247082</v>
      </c>
      <c r="G621" s="145">
        <f t="shared" si="232"/>
        <v>1.139</v>
      </c>
      <c r="H621" s="146">
        <f t="shared" si="233"/>
        <v>281426</v>
      </c>
      <c r="I621" s="145">
        <f>Дефляторы!$D$25</f>
        <v>1.052</v>
      </c>
      <c r="J621" s="146">
        <f t="shared" si="234"/>
        <v>296060</v>
      </c>
      <c r="K621" s="146">
        <f t="shared" si="235"/>
        <v>291670</v>
      </c>
      <c r="L621" s="147"/>
      <c r="M621" s="147"/>
      <c r="N621" s="147"/>
    </row>
    <row r="622" spans="1:14" s="148" customFormat="1" ht="15.75" outlineLevel="3" x14ac:dyDescent="0.2">
      <c r="A622" s="95" t="s">
        <v>2140</v>
      </c>
      <c r="B622" s="42" t="s">
        <v>1608</v>
      </c>
      <c r="C622" s="42" t="s">
        <v>1559</v>
      </c>
      <c r="D622" s="100" t="s">
        <v>377</v>
      </c>
      <c r="E622" s="100">
        <v>7.2</v>
      </c>
      <c r="F622" s="149">
        <f>(3141)*(1.023*1.005-2.3%*15%)*6.99+0*4.09</f>
        <v>22497</v>
      </c>
      <c r="G622" s="145">
        <f t="shared" si="232"/>
        <v>1.139</v>
      </c>
      <c r="H622" s="146">
        <f t="shared" si="233"/>
        <v>25624</v>
      </c>
      <c r="I622" s="145">
        <f>Дефляторы!$D$25</f>
        <v>1.052</v>
      </c>
      <c r="J622" s="146">
        <f t="shared" si="234"/>
        <v>26956</v>
      </c>
      <c r="K622" s="146">
        <f t="shared" si="235"/>
        <v>26556</v>
      </c>
      <c r="L622" s="147"/>
      <c r="M622" s="147"/>
      <c r="N622" s="147"/>
    </row>
    <row r="623" spans="1:14" s="148" customFormat="1" ht="25.5" outlineLevel="3" x14ac:dyDescent="0.2">
      <c r="A623" s="95" t="s">
        <v>2141</v>
      </c>
      <c r="B623" s="42" t="s">
        <v>1610</v>
      </c>
      <c r="C623" s="42" t="s">
        <v>1609</v>
      </c>
      <c r="D623" s="100" t="s">
        <v>300</v>
      </c>
      <c r="E623" s="100">
        <v>12.6</v>
      </c>
      <c r="F623" s="149">
        <f>(38807)*(1.023*1.005-2.3%*15%)*6.99+0*4.09</f>
        <v>277952</v>
      </c>
      <c r="G623" s="145">
        <f t="shared" si="232"/>
        <v>1.139</v>
      </c>
      <c r="H623" s="146">
        <f t="shared" si="233"/>
        <v>316587</v>
      </c>
      <c r="I623" s="145">
        <f>Дефляторы!$D$25</f>
        <v>1.052</v>
      </c>
      <c r="J623" s="146">
        <f t="shared" si="234"/>
        <v>333050</v>
      </c>
      <c r="K623" s="146">
        <f t="shared" si="235"/>
        <v>328111</v>
      </c>
      <c r="L623" s="147"/>
      <c r="M623" s="147"/>
      <c r="N623" s="147"/>
    </row>
    <row r="624" spans="1:14" s="148" customFormat="1" ht="15.75" outlineLevel="3" x14ac:dyDescent="0.2">
      <c r="A624" s="95"/>
      <c r="B624" s="42"/>
      <c r="C624" s="42" t="s">
        <v>1612</v>
      </c>
      <c r="D624" s="100"/>
      <c r="E624" s="100"/>
      <c r="F624" s="149"/>
      <c r="G624" s="145"/>
      <c r="H624" s="146"/>
      <c r="I624" s="145">
        <f>Дефляторы!$D$25</f>
        <v>1.052</v>
      </c>
      <c r="J624" s="146"/>
      <c r="K624" s="146"/>
      <c r="L624" s="147"/>
      <c r="M624" s="147"/>
      <c r="N624" s="147"/>
    </row>
    <row r="625" spans="1:14" s="148" customFormat="1" ht="25.5" outlineLevel="3" x14ac:dyDescent="0.2">
      <c r="A625" s="95" t="s">
        <v>2142</v>
      </c>
      <c r="B625" s="42" t="s">
        <v>1613</v>
      </c>
      <c r="C625" s="42" t="s">
        <v>1611</v>
      </c>
      <c r="D625" s="100" t="s">
        <v>377</v>
      </c>
      <c r="E625" s="100">
        <v>3547</v>
      </c>
      <c r="F625" s="149">
        <f>(476378)*(1.023*1.005-2.3%*15%)*6.99+0*4.09</f>
        <v>3412014</v>
      </c>
      <c r="G625" s="145">
        <f>$G$766</f>
        <v>1.139</v>
      </c>
      <c r="H625" s="146">
        <f t="shared" ref="H625" si="236">F625*G625</f>
        <v>3886284</v>
      </c>
      <c r="I625" s="145">
        <f>Дефляторы!$D$25</f>
        <v>1.052</v>
      </c>
      <c r="J625" s="146">
        <f t="shared" ref="J625" si="237">H625*I625</f>
        <v>4088371</v>
      </c>
      <c r="K625" s="146">
        <f t="shared" ref="K625" si="238">H625+(J625-H625)*(1-30/100)</f>
        <v>4027745</v>
      </c>
      <c r="L625" s="147"/>
      <c r="M625" s="147"/>
      <c r="N625" s="147"/>
    </row>
    <row r="626" spans="1:14" s="237" customFormat="1" ht="15.75" outlineLevel="2" x14ac:dyDescent="0.2">
      <c r="A626" s="238" t="s">
        <v>514</v>
      </c>
      <c r="B626" s="229" t="s">
        <v>241</v>
      </c>
      <c r="C626" s="229" t="s">
        <v>242</v>
      </c>
      <c r="D626" s="239" t="s">
        <v>292</v>
      </c>
      <c r="E626" s="240">
        <v>1</v>
      </c>
      <c r="F626" s="240">
        <f>SUM(F627:F631)</f>
        <v>24530069</v>
      </c>
      <c r="G626" s="241"/>
      <c r="H626" s="240">
        <f>SUM(H627:H631)</f>
        <v>27939748</v>
      </c>
      <c r="I626" s="241">
        <f>Дефляторы!$D$25</f>
        <v>1.052</v>
      </c>
      <c r="J626" s="240">
        <f>SUM(J627:J631)</f>
        <v>29392615</v>
      </c>
      <c r="K626" s="240">
        <f>SUM(K627:K631)</f>
        <v>28956755</v>
      </c>
      <c r="L626" s="256"/>
      <c r="M626" s="256"/>
      <c r="N626" s="256"/>
    </row>
    <row r="627" spans="1:14" s="148" customFormat="1" ht="15.75" outlineLevel="3" x14ac:dyDescent="0.2">
      <c r="A627" s="95"/>
      <c r="B627" s="42"/>
      <c r="C627" s="42" t="s">
        <v>1614</v>
      </c>
      <c r="D627" s="100"/>
      <c r="E627" s="100"/>
      <c r="F627" s="149"/>
      <c r="G627" s="145"/>
      <c r="H627" s="146"/>
      <c r="I627" s="145">
        <f>Дефляторы!$D$25</f>
        <v>1.052</v>
      </c>
      <c r="J627" s="146"/>
      <c r="K627" s="146"/>
      <c r="L627" s="147"/>
      <c r="M627" s="147"/>
      <c r="N627" s="147"/>
    </row>
    <row r="628" spans="1:14" s="148" customFormat="1" ht="51" outlineLevel="3" x14ac:dyDescent="0.2">
      <c r="A628" s="95" t="s">
        <v>2143</v>
      </c>
      <c r="B628" s="42" t="s">
        <v>1616</v>
      </c>
      <c r="C628" s="42" t="s">
        <v>1615</v>
      </c>
      <c r="D628" s="100" t="s">
        <v>408</v>
      </c>
      <c r="E628" s="100">
        <v>2</v>
      </c>
      <c r="F628" s="149">
        <f>(3489)*(1.023*1.005-2.3%*15%)*6.99+5297474*4.09+13</f>
        <v>21691671</v>
      </c>
      <c r="G628" s="145">
        <f>$G$766</f>
        <v>1.139</v>
      </c>
      <c r="H628" s="146">
        <f t="shared" ref="H628:H631" si="239">F628*G628</f>
        <v>24706813</v>
      </c>
      <c r="I628" s="145">
        <f>Дефляторы!$D$25</f>
        <v>1.052</v>
      </c>
      <c r="J628" s="146">
        <f t="shared" ref="J628:J631" si="240">H628*I628</f>
        <v>25991567</v>
      </c>
      <c r="K628" s="146">
        <f t="shared" ref="K628:K631" si="241">H628+(J628-H628)*(1-30/100)</f>
        <v>25606141</v>
      </c>
      <c r="L628" s="147"/>
      <c r="M628" s="147"/>
      <c r="N628" s="147"/>
    </row>
    <row r="629" spans="1:14" s="148" customFormat="1" ht="63.75" outlineLevel="3" x14ac:dyDescent="0.2">
      <c r="A629" s="95" t="s">
        <v>2144</v>
      </c>
      <c r="B629" s="42" t="s">
        <v>1618</v>
      </c>
      <c r="C629" s="42" t="s">
        <v>1617</v>
      </c>
      <c r="D629" s="100" t="s">
        <v>408</v>
      </c>
      <c r="E629" s="100">
        <v>1</v>
      </c>
      <c r="F629" s="149">
        <f>(1392)*(1.023*1.005-2.3%*15%)*6.99+461654*4.09</f>
        <v>1898135</v>
      </c>
      <c r="G629" s="145">
        <f>$G$766</f>
        <v>1.139</v>
      </c>
      <c r="H629" s="146">
        <f t="shared" si="239"/>
        <v>2161976</v>
      </c>
      <c r="I629" s="145">
        <f>Дефляторы!$D$25</f>
        <v>1.052</v>
      </c>
      <c r="J629" s="146">
        <f t="shared" si="240"/>
        <v>2274399</v>
      </c>
      <c r="K629" s="146">
        <f t="shared" si="241"/>
        <v>2240672</v>
      </c>
      <c r="L629" s="147"/>
      <c r="M629" s="147"/>
      <c r="N629" s="147"/>
    </row>
    <row r="630" spans="1:14" s="148" customFormat="1" ht="76.5" outlineLevel="3" x14ac:dyDescent="0.2">
      <c r="A630" s="95" t="s">
        <v>2145</v>
      </c>
      <c r="B630" s="42" t="s">
        <v>1620</v>
      </c>
      <c r="C630" s="42" t="s">
        <v>1619</v>
      </c>
      <c r="D630" s="100" t="s">
        <v>408</v>
      </c>
      <c r="E630" s="100">
        <v>1</v>
      </c>
      <c r="F630" s="149">
        <f>(1043)*(1.023*1.005-2.3%*15%)*6.99+112828*4.09</f>
        <v>468937</v>
      </c>
      <c r="G630" s="145">
        <f>$G$766</f>
        <v>1.139</v>
      </c>
      <c r="H630" s="146">
        <f t="shared" si="239"/>
        <v>534119</v>
      </c>
      <c r="I630" s="145">
        <f>Дефляторы!$D$25</f>
        <v>1.052</v>
      </c>
      <c r="J630" s="146">
        <f t="shared" si="240"/>
        <v>561893</v>
      </c>
      <c r="K630" s="146">
        <f t="shared" si="241"/>
        <v>553561</v>
      </c>
      <c r="L630" s="147"/>
      <c r="M630" s="147"/>
      <c r="N630" s="147"/>
    </row>
    <row r="631" spans="1:14" s="148" customFormat="1" ht="51" outlineLevel="3" x14ac:dyDescent="0.2">
      <c r="A631" s="95" t="s">
        <v>2146</v>
      </c>
      <c r="B631" s="42" t="s">
        <v>1622</v>
      </c>
      <c r="C631" s="42" t="s">
        <v>1621</v>
      </c>
      <c r="D631" s="100" t="s">
        <v>408</v>
      </c>
      <c r="E631" s="100">
        <v>1</v>
      </c>
      <c r="F631" s="149">
        <f>(1746)*(1.023*1.005-2.3%*15%)*6.99+112181*4.09</f>
        <v>471326</v>
      </c>
      <c r="G631" s="145">
        <f>$G$766</f>
        <v>1.139</v>
      </c>
      <c r="H631" s="146">
        <f t="shared" si="239"/>
        <v>536840</v>
      </c>
      <c r="I631" s="145">
        <f>Дефляторы!$D$25</f>
        <v>1.052</v>
      </c>
      <c r="J631" s="146">
        <f t="shared" si="240"/>
        <v>564756</v>
      </c>
      <c r="K631" s="146">
        <f t="shared" si="241"/>
        <v>556381</v>
      </c>
      <c r="L631" s="147"/>
      <c r="M631" s="147"/>
      <c r="N631" s="147"/>
    </row>
    <row r="632" spans="1:14" s="148" customFormat="1" ht="25.5" outlineLevel="2" x14ac:dyDescent="0.2">
      <c r="A632" s="238" t="s">
        <v>515</v>
      </c>
      <c r="B632" s="229" t="s">
        <v>243</v>
      </c>
      <c r="C632" s="229" t="s">
        <v>244</v>
      </c>
      <c r="D632" s="239" t="s">
        <v>292</v>
      </c>
      <c r="E632" s="240">
        <v>1</v>
      </c>
      <c r="F632" s="240">
        <f>SUM(F633:F669)</f>
        <v>5682368</v>
      </c>
      <c r="G632" s="241"/>
      <c r="H632" s="240">
        <f>SUM(H633:H669)</f>
        <v>6472218</v>
      </c>
      <c r="I632" s="241">
        <f>Дефляторы!$D$25</f>
        <v>1.052</v>
      </c>
      <c r="J632" s="240">
        <f>SUM(J633:J669)</f>
        <v>6808775</v>
      </c>
      <c r="K632" s="240">
        <f>SUM(K633:K669)</f>
        <v>6707808</v>
      </c>
      <c r="L632" s="147"/>
      <c r="M632" s="147"/>
      <c r="N632" s="147"/>
    </row>
    <row r="633" spans="1:14" s="148" customFormat="1" ht="25.5" outlineLevel="3" x14ac:dyDescent="0.2">
      <c r="A633" s="95"/>
      <c r="B633" s="42"/>
      <c r="C633" s="157" t="s">
        <v>1623</v>
      </c>
      <c r="D633" s="100"/>
      <c r="E633" s="100"/>
      <c r="F633" s="149"/>
      <c r="G633" s="145"/>
      <c r="H633" s="146"/>
      <c r="I633" s="145">
        <f>Дефляторы!$D$25</f>
        <v>1.052</v>
      </c>
      <c r="J633" s="146"/>
      <c r="K633" s="146"/>
      <c r="L633" s="147"/>
      <c r="M633" s="147"/>
      <c r="N633" s="147"/>
    </row>
    <row r="634" spans="1:14" s="148" customFormat="1" ht="15.75" outlineLevel="3" x14ac:dyDescent="0.2">
      <c r="A634" s="95"/>
      <c r="B634" s="42"/>
      <c r="C634" s="42" t="s">
        <v>367</v>
      </c>
      <c r="D634" s="100"/>
      <c r="E634" s="100"/>
      <c r="F634" s="149"/>
      <c r="G634" s="145"/>
      <c r="H634" s="146"/>
      <c r="I634" s="145">
        <f>Дефляторы!$D$25</f>
        <v>1.052</v>
      </c>
      <c r="J634" s="146"/>
      <c r="K634" s="146"/>
      <c r="L634" s="147"/>
      <c r="M634" s="147"/>
      <c r="N634" s="147"/>
    </row>
    <row r="635" spans="1:14" s="148" customFormat="1" ht="25.5" outlineLevel="3" x14ac:dyDescent="0.2">
      <c r="A635" s="95" t="s">
        <v>2147</v>
      </c>
      <c r="B635" s="42" t="s">
        <v>1624</v>
      </c>
      <c r="C635" s="42" t="s">
        <v>356</v>
      </c>
      <c r="D635" s="100" t="s">
        <v>300</v>
      </c>
      <c r="E635" s="100">
        <f>122.5</f>
        <v>122.5</v>
      </c>
      <c r="F635" s="149">
        <f>(24427)*(1.023*1.005-2.3%*15%)*6.99+0*4.09+13</f>
        <v>174969</v>
      </c>
      <c r="G635" s="145">
        <f>$G$766</f>
        <v>1.139</v>
      </c>
      <c r="H635" s="146">
        <f t="shared" ref="H635:H639" si="242">F635*G635</f>
        <v>199290</v>
      </c>
      <c r="I635" s="145">
        <f>Дефляторы!$D$25</f>
        <v>1.052</v>
      </c>
      <c r="J635" s="146">
        <f t="shared" ref="J635:J639" si="243">H635*I635</f>
        <v>209653</v>
      </c>
      <c r="K635" s="146">
        <f t="shared" ref="K635:K639" si="244">H635+(J635-H635)*(1-30/100)</f>
        <v>206544</v>
      </c>
      <c r="L635" s="147"/>
      <c r="M635" s="147"/>
      <c r="N635" s="147"/>
    </row>
    <row r="636" spans="1:14" s="148" customFormat="1" ht="15.75" outlineLevel="3" x14ac:dyDescent="0.2">
      <c r="A636" s="95" t="s">
        <v>2148</v>
      </c>
      <c r="B636" s="42" t="s">
        <v>1626</v>
      </c>
      <c r="C636" s="42" t="s">
        <v>1625</v>
      </c>
      <c r="D636" s="100" t="s">
        <v>300</v>
      </c>
      <c r="E636" s="100">
        <f>85.6</f>
        <v>85.6</v>
      </c>
      <c r="F636" s="149">
        <f>(1451)*(1.023*1.005-2.3%*15%)*6.99+0*4.09</f>
        <v>10393</v>
      </c>
      <c r="G636" s="145">
        <f>$G$766</f>
        <v>1.139</v>
      </c>
      <c r="H636" s="146">
        <f t="shared" si="242"/>
        <v>11838</v>
      </c>
      <c r="I636" s="145">
        <f>Дефляторы!$D$25</f>
        <v>1.052</v>
      </c>
      <c r="J636" s="146">
        <f t="shared" si="243"/>
        <v>12454</v>
      </c>
      <c r="K636" s="146">
        <f t="shared" si="244"/>
        <v>12269</v>
      </c>
      <c r="L636" s="147"/>
      <c r="M636" s="147"/>
      <c r="N636" s="147"/>
    </row>
    <row r="637" spans="1:14" s="148" customFormat="1" ht="25.5" outlineLevel="3" x14ac:dyDescent="0.2">
      <c r="A637" s="95" t="s">
        <v>2149</v>
      </c>
      <c r="B637" s="42" t="s">
        <v>1628</v>
      </c>
      <c r="C637" s="42" t="s">
        <v>1627</v>
      </c>
      <c r="D637" s="100" t="s">
        <v>300</v>
      </c>
      <c r="E637" s="100">
        <f>36.9</f>
        <v>36.9</v>
      </c>
      <c r="F637" s="149">
        <f>(1250)*(1.023*1.005-2.3%*15%)*6.99+0*4.09</f>
        <v>8953</v>
      </c>
      <c r="G637" s="145">
        <f>$G$766</f>
        <v>1.139</v>
      </c>
      <c r="H637" s="146">
        <f t="shared" si="242"/>
        <v>10197</v>
      </c>
      <c r="I637" s="145">
        <f>Дефляторы!$D$25</f>
        <v>1.052</v>
      </c>
      <c r="J637" s="146">
        <f t="shared" si="243"/>
        <v>10727</v>
      </c>
      <c r="K637" s="146">
        <f t="shared" si="244"/>
        <v>10568</v>
      </c>
      <c r="L637" s="147"/>
      <c r="M637" s="147"/>
      <c r="N637" s="147"/>
    </row>
    <row r="638" spans="1:14" s="148" customFormat="1" ht="25.5" outlineLevel="3" x14ac:dyDescent="0.2">
      <c r="A638" s="95" t="s">
        <v>2150</v>
      </c>
      <c r="B638" s="42" t="s">
        <v>1629</v>
      </c>
      <c r="C638" s="42" t="s">
        <v>1051</v>
      </c>
      <c r="D638" s="100" t="s">
        <v>300</v>
      </c>
      <c r="E638" s="100">
        <f>85.6</f>
        <v>85.6</v>
      </c>
      <c r="F638" s="149">
        <f>(1103)*(1.023*1.005-2.3%*15%)*6.99+0*4.09</f>
        <v>7900</v>
      </c>
      <c r="G638" s="145">
        <f>$G$766</f>
        <v>1.139</v>
      </c>
      <c r="H638" s="146">
        <f t="shared" si="242"/>
        <v>8998</v>
      </c>
      <c r="I638" s="145">
        <f>Дефляторы!$D$25</f>
        <v>1.052</v>
      </c>
      <c r="J638" s="146">
        <f t="shared" si="243"/>
        <v>9466</v>
      </c>
      <c r="K638" s="146">
        <f t="shared" si="244"/>
        <v>9326</v>
      </c>
      <c r="L638" s="147"/>
      <c r="M638" s="147"/>
      <c r="N638" s="147"/>
    </row>
    <row r="639" spans="1:14" s="148" customFormat="1" ht="15.75" outlineLevel="3" x14ac:dyDescent="0.2">
      <c r="A639" s="95" t="s">
        <v>2151</v>
      </c>
      <c r="B639" s="42" t="s">
        <v>1631</v>
      </c>
      <c r="C639" s="42" t="s">
        <v>1630</v>
      </c>
      <c r="D639" s="100" t="s">
        <v>300</v>
      </c>
      <c r="E639" s="100">
        <f>17.51</f>
        <v>17.510000000000002</v>
      </c>
      <c r="F639" s="149">
        <f>(70955)*(1.023*1.005-2.3%*15%)*6.99+0*4.09</f>
        <v>508209</v>
      </c>
      <c r="G639" s="145">
        <f>$G$766</f>
        <v>1.139</v>
      </c>
      <c r="H639" s="146">
        <f t="shared" si="242"/>
        <v>578850</v>
      </c>
      <c r="I639" s="145">
        <f>Дефляторы!$D$25</f>
        <v>1.052</v>
      </c>
      <c r="J639" s="146">
        <f t="shared" si="243"/>
        <v>608950</v>
      </c>
      <c r="K639" s="146">
        <f t="shared" si="244"/>
        <v>599920</v>
      </c>
      <c r="L639" s="147"/>
      <c r="M639" s="147"/>
      <c r="N639" s="147"/>
    </row>
    <row r="640" spans="1:14" s="148" customFormat="1" ht="15.75" outlineLevel="3" x14ac:dyDescent="0.2">
      <c r="A640" s="95"/>
      <c r="B640" s="42"/>
      <c r="C640" s="157" t="s">
        <v>1632</v>
      </c>
      <c r="D640" s="100"/>
      <c r="E640" s="100"/>
      <c r="F640" s="149"/>
      <c r="G640" s="145"/>
      <c r="H640" s="146"/>
      <c r="I640" s="145">
        <f>Дефляторы!$D$25</f>
        <v>1.052</v>
      </c>
      <c r="J640" s="146"/>
      <c r="K640" s="146"/>
      <c r="L640" s="147"/>
      <c r="M640" s="147"/>
      <c r="N640" s="147"/>
    </row>
    <row r="641" spans="1:14" s="148" customFormat="1" ht="15.75" outlineLevel="3" x14ac:dyDescent="0.2">
      <c r="A641" s="95"/>
      <c r="B641" s="42"/>
      <c r="C641" s="42" t="s">
        <v>367</v>
      </c>
      <c r="D641" s="100"/>
      <c r="E641" s="100"/>
      <c r="F641" s="149"/>
      <c r="G641" s="145"/>
      <c r="H641" s="146"/>
      <c r="I641" s="145">
        <f>Дефляторы!$D$25</f>
        <v>1.052</v>
      </c>
      <c r="J641" s="146"/>
      <c r="K641" s="146"/>
      <c r="L641" s="147"/>
      <c r="M641" s="147"/>
      <c r="N641" s="147"/>
    </row>
    <row r="642" spans="1:14" s="148" customFormat="1" ht="25.5" outlineLevel="3" x14ac:dyDescent="0.2">
      <c r="A642" s="95" t="s">
        <v>2152</v>
      </c>
      <c r="B642" s="42" t="s">
        <v>1633</v>
      </c>
      <c r="C642" s="42" t="s">
        <v>356</v>
      </c>
      <c r="D642" s="100" t="s">
        <v>300</v>
      </c>
      <c r="E642" s="100">
        <f>486.4</f>
        <v>486.4</v>
      </c>
      <c r="F642" s="149">
        <f>(96993)*(1.023*1.005-2.3%*15%)*6.99+0*4.09</f>
        <v>694703</v>
      </c>
      <c r="G642" s="145">
        <f t="shared" ref="G642:G647" si="245">$G$766</f>
        <v>1.139</v>
      </c>
      <c r="H642" s="146">
        <f t="shared" ref="H642:H647" si="246">F642*G642</f>
        <v>791267</v>
      </c>
      <c r="I642" s="145">
        <f>Дефляторы!$D$25</f>
        <v>1.052</v>
      </c>
      <c r="J642" s="146">
        <f t="shared" ref="J642:J647" si="247">H642*I642</f>
        <v>832413</v>
      </c>
      <c r="K642" s="146">
        <f t="shared" ref="K642:K647" si="248">H642+(J642-H642)*(1-30/100)</f>
        <v>820069</v>
      </c>
      <c r="L642" s="147"/>
      <c r="M642" s="147"/>
      <c r="N642" s="147"/>
    </row>
    <row r="643" spans="1:14" s="148" customFormat="1" ht="15.75" outlineLevel="3" x14ac:dyDescent="0.2">
      <c r="A643" s="95" t="s">
        <v>2153</v>
      </c>
      <c r="B643" s="42" t="s">
        <v>1634</v>
      </c>
      <c r="C643" s="42" t="s">
        <v>1625</v>
      </c>
      <c r="D643" s="100" t="s">
        <v>300</v>
      </c>
      <c r="E643" s="100">
        <f>324.9</f>
        <v>324.89999999999998</v>
      </c>
      <c r="F643" s="149">
        <f>(5514)*(1.023*1.005-2.3%*15%)*6.99+0*4.09</f>
        <v>39494</v>
      </c>
      <c r="G643" s="145">
        <f t="shared" si="245"/>
        <v>1.139</v>
      </c>
      <c r="H643" s="146">
        <f t="shared" si="246"/>
        <v>44984</v>
      </c>
      <c r="I643" s="145">
        <f>Дефляторы!$D$25</f>
        <v>1.052</v>
      </c>
      <c r="J643" s="146">
        <f t="shared" si="247"/>
        <v>47323</v>
      </c>
      <c r="K643" s="146">
        <f t="shared" si="248"/>
        <v>46621</v>
      </c>
      <c r="L643" s="147"/>
      <c r="M643" s="147"/>
      <c r="N643" s="147"/>
    </row>
    <row r="644" spans="1:14" s="148" customFormat="1" ht="25.5" outlineLevel="3" x14ac:dyDescent="0.2">
      <c r="A644" s="95" t="s">
        <v>2154</v>
      </c>
      <c r="B644" s="42" t="s">
        <v>1635</v>
      </c>
      <c r="C644" s="42" t="s">
        <v>1627</v>
      </c>
      <c r="D644" s="100" t="s">
        <v>300</v>
      </c>
      <c r="E644" s="100">
        <f>161.5</f>
        <v>161.5</v>
      </c>
      <c r="F644" s="149">
        <f>(5470)*(1.023*1.005-2.3%*15%)*6.99+0*4.09</f>
        <v>39178</v>
      </c>
      <c r="G644" s="145">
        <f t="shared" si="245"/>
        <v>1.139</v>
      </c>
      <c r="H644" s="146">
        <f t="shared" si="246"/>
        <v>44624</v>
      </c>
      <c r="I644" s="145">
        <f>Дефляторы!$D$25</f>
        <v>1.052</v>
      </c>
      <c r="J644" s="146">
        <f t="shared" si="247"/>
        <v>46944</v>
      </c>
      <c r="K644" s="146">
        <f t="shared" si="248"/>
        <v>46248</v>
      </c>
      <c r="L644" s="147"/>
      <c r="M644" s="147"/>
      <c r="N644" s="147"/>
    </row>
    <row r="645" spans="1:14" s="148" customFormat="1" ht="25.5" outlineLevel="3" x14ac:dyDescent="0.2">
      <c r="A645" s="95" t="s">
        <v>2155</v>
      </c>
      <c r="B645" s="42" t="s">
        <v>1636</v>
      </c>
      <c r="C645" s="42" t="s">
        <v>1051</v>
      </c>
      <c r="D645" s="100" t="s">
        <v>300</v>
      </c>
      <c r="E645" s="100">
        <f>324.9</f>
        <v>324.89999999999998</v>
      </c>
      <c r="F645" s="149">
        <f>(4180)*(1.023*1.005-2.3%*15%)*6.99+0*4.09</f>
        <v>29939</v>
      </c>
      <c r="G645" s="145">
        <f t="shared" si="245"/>
        <v>1.139</v>
      </c>
      <c r="H645" s="146">
        <f t="shared" si="246"/>
        <v>34101</v>
      </c>
      <c r="I645" s="145">
        <f>Дефляторы!$D$25</f>
        <v>1.052</v>
      </c>
      <c r="J645" s="146">
        <f t="shared" si="247"/>
        <v>35874</v>
      </c>
      <c r="K645" s="146">
        <f t="shared" si="248"/>
        <v>35342</v>
      </c>
      <c r="L645" s="147"/>
      <c r="M645" s="147"/>
      <c r="N645" s="147"/>
    </row>
    <row r="646" spans="1:14" s="148" customFormat="1" ht="15.75" outlineLevel="3" x14ac:dyDescent="0.2">
      <c r="A646" s="95" t="s">
        <v>2156</v>
      </c>
      <c r="B646" s="42" t="s">
        <v>1638</v>
      </c>
      <c r="C646" s="42" t="s">
        <v>1637</v>
      </c>
      <c r="D646" s="100" t="s">
        <v>300</v>
      </c>
      <c r="E646" s="100">
        <f>62.2</f>
        <v>62.2</v>
      </c>
      <c r="F646" s="149">
        <f>(801)*(1.023*1.005-2.3%*15%)*6.99+0*4.09</f>
        <v>5737</v>
      </c>
      <c r="G646" s="145">
        <f t="shared" si="245"/>
        <v>1.139</v>
      </c>
      <c r="H646" s="146">
        <f t="shared" si="246"/>
        <v>6534</v>
      </c>
      <c r="I646" s="145">
        <f>Дефляторы!$D$25</f>
        <v>1.052</v>
      </c>
      <c r="J646" s="146">
        <f t="shared" si="247"/>
        <v>6874</v>
      </c>
      <c r="K646" s="146">
        <f t="shared" si="248"/>
        <v>6772</v>
      </c>
      <c r="L646" s="147"/>
      <c r="M646" s="147"/>
      <c r="N646" s="147"/>
    </row>
    <row r="647" spans="1:14" s="148" customFormat="1" ht="15.75" outlineLevel="3" x14ac:dyDescent="0.2">
      <c r="A647" s="95" t="s">
        <v>2157</v>
      </c>
      <c r="B647" s="42" t="s">
        <v>1640</v>
      </c>
      <c r="C647" s="42" t="s">
        <v>1639</v>
      </c>
      <c r="D647" s="100" t="s">
        <v>292</v>
      </c>
      <c r="E647" s="100">
        <v>1</v>
      </c>
      <c r="F647" s="149">
        <f>(182397)*(1.023*1.005-2.3%*15%)*6.99+0*4.09</f>
        <v>1306402</v>
      </c>
      <c r="G647" s="145">
        <f t="shared" si="245"/>
        <v>1.139</v>
      </c>
      <c r="H647" s="146">
        <f t="shared" si="246"/>
        <v>1487992</v>
      </c>
      <c r="I647" s="145">
        <f>Дефляторы!$D$25</f>
        <v>1.052</v>
      </c>
      <c r="J647" s="146">
        <f t="shared" si="247"/>
        <v>1565368</v>
      </c>
      <c r="K647" s="146">
        <f t="shared" si="248"/>
        <v>1542155</v>
      </c>
      <c r="L647" s="147"/>
      <c r="M647" s="147"/>
      <c r="N647" s="147"/>
    </row>
    <row r="648" spans="1:14" s="148" customFormat="1" ht="25.5" outlineLevel="3" x14ac:dyDescent="0.2">
      <c r="A648" s="95"/>
      <c r="B648" s="42"/>
      <c r="C648" s="157" t="s">
        <v>1641</v>
      </c>
      <c r="D648" s="100"/>
      <c r="E648" s="100"/>
      <c r="F648" s="149"/>
      <c r="G648" s="145"/>
      <c r="H648" s="146"/>
      <c r="I648" s="145">
        <f>Дефляторы!$D$25</f>
        <v>1.052</v>
      </c>
      <c r="J648" s="146"/>
      <c r="K648" s="146"/>
      <c r="L648" s="147"/>
      <c r="M648" s="147"/>
      <c r="N648" s="147"/>
    </row>
    <row r="649" spans="1:14" s="148" customFormat="1" ht="15.75" outlineLevel="3" x14ac:dyDescent="0.2">
      <c r="A649" s="95"/>
      <c r="B649" s="42"/>
      <c r="C649" s="42" t="s">
        <v>367</v>
      </c>
      <c r="D649" s="100"/>
      <c r="E649" s="100"/>
      <c r="F649" s="149"/>
      <c r="G649" s="145"/>
      <c r="H649" s="146"/>
      <c r="I649" s="145">
        <f>Дефляторы!$D$25</f>
        <v>1.052</v>
      </c>
      <c r="J649" s="146"/>
      <c r="K649" s="146"/>
      <c r="L649" s="147"/>
      <c r="M649" s="147"/>
      <c r="N649" s="147"/>
    </row>
    <row r="650" spans="1:14" s="148" customFormat="1" ht="25.5" outlineLevel="3" x14ac:dyDescent="0.2">
      <c r="A650" s="95" t="s">
        <v>2158</v>
      </c>
      <c r="B650" s="42" t="s">
        <v>1642</v>
      </c>
      <c r="C650" s="42" t="s">
        <v>356</v>
      </c>
      <c r="D650" s="100" t="s">
        <v>300</v>
      </c>
      <c r="E650" s="100">
        <f>320+66.2</f>
        <v>386.2</v>
      </c>
      <c r="F650" s="149">
        <f>(77012)*(1.023*1.005-2.3%*15%)*6.99+0*4.09</f>
        <v>551591</v>
      </c>
      <c r="G650" s="145">
        <f t="shared" ref="G650:G655" si="249">$G$766</f>
        <v>1.139</v>
      </c>
      <c r="H650" s="146">
        <f t="shared" ref="H650:H655" si="250">F650*G650</f>
        <v>628262</v>
      </c>
      <c r="I650" s="145">
        <f>Дефляторы!$D$25</f>
        <v>1.052</v>
      </c>
      <c r="J650" s="146">
        <f t="shared" ref="J650:J655" si="251">H650*I650</f>
        <v>660932</v>
      </c>
      <c r="K650" s="146">
        <f t="shared" ref="K650:K655" si="252">H650+(J650-H650)*(1-30/100)</f>
        <v>651131</v>
      </c>
      <c r="L650" s="147"/>
      <c r="M650" s="147"/>
      <c r="N650" s="147"/>
    </row>
    <row r="651" spans="1:14" s="148" customFormat="1" ht="15.75" outlineLevel="3" x14ac:dyDescent="0.2">
      <c r="A651" s="95" t="s">
        <v>2159</v>
      </c>
      <c r="B651" s="42" t="s">
        <v>1643</v>
      </c>
      <c r="C651" s="42" t="s">
        <v>1625</v>
      </c>
      <c r="D651" s="100" t="s">
        <v>300</v>
      </c>
      <c r="E651" s="100">
        <f>320+66.2</f>
        <v>386.2</v>
      </c>
      <c r="F651" s="149">
        <f>(6554)*(1.023*1.005-2.3%*15%)*6.99+0*4.09</f>
        <v>46942</v>
      </c>
      <c r="G651" s="145">
        <f t="shared" si="249"/>
        <v>1.139</v>
      </c>
      <c r="H651" s="146">
        <f t="shared" si="250"/>
        <v>53467</v>
      </c>
      <c r="I651" s="145">
        <f>Дефляторы!$D$25</f>
        <v>1.052</v>
      </c>
      <c r="J651" s="146">
        <f t="shared" si="251"/>
        <v>56247</v>
      </c>
      <c r="K651" s="146">
        <f t="shared" si="252"/>
        <v>55413</v>
      </c>
      <c r="L651" s="147"/>
      <c r="M651" s="147"/>
      <c r="N651" s="147"/>
    </row>
    <row r="652" spans="1:14" s="148" customFormat="1" ht="25.5" outlineLevel="3" x14ac:dyDescent="0.2">
      <c r="A652" s="95" t="s">
        <v>2160</v>
      </c>
      <c r="B652" s="42" t="s">
        <v>1644</v>
      </c>
      <c r="C652" s="42" t="s">
        <v>1627</v>
      </c>
      <c r="D652" s="100" t="s">
        <v>300</v>
      </c>
      <c r="E652" s="100">
        <f>65.8</f>
        <v>65.8</v>
      </c>
      <c r="F652" s="149">
        <f>(2228)*(1.023*1.005-2.3%*15%)*6.99+0*4.09</f>
        <v>15958</v>
      </c>
      <c r="G652" s="145">
        <f t="shared" si="249"/>
        <v>1.139</v>
      </c>
      <c r="H652" s="146">
        <f t="shared" si="250"/>
        <v>18176</v>
      </c>
      <c r="I652" s="145">
        <f>Дефляторы!$D$25</f>
        <v>1.052</v>
      </c>
      <c r="J652" s="146">
        <f t="shared" si="251"/>
        <v>19121</v>
      </c>
      <c r="K652" s="146">
        <f t="shared" si="252"/>
        <v>18838</v>
      </c>
      <c r="L652" s="147" t="s">
        <v>1645</v>
      </c>
      <c r="M652" s="147"/>
      <c r="N652" s="147"/>
    </row>
    <row r="653" spans="1:14" s="148" customFormat="1" ht="25.5" outlineLevel="3" x14ac:dyDescent="0.2">
      <c r="A653" s="95" t="s">
        <v>2161</v>
      </c>
      <c r="B653" s="42" t="s">
        <v>1646</v>
      </c>
      <c r="C653" s="42" t="s">
        <v>1051</v>
      </c>
      <c r="D653" s="100" t="s">
        <v>300</v>
      </c>
      <c r="E653" s="100">
        <f>320.4</f>
        <v>320.39999999999998</v>
      </c>
      <c r="F653" s="149">
        <f>(4123)*(1.023*1.005-2.3%*15%)*6.99+0*4.09</f>
        <v>29531</v>
      </c>
      <c r="G653" s="145">
        <f t="shared" si="249"/>
        <v>1.139</v>
      </c>
      <c r="H653" s="146">
        <f t="shared" si="250"/>
        <v>33636</v>
      </c>
      <c r="I653" s="145">
        <f>Дефляторы!$D$25</f>
        <v>1.052</v>
      </c>
      <c r="J653" s="146">
        <f t="shared" si="251"/>
        <v>35385</v>
      </c>
      <c r="K653" s="146">
        <f t="shared" si="252"/>
        <v>34860</v>
      </c>
      <c r="L653" s="147"/>
      <c r="M653" s="147"/>
      <c r="N653" s="147"/>
    </row>
    <row r="654" spans="1:14" s="148" customFormat="1" ht="15.75" outlineLevel="3" x14ac:dyDescent="0.2">
      <c r="A654" s="95" t="s">
        <v>2162</v>
      </c>
      <c r="B654" s="42" t="s">
        <v>1647</v>
      </c>
      <c r="C654" s="42" t="s">
        <v>1630</v>
      </c>
      <c r="D654" s="100" t="s">
        <v>300</v>
      </c>
      <c r="E654" s="100">
        <f>53.04</f>
        <v>53.04</v>
      </c>
      <c r="F654" s="149">
        <f>(198554)*(1.023*1.005-2.3%*15%)*6.99+0*4.09</f>
        <v>1422125</v>
      </c>
      <c r="G654" s="145">
        <f t="shared" si="249"/>
        <v>1.139</v>
      </c>
      <c r="H654" s="146">
        <f t="shared" si="250"/>
        <v>1619800</v>
      </c>
      <c r="I654" s="145">
        <f>Дефляторы!$D$25</f>
        <v>1.052</v>
      </c>
      <c r="J654" s="146">
        <f t="shared" si="251"/>
        <v>1704030</v>
      </c>
      <c r="K654" s="146">
        <f t="shared" si="252"/>
        <v>1678761</v>
      </c>
      <c r="L654" s="147"/>
      <c r="M654" s="147"/>
      <c r="N654" s="147"/>
    </row>
    <row r="655" spans="1:14" s="148" customFormat="1" ht="15.75" outlineLevel="3" x14ac:dyDescent="0.2">
      <c r="A655" s="95" t="s">
        <v>2163</v>
      </c>
      <c r="B655" s="42" t="s">
        <v>1649</v>
      </c>
      <c r="C655" s="42" t="s">
        <v>1648</v>
      </c>
      <c r="D655" s="100" t="s">
        <v>300</v>
      </c>
      <c r="E655" s="100">
        <f>5.76</f>
        <v>5.76</v>
      </c>
      <c r="F655" s="149">
        <f>(29176)*(1.023*1.005-2.3%*15%)*6.99+0*4.09</f>
        <v>208970</v>
      </c>
      <c r="G655" s="145">
        <f t="shared" si="249"/>
        <v>1.139</v>
      </c>
      <c r="H655" s="146">
        <f t="shared" si="250"/>
        <v>238017</v>
      </c>
      <c r="I655" s="145">
        <f>Дефляторы!$D$25</f>
        <v>1.052</v>
      </c>
      <c r="J655" s="146">
        <f t="shared" si="251"/>
        <v>250394</v>
      </c>
      <c r="K655" s="146">
        <f t="shared" si="252"/>
        <v>246681</v>
      </c>
      <c r="L655" s="147"/>
      <c r="M655" s="147"/>
      <c r="N655" s="147"/>
    </row>
    <row r="656" spans="1:14" s="148" customFormat="1" ht="25.5" outlineLevel="3" x14ac:dyDescent="0.2">
      <c r="A656" s="95"/>
      <c r="B656" s="42"/>
      <c r="C656" s="42" t="s">
        <v>1650</v>
      </c>
      <c r="D656" s="100"/>
      <c r="E656" s="100"/>
      <c r="F656" s="149"/>
      <c r="G656" s="145"/>
      <c r="H656" s="146"/>
      <c r="I656" s="145">
        <f>Дефляторы!$D$25</f>
        <v>1.052</v>
      </c>
      <c r="J656" s="146"/>
      <c r="K656" s="146"/>
      <c r="L656" s="147"/>
      <c r="M656" s="147"/>
      <c r="N656" s="147"/>
    </row>
    <row r="657" spans="1:14" s="148" customFormat="1" ht="15.75" outlineLevel="3" x14ac:dyDescent="0.2">
      <c r="A657" s="95"/>
      <c r="B657" s="42"/>
      <c r="C657" s="42" t="s">
        <v>1651</v>
      </c>
      <c r="D657" s="100"/>
      <c r="E657" s="100"/>
      <c r="F657" s="149"/>
      <c r="G657" s="145"/>
      <c r="H657" s="146"/>
      <c r="I657" s="145">
        <f>Дефляторы!$D$25</f>
        <v>1.052</v>
      </c>
      <c r="J657" s="146"/>
      <c r="K657" s="146"/>
      <c r="L657" s="147"/>
      <c r="M657" s="147"/>
      <c r="N657" s="147"/>
    </row>
    <row r="658" spans="1:14" s="148" customFormat="1" ht="25.5" outlineLevel="3" x14ac:dyDescent="0.2">
      <c r="A658" s="95" t="s">
        <v>2164</v>
      </c>
      <c r="B658" s="42" t="s">
        <v>1652</v>
      </c>
      <c r="C658" s="42" t="s">
        <v>356</v>
      </c>
      <c r="D658" s="100" t="s">
        <v>300</v>
      </c>
      <c r="E658" s="100">
        <f>157</f>
        <v>157</v>
      </c>
      <c r="F658" s="149">
        <f>(31307)*(1.023*1.005-2.3%*15%)*6.99+0*4.09</f>
        <v>224234</v>
      </c>
      <c r="G658" s="145">
        <f>$G$766</f>
        <v>1.139</v>
      </c>
      <c r="H658" s="146">
        <f t="shared" ref="H658:H661" si="253">F658*G658</f>
        <v>255403</v>
      </c>
      <c r="I658" s="145">
        <f>Дефляторы!$D$25</f>
        <v>1.052</v>
      </c>
      <c r="J658" s="146">
        <f t="shared" ref="J658:J661" si="254">H658*I658</f>
        <v>268684</v>
      </c>
      <c r="K658" s="146">
        <f t="shared" ref="K658:K661" si="255">H658+(J658-H658)*(1-30/100)</f>
        <v>264700</v>
      </c>
      <c r="L658" s="147"/>
      <c r="M658" s="147"/>
      <c r="N658" s="147"/>
    </row>
    <row r="659" spans="1:14" s="148" customFormat="1" ht="15.75" outlineLevel="3" x14ac:dyDescent="0.2">
      <c r="A659" s="95" t="s">
        <v>2165</v>
      </c>
      <c r="B659" s="42" t="s">
        <v>1653</v>
      </c>
      <c r="C659" s="42" t="s">
        <v>1625</v>
      </c>
      <c r="D659" s="100" t="s">
        <v>300</v>
      </c>
      <c r="E659" s="100">
        <f>157</f>
        <v>157</v>
      </c>
      <c r="F659" s="149">
        <f>(2663)*(1.023*1.005-2.3%*15%)*6.99+0*4.09</f>
        <v>19073</v>
      </c>
      <c r="G659" s="145">
        <f>$G$766</f>
        <v>1.139</v>
      </c>
      <c r="H659" s="146">
        <f t="shared" si="253"/>
        <v>21724</v>
      </c>
      <c r="I659" s="145">
        <f>Дефляторы!$D$25</f>
        <v>1.052</v>
      </c>
      <c r="J659" s="146">
        <f t="shared" si="254"/>
        <v>22854</v>
      </c>
      <c r="K659" s="146">
        <f t="shared" si="255"/>
        <v>22515</v>
      </c>
      <c r="L659" s="147"/>
      <c r="M659" s="147"/>
      <c r="N659" s="147"/>
    </row>
    <row r="660" spans="1:14" s="148" customFormat="1" ht="25.5" outlineLevel="3" x14ac:dyDescent="0.2">
      <c r="A660" s="95" t="s">
        <v>2166</v>
      </c>
      <c r="B660" s="42" t="s">
        <v>1654</v>
      </c>
      <c r="C660" s="42" t="s">
        <v>1627</v>
      </c>
      <c r="D660" s="100" t="s">
        <v>300</v>
      </c>
      <c r="E660" s="100">
        <v>39</v>
      </c>
      <c r="F660" s="149">
        <f>(1318)*(1.023*1.005-2.3%*15%)*6.99+0*4.09</f>
        <v>9440</v>
      </c>
      <c r="G660" s="145">
        <f>$G$766</f>
        <v>1.139</v>
      </c>
      <c r="H660" s="146">
        <f t="shared" si="253"/>
        <v>10752</v>
      </c>
      <c r="I660" s="145">
        <f>Дефляторы!$D$25</f>
        <v>1.052</v>
      </c>
      <c r="J660" s="146">
        <f t="shared" si="254"/>
        <v>11311</v>
      </c>
      <c r="K660" s="146">
        <f t="shared" si="255"/>
        <v>11143</v>
      </c>
      <c r="L660" s="147" t="s">
        <v>1645</v>
      </c>
      <c r="M660" s="147"/>
      <c r="N660" s="147"/>
    </row>
    <row r="661" spans="1:14" s="148" customFormat="1" ht="25.5" outlineLevel="3" x14ac:dyDescent="0.2">
      <c r="A661" s="95" t="s">
        <v>2167</v>
      </c>
      <c r="B661" s="42" t="s">
        <v>1655</v>
      </c>
      <c r="C661" s="42" t="s">
        <v>1051</v>
      </c>
      <c r="D661" s="100" t="s">
        <v>300</v>
      </c>
      <c r="E661" s="100">
        <v>118</v>
      </c>
      <c r="F661" s="149">
        <f>(1519)*(1.023*1.005-2.3%*15%)*6.99+0*4.09</f>
        <v>10880</v>
      </c>
      <c r="G661" s="145">
        <f>$G$766</f>
        <v>1.139</v>
      </c>
      <c r="H661" s="146">
        <f t="shared" si="253"/>
        <v>12392</v>
      </c>
      <c r="I661" s="145">
        <f>Дефляторы!$D$25</f>
        <v>1.052</v>
      </c>
      <c r="J661" s="146">
        <f t="shared" si="254"/>
        <v>13036</v>
      </c>
      <c r="K661" s="146">
        <f t="shared" si="255"/>
        <v>12843</v>
      </c>
      <c r="L661" s="147"/>
      <c r="M661" s="147"/>
      <c r="N661" s="147"/>
    </row>
    <row r="662" spans="1:14" s="148" customFormat="1" ht="15.75" outlineLevel="3" x14ac:dyDescent="0.2">
      <c r="A662" s="95"/>
      <c r="B662" s="42"/>
      <c r="C662" s="42" t="s">
        <v>1656</v>
      </c>
      <c r="D662" s="100"/>
      <c r="E662" s="100"/>
      <c r="F662" s="149"/>
      <c r="G662" s="145"/>
      <c r="H662" s="146"/>
      <c r="I662" s="145">
        <f>Дефляторы!$D$25</f>
        <v>1.052</v>
      </c>
      <c r="J662" s="146"/>
      <c r="K662" s="146"/>
      <c r="L662" s="147"/>
      <c r="M662" s="147"/>
      <c r="N662" s="147"/>
    </row>
    <row r="663" spans="1:14" s="148" customFormat="1" ht="25.5" outlineLevel="3" x14ac:dyDescent="0.2">
      <c r="A663" s="95" t="s">
        <v>2168</v>
      </c>
      <c r="B663" s="42" t="s">
        <v>1657</v>
      </c>
      <c r="C663" s="42" t="s">
        <v>356</v>
      </c>
      <c r="D663" s="100" t="s">
        <v>300</v>
      </c>
      <c r="E663" s="100">
        <f>18</f>
        <v>18</v>
      </c>
      <c r="F663" s="149">
        <f>(3589)*(1.023*1.005-2.3%*15%)*6.99+0*4.09</f>
        <v>25706</v>
      </c>
      <c r="G663" s="145">
        <f t="shared" ref="G663:G669" si="256">$G$766</f>
        <v>1.139</v>
      </c>
      <c r="H663" s="146">
        <f t="shared" ref="H663:H669" si="257">F663*G663</f>
        <v>29279</v>
      </c>
      <c r="I663" s="145">
        <f>Дефляторы!$D$25</f>
        <v>1.052</v>
      </c>
      <c r="J663" s="146">
        <f t="shared" ref="J663:J669" si="258">H663*I663</f>
        <v>30802</v>
      </c>
      <c r="K663" s="146">
        <f t="shared" ref="K663:K669" si="259">H663+(J663-H663)*(1-30/100)</f>
        <v>30345</v>
      </c>
      <c r="L663" s="147"/>
      <c r="M663" s="147"/>
      <c r="N663" s="147"/>
    </row>
    <row r="664" spans="1:14" s="148" customFormat="1" ht="15.75" outlineLevel="3" x14ac:dyDescent="0.2">
      <c r="A664" s="95" t="s">
        <v>2169</v>
      </c>
      <c r="B664" s="42" t="s">
        <v>1658</v>
      </c>
      <c r="C664" s="42" t="s">
        <v>1625</v>
      </c>
      <c r="D664" s="100" t="s">
        <v>300</v>
      </c>
      <c r="E664" s="100">
        <v>18</v>
      </c>
      <c r="F664" s="149">
        <f>(306)*(1.023*1.005-2.3%*15%)*6.99+0*4.09</f>
        <v>2192</v>
      </c>
      <c r="G664" s="145">
        <f t="shared" si="256"/>
        <v>1.139</v>
      </c>
      <c r="H664" s="146">
        <f t="shared" si="257"/>
        <v>2497</v>
      </c>
      <c r="I664" s="145">
        <f>Дефляторы!$D$25</f>
        <v>1.052</v>
      </c>
      <c r="J664" s="146">
        <f t="shared" si="258"/>
        <v>2627</v>
      </c>
      <c r="K664" s="146">
        <f t="shared" si="259"/>
        <v>2588</v>
      </c>
      <c r="L664" s="147"/>
      <c r="M664" s="147"/>
      <c r="N664" s="147"/>
    </row>
    <row r="665" spans="1:14" s="148" customFormat="1" ht="25.5" outlineLevel="3" x14ac:dyDescent="0.2">
      <c r="A665" s="95" t="s">
        <v>2170</v>
      </c>
      <c r="B665" s="42" t="s">
        <v>1659</v>
      </c>
      <c r="C665" s="42" t="s">
        <v>1627</v>
      </c>
      <c r="D665" s="100" t="s">
        <v>300</v>
      </c>
      <c r="E665" s="100">
        <v>12</v>
      </c>
      <c r="F665" s="149">
        <f>(406)*(1.023*1.005-2.3%*15%)*6.99+0*4.09</f>
        <v>2908</v>
      </c>
      <c r="G665" s="145">
        <f t="shared" si="256"/>
        <v>1.139</v>
      </c>
      <c r="H665" s="146">
        <f t="shared" si="257"/>
        <v>3312</v>
      </c>
      <c r="I665" s="145">
        <f>Дефляторы!$D$25</f>
        <v>1.052</v>
      </c>
      <c r="J665" s="146">
        <f t="shared" si="258"/>
        <v>3484</v>
      </c>
      <c r="K665" s="146">
        <f t="shared" si="259"/>
        <v>3432</v>
      </c>
      <c r="L665" s="147" t="s">
        <v>1645</v>
      </c>
      <c r="M665" s="147"/>
      <c r="N665" s="147"/>
    </row>
    <row r="666" spans="1:14" s="148" customFormat="1" ht="25.5" outlineLevel="3" x14ac:dyDescent="0.2">
      <c r="A666" s="95" t="s">
        <v>2171</v>
      </c>
      <c r="B666" s="42" t="s">
        <v>1660</v>
      </c>
      <c r="C666" s="42" t="s">
        <v>1051</v>
      </c>
      <c r="D666" s="100" t="s">
        <v>300</v>
      </c>
      <c r="E666" s="100">
        <v>6</v>
      </c>
      <c r="F666" s="149">
        <f>(77)*(1.023*1.005-2.3%*15%)*6.99+0*4.09</f>
        <v>552</v>
      </c>
      <c r="G666" s="145">
        <f t="shared" si="256"/>
        <v>1.139</v>
      </c>
      <c r="H666" s="146">
        <f t="shared" si="257"/>
        <v>629</v>
      </c>
      <c r="I666" s="145">
        <f>Дефляторы!$D$25</f>
        <v>1.052</v>
      </c>
      <c r="J666" s="146">
        <f t="shared" si="258"/>
        <v>662</v>
      </c>
      <c r="K666" s="146">
        <f t="shared" si="259"/>
        <v>652</v>
      </c>
      <c r="L666" s="147"/>
      <c r="M666" s="147"/>
      <c r="N666" s="147"/>
    </row>
    <row r="667" spans="1:14" s="148" customFormat="1" ht="15.75" outlineLevel="3" x14ac:dyDescent="0.2">
      <c r="A667" s="95" t="s">
        <v>2172</v>
      </c>
      <c r="B667" s="42" t="s">
        <v>1661</v>
      </c>
      <c r="C667" s="42" t="s">
        <v>1630</v>
      </c>
      <c r="D667" s="100" t="s">
        <v>300</v>
      </c>
      <c r="E667" s="100">
        <f>4.8</f>
        <v>4.8</v>
      </c>
      <c r="F667" s="149">
        <f>(20991)*(1.023*1.005-2.3%*15%)*6.99+0*4.09</f>
        <v>150346</v>
      </c>
      <c r="G667" s="145">
        <f t="shared" si="256"/>
        <v>1.139</v>
      </c>
      <c r="H667" s="146">
        <f t="shared" si="257"/>
        <v>171244</v>
      </c>
      <c r="I667" s="145">
        <f>Дефляторы!$D$25</f>
        <v>1.052</v>
      </c>
      <c r="J667" s="146">
        <f t="shared" si="258"/>
        <v>180149</v>
      </c>
      <c r="K667" s="146">
        <f t="shared" si="259"/>
        <v>177478</v>
      </c>
      <c r="L667" s="147"/>
      <c r="M667" s="147"/>
      <c r="N667" s="147"/>
    </row>
    <row r="668" spans="1:14" s="148" customFormat="1" ht="15.75" outlineLevel="3" x14ac:dyDescent="0.2">
      <c r="A668" s="95" t="s">
        <v>2173</v>
      </c>
      <c r="B668" s="42" t="s">
        <v>1663</v>
      </c>
      <c r="C668" s="42" t="s">
        <v>1662</v>
      </c>
      <c r="D668" s="100" t="s">
        <v>300</v>
      </c>
      <c r="E668" s="100">
        <f>2.7*2</f>
        <v>5.4</v>
      </c>
      <c r="F668" s="149">
        <f>(14563)*(1.023*1.005-2.3%*15%)*6.99+0*4.09</f>
        <v>104306</v>
      </c>
      <c r="G668" s="145">
        <f t="shared" si="256"/>
        <v>1.139</v>
      </c>
      <c r="H668" s="146">
        <f t="shared" si="257"/>
        <v>118805</v>
      </c>
      <c r="I668" s="145">
        <f>Дефляторы!$D$25</f>
        <v>1.052</v>
      </c>
      <c r="J668" s="146">
        <f t="shared" si="258"/>
        <v>124983</v>
      </c>
      <c r="K668" s="146">
        <f t="shared" si="259"/>
        <v>123130</v>
      </c>
      <c r="L668" s="147"/>
      <c r="M668" s="147"/>
      <c r="N668" s="147"/>
    </row>
    <row r="669" spans="1:14" s="148" customFormat="1" ht="15.75" outlineLevel="3" x14ac:dyDescent="0.2">
      <c r="A669" s="95" t="s">
        <v>2174</v>
      </c>
      <c r="B669" s="42" t="s">
        <v>1665</v>
      </c>
      <c r="C669" s="42" t="s">
        <v>1664</v>
      </c>
      <c r="D669" s="100" t="s">
        <v>408</v>
      </c>
      <c r="E669" s="100">
        <v>1</v>
      </c>
      <c r="F669" s="149">
        <f>(4431)*(1.023*1.005-2.3%*15%)*6.99+0*4.09</f>
        <v>31737</v>
      </c>
      <c r="G669" s="145">
        <f t="shared" si="256"/>
        <v>1.139</v>
      </c>
      <c r="H669" s="146">
        <f t="shared" si="257"/>
        <v>36148</v>
      </c>
      <c r="I669" s="145">
        <f>Дефляторы!$D$25</f>
        <v>1.052</v>
      </c>
      <c r="J669" s="146">
        <f t="shared" si="258"/>
        <v>38028</v>
      </c>
      <c r="K669" s="146">
        <f t="shared" si="259"/>
        <v>37464</v>
      </c>
      <c r="L669" s="147"/>
      <c r="M669" s="147"/>
      <c r="N669" s="147"/>
    </row>
    <row r="670" spans="1:14" s="243" customFormat="1" ht="15.75" outlineLevel="1" x14ac:dyDescent="0.2">
      <c r="A670" s="244" t="s">
        <v>516</v>
      </c>
      <c r="B670" s="245" t="s">
        <v>51</v>
      </c>
      <c r="C670" s="245" t="s">
        <v>138</v>
      </c>
      <c r="D670" s="246" t="s">
        <v>292</v>
      </c>
      <c r="E670" s="247">
        <v>1</v>
      </c>
      <c r="F670" s="247">
        <f>SUM(F671:F712)</f>
        <v>66058620</v>
      </c>
      <c r="G670" s="248"/>
      <c r="H670" s="247">
        <f>SUM(H671:H712)</f>
        <v>75240768</v>
      </c>
      <c r="I670" s="248">
        <f>Дефляторы!$D$25</f>
        <v>1.052</v>
      </c>
      <c r="J670" s="247">
        <f>SUM(J671:J712)</f>
        <v>79153285</v>
      </c>
      <c r="K670" s="247">
        <f>SUM(K671:K712)</f>
        <v>77979529</v>
      </c>
      <c r="L670" s="269"/>
      <c r="M670" s="269"/>
      <c r="N670" s="269"/>
    </row>
    <row r="671" spans="1:14" s="148" customFormat="1" ht="15.75" outlineLevel="2" x14ac:dyDescent="0.2">
      <c r="A671" s="95"/>
      <c r="B671" s="42"/>
      <c r="C671" s="42" t="s">
        <v>367</v>
      </c>
      <c r="D671" s="100"/>
      <c r="E671" s="100"/>
      <c r="F671" s="149"/>
      <c r="G671" s="145"/>
      <c r="H671" s="146"/>
      <c r="I671" s="145">
        <f>Дефляторы!$D$25</f>
        <v>1.052</v>
      </c>
      <c r="J671" s="146"/>
      <c r="K671" s="146"/>
      <c r="L671" s="147"/>
      <c r="M671" s="147"/>
      <c r="N671" s="147"/>
    </row>
    <row r="672" spans="1:14" s="148" customFormat="1" ht="25.5" outlineLevel="2" x14ac:dyDescent="0.2">
      <c r="A672" s="95" t="s">
        <v>2175</v>
      </c>
      <c r="B672" s="42" t="s">
        <v>1666</v>
      </c>
      <c r="C672" s="42" t="s">
        <v>510</v>
      </c>
      <c r="D672" s="100" t="s">
        <v>300</v>
      </c>
      <c r="E672" s="100">
        <f>18918</f>
        <v>18918</v>
      </c>
      <c r="F672" s="149">
        <f>(3772419)*(1.023*1.005-2.3%*15%)*6.99+0*4.09+63</f>
        <v>27019668</v>
      </c>
      <c r="G672" s="145">
        <f t="shared" ref="G672:G689" si="260">$G$766</f>
        <v>1.139</v>
      </c>
      <c r="H672" s="146">
        <f t="shared" ref="H672:H689" si="261">F672*G672</f>
        <v>30775402</v>
      </c>
      <c r="I672" s="145">
        <f>Дефляторы!$D$25</f>
        <v>1.052</v>
      </c>
      <c r="J672" s="146">
        <f t="shared" ref="J672:J689" si="262">H672*I672</f>
        <v>32375723</v>
      </c>
      <c r="K672" s="146">
        <f t="shared" ref="K672:K689" si="263">H672+(J672-H672)*(1-30/100)</f>
        <v>31895627</v>
      </c>
      <c r="L672" s="147"/>
      <c r="M672" s="147"/>
      <c r="N672" s="147"/>
    </row>
    <row r="673" spans="1:14" s="148" customFormat="1" ht="25.5" outlineLevel="2" x14ac:dyDescent="0.2">
      <c r="A673" s="95" t="s">
        <v>2176</v>
      </c>
      <c r="B673" s="42" t="s">
        <v>1668</v>
      </c>
      <c r="C673" s="42" t="s">
        <v>1667</v>
      </c>
      <c r="D673" s="100" t="s">
        <v>300</v>
      </c>
      <c r="E673" s="100">
        <f>18918*0.9</f>
        <v>17026.2</v>
      </c>
      <c r="F673" s="149">
        <f>(325338)*(1.023*1.005-2.3%*15%)*6.99+0*4.09</f>
        <v>2330204</v>
      </c>
      <c r="G673" s="145">
        <f t="shared" si="260"/>
        <v>1.139</v>
      </c>
      <c r="H673" s="146">
        <f t="shared" si="261"/>
        <v>2654102</v>
      </c>
      <c r="I673" s="145">
        <f>Дефляторы!$D$25</f>
        <v>1.052</v>
      </c>
      <c r="J673" s="146">
        <f t="shared" si="262"/>
        <v>2792115</v>
      </c>
      <c r="K673" s="146">
        <f t="shared" si="263"/>
        <v>2750711</v>
      </c>
      <c r="L673" s="172" t="s">
        <v>1669</v>
      </c>
      <c r="M673" s="147"/>
      <c r="N673" s="147"/>
    </row>
    <row r="674" spans="1:14" s="148" customFormat="1" ht="15.75" outlineLevel="2" x14ac:dyDescent="0.2">
      <c r="A674" s="95" t="s">
        <v>2177</v>
      </c>
      <c r="B674" s="42" t="s">
        <v>1670</v>
      </c>
      <c r="C674" s="42" t="s">
        <v>1671</v>
      </c>
      <c r="D674" s="100" t="s">
        <v>300</v>
      </c>
      <c r="E674" s="100">
        <f>18918*0.1</f>
        <v>1891.8</v>
      </c>
      <c r="F674" s="149">
        <f>(193887)*(1.023*1.005-2.3%*15%)*6.99+0*4.09</f>
        <v>1388698</v>
      </c>
      <c r="G674" s="145">
        <f t="shared" si="260"/>
        <v>1.139</v>
      </c>
      <c r="H674" s="146">
        <f t="shared" si="261"/>
        <v>1581727</v>
      </c>
      <c r="I674" s="145">
        <f>Дефляторы!$D$25</f>
        <v>1.052</v>
      </c>
      <c r="J674" s="146">
        <f t="shared" si="262"/>
        <v>1663977</v>
      </c>
      <c r="K674" s="146">
        <f t="shared" si="263"/>
        <v>1639302</v>
      </c>
      <c r="L674" s="147"/>
      <c r="M674" s="147"/>
      <c r="N674" s="147"/>
    </row>
    <row r="675" spans="1:14" s="148" customFormat="1" ht="15.75" outlineLevel="2" x14ac:dyDescent="0.2">
      <c r="A675" s="95" t="s">
        <v>2178</v>
      </c>
      <c r="B675" s="42" t="s">
        <v>1672</v>
      </c>
      <c r="C675" s="42" t="s">
        <v>1525</v>
      </c>
      <c r="D675" s="100" t="s">
        <v>300</v>
      </c>
      <c r="E675" s="100">
        <f>461.5</f>
        <v>461.5</v>
      </c>
      <c r="F675" s="149">
        <f>(92561)*(1.023*1.005-2.3%*15%)*6.99+0*4.09</f>
        <v>662960</v>
      </c>
      <c r="G675" s="145">
        <f t="shared" si="260"/>
        <v>1.139</v>
      </c>
      <c r="H675" s="146">
        <f t="shared" si="261"/>
        <v>755111</v>
      </c>
      <c r="I675" s="145">
        <f>Дефляторы!$D$25</f>
        <v>1.052</v>
      </c>
      <c r="J675" s="146">
        <f t="shared" si="262"/>
        <v>794377</v>
      </c>
      <c r="K675" s="146">
        <f t="shared" si="263"/>
        <v>782597</v>
      </c>
      <c r="L675" s="147"/>
      <c r="M675" s="147"/>
      <c r="N675" s="147"/>
    </row>
    <row r="676" spans="1:14" s="148" customFormat="1" ht="15.75" outlineLevel="2" x14ac:dyDescent="0.2">
      <c r="A676" s="95" t="s">
        <v>2179</v>
      </c>
      <c r="B676" s="42" t="s">
        <v>1673</v>
      </c>
      <c r="C676" s="42" t="s">
        <v>1527</v>
      </c>
      <c r="D676" s="100" t="s">
        <v>300</v>
      </c>
      <c r="E676" s="100">
        <f>2742</f>
        <v>2742</v>
      </c>
      <c r="F676" s="149">
        <f>(183247)*(1.023*1.005-2.3%*15%)*6.99+0*4.09</f>
        <v>1312490</v>
      </c>
      <c r="G676" s="145">
        <f t="shared" si="260"/>
        <v>1.139</v>
      </c>
      <c r="H676" s="146">
        <f t="shared" si="261"/>
        <v>1494926</v>
      </c>
      <c r="I676" s="145">
        <f>Дефляторы!$D$25</f>
        <v>1.052</v>
      </c>
      <c r="J676" s="146">
        <f t="shared" si="262"/>
        <v>1572662</v>
      </c>
      <c r="K676" s="146">
        <f t="shared" si="263"/>
        <v>1549341</v>
      </c>
      <c r="L676" s="147"/>
      <c r="M676" s="147"/>
      <c r="N676" s="147"/>
    </row>
    <row r="677" spans="1:14" s="148" customFormat="1" ht="25.5" outlineLevel="2" x14ac:dyDescent="0.2">
      <c r="A677" s="95" t="s">
        <v>2180</v>
      </c>
      <c r="B677" s="42" t="s">
        <v>1675</v>
      </c>
      <c r="C677" s="42" t="s">
        <v>1674</v>
      </c>
      <c r="D677" s="100" t="s">
        <v>300</v>
      </c>
      <c r="E677" s="100">
        <f>15571.1</f>
        <v>15571.1</v>
      </c>
      <c r="F677" s="149">
        <f>(234026)*(1.023*1.005-2.3%*15%)*6.99+0*4.09</f>
        <v>1676190</v>
      </c>
      <c r="G677" s="145">
        <f t="shared" si="260"/>
        <v>1.139</v>
      </c>
      <c r="H677" s="146">
        <f t="shared" si="261"/>
        <v>1909180</v>
      </c>
      <c r="I677" s="145">
        <f>Дефляторы!$D$25</f>
        <v>1.052</v>
      </c>
      <c r="J677" s="146">
        <f t="shared" si="262"/>
        <v>2008457</v>
      </c>
      <c r="K677" s="146">
        <f t="shared" si="263"/>
        <v>1978674</v>
      </c>
      <c r="L677" s="147"/>
      <c r="M677" s="147"/>
      <c r="N677" s="147"/>
    </row>
    <row r="678" spans="1:14" s="148" customFormat="1" ht="15.75" outlineLevel="2" x14ac:dyDescent="0.2">
      <c r="A678" s="95" t="s">
        <v>2181</v>
      </c>
      <c r="B678" s="42" t="s">
        <v>1677</v>
      </c>
      <c r="C678" s="42" t="s">
        <v>1676</v>
      </c>
      <c r="D678" s="100" t="s">
        <v>404</v>
      </c>
      <c r="E678" s="100">
        <v>28</v>
      </c>
      <c r="F678" s="149">
        <f>(1406)*(1.023*1.005-2.3%*15%)*6.99+0*4.09</f>
        <v>10070</v>
      </c>
      <c r="G678" s="145">
        <f t="shared" si="260"/>
        <v>1.139</v>
      </c>
      <c r="H678" s="146">
        <f t="shared" si="261"/>
        <v>11470</v>
      </c>
      <c r="I678" s="145">
        <f>Дефляторы!$D$25</f>
        <v>1.052</v>
      </c>
      <c r="J678" s="146">
        <f t="shared" si="262"/>
        <v>12066</v>
      </c>
      <c r="K678" s="146">
        <f t="shared" si="263"/>
        <v>11887</v>
      </c>
      <c r="L678" s="147"/>
      <c r="M678" s="147"/>
      <c r="N678" s="147"/>
    </row>
    <row r="679" spans="1:14" s="148" customFormat="1" ht="15.75" outlineLevel="2" x14ac:dyDescent="0.2">
      <c r="A679" s="95" t="s">
        <v>2182</v>
      </c>
      <c r="B679" s="42" t="s">
        <v>1679</v>
      </c>
      <c r="C679" s="42" t="s">
        <v>1678</v>
      </c>
      <c r="D679" s="100" t="s">
        <v>404</v>
      </c>
      <c r="E679" s="100">
        <v>5370</v>
      </c>
      <c r="F679" s="149">
        <f>(153476)*(1.023*1.005-2.3%*15%)*6.99+0*4.09</f>
        <v>1099258</v>
      </c>
      <c r="G679" s="145">
        <f t="shared" si="260"/>
        <v>1.139</v>
      </c>
      <c r="H679" s="146">
        <f t="shared" si="261"/>
        <v>1252055</v>
      </c>
      <c r="I679" s="145">
        <f>Дефляторы!$D$25</f>
        <v>1.052</v>
      </c>
      <c r="J679" s="146">
        <f t="shared" si="262"/>
        <v>1317162</v>
      </c>
      <c r="K679" s="146">
        <f t="shared" si="263"/>
        <v>1297630</v>
      </c>
      <c r="L679" s="147"/>
      <c r="M679" s="147"/>
      <c r="N679" s="147"/>
    </row>
    <row r="680" spans="1:14" s="148" customFormat="1" ht="25.5" outlineLevel="2" x14ac:dyDescent="0.2">
      <c r="A680" s="95" t="s">
        <v>2183</v>
      </c>
      <c r="B680" s="42" t="s">
        <v>1680</v>
      </c>
      <c r="C680" s="42" t="s">
        <v>1681</v>
      </c>
      <c r="D680" s="100" t="s">
        <v>300</v>
      </c>
      <c r="E680" s="100">
        <v>1.8</v>
      </c>
      <c r="F680" s="149">
        <f>(713)*(1.023*1.005-2.3%*15%)*6.99+0*4.09</f>
        <v>5107</v>
      </c>
      <c r="G680" s="145">
        <f t="shared" si="260"/>
        <v>1.139</v>
      </c>
      <c r="H680" s="146">
        <f t="shared" si="261"/>
        <v>5817</v>
      </c>
      <c r="I680" s="145">
        <f>Дефляторы!$D$25</f>
        <v>1.052</v>
      </c>
      <c r="J680" s="146">
        <f t="shared" si="262"/>
        <v>6119</v>
      </c>
      <c r="K680" s="146">
        <f t="shared" si="263"/>
        <v>6028</v>
      </c>
      <c r="L680" s="147"/>
      <c r="M680" s="147"/>
      <c r="N680" s="147"/>
    </row>
    <row r="681" spans="1:14" s="148" customFormat="1" ht="25.5" outlineLevel="2" x14ac:dyDescent="0.2">
      <c r="A681" s="95" t="s">
        <v>2184</v>
      </c>
      <c r="B681" s="42" t="s">
        <v>1683</v>
      </c>
      <c r="C681" s="42" t="s">
        <v>1682</v>
      </c>
      <c r="D681" s="100" t="s">
        <v>377</v>
      </c>
      <c r="E681" s="100">
        <v>1850</v>
      </c>
      <c r="F681" s="149">
        <f>(977924)*(1.023*1.005-2.3%*15%)*6.99+0*4.09</f>
        <v>7004291</v>
      </c>
      <c r="G681" s="145">
        <f t="shared" si="260"/>
        <v>1.139</v>
      </c>
      <c r="H681" s="146">
        <f t="shared" si="261"/>
        <v>7977887</v>
      </c>
      <c r="I681" s="145">
        <f>Дефляторы!$D$25</f>
        <v>1.052</v>
      </c>
      <c r="J681" s="146">
        <f t="shared" si="262"/>
        <v>8392737</v>
      </c>
      <c r="K681" s="146">
        <f t="shared" si="263"/>
        <v>8268282</v>
      </c>
      <c r="L681" s="147"/>
      <c r="M681" s="147"/>
      <c r="N681" s="147"/>
    </row>
    <row r="682" spans="1:14" s="148" customFormat="1" ht="25.5" outlineLevel="2" x14ac:dyDescent="0.2">
      <c r="A682" s="95" t="s">
        <v>2185</v>
      </c>
      <c r="B682" s="42" t="s">
        <v>1684</v>
      </c>
      <c r="C682" s="42" t="s">
        <v>1691</v>
      </c>
      <c r="D682" s="100" t="s">
        <v>377</v>
      </c>
      <c r="E682" s="100">
        <f>1416</f>
        <v>1416</v>
      </c>
      <c r="F682" s="149">
        <f>(748510)*(1.023*1.005-2.3%*15%)*6.99+0*4.09</f>
        <v>5361134</v>
      </c>
      <c r="G682" s="145">
        <f t="shared" si="260"/>
        <v>1.139</v>
      </c>
      <c r="H682" s="146">
        <f t="shared" si="261"/>
        <v>6106332</v>
      </c>
      <c r="I682" s="145">
        <f>Дефляторы!$D$25</f>
        <v>1.052</v>
      </c>
      <c r="J682" s="146">
        <f t="shared" si="262"/>
        <v>6423861</v>
      </c>
      <c r="K682" s="146">
        <f t="shared" si="263"/>
        <v>6328602</v>
      </c>
      <c r="L682" s="147"/>
      <c r="M682" s="147"/>
      <c r="N682" s="147"/>
    </row>
    <row r="683" spans="1:14" s="148" customFormat="1" ht="25.5" outlineLevel="2" x14ac:dyDescent="0.2">
      <c r="A683" s="95" t="s">
        <v>2186</v>
      </c>
      <c r="B683" s="42" t="s">
        <v>1685</v>
      </c>
      <c r="C683" s="42" t="s">
        <v>1692</v>
      </c>
      <c r="D683" s="100" t="s">
        <v>377</v>
      </c>
      <c r="E683" s="100">
        <v>1460</v>
      </c>
      <c r="F683" s="149">
        <f>(771766)*(1.023*1.005-2.3%*15%)*6.99+0*4.09</f>
        <v>5527703</v>
      </c>
      <c r="G683" s="145">
        <f t="shared" si="260"/>
        <v>1.139</v>
      </c>
      <c r="H683" s="146">
        <f t="shared" si="261"/>
        <v>6296054</v>
      </c>
      <c r="I683" s="145">
        <f>Дефляторы!$D$25</f>
        <v>1.052</v>
      </c>
      <c r="J683" s="146">
        <f t="shared" si="262"/>
        <v>6623449</v>
      </c>
      <c r="K683" s="146">
        <f t="shared" si="263"/>
        <v>6525231</v>
      </c>
      <c r="L683" s="147"/>
      <c r="M683" s="147"/>
      <c r="N683" s="147"/>
    </row>
    <row r="684" spans="1:14" s="148" customFormat="1" ht="25.5" outlineLevel="2" x14ac:dyDescent="0.2">
      <c r="A684" s="95" t="s">
        <v>2187</v>
      </c>
      <c r="B684" s="42" t="s">
        <v>1686</v>
      </c>
      <c r="C684" s="42" t="s">
        <v>1693</v>
      </c>
      <c r="D684" s="100" t="s">
        <v>377</v>
      </c>
      <c r="E684" s="100">
        <v>210</v>
      </c>
      <c r="F684" s="149">
        <f>(111006)*(1.023*1.005-2.3%*15%)*6.99+0*4.09</f>
        <v>795070</v>
      </c>
      <c r="G684" s="145">
        <f t="shared" si="260"/>
        <v>1.139</v>
      </c>
      <c r="H684" s="146">
        <f t="shared" si="261"/>
        <v>905585</v>
      </c>
      <c r="I684" s="145">
        <f>Дефляторы!$D$25</f>
        <v>1.052</v>
      </c>
      <c r="J684" s="146">
        <f t="shared" si="262"/>
        <v>952675</v>
      </c>
      <c r="K684" s="146">
        <f t="shared" si="263"/>
        <v>938548</v>
      </c>
      <c r="L684" s="147"/>
      <c r="M684" s="147"/>
      <c r="N684" s="147"/>
    </row>
    <row r="685" spans="1:14" s="148" customFormat="1" ht="15.75" outlineLevel="2" x14ac:dyDescent="0.2">
      <c r="A685" s="95" t="s">
        <v>2188</v>
      </c>
      <c r="B685" s="42" t="s">
        <v>1687</v>
      </c>
      <c r="C685" s="42" t="s">
        <v>1694</v>
      </c>
      <c r="D685" s="100" t="s">
        <v>377</v>
      </c>
      <c r="E685" s="100">
        <v>360</v>
      </c>
      <c r="F685" s="149">
        <f>(54674)*(1.023*1.005-2.3%*15%)*6.99+0*4.09</f>
        <v>391598</v>
      </c>
      <c r="G685" s="145">
        <f t="shared" si="260"/>
        <v>1.139</v>
      </c>
      <c r="H685" s="146">
        <f t="shared" si="261"/>
        <v>446030</v>
      </c>
      <c r="I685" s="145">
        <f>Дефляторы!$D$25</f>
        <v>1.052</v>
      </c>
      <c r="J685" s="146">
        <f t="shared" si="262"/>
        <v>469224</v>
      </c>
      <c r="K685" s="146">
        <f t="shared" si="263"/>
        <v>462266</v>
      </c>
      <c r="L685" s="147"/>
      <c r="M685" s="147"/>
      <c r="N685" s="147"/>
    </row>
    <row r="686" spans="1:14" s="148" customFormat="1" ht="15.75" outlineLevel="2" x14ac:dyDescent="0.2">
      <c r="A686" s="95" t="s">
        <v>2189</v>
      </c>
      <c r="B686" s="42" t="s">
        <v>1688</v>
      </c>
      <c r="C686" s="42" t="s">
        <v>1695</v>
      </c>
      <c r="D686" s="100" t="s">
        <v>377</v>
      </c>
      <c r="E686" s="100">
        <v>12</v>
      </c>
      <c r="F686" s="149">
        <f>(1491)*(1.023*1.005-2.3%*15%)*6.99+0*4.09</f>
        <v>10679</v>
      </c>
      <c r="G686" s="145">
        <f t="shared" si="260"/>
        <v>1.139</v>
      </c>
      <c r="H686" s="146">
        <f t="shared" si="261"/>
        <v>12163</v>
      </c>
      <c r="I686" s="145">
        <f>Дефляторы!$D$25</f>
        <v>1.052</v>
      </c>
      <c r="J686" s="146">
        <f t="shared" si="262"/>
        <v>12795</v>
      </c>
      <c r="K686" s="146">
        <f t="shared" si="263"/>
        <v>12605</v>
      </c>
      <c r="L686" s="147"/>
      <c r="M686" s="147"/>
      <c r="N686" s="147"/>
    </row>
    <row r="687" spans="1:14" s="148" customFormat="1" ht="25.5" outlineLevel="2" x14ac:dyDescent="0.2">
      <c r="A687" s="95" t="s">
        <v>2190</v>
      </c>
      <c r="B687" s="42" t="s">
        <v>1689</v>
      </c>
      <c r="C687" s="42" t="s">
        <v>1696</v>
      </c>
      <c r="D687" s="100" t="s">
        <v>377</v>
      </c>
      <c r="E687" s="100">
        <v>12</v>
      </c>
      <c r="F687" s="149">
        <f>(2284)*(1.023*1.005-2.3%*15%)*6.99+0*4.09</f>
        <v>16359</v>
      </c>
      <c r="G687" s="145">
        <f t="shared" si="260"/>
        <v>1.139</v>
      </c>
      <c r="H687" s="146">
        <f t="shared" si="261"/>
        <v>18633</v>
      </c>
      <c r="I687" s="145">
        <f>Дефляторы!$D$25</f>
        <v>1.052</v>
      </c>
      <c r="J687" s="146">
        <f t="shared" si="262"/>
        <v>19602</v>
      </c>
      <c r="K687" s="146">
        <f t="shared" si="263"/>
        <v>19311</v>
      </c>
      <c r="L687" s="147"/>
      <c r="M687" s="147"/>
      <c r="N687" s="147"/>
    </row>
    <row r="688" spans="1:14" s="148" customFormat="1" ht="15.75" outlineLevel="2" x14ac:dyDescent="0.2">
      <c r="A688" s="95" t="s">
        <v>2191</v>
      </c>
      <c r="B688" s="42" t="s">
        <v>1690</v>
      </c>
      <c r="C688" s="42" t="s">
        <v>1697</v>
      </c>
      <c r="D688" s="100" t="s">
        <v>377</v>
      </c>
      <c r="E688" s="100">
        <v>24</v>
      </c>
      <c r="F688" s="149">
        <f>(9003)*(1.023*1.005-2.3%*15%)*6.99+0*4.09</f>
        <v>64483</v>
      </c>
      <c r="G688" s="145">
        <f t="shared" si="260"/>
        <v>1.139</v>
      </c>
      <c r="H688" s="146">
        <f t="shared" si="261"/>
        <v>73446</v>
      </c>
      <c r="I688" s="145">
        <f>Дефляторы!$D$25</f>
        <v>1.052</v>
      </c>
      <c r="J688" s="146">
        <f t="shared" si="262"/>
        <v>77265</v>
      </c>
      <c r="K688" s="146">
        <f t="shared" si="263"/>
        <v>76119</v>
      </c>
      <c r="L688" s="147"/>
      <c r="M688" s="147"/>
      <c r="N688" s="147"/>
    </row>
    <row r="689" spans="1:14" s="148" customFormat="1" ht="15.75" outlineLevel="2" x14ac:dyDescent="0.2">
      <c r="A689" s="95" t="s">
        <v>2192</v>
      </c>
      <c r="B689" s="42" t="s">
        <v>1699</v>
      </c>
      <c r="C689" s="42" t="s">
        <v>1698</v>
      </c>
      <c r="D689" s="100" t="s">
        <v>408</v>
      </c>
      <c r="E689" s="100">
        <v>2</v>
      </c>
      <c r="F689" s="149">
        <f>(5098)*(1.023*1.005-2.3%*15%)*6.99+0*4.09</f>
        <v>36514</v>
      </c>
      <c r="G689" s="145">
        <f t="shared" si="260"/>
        <v>1.139</v>
      </c>
      <c r="H689" s="146">
        <f t="shared" si="261"/>
        <v>41589</v>
      </c>
      <c r="I689" s="145">
        <f>Дефляторы!$D$25</f>
        <v>1.052</v>
      </c>
      <c r="J689" s="146">
        <f t="shared" si="262"/>
        <v>43752</v>
      </c>
      <c r="K689" s="146">
        <f t="shared" si="263"/>
        <v>43103</v>
      </c>
      <c r="L689" s="147"/>
      <c r="M689" s="147"/>
      <c r="N689" s="147"/>
    </row>
    <row r="690" spans="1:14" s="148" customFormat="1" ht="15.75" outlineLevel="2" x14ac:dyDescent="0.2">
      <c r="A690" s="95"/>
      <c r="B690" s="42"/>
      <c r="C690" s="42" t="s">
        <v>1587</v>
      </c>
      <c r="D690" s="100"/>
      <c r="E690" s="100"/>
      <c r="F690" s="149"/>
      <c r="G690" s="145"/>
      <c r="H690" s="146"/>
      <c r="I690" s="145">
        <f>Дефляторы!$D$25</f>
        <v>1.052</v>
      </c>
      <c r="J690" s="146"/>
      <c r="K690" s="146"/>
      <c r="L690" s="147"/>
      <c r="M690" s="147"/>
      <c r="N690" s="147"/>
    </row>
    <row r="691" spans="1:14" s="148" customFormat="1" ht="15.75" outlineLevel="2" x14ac:dyDescent="0.2">
      <c r="A691" s="95"/>
      <c r="B691" s="42"/>
      <c r="C691" s="42" t="s">
        <v>1700</v>
      </c>
      <c r="D691" s="100"/>
      <c r="E691" s="100"/>
      <c r="F691" s="149"/>
      <c r="G691" s="145"/>
      <c r="H691" s="146"/>
      <c r="I691" s="145">
        <f>Дефляторы!$D$25</f>
        <v>1.052</v>
      </c>
      <c r="J691" s="146"/>
      <c r="K691" s="146"/>
      <c r="L691" s="147"/>
      <c r="M691" s="147"/>
      <c r="N691" s="147"/>
    </row>
    <row r="692" spans="1:14" s="148" customFormat="1" ht="89.25" outlineLevel="2" x14ac:dyDescent="0.2">
      <c r="A692" s="95" t="s">
        <v>2193</v>
      </c>
      <c r="B692" s="42" t="s">
        <v>1702</v>
      </c>
      <c r="C692" s="42" t="s">
        <v>1701</v>
      </c>
      <c r="D692" s="100" t="s">
        <v>408</v>
      </c>
      <c r="E692" s="100">
        <v>1</v>
      </c>
      <c r="F692" s="149">
        <f>(26141)*(1.023*1.005-2.3%*15%)*6.99+0*4.09</f>
        <v>187233</v>
      </c>
      <c r="G692" s="145">
        <f t="shared" ref="G692:G701" si="264">$G$766</f>
        <v>1.139</v>
      </c>
      <c r="H692" s="146">
        <f t="shared" ref="H692:H701" si="265">F692*G692</f>
        <v>213258</v>
      </c>
      <c r="I692" s="145">
        <f>Дефляторы!$D$25</f>
        <v>1.052</v>
      </c>
      <c r="J692" s="146">
        <f t="shared" ref="J692:J701" si="266">H692*I692</f>
        <v>224347</v>
      </c>
      <c r="K692" s="146">
        <f t="shared" ref="K692:K701" si="267">H692+(J692-H692)*(1-30/100)</f>
        <v>221020</v>
      </c>
      <c r="L692" s="147"/>
      <c r="M692" s="147"/>
      <c r="N692" s="147"/>
    </row>
    <row r="693" spans="1:14" s="148" customFormat="1" ht="114.75" outlineLevel="2" x14ac:dyDescent="0.2">
      <c r="A693" s="95" t="s">
        <v>2194</v>
      </c>
      <c r="B693" s="42" t="s">
        <v>1704</v>
      </c>
      <c r="C693" s="42" t="s">
        <v>1703</v>
      </c>
      <c r="D693" s="100" t="s">
        <v>408</v>
      </c>
      <c r="E693" s="100">
        <v>1</v>
      </c>
      <c r="F693" s="149">
        <f>(26141)*(1.023*1.005-2.3%*15%)*6.99+0*4.09</f>
        <v>187233</v>
      </c>
      <c r="G693" s="145">
        <f t="shared" si="264"/>
        <v>1.139</v>
      </c>
      <c r="H693" s="146">
        <f t="shared" si="265"/>
        <v>213258</v>
      </c>
      <c r="I693" s="145">
        <f>Дефляторы!$D$25</f>
        <v>1.052</v>
      </c>
      <c r="J693" s="146">
        <f t="shared" si="266"/>
        <v>224347</v>
      </c>
      <c r="K693" s="146">
        <f t="shared" si="267"/>
        <v>221020</v>
      </c>
      <c r="L693" s="147"/>
      <c r="M693" s="147"/>
      <c r="N693" s="147"/>
    </row>
    <row r="694" spans="1:14" s="148" customFormat="1" ht="63.75" outlineLevel="2" x14ac:dyDescent="0.2">
      <c r="A694" s="95" t="s">
        <v>2195</v>
      </c>
      <c r="B694" s="42" t="s">
        <v>1706</v>
      </c>
      <c r="C694" s="42" t="s">
        <v>1705</v>
      </c>
      <c r="D694" s="100" t="s">
        <v>408</v>
      </c>
      <c r="E694" s="100">
        <v>1</v>
      </c>
      <c r="F694" s="149">
        <f>(61359)*(1.023*1.005-2.3%*15%)*6.99+0*4.09</f>
        <v>439478</v>
      </c>
      <c r="G694" s="145">
        <f t="shared" si="264"/>
        <v>1.139</v>
      </c>
      <c r="H694" s="146">
        <f t="shared" si="265"/>
        <v>500565</v>
      </c>
      <c r="I694" s="145">
        <f>Дефляторы!$D$25</f>
        <v>1.052</v>
      </c>
      <c r="J694" s="146">
        <f t="shared" si="266"/>
        <v>526594</v>
      </c>
      <c r="K694" s="146">
        <f t="shared" si="267"/>
        <v>518785</v>
      </c>
      <c r="L694" s="147"/>
      <c r="M694" s="147"/>
      <c r="N694" s="147"/>
    </row>
    <row r="695" spans="1:14" s="148" customFormat="1" ht="63.75" outlineLevel="2" x14ac:dyDescent="0.2">
      <c r="A695" s="95" t="s">
        <v>2196</v>
      </c>
      <c r="B695" s="42" t="s">
        <v>1707</v>
      </c>
      <c r="C695" s="42" t="s">
        <v>1710</v>
      </c>
      <c r="D695" s="100" t="s">
        <v>408</v>
      </c>
      <c r="E695" s="100">
        <v>2</v>
      </c>
      <c r="F695" s="149">
        <f>(122557)*(1.023*1.005-2.3%*15%)*6.99+0*4.09</f>
        <v>877803</v>
      </c>
      <c r="G695" s="145">
        <f t="shared" si="264"/>
        <v>1.139</v>
      </c>
      <c r="H695" s="146">
        <f t="shared" si="265"/>
        <v>999818</v>
      </c>
      <c r="I695" s="145">
        <f>Дефляторы!$D$25</f>
        <v>1.052</v>
      </c>
      <c r="J695" s="146">
        <f t="shared" si="266"/>
        <v>1051809</v>
      </c>
      <c r="K695" s="146">
        <f t="shared" si="267"/>
        <v>1036212</v>
      </c>
      <c r="L695" s="147"/>
      <c r="M695" s="147"/>
      <c r="N695" s="147"/>
    </row>
    <row r="696" spans="1:14" s="148" customFormat="1" ht="63.75" outlineLevel="2" x14ac:dyDescent="0.2">
      <c r="A696" s="95" t="s">
        <v>2197</v>
      </c>
      <c r="B696" s="42" t="s">
        <v>1708</v>
      </c>
      <c r="C696" s="42" t="s">
        <v>1711</v>
      </c>
      <c r="D696" s="100" t="s">
        <v>408</v>
      </c>
      <c r="E696" s="100">
        <v>14</v>
      </c>
      <c r="F696" s="149">
        <f>(460138)*(1.023*1.005-2.3%*15%)*6.99+0*4.09</f>
        <v>3295696</v>
      </c>
      <c r="G696" s="145">
        <f t="shared" si="264"/>
        <v>1.139</v>
      </c>
      <c r="H696" s="146">
        <f t="shared" si="265"/>
        <v>3753798</v>
      </c>
      <c r="I696" s="145">
        <f>Дефляторы!$D$25</f>
        <v>1.052</v>
      </c>
      <c r="J696" s="146">
        <f t="shared" si="266"/>
        <v>3948995</v>
      </c>
      <c r="K696" s="146">
        <f t="shared" si="267"/>
        <v>3890436</v>
      </c>
      <c r="L696" s="147"/>
      <c r="M696" s="147"/>
      <c r="N696" s="147"/>
    </row>
    <row r="697" spans="1:14" s="148" customFormat="1" ht="25.5" outlineLevel="2" x14ac:dyDescent="0.2">
      <c r="A697" s="95" t="s">
        <v>2198</v>
      </c>
      <c r="B697" s="42" t="s">
        <v>1709</v>
      </c>
      <c r="C697" s="42" t="s">
        <v>1712</v>
      </c>
      <c r="D697" s="100" t="s">
        <v>408</v>
      </c>
      <c r="E697" s="100">
        <v>19</v>
      </c>
      <c r="F697" s="149">
        <f>(8400)*(1.023*1.005-2.3%*15%)*6.99+0*4.09</f>
        <v>60164</v>
      </c>
      <c r="G697" s="145">
        <f t="shared" si="264"/>
        <v>1.139</v>
      </c>
      <c r="H697" s="146">
        <f t="shared" si="265"/>
        <v>68527</v>
      </c>
      <c r="I697" s="145">
        <f>Дефляторы!$D$25</f>
        <v>1.052</v>
      </c>
      <c r="J697" s="146">
        <f t="shared" si="266"/>
        <v>72090</v>
      </c>
      <c r="K697" s="146">
        <f t="shared" si="267"/>
        <v>71021</v>
      </c>
      <c r="L697" s="147"/>
      <c r="M697" s="147"/>
      <c r="N697" s="147"/>
    </row>
    <row r="698" spans="1:14" s="148" customFormat="1" ht="15.75" outlineLevel="2" x14ac:dyDescent="0.2">
      <c r="A698" s="95" t="s">
        <v>2199</v>
      </c>
      <c r="B698" s="42" t="s">
        <v>1714</v>
      </c>
      <c r="C698" s="42" t="s">
        <v>1713</v>
      </c>
      <c r="D698" s="100" t="s">
        <v>300</v>
      </c>
      <c r="E698" s="100">
        <v>4.5999999999999996</v>
      </c>
      <c r="F698" s="149">
        <f>(11509)*(1.023*1.005-2.3%*15%)*6.99+0*4.09</f>
        <v>82432</v>
      </c>
      <c r="G698" s="145">
        <f t="shared" si="264"/>
        <v>1.139</v>
      </c>
      <c r="H698" s="146">
        <f t="shared" si="265"/>
        <v>93890</v>
      </c>
      <c r="I698" s="145">
        <f>Дефляторы!$D$25</f>
        <v>1.052</v>
      </c>
      <c r="J698" s="146">
        <f t="shared" si="266"/>
        <v>98772</v>
      </c>
      <c r="K698" s="146">
        <f t="shared" si="267"/>
        <v>97307</v>
      </c>
      <c r="L698" s="147"/>
      <c r="M698" s="147"/>
      <c r="N698" s="147"/>
    </row>
    <row r="699" spans="1:14" s="148" customFormat="1" ht="25.5" outlineLevel="2" x14ac:dyDescent="0.2">
      <c r="A699" s="95" t="s">
        <v>2200</v>
      </c>
      <c r="B699" s="42" t="s">
        <v>1716</v>
      </c>
      <c r="C699" s="42" t="s">
        <v>1712</v>
      </c>
      <c r="D699" s="100" t="s">
        <v>408</v>
      </c>
      <c r="E699" s="100">
        <v>23</v>
      </c>
      <c r="F699" s="149">
        <f>(10169)*(1.023*1.005-2.3%*15%)*6.99+0*4.09</f>
        <v>72835</v>
      </c>
      <c r="G699" s="145">
        <f t="shared" si="264"/>
        <v>1.139</v>
      </c>
      <c r="H699" s="146">
        <f t="shared" si="265"/>
        <v>82959</v>
      </c>
      <c r="I699" s="145">
        <f>Дефляторы!$D$25</f>
        <v>1.052</v>
      </c>
      <c r="J699" s="146">
        <f t="shared" si="266"/>
        <v>87273</v>
      </c>
      <c r="K699" s="146">
        <f t="shared" si="267"/>
        <v>85979</v>
      </c>
      <c r="L699" s="147"/>
      <c r="M699" s="147"/>
      <c r="N699" s="147"/>
    </row>
    <row r="700" spans="1:14" s="148" customFormat="1" ht="25.5" outlineLevel="2" x14ac:dyDescent="0.2">
      <c r="A700" s="95" t="s">
        <v>2201</v>
      </c>
      <c r="B700" s="42" t="s">
        <v>1717</v>
      </c>
      <c r="C700" s="42" t="s">
        <v>1715</v>
      </c>
      <c r="D700" s="100" t="s">
        <v>408</v>
      </c>
      <c r="E700" s="100">
        <v>2</v>
      </c>
      <c r="F700" s="149">
        <f>(1184)*(1.023*1.005-2.3%*15%)*6.99+0*4.09</f>
        <v>8480</v>
      </c>
      <c r="G700" s="145">
        <f t="shared" si="264"/>
        <v>1.139</v>
      </c>
      <c r="H700" s="146">
        <f t="shared" si="265"/>
        <v>9659</v>
      </c>
      <c r="I700" s="145">
        <f>Дефляторы!$D$25</f>
        <v>1.052</v>
      </c>
      <c r="J700" s="146">
        <f t="shared" si="266"/>
        <v>10161</v>
      </c>
      <c r="K700" s="146">
        <f t="shared" si="267"/>
        <v>10010</v>
      </c>
      <c r="L700" s="147"/>
      <c r="M700" s="147"/>
      <c r="N700" s="147"/>
    </row>
    <row r="701" spans="1:14" s="148" customFormat="1" ht="15.75" outlineLevel="2" x14ac:dyDescent="0.2">
      <c r="A701" s="95" t="s">
        <v>2202</v>
      </c>
      <c r="B701" s="42" t="s">
        <v>1719</v>
      </c>
      <c r="C701" s="42" t="s">
        <v>1718</v>
      </c>
      <c r="D701" s="100" t="s">
        <v>300</v>
      </c>
      <c r="E701" s="100">
        <v>20</v>
      </c>
      <c r="F701" s="149">
        <f>(16104)*(1.023*1.005-2.3%*15%)*6.99+0*4.09</f>
        <v>115343</v>
      </c>
      <c r="G701" s="145">
        <f t="shared" si="264"/>
        <v>1.139</v>
      </c>
      <c r="H701" s="146">
        <f t="shared" si="265"/>
        <v>131376</v>
      </c>
      <c r="I701" s="145">
        <f>Дефляторы!$D$25</f>
        <v>1.052</v>
      </c>
      <c r="J701" s="146">
        <f t="shared" si="266"/>
        <v>138208</v>
      </c>
      <c r="K701" s="146">
        <f t="shared" si="267"/>
        <v>136158</v>
      </c>
      <c r="L701" s="147"/>
      <c r="M701" s="147"/>
      <c r="N701" s="147"/>
    </row>
    <row r="702" spans="1:14" s="148" customFormat="1" ht="15.75" outlineLevel="2" x14ac:dyDescent="0.2">
      <c r="A702" s="95"/>
      <c r="B702" s="42"/>
      <c r="C702" s="42" t="s">
        <v>1612</v>
      </c>
      <c r="D702" s="100"/>
      <c r="E702" s="100"/>
      <c r="F702" s="149"/>
      <c r="G702" s="145"/>
      <c r="H702" s="146"/>
      <c r="I702" s="145">
        <f>Дефляторы!$D$25</f>
        <v>1.052</v>
      </c>
      <c r="J702" s="146"/>
      <c r="K702" s="146"/>
      <c r="L702" s="147"/>
      <c r="M702" s="147"/>
      <c r="N702" s="147"/>
    </row>
    <row r="703" spans="1:14" s="148" customFormat="1" ht="25.5" outlineLevel="2" x14ac:dyDescent="0.2">
      <c r="A703" s="95" t="s">
        <v>2203</v>
      </c>
      <c r="B703" s="42" t="s">
        <v>1721</v>
      </c>
      <c r="C703" s="42" t="s">
        <v>1720</v>
      </c>
      <c r="D703" s="100" t="s">
        <v>377</v>
      </c>
      <c r="E703" s="100">
        <v>3650</v>
      </c>
      <c r="F703" s="149">
        <f>(484356)*(1.023*1.005-2.3%*15%)*6.99+0*4.09</f>
        <v>3469155</v>
      </c>
      <c r="G703" s="145">
        <f t="shared" ref="G703:G715" si="268">$G$766</f>
        <v>1.139</v>
      </c>
      <c r="H703" s="146">
        <f t="shared" ref="H703:H712" si="269">F703*G703</f>
        <v>3951368</v>
      </c>
      <c r="I703" s="145">
        <f>Дефляторы!$D$25</f>
        <v>1.052</v>
      </c>
      <c r="J703" s="146">
        <f t="shared" ref="J703:J712" si="270">H703*I703</f>
        <v>4156839</v>
      </c>
      <c r="K703" s="146">
        <f t="shared" ref="K703:K712" si="271">H703+(J703-H703)*(1-30/100)</f>
        <v>4095198</v>
      </c>
      <c r="L703" s="147"/>
      <c r="M703" s="147"/>
      <c r="N703" s="147"/>
    </row>
    <row r="704" spans="1:14" s="148" customFormat="1" ht="165.75" outlineLevel="2" x14ac:dyDescent="0.2">
      <c r="A704" s="95" t="s">
        <v>2204</v>
      </c>
      <c r="B704" s="42" t="s">
        <v>1723</v>
      </c>
      <c r="C704" s="42" t="s">
        <v>1722</v>
      </c>
      <c r="D704" s="100" t="s">
        <v>408</v>
      </c>
      <c r="E704" s="100">
        <v>2</v>
      </c>
      <c r="F704" s="149">
        <f>(26423)*(1.023*1.005-2.3%*15%)*6.99+344336*4.09</f>
        <v>1597587</v>
      </c>
      <c r="G704" s="145">
        <f t="shared" si="268"/>
        <v>1.139</v>
      </c>
      <c r="H704" s="146">
        <f t="shared" si="269"/>
        <v>1819652</v>
      </c>
      <c r="I704" s="145">
        <f>Дефляторы!$D$25</f>
        <v>1.052</v>
      </c>
      <c r="J704" s="146">
        <f t="shared" si="270"/>
        <v>1914274</v>
      </c>
      <c r="K704" s="146">
        <f t="shared" si="271"/>
        <v>1885887</v>
      </c>
      <c r="L704" s="147"/>
      <c r="M704" s="147"/>
      <c r="N704" s="147"/>
    </row>
    <row r="705" spans="1:14" s="148" customFormat="1" ht="102" outlineLevel="2" x14ac:dyDescent="0.2">
      <c r="A705" s="95" t="s">
        <v>2205</v>
      </c>
      <c r="B705" s="42" t="s">
        <v>1724</v>
      </c>
      <c r="C705" s="42" t="s">
        <v>1725</v>
      </c>
      <c r="D705" s="100" t="s">
        <v>408</v>
      </c>
      <c r="E705" s="100">
        <v>1</v>
      </c>
      <c r="F705" s="149">
        <f>(8120)*(1.023*1.005-2.3%*15%)*6.99+29763*4.09</f>
        <v>179889</v>
      </c>
      <c r="G705" s="145">
        <f t="shared" si="268"/>
        <v>1.139</v>
      </c>
      <c r="H705" s="146">
        <f t="shared" si="269"/>
        <v>204894</v>
      </c>
      <c r="I705" s="145">
        <f>Дефляторы!$D$25</f>
        <v>1.052</v>
      </c>
      <c r="J705" s="146">
        <f t="shared" si="270"/>
        <v>215548</v>
      </c>
      <c r="K705" s="146">
        <f t="shared" si="271"/>
        <v>212352</v>
      </c>
      <c r="L705" s="147"/>
      <c r="M705" s="147"/>
      <c r="N705" s="147"/>
    </row>
    <row r="706" spans="1:14" s="148" customFormat="1" ht="38.25" outlineLevel="2" x14ac:dyDescent="0.2">
      <c r="A706" s="95" t="s">
        <v>2206</v>
      </c>
      <c r="B706" s="42" t="s">
        <v>1726</v>
      </c>
      <c r="C706" s="42" t="s">
        <v>1727</v>
      </c>
      <c r="D706" s="100" t="s">
        <v>408</v>
      </c>
      <c r="E706" s="100">
        <v>1</v>
      </c>
      <c r="F706" s="149">
        <f>(4834)*(1.023*1.005-2.3%*15%)*6.99+124188*4.09</f>
        <v>542552</v>
      </c>
      <c r="G706" s="145">
        <f t="shared" si="268"/>
        <v>1.139</v>
      </c>
      <c r="H706" s="146">
        <f t="shared" si="269"/>
        <v>617967</v>
      </c>
      <c r="I706" s="145">
        <f>Дефляторы!$D$25</f>
        <v>1.052</v>
      </c>
      <c r="J706" s="146">
        <f t="shared" si="270"/>
        <v>650101</v>
      </c>
      <c r="K706" s="146">
        <f t="shared" si="271"/>
        <v>640461</v>
      </c>
      <c r="L706" s="147"/>
      <c r="M706" s="147"/>
      <c r="N706" s="147"/>
    </row>
    <row r="707" spans="1:14" s="148" customFormat="1" ht="15.75" outlineLevel="2" x14ac:dyDescent="0.2">
      <c r="A707" s="95" t="s">
        <v>2207</v>
      </c>
      <c r="B707" s="42" t="s">
        <v>1728</v>
      </c>
      <c r="C707" s="42" t="s">
        <v>1729</v>
      </c>
      <c r="D707" s="100" t="s">
        <v>408</v>
      </c>
      <c r="E707" s="100">
        <v>2</v>
      </c>
      <c r="F707" s="149">
        <f>(20605)*(1.023*1.005-2.3%*15%)*6.99+0*4.09</f>
        <v>147581</v>
      </c>
      <c r="G707" s="145">
        <f t="shared" si="268"/>
        <v>1.139</v>
      </c>
      <c r="H707" s="146">
        <f t="shared" si="269"/>
        <v>168095</v>
      </c>
      <c r="I707" s="145">
        <f>Дефляторы!$D$25</f>
        <v>1.052</v>
      </c>
      <c r="J707" s="146">
        <f t="shared" si="270"/>
        <v>176836</v>
      </c>
      <c r="K707" s="146">
        <f t="shared" si="271"/>
        <v>174214</v>
      </c>
      <c r="L707" s="147"/>
      <c r="M707" s="147"/>
      <c r="N707" s="147"/>
    </row>
    <row r="708" spans="1:14" s="148" customFormat="1" ht="15.75" outlineLevel="2" x14ac:dyDescent="0.2">
      <c r="A708" s="95" t="s">
        <v>2208</v>
      </c>
      <c r="B708" s="42" t="s">
        <v>1731</v>
      </c>
      <c r="C708" s="42" t="s">
        <v>1730</v>
      </c>
      <c r="D708" s="100" t="s">
        <v>408</v>
      </c>
      <c r="E708" s="100">
        <v>2</v>
      </c>
      <c r="F708" s="149">
        <f>(129)*(1.023*1.005-2.3%*15%)*6.99+0*4.09</f>
        <v>924</v>
      </c>
      <c r="G708" s="145">
        <f t="shared" si="268"/>
        <v>1.139</v>
      </c>
      <c r="H708" s="146">
        <f t="shared" si="269"/>
        <v>1052</v>
      </c>
      <c r="I708" s="145">
        <f>Дефляторы!$D$25</f>
        <v>1.052</v>
      </c>
      <c r="J708" s="146">
        <f t="shared" si="270"/>
        <v>1107</v>
      </c>
      <c r="K708" s="146">
        <f t="shared" si="271"/>
        <v>1091</v>
      </c>
      <c r="L708" s="147"/>
      <c r="M708" s="147"/>
      <c r="N708" s="147"/>
    </row>
    <row r="709" spans="1:14" s="148" customFormat="1" ht="15.75" outlineLevel="2" x14ac:dyDescent="0.2">
      <c r="A709" s="95" t="s">
        <v>2209</v>
      </c>
      <c r="B709" s="42" t="s">
        <v>1733</v>
      </c>
      <c r="C709" s="42" t="s">
        <v>1732</v>
      </c>
      <c r="D709" s="100" t="s">
        <v>408</v>
      </c>
      <c r="E709" s="100">
        <v>4</v>
      </c>
      <c r="F709" s="149">
        <f>(5067)*(1.023*1.005-2.3%*15%)*6.99+0*4.09</f>
        <v>36292</v>
      </c>
      <c r="G709" s="145">
        <f t="shared" si="268"/>
        <v>1.139</v>
      </c>
      <c r="H709" s="146">
        <f t="shared" si="269"/>
        <v>41337</v>
      </c>
      <c r="I709" s="145">
        <f>Дефляторы!$D$25</f>
        <v>1.052</v>
      </c>
      <c r="J709" s="146">
        <f t="shared" si="270"/>
        <v>43487</v>
      </c>
      <c r="K709" s="146">
        <f t="shared" si="271"/>
        <v>42842</v>
      </c>
      <c r="L709" s="147"/>
      <c r="M709" s="147"/>
      <c r="N709" s="147"/>
    </row>
    <row r="710" spans="1:14" s="148" customFormat="1" ht="25.5" outlineLevel="2" x14ac:dyDescent="0.2">
      <c r="A710" s="95" t="s">
        <v>2210</v>
      </c>
      <c r="B710" s="42" t="s">
        <v>1735</v>
      </c>
      <c r="C710" s="42" t="s">
        <v>1734</v>
      </c>
      <c r="D710" s="100" t="s">
        <v>408</v>
      </c>
      <c r="E710" s="100">
        <v>1</v>
      </c>
      <c r="F710" s="149">
        <f>(5386)*(1.023*1.005-2.3%*15%)*6.99+0*4.09</f>
        <v>38577</v>
      </c>
      <c r="G710" s="145">
        <f t="shared" si="268"/>
        <v>1.139</v>
      </c>
      <c r="H710" s="146">
        <f t="shared" si="269"/>
        <v>43939</v>
      </c>
      <c r="I710" s="145">
        <f>Дефляторы!$D$25</f>
        <v>1.052</v>
      </c>
      <c r="J710" s="146">
        <f t="shared" si="270"/>
        <v>46224</v>
      </c>
      <c r="K710" s="146">
        <f t="shared" si="271"/>
        <v>45539</v>
      </c>
      <c r="L710" s="147"/>
      <c r="M710" s="147"/>
      <c r="N710" s="147"/>
    </row>
    <row r="711" spans="1:14" s="148" customFormat="1" ht="15.75" outlineLevel="2" x14ac:dyDescent="0.2">
      <c r="A711" s="95" t="s">
        <v>2211</v>
      </c>
      <c r="B711" s="42" t="s">
        <v>1737</v>
      </c>
      <c r="C711" s="42" t="s">
        <v>1736</v>
      </c>
      <c r="D711" s="100" t="s">
        <v>408</v>
      </c>
      <c r="E711" s="100">
        <v>5</v>
      </c>
      <c r="F711" s="149">
        <f>(805)*(1.023*1.005-2.3%*15%)*6.99+0*4.09</f>
        <v>5766</v>
      </c>
      <c r="G711" s="145">
        <f t="shared" si="268"/>
        <v>1.139</v>
      </c>
      <c r="H711" s="146">
        <f t="shared" si="269"/>
        <v>6567</v>
      </c>
      <c r="I711" s="145">
        <f>Дефляторы!$D$25</f>
        <v>1.052</v>
      </c>
      <c r="J711" s="146">
        <f t="shared" si="270"/>
        <v>6908</v>
      </c>
      <c r="K711" s="146">
        <f t="shared" si="271"/>
        <v>6806</v>
      </c>
      <c r="L711" s="147"/>
      <c r="M711" s="147"/>
      <c r="N711" s="147"/>
    </row>
    <row r="712" spans="1:14" s="148" customFormat="1" ht="15.75" outlineLevel="2" x14ac:dyDescent="0.2">
      <c r="A712" s="95" t="s">
        <v>2212</v>
      </c>
      <c r="B712" s="42" t="s">
        <v>1739</v>
      </c>
      <c r="C712" s="42" t="s">
        <v>1738</v>
      </c>
      <c r="D712" s="100" t="s">
        <v>408</v>
      </c>
      <c r="E712" s="100">
        <v>1</v>
      </c>
      <c r="F712" s="149">
        <f>(157)*(1.023*1.005-2.3%*15%)*6.99+0*4.09</f>
        <v>1124</v>
      </c>
      <c r="G712" s="145">
        <f t="shared" si="268"/>
        <v>1.139</v>
      </c>
      <c r="H712" s="146">
        <f t="shared" si="269"/>
        <v>1280</v>
      </c>
      <c r="I712" s="145">
        <f>Дефляторы!$D$25</f>
        <v>1.052</v>
      </c>
      <c r="J712" s="146">
        <f t="shared" si="270"/>
        <v>1347</v>
      </c>
      <c r="K712" s="146">
        <f t="shared" si="271"/>
        <v>1327</v>
      </c>
      <c r="L712" s="147"/>
      <c r="M712" s="147"/>
      <c r="N712" s="147"/>
    </row>
    <row r="713" spans="1:14" s="243" customFormat="1" ht="25.5" outlineLevel="1" x14ac:dyDescent="0.2">
      <c r="A713" s="244" t="s">
        <v>517</v>
      </c>
      <c r="B713" s="245" t="s">
        <v>54</v>
      </c>
      <c r="C713" s="245" t="s">
        <v>1740</v>
      </c>
      <c r="D713" s="246" t="s">
        <v>292</v>
      </c>
      <c r="E713" s="247">
        <v>1</v>
      </c>
      <c r="F713" s="247">
        <f>SUM(F714:F732)</f>
        <v>2388806</v>
      </c>
      <c r="G713" s="248">
        <f t="shared" si="268"/>
        <v>1.139</v>
      </c>
      <c r="H713" s="247">
        <f>SUM(H714:H732)</f>
        <v>2720851</v>
      </c>
      <c r="I713" s="248">
        <f>Дефляторы!$D$25</f>
        <v>1.052</v>
      </c>
      <c r="J713" s="247">
        <f>SUM(J714:J732)</f>
        <v>2862335</v>
      </c>
      <c r="K713" s="247">
        <f>SUM(K714:K732)</f>
        <v>2819890</v>
      </c>
      <c r="L713" s="269"/>
      <c r="M713" s="269"/>
      <c r="N713" s="269"/>
    </row>
    <row r="714" spans="1:14" s="148" customFormat="1" ht="15.75" outlineLevel="2" x14ac:dyDescent="0.2">
      <c r="A714" s="95" t="s">
        <v>664</v>
      </c>
      <c r="B714" s="42" t="s">
        <v>1742</v>
      </c>
      <c r="C714" s="42" t="s">
        <v>1741</v>
      </c>
      <c r="D714" s="100" t="s">
        <v>292</v>
      </c>
      <c r="E714" s="149">
        <v>1</v>
      </c>
      <c r="F714" s="149">
        <f>(19540)*(1.023*1.005-2.3%*15%)*6.99+0*4.09</f>
        <v>139953</v>
      </c>
      <c r="G714" s="145">
        <f t="shared" si="268"/>
        <v>1.139</v>
      </c>
      <c r="H714" s="146">
        <f t="shared" ref="H714:H715" si="272">F714*G714</f>
        <v>159406</v>
      </c>
      <c r="I714" s="145">
        <f>Дефляторы!$D$25</f>
        <v>1.052</v>
      </c>
      <c r="J714" s="146">
        <f t="shared" ref="J714:J715" si="273">H714*I714</f>
        <v>167695</v>
      </c>
      <c r="K714" s="146">
        <f t="shared" ref="K714:K715" si="274">H714+(J714-H714)*(1-30/100)</f>
        <v>165208</v>
      </c>
      <c r="L714" s="147"/>
      <c r="M714" s="147"/>
      <c r="N714" s="147"/>
    </row>
    <row r="715" spans="1:14" s="148" customFormat="1" ht="25.5" outlineLevel="2" x14ac:dyDescent="0.2">
      <c r="A715" s="95" t="s">
        <v>665</v>
      </c>
      <c r="B715" s="42" t="s">
        <v>1744</v>
      </c>
      <c r="C715" s="42" t="s">
        <v>1743</v>
      </c>
      <c r="D715" s="100" t="s">
        <v>292</v>
      </c>
      <c r="E715" s="149">
        <v>1</v>
      </c>
      <c r="F715" s="149">
        <f>(10070)*(1.023*1.005-2.3%*15%)*6.99+0*4.09</f>
        <v>72125</v>
      </c>
      <c r="G715" s="145">
        <f t="shared" si="268"/>
        <v>1.139</v>
      </c>
      <c r="H715" s="146">
        <f t="shared" si="272"/>
        <v>82150</v>
      </c>
      <c r="I715" s="145">
        <f>Дефляторы!$D$25</f>
        <v>1.052</v>
      </c>
      <c r="J715" s="146">
        <f t="shared" si="273"/>
        <v>86422</v>
      </c>
      <c r="K715" s="146">
        <f t="shared" si="274"/>
        <v>85140</v>
      </c>
      <c r="L715" s="147"/>
      <c r="M715" s="147"/>
      <c r="N715" s="147"/>
    </row>
    <row r="716" spans="1:14" s="148" customFormat="1" ht="15.75" outlineLevel="2" x14ac:dyDescent="0.2">
      <c r="A716" s="95"/>
      <c r="B716" s="42"/>
      <c r="C716" s="157" t="s">
        <v>1745</v>
      </c>
      <c r="D716" s="100"/>
      <c r="E716" s="100"/>
      <c r="F716" s="149"/>
      <c r="G716" s="145"/>
      <c r="H716" s="146"/>
      <c r="I716" s="145">
        <f>Дефляторы!$D$25</f>
        <v>1.052</v>
      </c>
      <c r="J716" s="146"/>
      <c r="K716" s="146"/>
      <c r="L716" s="147"/>
      <c r="M716" s="147"/>
      <c r="N716" s="147"/>
    </row>
    <row r="717" spans="1:14" s="148" customFormat="1" ht="25.5" outlineLevel="2" x14ac:dyDescent="0.2">
      <c r="A717" s="95" t="s">
        <v>666</v>
      </c>
      <c r="B717" s="42" t="s">
        <v>1748</v>
      </c>
      <c r="C717" s="42" t="s">
        <v>356</v>
      </c>
      <c r="D717" s="100" t="s">
        <v>300</v>
      </c>
      <c r="E717" s="100">
        <v>792</v>
      </c>
      <c r="F717" s="149">
        <f>(157931)*(1.023*1.005-2.3%*15%)*6.99+0*4.09+7</f>
        <v>1131173</v>
      </c>
      <c r="G717" s="145">
        <f>$G$766</f>
        <v>1.139</v>
      </c>
      <c r="H717" s="146">
        <f t="shared" ref="H717:H721" si="275">F717*G717</f>
        <v>1288406</v>
      </c>
      <c r="I717" s="145">
        <f>Дефляторы!$D$25</f>
        <v>1.052</v>
      </c>
      <c r="J717" s="146">
        <f t="shared" ref="J717:J721" si="276">H717*I717</f>
        <v>1355403</v>
      </c>
      <c r="K717" s="146">
        <f t="shared" ref="K717:K721" si="277">H717+(J717-H717)*(1-30/100)</f>
        <v>1335304</v>
      </c>
      <c r="L717" s="147"/>
      <c r="M717" s="147"/>
      <c r="N717" s="147"/>
    </row>
    <row r="718" spans="1:14" s="148" customFormat="1" ht="15.75" outlineLevel="2" x14ac:dyDescent="0.2">
      <c r="A718" s="95" t="s">
        <v>667</v>
      </c>
      <c r="B718" s="42" t="s">
        <v>1752</v>
      </c>
      <c r="C718" s="42" t="s">
        <v>1493</v>
      </c>
      <c r="D718" s="100" t="s">
        <v>300</v>
      </c>
      <c r="E718" s="100">
        <v>792</v>
      </c>
      <c r="F718" s="149">
        <f>(10139)*(1.023*1.005-2.3%*15%)*6.99+0*4.09</f>
        <v>72620</v>
      </c>
      <c r="G718" s="145">
        <f>$G$766</f>
        <v>1.139</v>
      </c>
      <c r="H718" s="146">
        <f t="shared" si="275"/>
        <v>82714</v>
      </c>
      <c r="I718" s="145">
        <f>Дефляторы!$D$25</f>
        <v>1.052</v>
      </c>
      <c r="J718" s="146">
        <f t="shared" si="276"/>
        <v>87015</v>
      </c>
      <c r="K718" s="146">
        <f t="shared" si="277"/>
        <v>85725</v>
      </c>
      <c r="L718" s="147"/>
      <c r="M718" s="147"/>
      <c r="N718" s="147"/>
    </row>
    <row r="719" spans="1:14" s="148" customFormat="1" ht="15.75" outlineLevel="2" x14ac:dyDescent="0.2">
      <c r="A719" s="95" t="s">
        <v>668</v>
      </c>
      <c r="B719" s="42" t="s">
        <v>1751</v>
      </c>
      <c r="C719" s="42" t="s">
        <v>1750</v>
      </c>
      <c r="D719" s="100" t="s">
        <v>300</v>
      </c>
      <c r="E719" s="100">
        <v>847</v>
      </c>
      <c r="F719" s="149">
        <f>(42317)*(1.023*1.005-2.3%*15%)*6.99+0*4.09</f>
        <v>303092</v>
      </c>
      <c r="G719" s="145">
        <f>$G$766</f>
        <v>1.139</v>
      </c>
      <c r="H719" s="146">
        <f t="shared" si="275"/>
        <v>345222</v>
      </c>
      <c r="I719" s="145">
        <f>Дефляторы!$D$25</f>
        <v>1.052</v>
      </c>
      <c r="J719" s="146">
        <f t="shared" si="276"/>
        <v>363174</v>
      </c>
      <c r="K719" s="146">
        <f t="shared" si="277"/>
        <v>357788</v>
      </c>
      <c r="L719" s="147"/>
      <c r="M719" s="147"/>
      <c r="N719" s="147"/>
    </row>
    <row r="720" spans="1:14" s="148" customFormat="1" ht="15.75" outlineLevel="2" x14ac:dyDescent="0.2">
      <c r="A720" s="95" t="s">
        <v>669</v>
      </c>
      <c r="B720" s="42" t="s">
        <v>1754</v>
      </c>
      <c r="C720" s="42" t="s">
        <v>1753</v>
      </c>
      <c r="D720" s="100" t="s">
        <v>404</v>
      </c>
      <c r="E720" s="100">
        <f>5619</f>
        <v>5619</v>
      </c>
      <c r="F720" s="149">
        <f>(240)*(1.023*1.005-2.3%*15%)*6.99+0*4.09</f>
        <v>1719</v>
      </c>
      <c r="G720" s="145">
        <f>$G$766</f>
        <v>1.139</v>
      </c>
      <c r="H720" s="146">
        <f t="shared" si="275"/>
        <v>1958</v>
      </c>
      <c r="I720" s="145">
        <f>Дефляторы!$D$25</f>
        <v>1.052</v>
      </c>
      <c r="J720" s="146">
        <f t="shared" si="276"/>
        <v>2060</v>
      </c>
      <c r="K720" s="146">
        <f t="shared" si="277"/>
        <v>2029</v>
      </c>
      <c r="L720" s="147"/>
      <c r="M720" s="147"/>
      <c r="N720" s="147"/>
    </row>
    <row r="721" spans="1:14" s="148" customFormat="1" ht="25.5" outlineLevel="2" x14ac:dyDescent="0.2">
      <c r="A721" s="95" t="s">
        <v>670</v>
      </c>
      <c r="B721" s="42" t="s">
        <v>1747</v>
      </c>
      <c r="C721" s="42" t="s">
        <v>1746</v>
      </c>
      <c r="D721" s="100" t="s">
        <v>292</v>
      </c>
      <c r="E721" s="100">
        <v>1</v>
      </c>
      <c r="F721" s="149">
        <f>(14947)*(1.023*1.005-2.3%*15%)*6.99+0*4.09</f>
        <v>107057</v>
      </c>
      <c r="G721" s="145">
        <f>$G$766</f>
        <v>1.139</v>
      </c>
      <c r="H721" s="146">
        <f t="shared" si="275"/>
        <v>121938</v>
      </c>
      <c r="I721" s="145">
        <f>Дефляторы!$D$25</f>
        <v>1.052</v>
      </c>
      <c r="J721" s="146">
        <f t="shared" si="276"/>
        <v>128279</v>
      </c>
      <c r="K721" s="146">
        <f t="shared" si="277"/>
        <v>126377</v>
      </c>
      <c r="L721" s="147"/>
      <c r="M721" s="147"/>
      <c r="N721" s="147"/>
    </row>
    <row r="722" spans="1:14" s="148" customFormat="1" ht="25.5" outlineLevel="2" x14ac:dyDescent="0.2">
      <c r="A722" s="95"/>
      <c r="B722" s="42"/>
      <c r="C722" s="157" t="s">
        <v>1755</v>
      </c>
      <c r="D722" s="100"/>
      <c r="E722" s="100"/>
      <c r="F722" s="149"/>
      <c r="G722" s="145"/>
      <c r="H722" s="146"/>
      <c r="I722" s="145">
        <f>Дефляторы!$D$25</f>
        <v>1.052</v>
      </c>
      <c r="J722" s="146"/>
      <c r="K722" s="146"/>
      <c r="L722" s="147"/>
      <c r="M722" s="147"/>
      <c r="N722" s="147"/>
    </row>
    <row r="723" spans="1:14" s="148" customFormat="1" ht="25.5" outlineLevel="2" x14ac:dyDescent="0.2">
      <c r="A723" s="95" t="s">
        <v>671</v>
      </c>
      <c r="B723" s="42" t="s">
        <v>1756</v>
      </c>
      <c r="C723" s="42" t="s">
        <v>356</v>
      </c>
      <c r="D723" s="100" t="s">
        <v>300</v>
      </c>
      <c r="E723" s="100">
        <v>58</v>
      </c>
      <c r="F723" s="149">
        <f>(11566)*(1.023*1.005-2.3%*15%)*6.99+0*4.09</f>
        <v>82840</v>
      </c>
      <c r="G723" s="145">
        <f>$G$766</f>
        <v>1.139</v>
      </c>
      <c r="H723" s="146">
        <f t="shared" ref="H723:H725" si="278">F723*G723</f>
        <v>94355</v>
      </c>
      <c r="I723" s="145">
        <f>Дефляторы!$D$25</f>
        <v>1.052</v>
      </c>
      <c r="J723" s="146">
        <f t="shared" ref="J723:J725" si="279">H723*I723</f>
        <v>99261</v>
      </c>
      <c r="K723" s="146">
        <f t="shared" ref="K723:K725" si="280">H723+(J723-H723)*(1-30/100)</f>
        <v>97789</v>
      </c>
      <c r="L723" s="147"/>
      <c r="M723" s="147"/>
      <c r="N723" s="147"/>
    </row>
    <row r="724" spans="1:14" s="148" customFormat="1" ht="15.75" outlineLevel="2" x14ac:dyDescent="0.2">
      <c r="A724" s="95" t="s">
        <v>672</v>
      </c>
      <c r="B724" s="42" t="s">
        <v>1757</v>
      </c>
      <c r="C724" s="42" t="s">
        <v>1758</v>
      </c>
      <c r="D724" s="100" t="s">
        <v>404</v>
      </c>
      <c r="E724" s="100">
        <v>290</v>
      </c>
      <c r="F724" s="149">
        <f>(12)*(1.023*1.005-2.3%*15%)*6.99+0*4.09</f>
        <v>86</v>
      </c>
      <c r="G724" s="145">
        <f>$G$766</f>
        <v>1.139</v>
      </c>
      <c r="H724" s="146">
        <f t="shared" si="278"/>
        <v>98</v>
      </c>
      <c r="I724" s="145">
        <f>Дефляторы!$D$25</f>
        <v>1.052</v>
      </c>
      <c r="J724" s="146">
        <f t="shared" si="279"/>
        <v>103</v>
      </c>
      <c r="K724" s="146">
        <f t="shared" si="280"/>
        <v>102</v>
      </c>
      <c r="L724" s="147"/>
      <c r="M724" s="147"/>
      <c r="N724" s="147"/>
    </row>
    <row r="725" spans="1:14" s="148" customFormat="1" ht="25.5" outlineLevel="2" x14ac:dyDescent="0.2">
      <c r="A725" s="95" t="s">
        <v>673</v>
      </c>
      <c r="B725" s="42" t="s">
        <v>1760</v>
      </c>
      <c r="C725" s="157" t="s">
        <v>1759</v>
      </c>
      <c r="D725" s="100" t="s">
        <v>292</v>
      </c>
      <c r="E725" s="100">
        <v>1</v>
      </c>
      <c r="F725" s="149">
        <f>(4138)*(1.023*1.005-2.3%*15%)*6.99+0*4.09</f>
        <v>29638</v>
      </c>
      <c r="G725" s="145">
        <f>$G$766</f>
        <v>1.139</v>
      </c>
      <c r="H725" s="146">
        <f t="shared" si="278"/>
        <v>33758</v>
      </c>
      <c r="I725" s="145">
        <f>Дефляторы!$D$25</f>
        <v>1.052</v>
      </c>
      <c r="J725" s="146">
        <f t="shared" si="279"/>
        <v>35513</v>
      </c>
      <c r="K725" s="146">
        <f t="shared" si="280"/>
        <v>34987</v>
      </c>
      <c r="L725" s="147"/>
      <c r="M725" s="147"/>
      <c r="N725" s="147"/>
    </row>
    <row r="726" spans="1:14" s="148" customFormat="1" ht="25.5" outlineLevel="2" x14ac:dyDescent="0.2">
      <c r="A726" s="95"/>
      <c r="B726" s="42"/>
      <c r="C726" s="157" t="s">
        <v>1761</v>
      </c>
      <c r="D726" s="100"/>
      <c r="E726" s="100"/>
      <c r="F726" s="149"/>
      <c r="G726" s="145"/>
      <c r="H726" s="146"/>
      <c r="I726" s="145">
        <f>Дефляторы!$D$25</f>
        <v>1.052</v>
      </c>
      <c r="J726" s="146"/>
      <c r="K726" s="146"/>
      <c r="L726" s="147"/>
      <c r="M726" s="147"/>
      <c r="N726" s="147"/>
    </row>
    <row r="727" spans="1:14" s="148" customFormat="1" ht="25.5" outlineLevel="2" x14ac:dyDescent="0.2">
      <c r="A727" s="95" t="s">
        <v>674</v>
      </c>
      <c r="B727" s="42" t="s">
        <v>1762</v>
      </c>
      <c r="C727" s="42" t="s">
        <v>356</v>
      </c>
      <c r="D727" s="100" t="s">
        <v>300</v>
      </c>
      <c r="E727" s="100">
        <v>219</v>
      </c>
      <c r="F727" s="149">
        <f>(43671)*(1.023*1.005-2.3%*15%)*6.99+0*4.09</f>
        <v>312790</v>
      </c>
      <c r="G727" s="145">
        <f t="shared" ref="G727:G734" si="281">$G$766</f>
        <v>1.139</v>
      </c>
      <c r="H727" s="146">
        <f t="shared" ref="H727:H737" si="282">F727*G727</f>
        <v>356268</v>
      </c>
      <c r="I727" s="145">
        <f>Дефляторы!$D$25</f>
        <v>1.052</v>
      </c>
      <c r="J727" s="146">
        <f t="shared" ref="J727:J741" si="283">H727*I727</f>
        <v>374794</v>
      </c>
      <c r="K727" s="146">
        <f t="shared" ref="K727:K741" si="284">H727+(J727-H727)*(1-30/100)</f>
        <v>369236</v>
      </c>
      <c r="L727" s="147"/>
      <c r="M727" s="147"/>
      <c r="N727" s="147"/>
    </row>
    <row r="728" spans="1:14" s="148" customFormat="1" ht="15.75" outlineLevel="2" x14ac:dyDescent="0.2">
      <c r="A728" s="95" t="s">
        <v>675</v>
      </c>
      <c r="B728" s="42" t="s">
        <v>1763</v>
      </c>
      <c r="C728" s="42" t="s">
        <v>1493</v>
      </c>
      <c r="D728" s="100" t="s">
        <v>300</v>
      </c>
      <c r="E728" s="100">
        <v>62</v>
      </c>
      <c r="F728" s="149">
        <f>(793)*(1.023*1.005-2.3%*15%)*6.99+0*4.09</f>
        <v>5680</v>
      </c>
      <c r="G728" s="145">
        <f t="shared" si="281"/>
        <v>1.139</v>
      </c>
      <c r="H728" s="146">
        <f t="shared" si="282"/>
        <v>6470</v>
      </c>
      <c r="I728" s="145">
        <f>Дефляторы!$D$25</f>
        <v>1.052</v>
      </c>
      <c r="J728" s="146">
        <f t="shared" si="283"/>
        <v>6806</v>
      </c>
      <c r="K728" s="146">
        <f t="shared" si="284"/>
        <v>6705</v>
      </c>
      <c r="L728" s="147"/>
      <c r="M728" s="147"/>
      <c r="N728" s="147"/>
    </row>
    <row r="729" spans="1:14" s="148" customFormat="1" ht="25.5" outlineLevel="2" x14ac:dyDescent="0.2">
      <c r="A729" s="95" t="s">
        <v>676</v>
      </c>
      <c r="B729" s="42" t="s">
        <v>1764</v>
      </c>
      <c r="C729" s="42" t="s">
        <v>1765</v>
      </c>
      <c r="D729" s="100" t="s">
        <v>300</v>
      </c>
      <c r="E729" s="100">
        <v>187</v>
      </c>
      <c r="F729" s="149">
        <f>(7734)*(1.023*1.005-2.3%*15%)*6.99+0*4.09</f>
        <v>55394</v>
      </c>
      <c r="G729" s="145">
        <f t="shared" si="281"/>
        <v>1.139</v>
      </c>
      <c r="H729" s="146">
        <f t="shared" si="282"/>
        <v>63094</v>
      </c>
      <c r="I729" s="145">
        <f>Дефляторы!$D$25</f>
        <v>1.052</v>
      </c>
      <c r="J729" s="146">
        <f t="shared" si="283"/>
        <v>66375</v>
      </c>
      <c r="K729" s="146">
        <f t="shared" si="284"/>
        <v>65391</v>
      </c>
      <c r="L729" s="147"/>
      <c r="M729" s="147"/>
      <c r="N729" s="147"/>
    </row>
    <row r="730" spans="1:14" s="148" customFormat="1" ht="15.75" outlineLevel="2" x14ac:dyDescent="0.2">
      <c r="A730" s="95" t="s">
        <v>677</v>
      </c>
      <c r="B730" s="42" t="s">
        <v>1766</v>
      </c>
      <c r="C730" s="42" t="s">
        <v>1749</v>
      </c>
      <c r="D730" s="100" t="s">
        <v>300</v>
      </c>
      <c r="E730" s="100">
        <v>62</v>
      </c>
      <c r="F730" s="149">
        <f>(617)*(1.023*1.005-2.3%*15%)*6.99+0*4.09</f>
        <v>4419</v>
      </c>
      <c r="G730" s="145">
        <f t="shared" si="281"/>
        <v>1.139</v>
      </c>
      <c r="H730" s="146">
        <f t="shared" si="282"/>
        <v>5033</v>
      </c>
      <c r="I730" s="145">
        <f>Дефляторы!$D$25</f>
        <v>1.052</v>
      </c>
      <c r="J730" s="146">
        <f t="shared" si="283"/>
        <v>5295</v>
      </c>
      <c r="K730" s="146">
        <f t="shared" si="284"/>
        <v>5216</v>
      </c>
      <c r="L730" s="147"/>
      <c r="M730" s="147"/>
      <c r="N730" s="147"/>
    </row>
    <row r="731" spans="1:14" s="148" customFormat="1" ht="15.75" outlineLevel="2" x14ac:dyDescent="0.2">
      <c r="A731" s="95" t="s">
        <v>678</v>
      </c>
      <c r="B731" s="42" t="s">
        <v>1767</v>
      </c>
      <c r="C731" s="42" t="s">
        <v>1753</v>
      </c>
      <c r="D731" s="100" t="s">
        <v>404</v>
      </c>
      <c r="E731" s="100">
        <v>1016</v>
      </c>
      <c r="F731" s="149">
        <f>(43)*(1.023*1.005-2.3%*15%)*6.99+0*4.09</f>
        <v>308</v>
      </c>
      <c r="G731" s="145">
        <f t="shared" si="281"/>
        <v>1.139</v>
      </c>
      <c r="H731" s="146">
        <f t="shared" si="282"/>
        <v>351</v>
      </c>
      <c r="I731" s="145">
        <f>Дефляторы!$D$25</f>
        <v>1.052</v>
      </c>
      <c r="J731" s="146">
        <f t="shared" si="283"/>
        <v>369</v>
      </c>
      <c r="K731" s="146">
        <f t="shared" si="284"/>
        <v>364</v>
      </c>
      <c r="L731" s="147"/>
      <c r="M731" s="147"/>
      <c r="N731" s="147"/>
    </row>
    <row r="732" spans="1:14" s="148" customFormat="1" ht="25.5" outlineLevel="2" x14ac:dyDescent="0.2">
      <c r="A732" s="95" t="s">
        <v>679</v>
      </c>
      <c r="B732" s="42" t="s">
        <v>1769</v>
      </c>
      <c r="C732" s="157" t="s">
        <v>1768</v>
      </c>
      <c r="D732" s="100" t="s">
        <v>292</v>
      </c>
      <c r="E732" s="100">
        <v>1</v>
      </c>
      <c r="F732" s="149">
        <f>(9761)*(1.023*1.005-2.3%*15%)*6.99+0*4.09</f>
        <v>69912</v>
      </c>
      <c r="G732" s="145">
        <f t="shared" si="281"/>
        <v>1.139</v>
      </c>
      <c r="H732" s="146">
        <f t="shared" si="282"/>
        <v>79630</v>
      </c>
      <c r="I732" s="145">
        <f>Дефляторы!$D$25</f>
        <v>1.052</v>
      </c>
      <c r="J732" s="146">
        <f t="shared" si="283"/>
        <v>83771</v>
      </c>
      <c r="K732" s="146">
        <f t="shared" si="284"/>
        <v>82529</v>
      </c>
      <c r="L732" s="147"/>
      <c r="M732" s="147"/>
      <c r="N732" s="147"/>
    </row>
    <row r="733" spans="1:14" s="243" customFormat="1" ht="25.5" outlineLevel="1" x14ac:dyDescent="0.2">
      <c r="A733" s="244" t="s">
        <v>518</v>
      </c>
      <c r="B733" s="245" t="s">
        <v>65</v>
      </c>
      <c r="C733" s="245" t="s">
        <v>519</v>
      </c>
      <c r="D733" s="246" t="s">
        <v>292</v>
      </c>
      <c r="E733" s="247">
        <v>1</v>
      </c>
      <c r="F733" s="247">
        <f>'Затраты подрядчика'!O97</f>
        <v>1044688</v>
      </c>
      <c r="G733" s="248">
        <f t="shared" si="281"/>
        <v>1.139</v>
      </c>
      <c r="H733" s="255">
        <f t="shared" si="282"/>
        <v>1189900</v>
      </c>
      <c r="I733" s="248">
        <f>Дефляторы!$D$25</f>
        <v>1.052</v>
      </c>
      <c r="J733" s="255">
        <f t="shared" si="283"/>
        <v>1251775</v>
      </c>
      <c r="K733" s="255">
        <f t="shared" si="284"/>
        <v>1233213</v>
      </c>
      <c r="L733" s="269"/>
      <c r="M733" s="269"/>
      <c r="N733" s="269"/>
    </row>
    <row r="734" spans="1:14" s="243" customFormat="1" ht="15.75" outlineLevel="1" x14ac:dyDescent="0.2">
      <c r="A734" s="244" t="s">
        <v>520</v>
      </c>
      <c r="B734" s="245" t="s">
        <v>67</v>
      </c>
      <c r="C734" s="245" t="s">
        <v>68</v>
      </c>
      <c r="D734" s="246" t="s">
        <v>292</v>
      </c>
      <c r="E734" s="247">
        <v>1</v>
      </c>
      <c r="F734" s="247">
        <f>'Затраты подрядчика'!O98</f>
        <v>625992</v>
      </c>
      <c r="G734" s="248">
        <f t="shared" si="281"/>
        <v>1.139</v>
      </c>
      <c r="H734" s="255">
        <f>F734*G734</f>
        <v>713005</v>
      </c>
      <c r="I734" s="248">
        <f>Дефляторы!$D$25</f>
        <v>1.052</v>
      </c>
      <c r="J734" s="255">
        <f>H734*I734</f>
        <v>750081</v>
      </c>
      <c r="K734" s="255">
        <f>H734+(J734-H734)*(1-30/100)</f>
        <v>738958</v>
      </c>
      <c r="L734" s="269"/>
      <c r="M734" s="269"/>
      <c r="N734" s="269"/>
    </row>
    <row r="735" spans="1:14" s="243" customFormat="1" ht="15.75" outlineLevel="1" x14ac:dyDescent="0.2">
      <c r="A735" s="244" t="s">
        <v>521</v>
      </c>
      <c r="B735" s="245" t="s">
        <v>71</v>
      </c>
      <c r="C735" s="245" t="s">
        <v>72</v>
      </c>
      <c r="D735" s="246" t="s">
        <v>292</v>
      </c>
      <c r="E735" s="247">
        <v>1</v>
      </c>
      <c r="F735" s="247">
        <f>SUM(F736:F738)</f>
        <v>13109951</v>
      </c>
      <c r="G735" s="248"/>
      <c r="H735" s="247">
        <f>SUM(H736:H738)</f>
        <v>13520409</v>
      </c>
      <c r="I735" s="351"/>
      <c r="J735" s="247">
        <f>SUM(J736:J738)</f>
        <v>13629204</v>
      </c>
      <c r="K735" s="247">
        <f>SUM(K736:K738)</f>
        <v>13596566</v>
      </c>
      <c r="L735" s="269"/>
      <c r="M735" s="269"/>
      <c r="N735" s="269"/>
    </row>
    <row r="736" spans="1:14" s="267" customFormat="1" ht="25.5" outlineLevel="2" x14ac:dyDescent="0.2">
      <c r="A736" s="177" t="s">
        <v>2213</v>
      </c>
      <c r="B736" s="42" t="s">
        <v>1789</v>
      </c>
      <c r="C736" s="42" t="s">
        <v>1788</v>
      </c>
      <c r="D736" s="100" t="s">
        <v>292</v>
      </c>
      <c r="E736" s="149">
        <v>1</v>
      </c>
      <c r="F736" s="149">
        <f>103591*10.79-F756</f>
        <v>1116047</v>
      </c>
      <c r="G736" s="145">
        <f>$G$766</f>
        <v>1.139</v>
      </c>
      <c r="H736" s="146">
        <f t="shared" si="282"/>
        <v>1271178</v>
      </c>
      <c r="I736" s="145">
        <f>Дефляторы!$D$25</f>
        <v>1.052</v>
      </c>
      <c r="J736" s="146">
        <f>H736*I738</f>
        <v>1271178</v>
      </c>
      <c r="K736" s="146">
        <f t="shared" si="284"/>
        <v>1271178</v>
      </c>
      <c r="L736" s="292"/>
      <c r="M736" s="292"/>
      <c r="N736" s="292"/>
    </row>
    <row r="737" spans="1:14" s="267" customFormat="1" ht="38.25" outlineLevel="2" x14ac:dyDescent="0.2">
      <c r="A737" s="177" t="s">
        <v>2214</v>
      </c>
      <c r="B737" s="42" t="s">
        <v>274</v>
      </c>
      <c r="C737" s="42" t="s">
        <v>1791</v>
      </c>
      <c r="D737" s="100" t="s">
        <v>292</v>
      </c>
      <c r="E737" s="149">
        <v>1</v>
      </c>
      <c r="F737" s="149">
        <f>170499*10.79-F757</f>
        <v>1836886</v>
      </c>
      <c r="G737" s="145">
        <f>$G$766</f>
        <v>1.139</v>
      </c>
      <c r="H737" s="146">
        <f t="shared" si="282"/>
        <v>2092213</v>
      </c>
      <c r="I737" s="145">
        <f>Дефляторы!$D$25</f>
        <v>1.052</v>
      </c>
      <c r="J737" s="146">
        <f>H737*I737</f>
        <v>2201008</v>
      </c>
      <c r="K737" s="146">
        <f t="shared" si="284"/>
        <v>2168370</v>
      </c>
      <c r="L737" s="292"/>
      <c r="M737" s="292"/>
      <c r="N737" s="292"/>
    </row>
    <row r="738" spans="1:14" s="267" customFormat="1" ht="15.75" outlineLevel="2" x14ac:dyDescent="0.2">
      <c r="A738" s="177" t="s">
        <v>2215</v>
      </c>
      <c r="B738" s="42" t="s">
        <v>1790</v>
      </c>
      <c r="C738" s="42" t="s">
        <v>685</v>
      </c>
      <c r="D738" s="100" t="s">
        <v>292</v>
      </c>
      <c r="E738" s="149">
        <v>1</v>
      </c>
      <c r="F738" s="149">
        <f>((100816+841948)*10.79+64)-F758</f>
        <v>10157018</v>
      </c>
      <c r="G738" s="145">
        <v>1</v>
      </c>
      <c r="H738" s="146">
        <f>F738*G738</f>
        <v>10157018</v>
      </c>
      <c r="I738" s="145">
        <v>1</v>
      </c>
      <c r="J738" s="146">
        <f>H738*I738</f>
        <v>10157018</v>
      </c>
      <c r="K738" s="146">
        <f>H738+(J738-H738)*(1-30/100)</f>
        <v>10157018</v>
      </c>
      <c r="L738" s="292"/>
      <c r="M738" s="292"/>
      <c r="N738" s="292"/>
    </row>
    <row r="739" spans="1:14" s="243" customFormat="1" ht="15.75" outlineLevel="1" x14ac:dyDescent="0.2">
      <c r="A739" s="302" t="s">
        <v>522</v>
      </c>
      <c r="B739" s="245" t="s">
        <v>729</v>
      </c>
      <c r="C739" s="245" t="s">
        <v>1792</v>
      </c>
      <c r="D739" s="246" t="s">
        <v>292</v>
      </c>
      <c r="E739" s="247">
        <v>1</v>
      </c>
      <c r="F739" s="247">
        <f>805650000/1.2+14</f>
        <v>671375014</v>
      </c>
      <c r="G739" s="248">
        <f>$G$766</f>
        <v>1.139</v>
      </c>
      <c r="H739" s="255">
        <f t="shared" ref="H739:H759" si="285">F739*G739</f>
        <v>764696141</v>
      </c>
      <c r="I739" s="248">
        <f>Дефляторы!$D$25</f>
        <v>1.052</v>
      </c>
      <c r="J739" s="255">
        <f t="shared" ref="J739" si="286">H739*I739</f>
        <v>804460340</v>
      </c>
      <c r="K739" s="255">
        <f t="shared" ref="K739" si="287">H739+(J739-H739)*(1-30/100)</f>
        <v>792531080</v>
      </c>
      <c r="L739" s="269"/>
      <c r="M739" s="269"/>
      <c r="N739" s="269"/>
    </row>
    <row r="740" spans="1:14" s="243" customFormat="1" ht="15.75" outlineLevel="1" x14ac:dyDescent="0.2">
      <c r="A740" s="244" t="s">
        <v>523</v>
      </c>
      <c r="B740" s="245" t="s">
        <v>729</v>
      </c>
      <c r="C740" s="303" t="s">
        <v>728</v>
      </c>
      <c r="D740" s="304" t="s">
        <v>292</v>
      </c>
      <c r="E740" s="247">
        <v>1</v>
      </c>
      <c r="F740" s="247">
        <f>40800000/1.2</f>
        <v>34000000</v>
      </c>
      <c r="G740" s="248">
        <f>$G$766</f>
        <v>1.139</v>
      </c>
      <c r="H740" s="255">
        <f t="shared" si="285"/>
        <v>38726000</v>
      </c>
      <c r="I740" s="248">
        <f>Дефляторы!$D$25</f>
        <v>1.052</v>
      </c>
      <c r="J740" s="255">
        <f t="shared" si="283"/>
        <v>40739752</v>
      </c>
      <c r="K740" s="255">
        <f t="shared" si="284"/>
        <v>40135626</v>
      </c>
      <c r="L740" s="269"/>
      <c r="M740" s="269"/>
      <c r="N740" s="269"/>
    </row>
    <row r="741" spans="1:14" s="243" customFormat="1" ht="15.75" outlineLevel="1" x14ac:dyDescent="0.2">
      <c r="A741" s="244" t="s">
        <v>686</v>
      </c>
      <c r="B741" s="245"/>
      <c r="C741" s="245" t="s">
        <v>556</v>
      </c>
      <c r="D741" s="304" t="s">
        <v>292</v>
      </c>
      <c r="E741" s="247">
        <v>1</v>
      </c>
      <c r="F741" s="247">
        <f>'Затраты подрядчика'!P125-'НМЦК (структура по ССР)'!F14-'НМЦК (структура по ССР)'!F759</f>
        <v>16191337</v>
      </c>
      <c r="G741" s="248">
        <f>$G$766</f>
        <v>1.139</v>
      </c>
      <c r="H741" s="255">
        <f t="shared" si="285"/>
        <v>18441933</v>
      </c>
      <c r="I741" s="248">
        <f>Дефляторы!$D$25</f>
        <v>1.052</v>
      </c>
      <c r="J741" s="255">
        <f t="shared" si="283"/>
        <v>19400914</v>
      </c>
      <c r="K741" s="255">
        <f t="shared" si="284"/>
        <v>19113220</v>
      </c>
      <c r="L741" s="269"/>
      <c r="M741" s="269"/>
      <c r="N741" s="269"/>
    </row>
    <row r="742" spans="1:14" s="185" customFormat="1" ht="54" customHeight="1" x14ac:dyDescent="0.2">
      <c r="A742" s="179" t="s">
        <v>524</v>
      </c>
      <c r="B742" s="180"/>
      <c r="C742" s="181" t="s">
        <v>70</v>
      </c>
      <c r="D742" s="125" t="s">
        <v>292</v>
      </c>
      <c r="E742" s="126">
        <v>1</v>
      </c>
      <c r="F742" s="126">
        <f>F743+F748+F755+F759</f>
        <v>978262</v>
      </c>
      <c r="G742" s="127"/>
      <c r="H742" s="126">
        <f>H743+H748+H755+H759</f>
        <v>1112090</v>
      </c>
      <c r="I742" s="350"/>
      <c r="J742" s="126">
        <f>J743+J748+J755+J759</f>
        <v>1199665</v>
      </c>
      <c r="K742" s="126">
        <f>K743+K748+K755+K759</f>
        <v>1173392</v>
      </c>
      <c r="L742" s="182"/>
      <c r="M742" s="183"/>
      <c r="N742" s="184"/>
    </row>
    <row r="743" spans="1:14" s="243" customFormat="1" ht="15.75" outlineLevel="1" x14ac:dyDescent="0.2">
      <c r="A743" s="296" t="s">
        <v>525</v>
      </c>
      <c r="B743" s="305" t="s">
        <v>69</v>
      </c>
      <c r="C743" s="297" t="s">
        <v>646</v>
      </c>
      <c r="D743" s="246" t="s">
        <v>292</v>
      </c>
      <c r="E743" s="247">
        <v>1</v>
      </c>
      <c r="F743" s="247">
        <f>SUM(F744:F747)</f>
        <v>247199</v>
      </c>
      <c r="G743" s="248">
        <f t="shared" ref="G743:G754" si="288">$G$766</f>
        <v>1.139</v>
      </c>
      <c r="H743" s="247">
        <f>SUM(H744:H747)</f>
        <v>281560</v>
      </c>
      <c r="I743" s="248">
        <f>Дефляторы!$D$27</f>
        <v>1.08</v>
      </c>
      <c r="J743" s="247">
        <f>SUM(J744:J747)</f>
        <v>304085</v>
      </c>
      <c r="K743" s="247">
        <f>SUM(K744:K747)</f>
        <v>297327</v>
      </c>
      <c r="L743" s="269"/>
      <c r="M743" s="269"/>
      <c r="N743" s="269"/>
    </row>
    <row r="744" spans="1:14" s="148" customFormat="1" ht="15.75" outlineLevel="2" x14ac:dyDescent="0.2">
      <c r="A744" s="95" t="s">
        <v>526</v>
      </c>
      <c r="B744" s="42" t="s">
        <v>248</v>
      </c>
      <c r="C744" s="42" t="s">
        <v>1794</v>
      </c>
      <c r="D744" s="100" t="s">
        <v>292</v>
      </c>
      <c r="E744" s="149">
        <v>1</v>
      </c>
      <c r="F744" s="149">
        <f>'Затраты подрядчика'!O100</f>
        <v>36956</v>
      </c>
      <c r="G744" s="145">
        <f t="shared" si="288"/>
        <v>1.139</v>
      </c>
      <c r="H744" s="146">
        <f t="shared" si="285"/>
        <v>42093</v>
      </c>
      <c r="I744" s="145">
        <f>Дефляторы!$D$27</f>
        <v>1.08</v>
      </c>
      <c r="J744" s="146">
        <f t="shared" ref="J744:J747" si="289">H744*I744</f>
        <v>45460</v>
      </c>
      <c r="K744" s="146">
        <f t="shared" ref="K744:K747" si="290">H744+(J744-H744)*(1-30/100)</f>
        <v>44450</v>
      </c>
      <c r="L744" s="147"/>
      <c r="M744" s="147"/>
      <c r="N744" s="147"/>
    </row>
    <row r="745" spans="1:14" s="148" customFormat="1" ht="15.75" outlineLevel="2" x14ac:dyDescent="0.2">
      <c r="A745" s="95" t="s">
        <v>527</v>
      </c>
      <c r="B745" s="42" t="s">
        <v>250</v>
      </c>
      <c r="C745" s="42" t="s">
        <v>1793</v>
      </c>
      <c r="D745" s="100" t="s">
        <v>292</v>
      </c>
      <c r="E745" s="149">
        <v>1</v>
      </c>
      <c r="F745" s="149">
        <f>'Затраты подрядчика'!O101</f>
        <v>109262</v>
      </c>
      <c r="G745" s="145">
        <f t="shared" si="288"/>
        <v>1.139</v>
      </c>
      <c r="H745" s="146">
        <f t="shared" si="285"/>
        <v>124449</v>
      </c>
      <c r="I745" s="145">
        <f>Дефляторы!$D$27</f>
        <v>1.08</v>
      </c>
      <c r="J745" s="146">
        <f t="shared" si="289"/>
        <v>134405</v>
      </c>
      <c r="K745" s="146">
        <f t="shared" si="290"/>
        <v>131418</v>
      </c>
      <c r="L745" s="147"/>
      <c r="M745" s="147"/>
      <c r="N745" s="147"/>
    </row>
    <row r="746" spans="1:14" s="148" customFormat="1" ht="15.75" outlineLevel="2" x14ac:dyDescent="0.2">
      <c r="A746" s="95" t="s">
        <v>528</v>
      </c>
      <c r="B746" s="42" t="s">
        <v>252</v>
      </c>
      <c r="C746" s="42" t="s">
        <v>1795</v>
      </c>
      <c r="D746" s="178" t="s">
        <v>292</v>
      </c>
      <c r="E746" s="149">
        <v>1</v>
      </c>
      <c r="F746" s="149">
        <f>'Затраты подрядчика'!O102</f>
        <v>47833</v>
      </c>
      <c r="G746" s="145">
        <f t="shared" si="288"/>
        <v>1.139</v>
      </c>
      <c r="H746" s="146">
        <f t="shared" si="285"/>
        <v>54482</v>
      </c>
      <c r="I746" s="145">
        <f>Дефляторы!$D$27</f>
        <v>1.08</v>
      </c>
      <c r="J746" s="146">
        <f t="shared" si="289"/>
        <v>58841</v>
      </c>
      <c r="K746" s="146">
        <f t="shared" si="290"/>
        <v>57533</v>
      </c>
      <c r="L746" s="147"/>
      <c r="M746" s="147"/>
      <c r="N746" s="147"/>
    </row>
    <row r="747" spans="1:14" s="148" customFormat="1" ht="15.75" outlineLevel="2" x14ac:dyDescent="0.2">
      <c r="A747" s="95" t="s">
        <v>529</v>
      </c>
      <c r="B747" s="42" t="s">
        <v>254</v>
      </c>
      <c r="C747" s="42" t="s">
        <v>1796</v>
      </c>
      <c r="D747" s="178" t="s">
        <v>292</v>
      </c>
      <c r="E747" s="149">
        <v>1</v>
      </c>
      <c r="F747" s="149">
        <f>'Затраты подрядчика'!O103</f>
        <v>53148</v>
      </c>
      <c r="G747" s="145">
        <f t="shared" si="288"/>
        <v>1.139</v>
      </c>
      <c r="H747" s="146">
        <f t="shared" si="285"/>
        <v>60536</v>
      </c>
      <c r="I747" s="145">
        <f>Дефляторы!$D$27</f>
        <v>1.08</v>
      </c>
      <c r="J747" s="146">
        <f t="shared" si="289"/>
        <v>65379</v>
      </c>
      <c r="K747" s="146">
        <f t="shared" si="290"/>
        <v>63926</v>
      </c>
      <c r="L747" s="147"/>
      <c r="M747" s="147"/>
      <c r="N747" s="147"/>
    </row>
    <row r="748" spans="1:14" s="243" customFormat="1" ht="15.75" outlineLevel="1" x14ac:dyDescent="0.2">
      <c r="A748" s="244" t="s">
        <v>532</v>
      </c>
      <c r="B748" s="245" t="s">
        <v>69</v>
      </c>
      <c r="C748" s="245" t="s">
        <v>2216</v>
      </c>
      <c r="D748" s="246" t="s">
        <v>292</v>
      </c>
      <c r="E748" s="247">
        <v>1</v>
      </c>
      <c r="F748" s="247">
        <f>F749+F752+F753+F754</f>
        <v>691913</v>
      </c>
      <c r="G748" s="248">
        <f t="shared" si="288"/>
        <v>1.139</v>
      </c>
      <c r="H748" s="247">
        <f>H749+H752+H753+H754</f>
        <v>788089</v>
      </c>
      <c r="I748" s="248">
        <f>Дефляторы!$D$27</f>
        <v>1.08</v>
      </c>
      <c r="J748" s="247">
        <f>J749+J752+J753+J754</f>
        <v>851136</v>
      </c>
      <c r="K748" s="247">
        <f>K749+K752+K753+K754</f>
        <v>832221</v>
      </c>
      <c r="L748" s="269"/>
      <c r="M748" s="269"/>
      <c r="N748" s="269"/>
    </row>
    <row r="749" spans="1:14" s="148" customFormat="1" ht="15.75" outlineLevel="2" x14ac:dyDescent="0.2">
      <c r="A749" s="95" t="s">
        <v>690</v>
      </c>
      <c r="B749" s="42" t="s">
        <v>256</v>
      </c>
      <c r="C749" s="42" t="s">
        <v>1800</v>
      </c>
      <c r="D749" s="178" t="s">
        <v>292</v>
      </c>
      <c r="E749" s="149">
        <v>1</v>
      </c>
      <c r="F749" s="149">
        <f>F750+F751</f>
        <v>120634</v>
      </c>
      <c r="G749" s="145">
        <f t="shared" si="288"/>
        <v>1.139</v>
      </c>
      <c r="H749" s="146">
        <f>H750+H751</f>
        <v>137402</v>
      </c>
      <c r="I749" s="145">
        <f>Дефляторы!$D$27</f>
        <v>1.08</v>
      </c>
      <c r="J749" s="146">
        <f>J750+J751</f>
        <v>148394</v>
      </c>
      <c r="K749" s="146">
        <f>K750+K751</f>
        <v>145096</v>
      </c>
      <c r="L749" s="147"/>
      <c r="M749" s="147"/>
      <c r="N749" s="147"/>
    </row>
    <row r="750" spans="1:14" s="155" customFormat="1" ht="15.75" outlineLevel="3" x14ac:dyDescent="0.2">
      <c r="A750" s="93" t="s">
        <v>691</v>
      </c>
      <c r="B750" s="94" t="s">
        <v>1770</v>
      </c>
      <c r="C750" s="94" t="s">
        <v>530</v>
      </c>
      <c r="D750" s="186" t="s">
        <v>292</v>
      </c>
      <c r="E750" s="151">
        <v>1</v>
      </c>
      <c r="F750" s="151">
        <f>5705*0.8*12.36</f>
        <v>56411</v>
      </c>
      <c r="G750" s="152">
        <f t="shared" si="288"/>
        <v>1.139</v>
      </c>
      <c r="H750" s="153">
        <f t="shared" si="285"/>
        <v>64252</v>
      </c>
      <c r="I750" s="145">
        <f>Дефляторы!$D$27</f>
        <v>1.08</v>
      </c>
      <c r="J750" s="153">
        <f t="shared" ref="J750:J759" si="291">H750*I750</f>
        <v>69392</v>
      </c>
      <c r="K750" s="153">
        <f t="shared" ref="K750:K759" si="292">H750+(J750-H750)*(1-30/100)</f>
        <v>67850</v>
      </c>
      <c r="L750" s="96"/>
      <c r="M750" s="96"/>
      <c r="N750" s="96"/>
    </row>
    <row r="751" spans="1:14" s="155" customFormat="1" ht="15.75" outlineLevel="3" x14ac:dyDescent="0.2">
      <c r="A751" s="93" t="s">
        <v>692</v>
      </c>
      <c r="B751" s="94" t="s">
        <v>1771</v>
      </c>
      <c r="C751" s="94" t="s">
        <v>531</v>
      </c>
      <c r="D751" s="186" t="s">
        <v>292</v>
      </c>
      <c r="E751" s="151">
        <v>1</v>
      </c>
      <c r="F751" s="151">
        <f>6499*0.8*12.36-39</f>
        <v>64223</v>
      </c>
      <c r="G751" s="152">
        <f t="shared" si="288"/>
        <v>1.139</v>
      </c>
      <c r="H751" s="153">
        <f t="shared" si="285"/>
        <v>73150</v>
      </c>
      <c r="I751" s="145">
        <f>Дефляторы!$D$27</f>
        <v>1.08</v>
      </c>
      <c r="J751" s="153">
        <f t="shared" si="291"/>
        <v>79002</v>
      </c>
      <c r="K751" s="153">
        <f t="shared" si="292"/>
        <v>77246</v>
      </c>
      <c r="L751" s="96"/>
      <c r="M751" s="96"/>
      <c r="N751" s="96"/>
    </row>
    <row r="752" spans="1:14" s="148" customFormat="1" ht="25.5" outlineLevel="2" x14ac:dyDescent="0.2">
      <c r="A752" s="95" t="s">
        <v>693</v>
      </c>
      <c r="B752" s="42" t="s">
        <v>258</v>
      </c>
      <c r="C752" s="42" t="s">
        <v>1798</v>
      </c>
      <c r="D752" s="178" t="s">
        <v>292</v>
      </c>
      <c r="E752" s="149">
        <v>1</v>
      </c>
      <c r="F752" s="149">
        <f>'Затраты подрядчика'!O105</f>
        <v>489580</v>
      </c>
      <c r="G752" s="145">
        <f t="shared" si="288"/>
        <v>1.139</v>
      </c>
      <c r="H752" s="146">
        <f t="shared" si="285"/>
        <v>557632</v>
      </c>
      <c r="I752" s="145">
        <f>Дефляторы!$D$27</f>
        <v>1.08</v>
      </c>
      <c r="J752" s="146">
        <f t="shared" si="291"/>
        <v>602243</v>
      </c>
      <c r="K752" s="146">
        <f t="shared" si="292"/>
        <v>588860</v>
      </c>
      <c r="L752" s="147"/>
      <c r="M752" s="147"/>
      <c r="N752" s="147"/>
    </row>
    <row r="753" spans="1:14" s="148" customFormat="1" ht="25.5" outlineLevel="2" x14ac:dyDescent="0.2">
      <c r="A753" s="95" t="s">
        <v>694</v>
      </c>
      <c r="B753" s="42" t="s">
        <v>260</v>
      </c>
      <c r="C753" s="42" t="s">
        <v>1799</v>
      </c>
      <c r="D753" s="178" t="s">
        <v>292</v>
      </c>
      <c r="E753" s="149">
        <v>1</v>
      </c>
      <c r="F753" s="149">
        <f>'Затраты подрядчика'!O106</f>
        <v>34484</v>
      </c>
      <c r="G753" s="145">
        <f t="shared" si="288"/>
        <v>1.139</v>
      </c>
      <c r="H753" s="146">
        <f t="shared" si="285"/>
        <v>39277</v>
      </c>
      <c r="I753" s="145">
        <f>Дефляторы!$D$27</f>
        <v>1.08</v>
      </c>
      <c r="J753" s="146">
        <f t="shared" si="291"/>
        <v>42419</v>
      </c>
      <c r="K753" s="146">
        <f t="shared" si="292"/>
        <v>41476</v>
      </c>
      <c r="L753" s="147"/>
      <c r="M753" s="147"/>
      <c r="N753" s="147"/>
    </row>
    <row r="754" spans="1:14" s="148" customFormat="1" ht="15.75" outlineLevel="2" x14ac:dyDescent="0.2">
      <c r="A754" s="95"/>
      <c r="B754" s="42" t="s">
        <v>262</v>
      </c>
      <c r="C754" s="42" t="s">
        <v>177</v>
      </c>
      <c r="D754" s="178" t="s">
        <v>292</v>
      </c>
      <c r="E754" s="149">
        <v>1</v>
      </c>
      <c r="F754" s="149">
        <f>'Затраты подрядчика'!O107</f>
        <v>47215</v>
      </c>
      <c r="G754" s="145">
        <f t="shared" si="288"/>
        <v>1.139</v>
      </c>
      <c r="H754" s="146">
        <f t="shared" si="285"/>
        <v>53778</v>
      </c>
      <c r="I754" s="145">
        <f>Дефляторы!$D$27</f>
        <v>1.08</v>
      </c>
      <c r="J754" s="146">
        <f t="shared" si="291"/>
        <v>58080</v>
      </c>
      <c r="K754" s="146">
        <f t="shared" si="292"/>
        <v>56789</v>
      </c>
      <c r="L754" s="147"/>
      <c r="M754" s="147"/>
      <c r="N754" s="147"/>
    </row>
    <row r="755" spans="1:14" s="243" customFormat="1" ht="15.75" outlineLevel="1" x14ac:dyDescent="0.2">
      <c r="A755" s="244" t="s">
        <v>533</v>
      </c>
      <c r="B755" s="245" t="s">
        <v>71</v>
      </c>
      <c r="C755" s="245" t="s">
        <v>72</v>
      </c>
      <c r="D755" s="246" t="s">
        <v>292</v>
      </c>
      <c r="E755" s="247">
        <v>1</v>
      </c>
      <c r="F755" s="247">
        <f>SUM(F756:F758)</f>
        <v>19968</v>
      </c>
      <c r="G755" s="248"/>
      <c r="H755" s="247">
        <f>SUM(H756:H758)</f>
        <v>20593</v>
      </c>
      <c r="I755" s="248"/>
      <c r="J755" s="247">
        <f>SUM(J756:J758)</f>
        <v>20848</v>
      </c>
      <c r="K755" s="247">
        <f>SUM(K756:K758)</f>
        <v>20772</v>
      </c>
      <c r="L755" s="269"/>
      <c r="M755" s="269"/>
      <c r="N755" s="269"/>
    </row>
    <row r="756" spans="1:14" s="267" customFormat="1" ht="25.5" outlineLevel="2" x14ac:dyDescent="0.2">
      <c r="A756" s="177" t="s">
        <v>695</v>
      </c>
      <c r="B756" s="42" t="s">
        <v>1789</v>
      </c>
      <c r="C756" s="42" t="s">
        <v>1788</v>
      </c>
      <c r="D756" s="100" t="s">
        <v>292</v>
      </c>
      <c r="E756" s="149">
        <v>1</v>
      </c>
      <c r="F756" s="149">
        <f>103591*10.79*'Затраты подрядчика'!T99</f>
        <v>1700</v>
      </c>
      <c r="G756" s="145">
        <f>$G$766</f>
        <v>1.139</v>
      </c>
      <c r="H756" s="146">
        <f t="shared" ref="H756:H757" si="293">F756*G756</f>
        <v>1936</v>
      </c>
      <c r="I756" s="145">
        <f>Дефляторы!$D$27</f>
        <v>1.08</v>
      </c>
      <c r="J756" s="146">
        <f>H756*I758</f>
        <v>1936</v>
      </c>
      <c r="K756" s="146">
        <f t="shared" ref="K756:K757" si="294">H756+(J756-H756)*(1-30/100)</f>
        <v>1936</v>
      </c>
      <c r="L756" s="292"/>
      <c r="M756" s="292"/>
      <c r="N756" s="292"/>
    </row>
    <row r="757" spans="1:14" s="267" customFormat="1" ht="38.25" outlineLevel="2" x14ac:dyDescent="0.2">
      <c r="A757" s="177" t="s">
        <v>696</v>
      </c>
      <c r="B757" s="42" t="s">
        <v>274</v>
      </c>
      <c r="C757" s="42" t="s">
        <v>1791</v>
      </c>
      <c r="D757" s="100" t="s">
        <v>292</v>
      </c>
      <c r="E757" s="149">
        <v>1</v>
      </c>
      <c r="F757" s="149">
        <f>170499*10.79*'Затраты подрядчика'!T99</f>
        <v>2798</v>
      </c>
      <c r="G757" s="145">
        <f>$G$766</f>
        <v>1.139</v>
      </c>
      <c r="H757" s="146">
        <f t="shared" si="293"/>
        <v>3187</v>
      </c>
      <c r="I757" s="145">
        <f>Дефляторы!$D$27</f>
        <v>1.08</v>
      </c>
      <c r="J757" s="146">
        <f>H757*I757</f>
        <v>3442</v>
      </c>
      <c r="K757" s="146">
        <f t="shared" si="294"/>
        <v>3366</v>
      </c>
      <c r="L757" s="292"/>
      <c r="M757" s="292"/>
      <c r="N757" s="292"/>
    </row>
    <row r="758" spans="1:14" s="267" customFormat="1" ht="15.75" outlineLevel="2" x14ac:dyDescent="0.2">
      <c r="A758" s="177" t="s">
        <v>2217</v>
      </c>
      <c r="B758" s="42" t="s">
        <v>1790</v>
      </c>
      <c r="C758" s="42" t="s">
        <v>685</v>
      </c>
      <c r="D758" s="100" t="s">
        <v>292</v>
      </c>
      <c r="E758" s="149">
        <v>1</v>
      </c>
      <c r="F758" s="149">
        <f>((100816+841948)*10.79+64)*'Затраты подрядчика'!T99</f>
        <v>15470</v>
      </c>
      <c r="G758" s="145">
        <v>1</v>
      </c>
      <c r="H758" s="146">
        <f>F758*G758</f>
        <v>15470</v>
      </c>
      <c r="I758" s="145">
        <v>1</v>
      </c>
      <c r="J758" s="146">
        <f>H758*I758</f>
        <v>15470</v>
      </c>
      <c r="K758" s="146">
        <f>H758+(J758-H758)*(1-30/100)</f>
        <v>15470</v>
      </c>
      <c r="L758" s="292"/>
      <c r="M758" s="292"/>
      <c r="N758" s="292"/>
    </row>
    <row r="759" spans="1:14" s="243" customFormat="1" ht="15.75" outlineLevel="1" x14ac:dyDescent="0.2">
      <c r="A759" s="244" t="s">
        <v>697</v>
      </c>
      <c r="B759" s="245"/>
      <c r="C759" s="245" t="s">
        <v>556</v>
      </c>
      <c r="D759" s="304" t="s">
        <v>292</v>
      </c>
      <c r="E759" s="247">
        <v>1</v>
      </c>
      <c r="F759" s="247">
        <f>(F743+F748+F755)*2%</f>
        <v>19182</v>
      </c>
      <c r="G759" s="248">
        <f>$G$766</f>
        <v>1.139</v>
      </c>
      <c r="H759" s="255">
        <f t="shared" si="285"/>
        <v>21848</v>
      </c>
      <c r="I759" s="248">
        <f>Дефляторы!$D$27</f>
        <v>1.08</v>
      </c>
      <c r="J759" s="255">
        <f t="shared" si="291"/>
        <v>23596</v>
      </c>
      <c r="K759" s="255">
        <f t="shared" si="292"/>
        <v>23072</v>
      </c>
      <c r="L759" s="269"/>
      <c r="M759" s="269"/>
      <c r="N759" s="269"/>
    </row>
    <row r="760" spans="1:14" ht="15.75" x14ac:dyDescent="0.25">
      <c r="A760" s="187"/>
      <c r="B760" s="188"/>
      <c r="C760" s="189" t="s">
        <v>698</v>
      </c>
      <c r="D760" s="188"/>
      <c r="E760" s="190"/>
      <c r="F760" s="191">
        <f>F12+F15+F742</f>
        <v>1552737463</v>
      </c>
      <c r="G760" s="192"/>
      <c r="H760" s="191">
        <f>H12+H15+H742</f>
        <v>1767153988</v>
      </c>
      <c r="I760" s="192"/>
      <c r="J760" s="191">
        <f>J12+J15+J742</f>
        <v>1857550601</v>
      </c>
      <c r="K760" s="191">
        <f>K12+K15+K742</f>
        <v>1830431652</v>
      </c>
    </row>
    <row r="761" spans="1:14" ht="15.75" x14ac:dyDescent="0.25">
      <c r="A761" s="193"/>
      <c r="B761" s="188"/>
      <c r="C761" s="189" t="s">
        <v>699</v>
      </c>
      <c r="D761" s="188"/>
      <c r="E761" s="190"/>
      <c r="F761" s="194">
        <f>F760*0.2</f>
        <v>310547492.60000002</v>
      </c>
      <c r="G761" s="192"/>
      <c r="H761" s="194">
        <f>H760*0.2</f>
        <v>353430797.60000002</v>
      </c>
      <c r="I761" s="192"/>
      <c r="J761" s="194">
        <f>J760*0.2</f>
        <v>371510120.19999999</v>
      </c>
      <c r="K761" s="194">
        <f>K760*0.2</f>
        <v>366086330.39999998</v>
      </c>
    </row>
    <row r="762" spans="1:14" ht="15.75" x14ac:dyDescent="0.25">
      <c r="A762" s="193"/>
      <c r="B762" s="188"/>
      <c r="C762" s="189" t="s">
        <v>700</v>
      </c>
      <c r="D762" s="188"/>
      <c r="E762" s="190"/>
      <c r="F762" s="194">
        <f>F760+F761</f>
        <v>1863284955.5999999</v>
      </c>
      <c r="G762" s="192"/>
      <c r="H762" s="194">
        <f>H760+H761</f>
        <v>2120584785.5999999</v>
      </c>
      <c r="I762" s="192"/>
      <c r="J762" s="194">
        <f>J760+J761</f>
        <v>2229060721.1999998</v>
      </c>
      <c r="K762" s="194">
        <f>K760+K761</f>
        <v>2196517982.4000001</v>
      </c>
    </row>
    <row r="763" spans="1:14" ht="15" x14ac:dyDescent="0.25">
      <c r="A763" s="101"/>
      <c r="B763" s="102"/>
      <c r="C763" s="103"/>
      <c r="D763" s="98"/>
      <c r="E763" s="104"/>
      <c r="F763" s="104"/>
    </row>
    <row r="764" spans="1:14" ht="15" x14ac:dyDescent="0.25">
      <c r="A764" s="101"/>
      <c r="B764" s="102"/>
      <c r="C764" s="103"/>
      <c r="D764" s="98"/>
      <c r="E764" s="104"/>
      <c r="F764" s="104"/>
    </row>
    <row r="765" spans="1:14" ht="15" x14ac:dyDescent="0.25">
      <c r="A765" s="101"/>
      <c r="B765" s="102"/>
      <c r="C765" s="103"/>
      <c r="D765" s="98"/>
      <c r="E765" s="104"/>
      <c r="F765" s="104"/>
      <c r="H765" s="195"/>
      <c r="J765" s="195"/>
      <c r="K765" s="196"/>
    </row>
    <row r="766" spans="1:14" ht="76.150000000000006" customHeight="1" x14ac:dyDescent="0.25">
      <c r="A766" s="613" t="s">
        <v>2351</v>
      </c>
      <c r="B766" s="613"/>
      <c r="C766" s="613"/>
      <c r="D766" s="197"/>
      <c r="F766" s="198"/>
      <c r="G766" s="199">
        <f>(1.0312*1.0258*1.0358*1.0253*1.0141*1*1)</f>
        <v>1.139</v>
      </c>
      <c r="H766" s="117"/>
      <c r="I766" s="199"/>
      <c r="J766" s="117"/>
      <c r="K766" s="117"/>
    </row>
    <row r="767" spans="1:14" ht="15.75" x14ac:dyDescent="0.25">
      <c r="A767" s="198"/>
      <c r="B767" s="198"/>
      <c r="C767" s="198"/>
      <c r="D767" s="198"/>
      <c r="E767" s="198"/>
      <c r="F767" s="198"/>
      <c r="G767" s="117"/>
      <c r="H767" s="117"/>
      <c r="I767" s="117"/>
      <c r="J767" s="117"/>
      <c r="K767" s="117"/>
    </row>
    <row r="768" spans="1:14" ht="15.75" x14ac:dyDescent="0.25">
      <c r="A768" s="118" t="s">
        <v>703</v>
      </c>
      <c r="B768" s="118"/>
      <c r="C768" s="118"/>
      <c r="D768" s="118"/>
      <c r="E768" s="118"/>
      <c r="F768" s="118"/>
      <c r="G768" s="117"/>
      <c r="H768" s="117"/>
      <c r="I768" s="117"/>
      <c r="J768" s="117"/>
      <c r="K768" s="117"/>
    </row>
    <row r="769" spans="1:17" ht="15.75" x14ac:dyDescent="0.25">
      <c r="A769" s="614" t="s">
        <v>2218</v>
      </c>
      <c r="B769" s="614"/>
      <c r="C769" s="614"/>
      <c r="D769" s="614"/>
      <c r="E769" s="614"/>
      <c r="F769" s="614"/>
      <c r="G769" s="117"/>
      <c r="H769" s="117"/>
      <c r="I769" s="117"/>
      <c r="J769" s="117"/>
      <c r="K769" s="117"/>
    </row>
    <row r="770" spans="1:17" ht="30.6" customHeight="1" x14ac:dyDescent="0.25">
      <c r="A770" s="614" t="s">
        <v>705</v>
      </c>
      <c r="B770" s="614"/>
      <c r="C770" s="614"/>
      <c r="D770" s="614"/>
      <c r="E770" s="614"/>
      <c r="F770" s="614"/>
      <c r="G770" s="117"/>
      <c r="H770" s="117"/>
      <c r="I770" s="117"/>
      <c r="J770" s="117"/>
      <c r="K770" s="117"/>
    </row>
    <row r="771" spans="1:17" ht="15" x14ac:dyDescent="0.25">
      <c r="A771" s="101"/>
      <c r="B771" s="102"/>
      <c r="C771" s="103"/>
      <c r="D771" s="98"/>
      <c r="E771" s="104"/>
      <c r="F771" s="104"/>
    </row>
    <row r="772" spans="1:17" s="105" customFormat="1" ht="15" x14ac:dyDescent="0.25">
      <c r="A772" s="101"/>
      <c r="B772" t="s">
        <v>534</v>
      </c>
      <c r="C772" s="103"/>
      <c r="D772" s="98"/>
      <c r="E772" s="104"/>
      <c r="F772" s="104"/>
      <c r="H772"/>
      <c r="J772"/>
      <c r="K772"/>
      <c r="L772"/>
      <c r="M772"/>
      <c r="N772"/>
      <c r="O772"/>
      <c r="P772"/>
      <c r="Q772"/>
    </row>
    <row r="773" spans="1:17" s="105" customFormat="1" ht="15" x14ac:dyDescent="0.25">
      <c r="A773" s="101"/>
      <c r="B773"/>
      <c r="C773" s="103"/>
      <c r="D773" s="98"/>
      <c r="E773" s="104"/>
      <c r="F773" s="104"/>
      <c r="H773"/>
      <c r="J773"/>
      <c r="K773"/>
      <c r="L773"/>
      <c r="M773"/>
      <c r="N773"/>
      <c r="O773"/>
      <c r="P773"/>
      <c r="Q773"/>
    </row>
    <row r="774" spans="1:17" s="105" customFormat="1" ht="15" x14ac:dyDescent="0.25">
      <c r="A774" s="101"/>
      <c r="B774" t="s">
        <v>535</v>
      </c>
      <c r="C774" s="103"/>
      <c r="D774" s="98"/>
      <c r="E774" s="104"/>
      <c r="F774" s="104"/>
      <c r="H774"/>
      <c r="J774"/>
      <c r="K774"/>
      <c r="L774"/>
      <c r="M774"/>
      <c r="N774"/>
      <c r="O774"/>
      <c r="P774"/>
      <c r="Q774"/>
    </row>
  </sheetData>
  <mergeCells count="8">
    <mergeCell ref="L27:L28"/>
    <mergeCell ref="A766:C766"/>
    <mergeCell ref="A769:F769"/>
    <mergeCell ref="A770:F770"/>
    <mergeCell ref="A1:H1"/>
    <mergeCell ref="B3:H3"/>
    <mergeCell ref="A7:H7"/>
    <mergeCell ref="A8:H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</sheetPr>
  <dimension ref="A1:Q774"/>
  <sheetViews>
    <sheetView view="pageBreakPreview" topLeftCell="A734" zoomScaleNormal="100" zoomScaleSheetLayoutView="100" workbookViewId="0">
      <selection activeCell="C782" sqref="C782"/>
    </sheetView>
  </sheetViews>
  <sheetFormatPr defaultRowHeight="12.75" outlineLevelRow="3" x14ac:dyDescent="0.2"/>
  <cols>
    <col min="1" max="1" width="11.28515625" style="37" bestFit="1" customWidth="1"/>
    <col min="2" max="2" width="21.85546875" customWidth="1"/>
    <col min="3" max="3" width="54.42578125" customWidth="1"/>
    <col min="4" max="4" width="19" customWidth="1"/>
    <col min="5" max="5" width="14.85546875" style="105" customWidth="1"/>
    <col min="6" max="6" width="18" style="105" hidden="1" customWidth="1"/>
    <col min="7" max="7" width="14.85546875" style="105" hidden="1" customWidth="1"/>
    <col min="8" max="8" width="19.7109375" hidden="1" customWidth="1"/>
    <col min="9" max="9" width="14.85546875" style="105" hidden="1" customWidth="1"/>
    <col min="10" max="11" width="19.7109375" hidden="1" customWidth="1"/>
    <col min="12" max="12" width="38.7109375" customWidth="1"/>
    <col min="13" max="13" width="15" customWidth="1"/>
    <col min="14" max="14" width="9.140625" customWidth="1"/>
    <col min="15" max="15" width="14" customWidth="1"/>
    <col min="16" max="16" width="14.85546875" customWidth="1"/>
    <col min="17" max="17" width="12.85546875" customWidth="1"/>
  </cols>
  <sheetData>
    <row r="1" spans="1:17" ht="29.25" customHeight="1" x14ac:dyDescent="0.2">
      <c r="A1" s="622" t="s">
        <v>284</v>
      </c>
      <c r="B1" s="622"/>
      <c r="C1" s="622"/>
      <c r="D1" s="622"/>
      <c r="E1" s="622"/>
      <c r="F1" s="622"/>
      <c r="G1" s="622"/>
      <c r="H1" s="622"/>
      <c r="I1"/>
    </row>
    <row r="2" spans="1:17" ht="29.25" customHeight="1" x14ac:dyDescent="0.2">
      <c r="A2" s="110"/>
      <c r="B2" s="110"/>
      <c r="C2" s="110"/>
      <c r="D2" s="113"/>
      <c r="E2" s="110"/>
      <c r="F2" s="113"/>
      <c r="G2" s="110"/>
      <c r="H2" s="110"/>
      <c r="I2" s="110"/>
      <c r="J2" s="110"/>
      <c r="K2" s="110"/>
    </row>
    <row r="3" spans="1:17" ht="29.25" customHeight="1" x14ac:dyDescent="0.2">
      <c r="A3" s="114" t="s">
        <v>538</v>
      </c>
      <c r="B3" s="623" t="s">
        <v>536</v>
      </c>
      <c r="C3" s="632"/>
      <c r="D3" s="632"/>
      <c r="E3" s="632"/>
      <c r="F3" s="632"/>
      <c r="G3" s="632"/>
      <c r="H3" s="632"/>
      <c r="I3"/>
    </row>
    <row r="4" spans="1:17" ht="29.25" hidden="1" customHeight="1" x14ac:dyDescent="0.25">
      <c r="A4" s="115" t="s">
        <v>540</v>
      </c>
      <c r="B4" s="115" t="s">
        <v>541</v>
      </c>
      <c r="C4" s="115"/>
      <c r="D4" s="116"/>
      <c r="E4" s="115"/>
      <c r="F4" s="116"/>
      <c r="G4" s="115"/>
      <c r="H4" s="117"/>
      <c r="I4" s="115"/>
      <c r="J4" s="117"/>
      <c r="K4" s="117"/>
    </row>
    <row r="5" spans="1:17" ht="29.25" hidden="1" customHeight="1" x14ac:dyDescent="0.25">
      <c r="A5" s="118" t="s">
        <v>542</v>
      </c>
      <c r="B5" s="83"/>
      <c r="C5" s="83"/>
      <c r="D5" s="84"/>
      <c r="E5" s="83"/>
      <c r="F5" s="84"/>
      <c r="G5" s="83"/>
      <c r="H5" s="117"/>
      <c r="I5" s="83"/>
      <c r="J5" s="117"/>
      <c r="K5" s="117"/>
    </row>
    <row r="6" spans="1:17" ht="29.25" hidden="1" customHeight="1" x14ac:dyDescent="0.2">
      <c r="A6" s="119" t="s">
        <v>543</v>
      </c>
      <c r="B6" s="119"/>
      <c r="C6" s="120"/>
      <c r="D6" s="120"/>
      <c r="E6" s="120"/>
      <c r="F6" s="120"/>
      <c r="G6" s="121"/>
      <c r="H6" s="121"/>
      <c r="I6" s="121"/>
      <c r="J6" s="121"/>
      <c r="K6" s="121"/>
    </row>
    <row r="7" spans="1:17" ht="29.25" hidden="1" customHeight="1" x14ac:dyDescent="0.2">
      <c r="A7" s="624" t="s">
        <v>2221</v>
      </c>
      <c r="B7" s="624"/>
      <c r="C7" s="624"/>
      <c r="D7" s="624"/>
      <c r="E7" s="624"/>
      <c r="F7" s="624"/>
      <c r="G7" s="624"/>
      <c r="H7" s="624"/>
      <c r="I7"/>
    </row>
    <row r="8" spans="1:17" ht="29.25" hidden="1" customHeight="1" x14ac:dyDescent="0.2">
      <c r="A8" s="624" t="s">
        <v>2220</v>
      </c>
      <c r="B8" s="624"/>
      <c r="C8" s="624"/>
      <c r="D8" s="624"/>
      <c r="E8" s="624"/>
      <c r="F8" s="624"/>
      <c r="G8" s="624"/>
      <c r="H8" s="624"/>
      <c r="I8"/>
    </row>
    <row r="9" spans="1:17" ht="29.25" customHeight="1" x14ac:dyDescent="0.25">
      <c r="A9" s="83"/>
      <c r="B9" s="83"/>
      <c r="C9" s="83"/>
      <c r="D9" s="84"/>
      <c r="E9" s="83"/>
      <c r="G9" s="83"/>
      <c r="I9" s="83"/>
      <c r="K9" t="s">
        <v>546</v>
      </c>
    </row>
    <row r="10" spans="1:17" ht="184.9" customHeight="1" x14ac:dyDescent="0.2">
      <c r="A10" s="85" t="s">
        <v>1</v>
      </c>
      <c r="B10" s="85" t="s">
        <v>285</v>
      </c>
      <c r="C10" s="86" t="s">
        <v>286</v>
      </c>
      <c r="D10" s="86" t="s">
        <v>287</v>
      </c>
      <c r="E10" s="86" t="s">
        <v>288</v>
      </c>
      <c r="F10" s="86" t="s">
        <v>547</v>
      </c>
      <c r="G10" s="86" t="s">
        <v>548</v>
      </c>
      <c r="H10" s="86" t="s">
        <v>549</v>
      </c>
      <c r="I10" s="86" t="s">
        <v>550</v>
      </c>
      <c r="J10" s="86" t="s">
        <v>551</v>
      </c>
      <c r="K10" s="86" t="s">
        <v>552</v>
      </c>
      <c r="L10" s="86" t="s">
        <v>289</v>
      </c>
      <c r="M10" s="86" t="s">
        <v>290</v>
      </c>
      <c r="N10" s="86" t="s">
        <v>291</v>
      </c>
      <c r="O10" s="123" t="s">
        <v>553</v>
      </c>
      <c r="P10" s="123" t="s">
        <v>554</v>
      </c>
      <c r="Q10" s="123" t="s">
        <v>555</v>
      </c>
    </row>
    <row r="11" spans="1:17" ht="15.75" x14ac:dyDescent="0.2">
      <c r="A11" s="85">
        <v>1</v>
      </c>
      <c r="B11" s="85">
        <v>2</v>
      </c>
      <c r="C11" s="85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6"/>
      <c r="M11" s="86"/>
      <c r="N11" s="86"/>
      <c r="O11" s="124"/>
      <c r="P11" s="124"/>
      <c r="Q11" s="124"/>
    </row>
    <row r="12" spans="1:17" s="131" customFormat="1" ht="22.15" customHeight="1" collapsed="1" x14ac:dyDescent="0.2">
      <c r="A12" s="88">
        <v>1</v>
      </c>
      <c r="B12" s="88"/>
      <c r="C12" s="89" t="s">
        <v>81</v>
      </c>
      <c r="D12" s="125" t="s">
        <v>292</v>
      </c>
      <c r="E12" s="126">
        <v>1</v>
      </c>
      <c r="F12" s="126">
        <f>F13+F14</f>
        <v>22702097</v>
      </c>
      <c r="G12" s="127">
        <f>$G$766</f>
        <v>1.123</v>
      </c>
      <c r="H12" s="128">
        <f>H13+H14</f>
        <v>25494455</v>
      </c>
      <c r="I12" s="127">
        <f>'[2]Расчет прогнозных дефляторов'!$D$20</f>
        <v>1.0229999999999999</v>
      </c>
      <c r="J12" s="128">
        <f>J13+J14</f>
        <v>26080827</v>
      </c>
      <c r="K12" s="128">
        <f>K13+K14</f>
        <v>25904916</v>
      </c>
      <c r="L12" s="129"/>
      <c r="M12" s="129"/>
      <c r="N12" s="129"/>
      <c r="O12" s="130">
        <v>44166</v>
      </c>
      <c r="P12" s="130">
        <v>44256</v>
      </c>
      <c r="Q12" s="131">
        <f>P12-O12</f>
        <v>90</v>
      </c>
    </row>
    <row r="13" spans="1:17" s="138" customFormat="1" ht="34.5" hidden="1" customHeight="1" outlineLevel="1" x14ac:dyDescent="0.2">
      <c r="A13" s="132" t="s">
        <v>293</v>
      </c>
      <c r="B13" s="132" t="s">
        <v>706</v>
      </c>
      <c r="C13" s="133" t="s">
        <v>294</v>
      </c>
      <c r="D13" s="134" t="s">
        <v>292</v>
      </c>
      <c r="E13" s="90">
        <v>1</v>
      </c>
      <c r="F13" s="90">
        <f>'Затраты подрядчика'!O118</f>
        <v>22256958</v>
      </c>
      <c r="G13" s="135">
        <f>$G$766</f>
        <v>1.123</v>
      </c>
      <c r="H13" s="136">
        <f>F13*G13</f>
        <v>24994564</v>
      </c>
      <c r="I13" s="135">
        <f>'[2]Расчет прогнозных дефляторов'!$D$20</f>
        <v>1.0229999999999999</v>
      </c>
      <c r="J13" s="136">
        <f>H13*I13</f>
        <v>25569439</v>
      </c>
      <c r="K13" s="136">
        <f>H13+(J13-H13)*(1-30/100)</f>
        <v>25396977</v>
      </c>
      <c r="L13" s="137"/>
      <c r="M13" s="137"/>
      <c r="N13" s="137"/>
    </row>
    <row r="14" spans="1:17" s="138" customFormat="1" ht="15.75" hidden="1" outlineLevel="1" x14ac:dyDescent="0.2">
      <c r="A14" s="132" t="s">
        <v>295</v>
      </c>
      <c r="B14" s="139"/>
      <c r="C14" s="133" t="s">
        <v>556</v>
      </c>
      <c r="D14" s="134" t="s">
        <v>292</v>
      </c>
      <c r="E14" s="90">
        <v>1</v>
      </c>
      <c r="F14" s="90">
        <f>F13*2%</f>
        <v>445139</v>
      </c>
      <c r="G14" s="135">
        <f>$G$766</f>
        <v>1.123</v>
      </c>
      <c r="H14" s="136">
        <f>F14*G14</f>
        <v>499891</v>
      </c>
      <c r="I14" s="135">
        <f>'[2]Расчет прогнозных дефляторов'!$D$20</f>
        <v>1.0229999999999999</v>
      </c>
      <c r="J14" s="136">
        <f>H14*I14</f>
        <v>511388</v>
      </c>
      <c r="K14" s="136">
        <f>H14+(J14-H14)*(1-30/100)</f>
        <v>507939</v>
      </c>
      <c r="L14" s="137"/>
      <c r="M14" s="137"/>
      <c r="N14" s="137"/>
    </row>
    <row r="15" spans="1:17" s="131" customFormat="1" ht="32.450000000000003" customHeight="1" x14ac:dyDescent="0.2">
      <c r="A15" s="92" t="s">
        <v>296</v>
      </c>
      <c r="B15" s="92"/>
      <c r="C15" s="89" t="s">
        <v>297</v>
      </c>
      <c r="D15" s="125" t="s">
        <v>292</v>
      </c>
      <c r="E15" s="126">
        <v>1</v>
      </c>
      <c r="F15" s="126">
        <f>F16+F19+F161+F427+F489+F504+F544+F559+F573+F574+F670+F713+F733+F734+F735+F739+F740+F741</f>
        <v>1529057104</v>
      </c>
      <c r="G15" s="127"/>
      <c r="H15" s="126">
        <f>H16+H19+H161+H427+H489+H504+H544+H559+H573+H574+H670+H713+H733+H734+H735+H739+H740+H741</f>
        <v>1715881800</v>
      </c>
      <c r="I15" s="127"/>
      <c r="J15" s="126">
        <f>J16+J19+J161+J427+J489+J504+J544+J559+J573+J574+J670+J713+J733+J734+J735+J739+J740+J741</f>
        <v>1788654303</v>
      </c>
      <c r="K15" s="126">
        <f>K16+K19+K161+K427+K489+K504+K544+K559+K573+K574+K670+K713+K733+K734+K735+K739+K740+K741</f>
        <v>1766822581</v>
      </c>
      <c r="L15" s="129"/>
      <c r="M15" s="129"/>
      <c r="N15" s="129"/>
    </row>
    <row r="16" spans="1:17" s="243" customFormat="1" ht="15.75" customHeight="1" outlineLevel="1" x14ac:dyDescent="0.2">
      <c r="A16" s="296" t="s">
        <v>298</v>
      </c>
      <c r="B16" s="296"/>
      <c r="C16" s="297" t="s">
        <v>557</v>
      </c>
      <c r="D16" s="246" t="s">
        <v>292</v>
      </c>
      <c r="E16" s="247">
        <v>1</v>
      </c>
      <c r="F16" s="247">
        <f>F17+F18</f>
        <v>69403</v>
      </c>
      <c r="G16" s="248">
        <f>$G$766</f>
        <v>1.123</v>
      </c>
      <c r="H16" s="255">
        <f>H17+H18</f>
        <v>77940</v>
      </c>
      <c r="I16" s="248">
        <f>'[2]Расчет прогнозных дефляторов'!$D$30</f>
        <v>1.0329999999999999</v>
      </c>
      <c r="J16" s="255">
        <f>J17+J18</f>
        <v>80512</v>
      </c>
      <c r="K16" s="255">
        <f>K17+K18</f>
        <v>79741</v>
      </c>
      <c r="L16" s="269"/>
      <c r="M16" s="269"/>
      <c r="N16" s="269"/>
      <c r="O16" s="298">
        <v>44287</v>
      </c>
      <c r="P16" s="298">
        <v>44348</v>
      </c>
      <c r="Q16" s="243">
        <f>P16-O16</f>
        <v>61</v>
      </c>
    </row>
    <row r="17" spans="1:15" s="148" customFormat="1" ht="33.75" customHeight="1" outlineLevel="2" x14ac:dyDescent="0.2">
      <c r="A17" s="95" t="s">
        <v>558</v>
      </c>
      <c r="B17" s="42" t="s">
        <v>19</v>
      </c>
      <c r="C17" s="202" t="str">
        <f>'Затраты подрядчика'!C29</f>
        <v>Затраты на проведение биологических мероприятий по рекультивации</v>
      </c>
      <c r="D17" s="143" t="s">
        <v>404</v>
      </c>
      <c r="E17" s="144">
        <v>246</v>
      </c>
      <c r="F17" s="144">
        <f>'Затраты подрядчика'!P29</f>
        <v>49492</v>
      </c>
      <c r="G17" s="145">
        <f>$G$766</f>
        <v>1.123</v>
      </c>
      <c r="H17" s="146">
        <f>F17*G17</f>
        <v>55580</v>
      </c>
      <c r="I17" s="145">
        <f>'[2]Расчет прогнозных дефляторов'!$D$30</f>
        <v>1.0329999999999999</v>
      </c>
      <c r="J17" s="146">
        <f t="shared" ref="J17:J18" si="0">H17*I17</f>
        <v>57414</v>
      </c>
      <c r="K17" s="146">
        <f>H17+(J17-H17)*(1-30/100)</f>
        <v>56864</v>
      </c>
      <c r="L17" s="147"/>
      <c r="M17" s="147"/>
      <c r="N17" s="147"/>
    </row>
    <row r="18" spans="1:15" s="148" customFormat="1" ht="15.75" outlineLevel="2" x14ac:dyDescent="0.2">
      <c r="A18" s="95" t="s">
        <v>299</v>
      </c>
      <c r="B18" s="42" t="s">
        <v>21</v>
      </c>
      <c r="C18" s="42" t="s">
        <v>22</v>
      </c>
      <c r="D18" s="100" t="s">
        <v>404</v>
      </c>
      <c r="E18" s="149">
        <v>492</v>
      </c>
      <c r="F18" s="149">
        <f>'Затраты подрядчика'!P30</f>
        <v>19911</v>
      </c>
      <c r="G18" s="145">
        <f>$G$766</f>
        <v>1.123</v>
      </c>
      <c r="H18" s="146">
        <f>F18*G18</f>
        <v>22360</v>
      </c>
      <c r="I18" s="145">
        <f>'[2]Расчет прогнозных дефляторов'!$D$30</f>
        <v>1.0329999999999999</v>
      </c>
      <c r="J18" s="146">
        <f t="shared" si="0"/>
        <v>23098</v>
      </c>
      <c r="K18" s="146">
        <f>H18+(J18-H18)*(1-30/100)</f>
        <v>22877</v>
      </c>
      <c r="L18" s="147"/>
      <c r="M18" s="147"/>
      <c r="N18" s="147"/>
    </row>
    <row r="19" spans="1:15" s="237" customFormat="1" ht="15.75" outlineLevel="1" x14ac:dyDescent="0.2">
      <c r="A19" s="244" t="s">
        <v>301</v>
      </c>
      <c r="B19" s="245" t="s">
        <v>27</v>
      </c>
      <c r="C19" s="245" t="s">
        <v>28</v>
      </c>
      <c r="D19" s="246" t="s">
        <v>292</v>
      </c>
      <c r="E19" s="247">
        <v>1</v>
      </c>
      <c r="F19" s="247">
        <f>F20+F49+F99+F111+F117+F124+F129+F139+F160</f>
        <v>209953785</v>
      </c>
      <c r="G19" s="248"/>
      <c r="H19" s="247">
        <f>H20+H49+H99+H111+H117+H124+H129+H139+H160</f>
        <v>235778097</v>
      </c>
      <c r="I19" s="248"/>
      <c r="J19" s="247">
        <f>J20+J49+J99+J111+J117+J124+J129+J139+J160</f>
        <v>245510425</v>
      </c>
      <c r="K19" s="247">
        <f>K20+K49+K99+K111+K117+K124+K129+K139+K160</f>
        <v>242590732</v>
      </c>
      <c r="L19" s="256"/>
      <c r="M19" s="256"/>
      <c r="N19" s="256"/>
    </row>
    <row r="20" spans="1:15" s="237" customFormat="1" ht="15.75" outlineLevel="2" collapsed="1" x14ac:dyDescent="0.2">
      <c r="A20" s="238" t="s">
        <v>302</v>
      </c>
      <c r="B20" s="229" t="s">
        <v>140</v>
      </c>
      <c r="C20" s="229" t="s">
        <v>1804</v>
      </c>
      <c r="D20" s="239" t="s">
        <v>292</v>
      </c>
      <c r="E20" s="240">
        <v>1</v>
      </c>
      <c r="F20" s="240">
        <f>SUM(F21:F48)</f>
        <v>8097318</v>
      </c>
      <c r="G20" s="241"/>
      <c r="H20" s="240">
        <f>SUM(H21:H48)</f>
        <v>9093288</v>
      </c>
      <c r="I20" s="241"/>
      <c r="J20" s="240">
        <f>SUM(J21:J48)</f>
        <v>9484373</v>
      </c>
      <c r="K20" s="240">
        <f>SUM(K21:K48)</f>
        <v>9367049</v>
      </c>
      <c r="L20" s="256"/>
      <c r="M20" s="256"/>
      <c r="N20" s="256"/>
    </row>
    <row r="21" spans="1:15" s="131" customFormat="1" ht="25.5" hidden="1" outlineLevel="3" x14ac:dyDescent="0.2">
      <c r="A21" s="95" t="s">
        <v>303</v>
      </c>
      <c r="B21" s="42" t="s">
        <v>304</v>
      </c>
      <c r="C21" s="42" t="s">
        <v>707</v>
      </c>
      <c r="D21" s="143" t="s">
        <v>408</v>
      </c>
      <c r="E21" s="149">
        <v>1</v>
      </c>
      <c r="F21" s="149">
        <f>105070*(1.023*1.005-2.3%*15%)*6.99</f>
        <v>752554</v>
      </c>
      <c r="G21" s="145">
        <f>$G$766</f>
        <v>1.123</v>
      </c>
      <c r="H21" s="146">
        <f>F21*G21</f>
        <v>845118</v>
      </c>
      <c r="I21" s="145">
        <f>'[2]Расчет прогнозных дефляторов'!$D$84</f>
        <v>1.0449999999999999</v>
      </c>
      <c r="J21" s="146">
        <f>H21*I21</f>
        <v>883148</v>
      </c>
      <c r="K21" s="146">
        <f>H21+(J21-H21)*(1-30/100)</f>
        <v>871739</v>
      </c>
      <c r="L21" s="129"/>
      <c r="M21" s="126">
        <v>12794</v>
      </c>
      <c r="N21" s="129"/>
    </row>
    <row r="22" spans="1:15" s="148" customFormat="1" ht="79.5" hidden="1" customHeight="1" outlineLevel="3" x14ac:dyDescent="0.2">
      <c r="A22" s="95" t="s">
        <v>306</v>
      </c>
      <c r="B22" s="42" t="s">
        <v>307</v>
      </c>
      <c r="C22" s="42" t="s">
        <v>708</v>
      </c>
      <c r="D22" s="100" t="s">
        <v>305</v>
      </c>
      <c r="E22" s="149">
        <v>28</v>
      </c>
      <c r="F22" s="149">
        <f>97608*(1.023*1.005-2.3%*15%)*6.99+0*4.09</f>
        <v>699108</v>
      </c>
      <c r="G22" s="145">
        <f>$G$766</f>
        <v>1.123</v>
      </c>
      <c r="H22" s="146">
        <f>F22*G22</f>
        <v>785098</v>
      </c>
      <c r="I22" s="145">
        <f>'[2]Расчет прогнозных дефляторов'!$D$138</f>
        <v>1.0469999999999999</v>
      </c>
      <c r="J22" s="146">
        <f>H22*I22</f>
        <v>821998</v>
      </c>
      <c r="K22" s="146">
        <f>H22+(J22-H22)*(1-30/100)</f>
        <v>810928</v>
      </c>
      <c r="L22" s="204" t="s">
        <v>709</v>
      </c>
      <c r="M22" s="168">
        <v>823.2</v>
      </c>
      <c r="N22" s="147">
        <f>E22*M22</f>
        <v>23049.599999999999</v>
      </c>
      <c r="O22" s="205">
        <f>(97608-51003)*(1.023*1.005-2.3%*15%)*6.99*1.2</f>
        <v>400565</v>
      </c>
    </row>
    <row r="23" spans="1:15" s="148" customFormat="1" ht="69.75" hidden="1" customHeight="1" outlineLevel="3" x14ac:dyDescent="0.2">
      <c r="A23" s="95" t="s">
        <v>308</v>
      </c>
      <c r="B23" s="42" t="s">
        <v>311</v>
      </c>
      <c r="C23" s="42" t="s">
        <v>309</v>
      </c>
      <c r="D23" s="100" t="s">
        <v>305</v>
      </c>
      <c r="E23" s="149">
        <v>1</v>
      </c>
      <c r="F23" s="149">
        <f>1815*(1.023*1.005-2.3%*15%)*6.99+0*4.09</f>
        <v>13000</v>
      </c>
      <c r="G23" s="145">
        <f>$G$766</f>
        <v>1.123</v>
      </c>
      <c r="H23" s="146">
        <f>F23*G23</f>
        <v>14599</v>
      </c>
      <c r="I23" s="145">
        <f>'[2]Расчет прогнозных дефляторов'!$D$138</f>
        <v>1.0469999999999999</v>
      </c>
      <c r="J23" s="146">
        <f>H23*I23</f>
        <v>15285</v>
      </c>
      <c r="K23" s="146">
        <f>H23+(J23-H23)*(1-30/100)</f>
        <v>15079</v>
      </c>
      <c r="L23" s="203" t="s">
        <v>710</v>
      </c>
      <c r="M23" s="168">
        <v>475.5</v>
      </c>
      <c r="N23" s="147">
        <f>E23*M23</f>
        <v>475.5</v>
      </c>
      <c r="O23" s="205">
        <f>(1815-1542)*(1.023*1.005-2.3%*15%)*6.99*1.2</f>
        <v>2346</v>
      </c>
    </row>
    <row r="24" spans="1:15" s="237" customFormat="1" ht="15.75" hidden="1" outlineLevel="3" x14ac:dyDescent="0.2">
      <c r="A24" s="238"/>
      <c r="B24" s="229"/>
      <c r="C24" s="157" t="s">
        <v>614</v>
      </c>
      <c r="D24" s="239"/>
      <c r="E24" s="240"/>
      <c r="F24" s="240"/>
      <c r="G24" s="241"/>
      <c r="H24" s="242"/>
      <c r="I24" s="241"/>
      <c r="J24" s="242"/>
      <c r="K24" s="242"/>
      <c r="L24" s="256"/>
      <c r="M24" s="256"/>
      <c r="N24" s="256"/>
    </row>
    <row r="25" spans="1:15" s="148" customFormat="1" ht="102" hidden="1" customHeight="1" outlineLevel="3" x14ac:dyDescent="0.2">
      <c r="A25" s="95" t="s">
        <v>310</v>
      </c>
      <c r="B25" s="42" t="s">
        <v>316</v>
      </c>
      <c r="C25" s="42" t="s">
        <v>312</v>
      </c>
      <c r="D25" s="100" t="s">
        <v>305</v>
      </c>
      <c r="E25" s="149">
        <v>1</v>
      </c>
      <c r="F25" s="149">
        <f>197776*(1.023*1.005-2.3%*15%)*6.99-17</f>
        <v>1416535</v>
      </c>
      <c r="G25" s="145">
        <f>$G$766</f>
        <v>1.123</v>
      </c>
      <c r="H25" s="146">
        <f>F25*G25</f>
        <v>1590769</v>
      </c>
      <c r="I25" s="145">
        <f>'[2]Расчет прогнозных дефляторов'!$D$75</f>
        <v>1.0429999999999999</v>
      </c>
      <c r="J25" s="146">
        <f t="shared" ref="J25:J34" si="1">H25*I25</f>
        <v>1659172</v>
      </c>
      <c r="K25" s="146">
        <f t="shared" ref="K25:K34" si="2">H25+(J25-H25)*(1-30/100)</f>
        <v>1638651</v>
      </c>
      <c r="L25" s="172" t="s">
        <v>711</v>
      </c>
      <c r="M25" s="149">
        <v>30000</v>
      </c>
      <c r="N25" s="147">
        <f>E25*M25</f>
        <v>30000</v>
      </c>
      <c r="O25" s="205">
        <f>(197776-158923)*(1.023*1.005-2.3%*15%)*6.99</f>
        <v>278281</v>
      </c>
    </row>
    <row r="26" spans="1:15" s="148" customFormat="1" ht="51" hidden="1" outlineLevel="3" x14ac:dyDescent="0.2">
      <c r="A26" s="95"/>
      <c r="B26" s="42"/>
      <c r="C26" s="42" t="s">
        <v>313</v>
      </c>
      <c r="D26" s="100"/>
      <c r="E26" s="149"/>
      <c r="F26" s="149"/>
      <c r="G26" s="145"/>
      <c r="H26" s="146"/>
      <c r="I26" s="145">
        <f>'[2]Расчет прогнозных дефляторов'!$D$75</f>
        <v>1.0429999999999999</v>
      </c>
      <c r="J26" s="146">
        <f t="shared" si="1"/>
        <v>0</v>
      </c>
      <c r="K26" s="146">
        <f t="shared" si="2"/>
        <v>0</v>
      </c>
      <c r="L26" s="172" t="s">
        <v>314</v>
      </c>
      <c r="M26" s="149">
        <f>9671</f>
        <v>9671</v>
      </c>
      <c r="N26" s="147"/>
    </row>
    <row r="27" spans="1:15" s="148" customFormat="1" ht="30.75" hidden="1" customHeight="1" outlineLevel="3" x14ac:dyDescent="0.2">
      <c r="A27" s="95" t="s">
        <v>315</v>
      </c>
      <c r="B27" s="42" t="s">
        <v>326</v>
      </c>
      <c r="C27" s="42" t="s">
        <v>317</v>
      </c>
      <c r="D27" s="100" t="s">
        <v>305</v>
      </c>
      <c r="E27" s="149">
        <v>1</v>
      </c>
      <c r="F27" s="149">
        <f>M27/SUM($M$27:$M$30)*126361*(1.023*1.005-2.3%*15%)*6.99</f>
        <v>259764</v>
      </c>
      <c r="G27" s="145">
        <f>$G$766</f>
        <v>1.123</v>
      </c>
      <c r="H27" s="146">
        <f>F27*G27</f>
        <v>291715</v>
      </c>
      <c r="I27" s="145">
        <f>'[2]Расчет прогнозных дефляторов'!$D$75</f>
        <v>1.0429999999999999</v>
      </c>
      <c r="J27" s="146">
        <f t="shared" si="1"/>
        <v>304259</v>
      </c>
      <c r="K27" s="146">
        <f t="shared" si="2"/>
        <v>300496</v>
      </c>
      <c r="L27" s="681" t="s">
        <v>1806</v>
      </c>
      <c r="M27" s="149">
        <v>7587</v>
      </c>
      <c r="N27" s="147">
        <f>E27*M27</f>
        <v>7587</v>
      </c>
      <c r="O27" s="205">
        <f>(37340-10755)*(1.023*1.005-2.3%*15%)*6.99*1.2</f>
        <v>228495</v>
      </c>
    </row>
    <row r="28" spans="1:15" s="148" customFormat="1" ht="48.75" hidden="1" customHeight="1" outlineLevel="3" x14ac:dyDescent="0.2">
      <c r="A28" s="95" t="s">
        <v>318</v>
      </c>
      <c r="B28" s="42" t="s">
        <v>326</v>
      </c>
      <c r="C28" s="42" t="s">
        <v>319</v>
      </c>
      <c r="D28" s="100" t="s">
        <v>305</v>
      </c>
      <c r="E28" s="149">
        <v>1</v>
      </c>
      <c r="F28" s="149">
        <f>M28/SUM($M$27:$M$30)*126361*(1.023*1.005-2.3%*15%)*6.99</f>
        <v>7669</v>
      </c>
      <c r="G28" s="145">
        <f>$G$766</f>
        <v>1.123</v>
      </c>
      <c r="H28" s="146">
        <f>F28*G28</f>
        <v>8612</v>
      </c>
      <c r="I28" s="145">
        <f>'[2]Расчет прогнозных дефляторов'!$D$75</f>
        <v>1.0429999999999999</v>
      </c>
      <c r="J28" s="146">
        <f t="shared" si="1"/>
        <v>8982</v>
      </c>
      <c r="K28" s="146">
        <f t="shared" si="2"/>
        <v>8871</v>
      </c>
      <c r="L28" s="682"/>
      <c r="M28" s="149">
        <v>224</v>
      </c>
      <c r="N28" s="147">
        <f>E28*M28</f>
        <v>224</v>
      </c>
    </row>
    <row r="29" spans="1:15" s="148" customFormat="1" ht="76.5" hidden="1" outlineLevel="3" x14ac:dyDescent="0.2">
      <c r="A29" s="95" t="s">
        <v>320</v>
      </c>
      <c r="B29" s="42" t="s">
        <v>326</v>
      </c>
      <c r="C29" s="42" t="s">
        <v>321</v>
      </c>
      <c r="D29" s="100" t="s">
        <v>305</v>
      </c>
      <c r="E29" s="149">
        <v>1</v>
      </c>
      <c r="F29" s="149">
        <f>M29/SUM($M$27:$M$30)*126361*(1.023*1.005-2.3%*15%)*6.99</f>
        <v>211694</v>
      </c>
      <c r="G29" s="145">
        <f>$G$766</f>
        <v>1.123</v>
      </c>
      <c r="H29" s="146">
        <f>F29*G29</f>
        <v>237732</v>
      </c>
      <c r="I29" s="145">
        <f>'[2]Расчет прогнозных дефляторов'!$D$75</f>
        <v>1.0429999999999999</v>
      </c>
      <c r="J29" s="146">
        <f t="shared" si="1"/>
        <v>247954</v>
      </c>
      <c r="K29" s="146">
        <f t="shared" si="2"/>
        <v>244887</v>
      </c>
      <c r="L29" s="172" t="s">
        <v>1807</v>
      </c>
      <c r="M29" s="149">
        <v>6183</v>
      </c>
      <c r="N29" s="147">
        <f>E29*M29</f>
        <v>6183</v>
      </c>
      <c r="O29" s="205">
        <f>(29556-9449)*(1.023*1.005-2.3%*15%)*6.99*1.2</f>
        <v>172817</v>
      </c>
    </row>
    <row r="30" spans="1:15" s="148" customFormat="1" ht="76.5" hidden="1" outlineLevel="3" x14ac:dyDescent="0.2">
      <c r="A30" s="95" t="s">
        <v>322</v>
      </c>
      <c r="B30" s="42" t="s">
        <v>326</v>
      </c>
      <c r="C30" s="42" t="s">
        <v>323</v>
      </c>
      <c r="D30" s="100" t="s">
        <v>305</v>
      </c>
      <c r="E30" s="149">
        <v>1</v>
      </c>
      <c r="F30" s="149">
        <f>M30/SUM($M$27:$M$30)*126361*(1.023*1.005-2.3%*15%)*6.99</f>
        <v>425922</v>
      </c>
      <c r="G30" s="145">
        <f>$G$766</f>
        <v>1.123</v>
      </c>
      <c r="H30" s="146">
        <f>F30*G30</f>
        <v>478310</v>
      </c>
      <c r="I30" s="145">
        <f>'[2]Расчет прогнозных дефляторов'!$D$75</f>
        <v>1.0429999999999999</v>
      </c>
      <c r="J30" s="146">
        <f t="shared" si="1"/>
        <v>498877</v>
      </c>
      <c r="K30" s="146">
        <f t="shared" si="2"/>
        <v>492707</v>
      </c>
      <c r="L30" s="172" t="s">
        <v>1808</v>
      </c>
      <c r="M30" s="149">
        <v>12440</v>
      </c>
      <c r="N30" s="147">
        <f>E30*M30</f>
        <v>12440</v>
      </c>
      <c r="O30" s="205">
        <f>(59468-19945)*(1.023*1.005-2.3%*15%)*6.99*1.2</f>
        <v>339696</v>
      </c>
    </row>
    <row r="31" spans="1:15" s="148" customFormat="1" ht="15.75" hidden="1" outlineLevel="3" x14ac:dyDescent="0.2">
      <c r="A31" s="95"/>
      <c r="B31" s="42"/>
      <c r="C31" s="42" t="s">
        <v>324</v>
      </c>
      <c r="D31" s="100"/>
      <c r="E31" s="149"/>
      <c r="F31" s="149"/>
      <c r="G31" s="145"/>
      <c r="H31" s="146"/>
      <c r="I31" s="145">
        <f>'[2]Расчет прогнозных дефляторов'!$D$75</f>
        <v>1.0429999999999999</v>
      </c>
      <c r="J31" s="146">
        <f t="shared" si="1"/>
        <v>0</v>
      </c>
      <c r="K31" s="146">
        <f t="shared" si="2"/>
        <v>0</v>
      </c>
      <c r="L31" s="147"/>
      <c r="M31" s="149">
        <f>3732</f>
        <v>3732</v>
      </c>
      <c r="N31" s="147"/>
    </row>
    <row r="32" spans="1:15" s="148" customFormat="1" ht="15.75" hidden="1" outlineLevel="3" x14ac:dyDescent="0.2">
      <c r="A32" s="95" t="s">
        <v>325</v>
      </c>
      <c r="B32" s="42" t="s">
        <v>334</v>
      </c>
      <c r="C32" s="42" t="s">
        <v>327</v>
      </c>
      <c r="D32" s="100" t="s">
        <v>305</v>
      </c>
      <c r="E32" s="149">
        <v>2</v>
      </c>
      <c r="F32" s="149">
        <f>N32/SUM($N$32:$N$34)*3278*(1.023*1.005-2.3%*15%)*6.99</f>
        <v>7807</v>
      </c>
      <c r="G32" s="145">
        <f>$G$766</f>
        <v>1.123</v>
      </c>
      <c r="H32" s="146">
        <f>F32*G32</f>
        <v>8767</v>
      </c>
      <c r="I32" s="145">
        <f>'[2]Расчет прогнозных дефляторов'!$D$75</f>
        <v>1.0429999999999999</v>
      </c>
      <c r="J32" s="146">
        <f t="shared" si="1"/>
        <v>9144</v>
      </c>
      <c r="K32" s="146">
        <f t="shared" si="2"/>
        <v>9031</v>
      </c>
      <c r="L32" s="147"/>
      <c r="M32" s="149">
        <v>340</v>
      </c>
      <c r="N32" s="147">
        <f>E32*M32</f>
        <v>680</v>
      </c>
    </row>
    <row r="33" spans="1:15" s="148" customFormat="1" ht="15.75" hidden="1" outlineLevel="3" x14ac:dyDescent="0.2">
      <c r="A33" s="95" t="s">
        <v>328</v>
      </c>
      <c r="B33" s="42" t="s">
        <v>334</v>
      </c>
      <c r="C33" s="42" t="s">
        <v>329</v>
      </c>
      <c r="D33" s="100" t="s">
        <v>305</v>
      </c>
      <c r="E33" s="149">
        <v>1</v>
      </c>
      <c r="F33" s="149">
        <f>N33/SUM($N$32:$N$34)*3278*(1.023*1.005-2.3%*15%)*6.99</f>
        <v>5740</v>
      </c>
      <c r="G33" s="145">
        <f>$G$766</f>
        <v>1.123</v>
      </c>
      <c r="H33" s="146">
        <f>F33*G33</f>
        <v>6446</v>
      </c>
      <c r="I33" s="145">
        <f>'[2]Расчет прогнозных дефляторов'!$D$75</f>
        <v>1.0429999999999999</v>
      </c>
      <c r="J33" s="146">
        <f t="shared" si="1"/>
        <v>6723</v>
      </c>
      <c r="K33" s="146">
        <f t="shared" si="2"/>
        <v>6640</v>
      </c>
      <c r="L33" s="147"/>
      <c r="M33" s="147">
        <v>500</v>
      </c>
      <c r="N33" s="171">
        <f>E33*M33</f>
        <v>500</v>
      </c>
    </row>
    <row r="34" spans="1:15" s="148" customFormat="1" ht="15.75" hidden="1" outlineLevel="3" x14ac:dyDescent="0.2">
      <c r="A34" s="95" t="s">
        <v>330</v>
      </c>
      <c r="B34" s="42" t="s">
        <v>334</v>
      </c>
      <c r="C34" s="42" t="s">
        <v>331</v>
      </c>
      <c r="D34" s="100" t="s">
        <v>305</v>
      </c>
      <c r="E34" s="149">
        <v>1</v>
      </c>
      <c r="F34" s="149">
        <f>N34/SUM($N$32:$N$34)*3278*(1.023*1.005-2.3%*15%)*6.99</f>
        <v>9931</v>
      </c>
      <c r="G34" s="145">
        <f>$G$766</f>
        <v>1.123</v>
      </c>
      <c r="H34" s="146">
        <f>F34*G34</f>
        <v>11153</v>
      </c>
      <c r="I34" s="145">
        <f>'[2]Расчет прогнозных дефляторов'!$D$75</f>
        <v>1.0429999999999999</v>
      </c>
      <c r="J34" s="146">
        <f t="shared" si="1"/>
        <v>11633</v>
      </c>
      <c r="K34" s="146">
        <f t="shared" si="2"/>
        <v>11489</v>
      </c>
      <c r="L34" s="147"/>
      <c r="M34" s="147">
        <v>865</v>
      </c>
      <c r="N34" s="171">
        <f>E34*M34</f>
        <v>865</v>
      </c>
    </row>
    <row r="35" spans="1:15" s="148" customFormat="1" ht="15.75" hidden="1" outlineLevel="3" x14ac:dyDescent="0.2">
      <c r="A35" s="95"/>
      <c r="B35" s="42"/>
      <c r="C35" s="157" t="s">
        <v>332</v>
      </c>
      <c r="D35" s="100"/>
      <c r="E35" s="149"/>
      <c r="F35" s="149"/>
      <c r="G35" s="145"/>
      <c r="H35" s="146"/>
      <c r="I35" s="145">
        <f>'[2]Расчет прогнозных дефляторов'!$D$66</f>
        <v>1.042</v>
      </c>
      <c r="J35" s="146"/>
      <c r="K35" s="146"/>
      <c r="L35" s="147"/>
      <c r="M35" s="147"/>
      <c r="N35" s="147"/>
    </row>
    <row r="36" spans="1:15" s="148" customFormat="1" ht="102" hidden="1" outlineLevel="3" x14ac:dyDescent="0.2">
      <c r="A36" s="95" t="s">
        <v>333</v>
      </c>
      <c r="B36" s="42" t="s">
        <v>337</v>
      </c>
      <c r="C36" s="42" t="s">
        <v>335</v>
      </c>
      <c r="D36" s="100" t="s">
        <v>305</v>
      </c>
      <c r="E36" s="149">
        <v>1</v>
      </c>
      <c r="F36" s="149">
        <f>98888*(1.023*1.005-2.3%*15%)*6.99</f>
        <v>708276</v>
      </c>
      <c r="G36" s="145">
        <f>$G$766</f>
        <v>1.123</v>
      </c>
      <c r="H36" s="146">
        <f>F36*G36</f>
        <v>795394</v>
      </c>
      <c r="I36" s="145">
        <f>'[2]Расчет прогнозных дефляторов'!$D$66</f>
        <v>1.042</v>
      </c>
      <c r="J36" s="146">
        <f t="shared" ref="J36:J42" si="3">H36*I36</f>
        <v>828801</v>
      </c>
      <c r="K36" s="146">
        <f t="shared" ref="K36:K42" si="4">H36+(J36-H36)*(1-30/100)</f>
        <v>818779</v>
      </c>
      <c r="L36" s="172" t="s">
        <v>715</v>
      </c>
      <c r="M36" s="149">
        <v>15000</v>
      </c>
      <c r="N36" s="147">
        <f>E36*M36</f>
        <v>15000</v>
      </c>
      <c r="O36" s="205">
        <f>(98888-79462)*(1.023*1.005-2.3%*15%)*6.99</f>
        <v>139137</v>
      </c>
    </row>
    <row r="37" spans="1:15" s="148" customFormat="1" ht="56.25" hidden="1" customHeight="1" outlineLevel="3" x14ac:dyDescent="0.2">
      <c r="A37" s="95" t="s">
        <v>336</v>
      </c>
      <c r="B37" s="42" t="s">
        <v>346</v>
      </c>
      <c r="C37" s="42" t="s">
        <v>338</v>
      </c>
      <c r="D37" s="100" t="s">
        <v>305</v>
      </c>
      <c r="E37" s="149">
        <v>1</v>
      </c>
      <c r="F37" s="149">
        <f>6985*(1.023*1.005-2.3%*15%)*6.99</f>
        <v>50029</v>
      </c>
      <c r="G37" s="145">
        <f>$G$766</f>
        <v>1.123</v>
      </c>
      <c r="H37" s="146">
        <f>F37*G37</f>
        <v>56183</v>
      </c>
      <c r="I37" s="145">
        <f>'[2]Расчет прогнозных дефляторов'!$D$66</f>
        <v>1.042</v>
      </c>
      <c r="J37" s="146">
        <f t="shared" si="3"/>
        <v>58543</v>
      </c>
      <c r="K37" s="146">
        <f t="shared" si="4"/>
        <v>57835</v>
      </c>
      <c r="L37" s="172" t="s">
        <v>1809</v>
      </c>
      <c r="M37" s="147">
        <v>4466</v>
      </c>
      <c r="N37" s="147">
        <f>E37*M37</f>
        <v>4466</v>
      </c>
      <c r="O37" s="205">
        <f>(6985-8033)*(1.023*1.005-2.3%*15%)*6.99*1.2</f>
        <v>-9007</v>
      </c>
    </row>
    <row r="38" spans="1:15" s="148" customFormat="1" ht="15.75" hidden="1" outlineLevel="3" x14ac:dyDescent="0.2">
      <c r="A38" s="95"/>
      <c r="B38" s="42"/>
      <c r="C38" s="157" t="s">
        <v>339</v>
      </c>
      <c r="D38" s="100"/>
      <c r="E38" s="149"/>
      <c r="F38" s="149"/>
      <c r="G38" s="145"/>
      <c r="H38" s="146"/>
      <c r="I38" s="145">
        <f>'[2]Расчет прогнозных дефляторов'!$D$66</f>
        <v>1.042</v>
      </c>
      <c r="J38" s="146">
        <f t="shared" si="3"/>
        <v>0</v>
      </c>
      <c r="K38" s="146">
        <f t="shared" si="4"/>
        <v>0</v>
      </c>
      <c r="L38" s="147"/>
      <c r="M38" s="147"/>
      <c r="N38" s="147"/>
    </row>
    <row r="39" spans="1:15" s="148" customFormat="1" ht="15.75" hidden="1" outlineLevel="3" x14ac:dyDescent="0.2">
      <c r="A39" s="95" t="s">
        <v>340</v>
      </c>
      <c r="B39" s="42" t="s">
        <v>688</v>
      </c>
      <c r="C39" s="42" t="s">
        <v>720</v>
      </c>
      <c r="D39" s="100" t="s">
        <v>305</v>
      </c>
      <c r="E39" s="149">
        <v>1</v>
      </c>
      <c r="F39" s="149">
        <f>N39/($N$39+$N$40+$N$41+$N$43+$N$44)*143108*(1.023*1.005-2.3%*15%)*6.99</f>
        <v>133969</v>
      </c>
      <c r="G39" s="145">
        <f t="shared" ref="G39:G48" si="5">$G$766</f>
        <v>1.123</v>
      </c>
      <c r="H39" s="146">
        <f>F39*G39</f>
        <v>150447</v>
      </c>
      <c r="I39" s="145">
        <f>'[2]Расчет прогнозных дефляторов'!$D$66</f>
        <v>1.042</v>
      </c>
      <c r="J39" s="146">
        <f t="shared" si="3"/>
        <v>156766</v>
      </c>
      <c r="K39" s="146">
        <f t="shared" si="4"/>
        <v>154870</v>
      </c>
      <c r="L39" s="147"/>
      <c r="M39" s="147">
        <v>4590</v>
      </c>
      <c r="N39" s="147">
        <f t="shared" ref="N39:N48" si="6">E39*M39</f>
        <v>4590</v>
      </c>
    </row>
    <row r="40" spans="1:15" s="148" customFormat="1" ht="15.75" hidden="1" outlineLevel="3" x14ac:dyDescent="0.2">
      <c r="A40" s="95" t="s">
        <v>342</v>
      </c>
      <c r="B40" s="42" t="s">
        <v>688</v>
      </c>
      <c r="C40" s="42" t="s">
        <v>721</v>
      </c>
      <c r="D40" s="100" t="s">
        <v>305</v>
      </c>
      <c r="E40" s="149">
        <v>1</v>
      </c>
      <c r="F40" s="149">
        <f>N40/($N$39+$N$40+$N$41+$N$43+$N$44)*143108*(1.023*1.005-2.3%*15%)*6.99</f>
        <v>244472</v>
      </c>
      <c r="G40" s="145">
        <f t="shared" si="5"/>
        <v>1.123</v>
      </c>
      <c r="H40" s="146">
        <f>F40*G40</f>
        <v>274542</v>
      </c>
      <c r="I40" s="145">
        <f>'[2]Расчет прогнозных дефляторов'!$D$66</f>
        <v>1.042</v>
      </c>
      <c r="J40" s="146">
        <f t="shared" si="3"/>
        <v>286073</v>
      </c>
      <c r="K40" s="146">
        <f t="shared" si="4"/>
        <v>282614</v>
      </c>
      <c r="L40" s="147"/>
      <c r="M40" s="147">
        <v>8376</v>
      </c>
      <c r="N40" s="147">
        <f t="shared" si="6"/>
        <v>8376</v>
      </c>
    </row>
    <row r="41" spans="1:15" s="148" customFormat="1" ht="15.75" hidden="1" outlineLevel="3" x14ac:dyDescent="0.2">
      <c r="A41" s="95" t="s">
        <v>343</v>
      </c>
      <c r="B41" s="42" t="s">
        <v>688</v>
      </c>
      <c r="C41" s="42" t="s">
        <v>722</v>
      </c>
      <c r="D41" s="100" t="s">
        <v>305</v>
      </c>
      <c r="E41" s="149">
        <v>1</v>
      </c>
      <c r="F41" s="149">
        <f>N41/($N$39+$N$40+$N$41+$N$43+$N$44)*143108*(1.023*1.005-2.3%*15%)*6.99</f>
        <v>231688</v>
      </c>
      <c r="G41" s="145">
        <f t="shared" si="5"/>
        <v>1.123</v>
      </c>
      <c r="H41" s="146">
        <f>F41*G41</f>
        <v>260186</v>
      </c>
      <c r="I41" s="145">
        <f>'[2]Расчет прогнозных дефляторов'!$D$66</f>
        <v>1.042</v>
      </c>
      <c r="J41" s="146">
        <f t="shared" si="3"/>
        <v>271114</v>
      </c>
      <c r="K41" s="146">
        <f t="shared" si="4"/>
        <v>267836</v>
      </c>
      <c r="L41" s="147"/>
      <c r="M41" s="147">
        <v>7938</v>
      </c>
      <c r="N41" s="147">
        <f t="shared" si="6"/>
        <v>7938</v>
      </c>
    </row>
    <row r="42" spans="1:15" s="148" customFormat="1" ht="15.75" hidden="1" outlineLevel="3" x14ac:dyDescent="0.2">
      <c r="A42" s="95" t="s">
        <v>344</v>
      </c>
      <c r="B42" s="42" t="s">
        <v>719</v>
      </c>
      <c r="C42" s="42" t="s">
        <v>723</v>
      </c>
      <c r="D42" s="100" t="s">
        <v>305</v>
      </c>
      <c r="E42" s="149">
        <v>1</v>
      </c>
      <c r="F42" s="149">
        <f>48502*(1.023*1.005-2.3%*15%)*6.99</f>
        <v>347391</v>
      </c>
      <c r="G42" s="145">
        <f t="shared" si="5"/>
        <v>1.123</v>
      </c>
      <c r="H42" s="146">
        <f>F42*G42</f>
        <v>390120</v>
      </c>
      <c r="I42" s="145">
        <f>'[2]Расчет прогнозных дефляторов'!$D$66</f>
        <v>1.042</v>
      </c>
      <c r="J42" s="146">
        <f t="shared" si="3"/>
        <v>406505</v>
      </c>
      <c r="K42" s="146">
        <f t="shared" si="4"/>
        <v>401590</v>
      </c>
      <c r="L42" s="147"/>
      <c r="M42" s="147">
        <v>12088</v>
      </c>
      <c r="N42" s="147">
        <f t="shared" si="6"/>
        <v>12088</v>
      </c>
    </row>
    <row r="43" spans="1:15" s="148" customFormat="1" ht="15.75" hidden="1" outlineLevel="3" x14ac:dyDescent="0.2">
      <c r="A43" s="95" t="s">
        <v>345</v>
      </c>
      <c r="B43" s="42" t="s">
        <v>688</v>
      </c>
      <c r="C43" s="42" t="s">
        <v>724</v>
      </c>
      <c r="D43" s="100" t="s">
        <v>305</v>
      </c>
      <c r="E43" s="149">
        <v>1</v>
      </c>
      <c r="F43" s="149">
        <f>N43/($N$39+$N$40+$N$41+$N$43+$N$44)*143108*(1.023*1.005-2.3%*15%)*6.99</f>
        <v>284809</v>
      </c>
      <c r="G43" s="145">
        <f t="shared" si="5"/>
        <v>1.123</v>
      </c>
      <c r="H43" s="146">
        <f t="shared" ref="H43:H44" si="7">F43*G43</f>
        <v>319841</v>
      </c>
      <c r="I43" s="145">
        <f>'[2]Расчет прогнозных дефляторов'!$D$66</f>
        <v>1.042</v>
      </c>
      <c r="J43" s="146">
        <f t="shared" ref="J43:J44" si="8">H43*I43</f>
        <v>333274</v>
      </c>
      <c r="K43" s="146">
        <f t="shared" ref="K43:K44" si="9">H43+(J43-H43)*(1-30/100)</f>
        <v>329244</v>
      </c>
      <c r="L43" s="147"/>
      <c r="M43" s="147">
        <v>9758</v>
      </c>
      <c r="N43" s="147">
        <f t="shared" si="6"/>
        <v>9758</v>
      </c>
    </row>
    <row r="44" spans="1:15" s="148" customFormat="1" ht="15.75" hidden="1" outlineLevel="3" x14ac:dyDescent="0.2">
      <c r="A44" s="95" t="s">
        <v>348</v>
      </c>
      <c r="B44" s="42" t="s">
        <v>688</v>
      </c>
      <c r="C44" s="42" t="s">
        <v>725</v>
      </c>
      <c r="D44" s="100" t="s">
        <v>305</v>
      </c>
      <c r="E44" s="149">
        <v>1</v>
      </c>
      <c r="F44" s="149">
        <f>N44/($N$39+$N$40+$N$41+$N$43+$N$44)*143108*(1.023*1.005-2.3%*15%)*6.99</f>
        <v>130058</v>
      </c>
      <c r="G44" s="145">
        <f t="shared" si="5"/>
        <v>1.123</v>
      </c>
      <c r="H44" s="146">
        <f t="shared" si="7"/>
        <v>146055</v>
      </c>
      <c r="I44" s="145">
        <f>'[2]Расчет прогнозных дефляторов'!$D$66</f>
        <v>1.042</v>
      </c>
      <c r="J44" s="146">
        <f t="shared" si="8"/>
        <v>152189</v>
      </c>
      <c r="K44" s="146">
        <f t="shared" si="9"/>
        <v>150349</v>
      </c>
      <c r="L44" s="147"/>
      <c r="M44" s="147">
        <v>4456</v>
      </c>
      <c r="N44" s="147">
        <f t="shared" si="6"/>
        <v>4456</v>
      </c>
    </row>
    <row r="45" spans="1:15" s="148" customFormat="1" ht="15.75" hidden="1" outlineLevel="3" x14ac:dyDescent="0.2">
      <c r="A45" s="95" t="s">
        <v>349</v>
      </c>
      <c r="B45" s="42" t="s">
        <v>341</v>
      </c>
      <c r="C45" s="42" t="s">
        <v>726</v>
      </c>
      <c r="D45" s="100" t="s">
        <v>305</v>
      </c>
      <c r="E45" s="149">
        <v>6</v>
      </c>
      <c r="F45" s="149">
        <f>N45/SUM($N$45:$N$48)*301142*(1.023*1.005-2.3%*15%)*6.99</f>
        <v>598087</v>
      </c>
      <c r="G45" s="145">
        <f t="shared" si="5"/>
        <v>1.123</v>
      </c>
      <c r="H45" s="146">
        <f>F45*G45</f>
        <v>671652</v>
      </c>
      <c r="I45" s="145">
        <f>'[2]Расчет прогнозных дефляторов'!$D$66</f>
        <v>1.042</v>
      </c>
      <c r="J45" s="146">
        <f>H45*I45</f>
        <v>699861</v>
      </c>
      <c r="K45" s="146">
        <f>H45+(J45-H45)*(1-30/100)</f>
        <v>691398</v>
      </c>
      <c r="L45" s="147"/>
      <c r="M45" s="147">
        <v>3000</v>
      </c>
      <c r="N45" s="147">
        <f>E45*M45</f>
        <v>18000</v>
      </c>
    </row>
    <row r="46" spans="1:15" s="148" customFormat="1" ht="15.75" hidden="1" outlineLevel="3" x14ac:dyDescent="0.2">
      <c r="A46" s="95" t="s">
        <v>351</v>
      </c>
      <c r="B46" s="42" t="s">
        <v>341</v>
      </c>
      <c r="C46" s="42" t="s">
        <v>350</v>
      </c>
      <c r="D46" s="100" t="s">
        <v>305</v>
      </c>
      <c r="E46" s="149">
        <v>6</v>
      </c>
      <c r="F46" s="149">
        <f>N46/SUM($N$45:$N$48)*301142*(1.023*1.005-2.3%*15%)*6.99</f>
        <v>350280</v>
      </c>
      <c r="G46" s="145">
        <f t="shared" si="5"/>
        <v>1.123</v>
      </c>
      <c r="H46" s="146">
        <f>F46*G46</f>
        <v>393364</v>
      </c>
      <c r="I46" s="145">
        <f>'[2]Расчет прогнозных дефляторов'!$D$66</f>
        <v>1.042</v>
      </c>
      <c r="J46" s="146">
        <f>H46*I46</f>
        <v>409885</v>
      </c>
      <c r="K46" s="146">
        <f>H46+(J46-H46)*(1-30/100)</f>
        <v>404929</v>
      </c>
      <c r="L46" s="147"/>
      <c r="M46" s="147">
        <v>1757</v>
      </c>
      <c r="N46" s="147">
        <f>E46*M46</f>
        <v>10542</v>
      </c>
    </row>
    <row r="47" spans="1:15" s="148" customFormat="1" ht="15.75" hidden="1" outlineLevel="3" x14ac:dyDescent="0.2">
      <c r="A47" s="95" t="s">
        <v>1810</v>
      </c>
      <c r="B47" s="42" t="s">
        <v>341</v>
      </c>
      <c r="C47" s="42" t="s">
        <v>352</v>
      </c>
      <c r="D47" s="100" t="s">
        <v>305</v>
      </c>
      <c r="E47" s="149">
        <v>6</v>
      </c>
      <c r="F47" s="149">
        <f>N47/SUM($N$45:$N$48)*301142*(1.023*1.005-2.3%*15%)*6.99</f>
        <v>255981</v>
      </c>
      <c r="G47" s="145">
        <f t="shared" si="5"/>
        <v>1.123</v>
      </c>
      <c r="H47" s="146">
        <f>F47*G47</f>
        <v>287467</v>
      </c>
      <c r="I47" s="145">
        <f>'[2]Расчет прогнозных дефляторов'!$D$66</f>
        <v>1.042</v>
      </c>
      <c r="J47" s="146">
        <f>H47*I47</f>
        <v>299541</v>
      </c>
      <c r="K47" s="146">
        <f>H47+(J47-H47)*(1-30/100)</f>
        <v>295919</v>
      </c>
      <c r="L47" s="147"/>
      <c r="M47" s="147">
        <v>1284</v>
      </c>
      <c r="N47" s="147">
        <f>E47*M47</f>
        <v>7704</v>
      </c>
    </row>
    <row r="48" spans="1:15" s="148" customFormat="1" ht="102" hidden="1" outlineLevel="3" x14ac:dyDescent="0.2">
      <c r="A48" s="95" t="s">
        <v>1811</v>
      </c>
      <c r="B48" s="42" t="s">
        <v>341</v>
      </c>
      <c r="C48" s="42" t="s">
        <v>347</v>
      </c>
      <c r="D48" s="100" t="s">
        <v>305</v>
      </c>
      <c r="E48" s="149">
        <v>12</v>
      </c>
      <c r="F48" s="149">
        <f>N48/SUM($N$45:$N$48)*301142*(1.023*1.005-2.3%*15%)*6.99</f>
        <v>952554</v>
      </c>
      <c r="G48" s="145">
        <f t="shared" si="5"/>
        <v>1.123</v>
      </c>
      <c r="H48" s="146">
        <f>F48*G48</f>
        <v>1069718</v>
      </c>
      <c r="I48" s="145">
        <f>'[2]Расчет прогнозных дефляторов'!$D$66</f>
        <v>1.042</v>
      </c>
      <c r="J48" s="146">
        <f>H48*I48</f>
        <v>1114646</v>
      </c>
      <c r="K48" s="146">
        <f>H48+(J48-H48)*(1-30/100)</f>
        <v>1101168</v>
      </c>
      <c r="L48" s="172" t="s">
        <v>727</v>
      </c>
      <c r="M48" s="147">
        <v>2389</v>
      </c>
      <c r="N48" s="147">
        <f t="shared" si="6"/>
        <v>28668</v>
      </c>
    </row>
    <row r="49" spans="1:14" s="237" customFormat="1" ht="15.75" outlineLevel="2" collapsed="1" x14ac:dyDescent="0.2">
      <c r="A49" s="238" t="s">
        <v>353</v>
      </c>
      <c r="B49" s="229" t="s">
        <v>142</v>
      </c>
      <c r="C49" s="229" t="s">
        <v>1805</v>
      </c>
      <c r="D49" s="239" t="s">
        <v>292</v>
      </c>
      <c r="E49" s="240">
        <v>1</v>
      </c>
      <c r="F49" s="240">
        <f>SUM(F50:F98)</f>
        <v>65916216</v>
      </c>
      <c r="G49" s="241"/>
      <c r="H49" s="240">
        <f>SUM(H50:H98)</f>
        <v>74023909</v>
      </c>
      <c r="I49" s="241"/>
      <c r="J49" s="240">
        <f>SUM(J50:J98)</f>
        <v>76941508</v>
      </c>
      <c r="K49" s="240">
        <f>SUM(K50:K98)</f>
        <v>76066231</v>
      </c>
      <c r="L49" s="256"/>
      <c r="M49" s="256"/>
      <c r="N49" s="256"/>
    </row>
    <row r="50" spans="1:14" s="237" customFormat="1" ht="15.75" hidden="1" outlineLevel="3" x14ac:dyDescent="0.2">
      <c r="A50" s="238"/>
      <c r="B50" s="229"/>
      <c r="C50" s="156" t="s">
        <v>1801</v>
      </c>
      <c r="D50" s="239"/>
      <c r="E50" s="240"/>
      <c r="F50" s="240"/>
      <c r="G50" s="241"/>
      <c r="H50" s="242"/>
      <c r="I50" s="241"/>
      <c r="J50" s="242"/>
      <c r="K50" s="242"/>
      <c r="L50" s="256"/>
      <c r="M50" s="256"/>
      <c r="N50" s="256"/>
    </row>
    <row r="51" spans="1:14" s="148" customFormat="1" ht="15.75" hidden="1" outlineLevel="3" x14ac:dyDescent="0.2">
      <c r="A51" s="95"/>
      <c r="B51" s="42"/>
      <c r="C51" s="229" t="s">
        <v>367</v>
      </c>
      <c r="D51" s="100"/>
      <c r="E51" s="149"/>
      <c r="F51" s="149"/>
      <c r="G51" s="145"/>
      <c r="H51" s="146"/>
      <c r="I51" s="145">
        <f>'[2]Расчет прогнозных дефляторов'!$D$39</f>
        <v>1.038</v>
      </c>
      <c r="J51" s="146"/>
      <c r="K51" s="146"/>
      <c r="L51" s="147"/>
      <c r="M51" s="147"/>
      <c r="N51" s="147"/>
    </row>
    <row r="52" spans="1:14" s="148" customFormat="1" ht="15.75" hidden="1" outlineLevel="3" x14ac:dyDescent="0.2">
      <c r="A52" s="95"/>
      <c r="B52" s="42"/>
      <c r="C52" s="157" t="s">
        <v>559</v>
      </c>
      <c r="D52" s="100"/>
      <c r="E52" s="149"/>
      <c r="F52" s="149"/>
      <c r="G52" s="158"/>
      <c r="H52" s="159"/>
      <c r="I52" s="158">
        <f>'[2]Расчет прогнозных дефляторов'!$D$39</f>
        <v>1.038</v>
      </c>
      <c r="J52" s="159"/>
      <c r="K52" s="159"/>
      <c r="L52" s="147"/>
      <c r="M52" s="147"/>
      <c r="N52" s="147"/>
    </row>
    <row r="53" spans="1:14" s="148" customFormat="1" ht="25.5" hidden="1" outlineLevel="3" x14ac:dyDescent="0.2">
      <c r="A53" s="95" t="s">
        <v>354</v>
      </c>
      <c r="B53" s="42" t="s">
        <v>355</v>
      </c>
      <c r="C53" s="42" t="s">
        <v>356</v>
      </c>
      <c r="D53" s="100" t="s">
        <v>300</v>
      </c>
      <c r="E53" s="149">
        <f>'Земляные работы'!H13</f>
        <v>5432</v>
      </c>
      <c r="F53" s="149">
        <f>'Земляные работы'!H13/'Земляные работы'!$H$19*4511030*(1.023*1.005-2.3%*15%)*6.99-37</f>
        <v>7758209</v>
      </c>
      <c r="G53" s="145">
        <f t="shared" ref="G53:G59" si="10">$G$766</f>
        <v>1.123</v>
      </c>
      <c r="H53" s="146">
        <f t="shared" ref="H53:H57" si="11">F53*G53</f>
        <v>8712469</v>
      </c>
      <c r="I53" s="145">
        <f>'[2]Расчет прогнозных дефляторов'!$D$39</f>
        <v>1.038</v>
      </c>
      <c r="J53" s="146">
        <f>H53*I53</f>
        <v>9043543</v>
      </c>
      <c r="K53" s="146">
        <f>H53+(J53-H53)*(1-30/100)</f>
        <v>8944221</v>
      </c>
      <c r="L53" s="147"/>
      <c r="M53" s="147"/>
      <c r="N53" s="147"/>
    </row>
    <row r="54" spans="1:14" s="148" customFormat="1" ht="15.75" hidden="1" outlineLevel="3" x14ac:dyDescent="0.2">
      <c r="A54" s="95" t="s">
        <v>357</v>
      </c>
      <c r="B54" s="42" t="s">
        <v>560</v>
      </c>
      <c r="C54" s="42" t="s">
        <v>656</v>
      </c>
      <c r="D54" s="100" t="s">
        <v>300</v>
      </c>
      <c r="E54" s="149">
        <f>'Земляные работы'!H13</f>
        <v>5432</v>
      </c>
      <c r="F54" s="149">
        <f>'Земляные работы'!H13/'Земляные работы'!$H$19*(370936+320904)*(1.023*1.005-2.3%*15%)*6.99</f>
        <v>1189854</v>
      </c>
      <c r="G54" s="145">
        <f t="shared" si="10"/>
        <v>1.123</v>
      </c>
      <c r="H54" s="146">
        <f t="shared" si="11"/>
        <v>1336206</v>
      </c>
      <c r="I54" s="145">
        <f>'[2]Расчет прогнозных дефляторов'!$D$39</f>
        <v>1.038</v>
      </c>
      <c r="J54" s="146">
        <f t="shared" ref="J54:J59" si="12">H54*I54</f>
        <v>1386982</v>
      </c>
      <c r="K54" s="146">
        <f>H54+(J54-H54)*(1-30/100)</f>
        <v>1371749</v>
      </c>
      <c r="L54" s="147"/>
      <c r="M54" s="147"/>
      <c r="N54" s="147"/>
    </row>
    <row r="55" spans="1:14" s="167" customFormat="1" ht="25.5" hidden="1" outlineLevel="3" x14ac:dyDescent="0.2">
      <c r="A55" s="160" t="s">
        <v>358</v>
      </c>
      <c r="B55" s="91" t="s">
        <v>561</v>
      </c>
      <c r="C55" s="91" t="s">
        <v>562</v>
      </c>
      <c r="D55" s="161" t="s">
        <v>300</v>
      </c>
      <c r="E55" s="162">
        <f>'Земляные работы'!K13</f>
        <v>271.5</v>
      </c>
      <c r="F55" s="149">
        <f>'Земляные работы'!K13/'Земляные работы'!K19*(139109+18545)*(1.023*1.005-2.3%*15%)*6.99</f>
        <v>271040</v>
      </c>
      <c r="G55" s="163">
        <f t="shared" si="10"/>
        <v>1.123</v>
      </c>
      <c r="H55" s="164">
        <f t="shared" si="11"/>
        <v>304378</v>
      </c>
      <c r="I55" s="163">
        <f>'[2]Расчет прогнозных дефляторов'!$D$39</f>
        <v>1.038</v>
      </c>
      <c r="J55" s="164">
        <f t="shared" si="12"/>
        <v>315944</v>
      </c>
      <c r="K55" s="164">
        <f t="shared" ref="K55:K59" si="13">H55+(J55-H55)*(1-30/100)</f>
        <v>312474</v>
      </c>
      <c r="L55" s="165" t="s">
        <v>563</v>
      </c>
      <c r="M55" s="166"/>
      <c r="N55" s="165"/>
    </row>
    <row r="56" spans="1:14" s="167" customFormat="1" ht="15.75" hidden="1" outlineLevel="3" x14ac:dyDescent="0.2">
      <c r="A56" s="160" t="s">
        <v>361</v>
      </c>
      <c r="B56" s="91" t="s">
        <v>564</v>
      </c>
      <c r="C56" s="91" t="s">
        <v>565</v>
      </c>
      <c r="D56" s="161" t="s">
        <v>300</v>
      </c>
      <c r="E56" s="162">
        <f>'Земляные работы'!L13</f>
        <v>271.5</v>
      </c>
      <c r="F56" s="149">
        <f>'Земляные работы'!L13/'Земляные работы'!L19*(39510)*(1.023*1.005-2.3%*15%)*6.99</f>
        <v>67926</v>
      </c>
      <c r="G56" s="163">
        <f t="shared" si="10"/>
        <v>1.123</v>
      </c>
      <c r="H56" s="164">
        <f t="shared" si="11"/>
        <v>76281</v>
      </c>
      <c r="I56" s="163">
        <f>'[2]Расчет прогнозных дефляторов'!$D$39</f>
        <v>1.038</v>
      </c>
      <c r="J56" s="164">
        <f t="shared" si="12"/>
        <v>79180</v>
      </c>
      <c r="K56" s="164">
        <f t="shared" si="13"/>
        <v>78310</v>
      </c>
      <c r="L56" s="165" t="s">
        <v>563</v>
      </c>
      <c r="M56" s="165"/>
      <c r="N56" s="165"/>
    </row>
    <row r="57" spans="1:14" s="148" customFormat="1" ht="25.5" hidden="1" outlineLevel="3" x14ac:dyDescent="0.2">
      <c r="A57" s="95" t="s">
        <v>363</v>
      </c>
      <c r="B57" s="42" t="s">
        <v>567</v>
      </c>
      <c r="C57" s="42" t="s">
        <v>750</v>
      </c>
      <c r="D57" s="100" t="s">
        <v>300</v>
      </c>
      <c r="E57" s="168">
        <f>20100.9*'Земляные работы'!M13/'Земляные работы'!$M$19</f>
        <v>4672.3</v>
      </c>
      <c r="F57" s="149">
        <f>'Земляные работы'!N13/'Земляные работы'!$N$19*(60641+30320+211146)*(1.023*1.005-2.3%*15%)*6.99</f>
        <v>474480</v>
      </c>
      <c r="G57" s="145">
        <f t="shared" si="10"/>
        <v>1.123</v>
      </c>
      <c r="H57" s="146">
        <f t="shared" si="11"/>
        <v>532841</v>
      </c>
      <c r="I57" s="145">
        <f>'[2]Расчет прогнозных дефляторов'!$D$39</f>
        <v>1.038</v>
      </c>
      <c r="J57" s="146">
        <f t="shared" si="12"/>
        <v>553089</v>
      </c>
      <c r="K57" s="146">
        <f t="shared" si="13"/>
        <v>547015</v>
      </c>
      <c r="L57" s="147" t="s">
        <v>360</v>
      </c>
      <c r="M57" s="147"/>
      <c r="N57" s="147"/>
    </row>
    <row r="58" spans="1:14" s="148" customFormat="1" ht="15.75" hidden="1" outlineLevel="3" x14ac:dyDescent="0.2">
      <c r="A58" s="95" t="s">
        <v>364</v>
      </c>
      <c r="B58" s="42" t="s">
        <v>362</v>
      </c>
      <c r="C58" s="42" t="s">
        <v>573</v>
      </c>
      <c r="D58" s="100" t="s">
        <v>305</v>
      </c>
      <c r="E58" s="149">
        <v>1</v>
      </c>
      <c r="F58" s="149">
        <f>1071599*(1.023*1.005-2.3%*15%)*6.99</f>
        <v>7675230</v>
      </c>
      <c r="G58" s="145">
        <f t="shared" si="10"/>
        <v>1.123</v>
      </c>
      <c r="H58" s="146">
        <f>F58*G58</f>
        <v>8619283</v>
      </c>
      <c r="I58" s="145">
        <f>'[2]Расчет прогнозных дефляторов'!$D$39</f>
        <v>1.038</v>
      </c>
      <c r="J58" s="146">
        <f t="shared" si="12"/>
        <v>8946816</v>
      </c>
      <c r="K58" s="146">
        <f t="shared" si="13"/>
        <v>8848556</v>
      </c>
      <c r="L58" s="147" t="s">
        <v>753</v>
      </c>
      <c r="M58" s="147"/>
      <c r="N58" s="147"/>
    </row>
    <row r="59" spans="1:14" s="148" customFormat="1" ht="15.75" hidden="1" outlineLevel="3" x14ac:dyDescent="0.2">
      <c r="A59" s="95" t="s">
        <v>365</v>
      </c>
      <c r="B59" s="42" t="s">
        <v>754</v>
      </c>
      <c r="C59" s="42" t="s">
        <v>575</v>
      </c>
      <c r="D59" s="100" t="s">
        <v>305</v>
      </c>
      <c r="E59" s="149">
        <v>1</v>
      </c>
      <c r="F59" s="149">
        <f>150092*(1.023*1.005-2.3%*15%)*6.99</f>
        <v>1075020</v>
      </c>
      <c r="G59" s="145">
        <f t="shared" si="10"/>
        <v>1.123</v>
      </c>
      <c r="H59" s="146">
        <f>F59*G59</f>
        <v>1207247</v>
      </c>
      <c r="I59" s="145">
        <f>'[2]Расчет прогнозных дефляторов'!$D$39</f>
        <v>1.038</v>
      </c>
      <c r="J59" s="146">
        <f t="shared" si="12"/>
        <v>1253122</v>
      </c>
      <c r="K59" s="146">
        <f t="shared" si="13"/>
        <v>1239360</v>
      </c>
      <c r="L59" s="147" t="s">
        <v>755</v>
      </c>
      <c r="M59" s="147"/>
      <c r="N59" s="147"/>
    </row>
    <row r="60" spans="1:14" s="237" customFormat="1" ht="15.75" hidden="1" outlineLevel="3" x14ac:dyDescent="0.2">
      <c r="A60" s="238"/>
      <c r="B60" s="229"/>
      <c r="C60" s="156" t="s">
        <v>743</v>
      </c>
      <c r="D60" s="239"/>
      <c r="E60" s="240"/>
      <c r="F60" s="240"/>
      <c r="G60" s="241"/>
      <c r="H60" s="240"/>
      <c r="I60" s="241"/>
      <c r="J60" s="240"/>
      <c r="K60" s="240"/>
      <c r="L60" s="256"/>
      <c r="M60" s="256"/>
      <c r="N60" s="256"/>
    </row>
    <row r="61" spans="1:14" s="148" customFormat="1" ht="15.75" hidden="1" outlineLevel="3" x14ac:dyDescent="0.2">
      <c r="A61" s="95"/>
      <c r="B61" s="42"/>
      <c r="C61" s="156" t="s">
        <v>367</v>
      </c>
      <c r="D61" s="100"/>
      <c r="E61" s="149"/>
      <c r="F61" s="149"/>
      <c r="G61" s="145"/>
      <c r="H61" s="146"/>
      <c r="I61" s="145">
        <f>'[2]Расчет прогнозных дефляторов'!$D$48</f>
        <v>1.038</v>
      </c>
      <c r="J61" s="146"/>
      <c r="K61" s="146"/>
      <c r="L61" s="147"/>
      <c r="M61" s="147"/>
      <c r="N61" s="147"/>
    </row>
    <row r="62" spans="1:14" s="148" customFormat="1" ht="15.75" hidden="1" outlineLevel="3" x14ac:dyDescent="0.2">
      <c r="A62" s="95"/>
      <c r="B62" s="42"/>
      <c r="C62" s="157" t="s">
        <v>576</v>
      </c>
      <c r="D62" s="100"/>
      <c r="E62" s="149"/>
      <c r="F62" s="149"/>
      <c r="G62" s="145"/>
      <c r="H62" s="146"/>
      <c r="I62" s="145">
        <f>'[2]Расчет прогнозных дефляторов'!$D$48</f>
        <v>1.038</v>
      </c>
      <c r="J62" s="146"/>
      <c r="K62" s="146"/>
      <c r="L62" s="147"/>
      <c r="M62" s="147"/>
      <c r="N62" s="147"/>
    </row>
    <row r="63" spans="1:14" s="148" customFormat="1" ht="25.5" hidden="1" outlineLevel="3" x14ac:dyDescent="0.2">
      <c r="A63" s="95" t="s">
        <v>2222</v>
      </c>
      <c r="B63" s="42" t="s">
        <v>355</v>
      </c>
      <c r="C63" s="42" t="s">
        <v>356</v>
      </c>
      <c r="D63" s="100" t="s">
        <v>300</v>
      </c>
      <c r="E63" s="149">
        <f>'Земляные работы'!H14</f>
        <v>989</v>
      </c>
      <c r="F63" s="149">
        <f>'Земляные работы'!H14/'Земляные работы'!$H$19*4511030*(1.023*1.005-2.3%*15%)*6.99</f>
        <v>1412538</v>
      </c>
      <c r="G63" s="145">
        <f>$G$766</f>
        <v>1.123</v>
      </c>
      <c r="H63" s="146">
        <f t="shared" ref="H63:H98" si="14">F63*G63</f>
        <v>1586280</v>
      </c>
      <c r="I63" s="145">
        <f>'[2]Расчет прогнозных дефляторов'!$D$48</f>
        <v>1.038</v>
      </c>
      <c r="J63" s="146">
        <f>H63*I63</f>
        <v>1646559</v>
      </c>
      <c r="K63" s="146">
        <f t="shared" ref="K63:K89" si="15">H63+(J63-H63)*(1-30/100)</f>
        <v>1628475</v>
      </c>
      <c r="L63" s="147"/>
      <c r="M63" s="147"/>
      <c r="N63" s="147"/>
    </row>
    <row r="64" spans="1:14" s="148" customFormat="1" ht="15.75" hidden="1" outlineLevel="3" x14ac:dyDescent="0.2">
      <c r="A64" s="95" t="s">
        <v>2223</v>
      </c>
      <c r="B64" s="42" t="s">
        <v>560</v>
      </c>
      <c r="C64" s="42" t="s">
        <v>656</v>
      </c>
      <c r="D64" s="100" t="s">
        <v>300</v>
      </c>
      <c r="E64" s="149">
        <f>'Земляные работы'!H14</f>
        <v>989</v>
      </c>
      <c r="F64" s="149">
        <f>'Земляные работы'!H14/'Земляные работы'!$H$19*(370936+320904)*(1.023*1.005-2.3%*15%)*6.99</f>
        <v>216636</v>
      </c>
      <c r="G64" s="145">
        <f>$G$766</f>
        <v>1.123</v>
      </c>
      <c r="H64" s="146">
        <f t="shared" si="14"/>
        <v>243282</v>
      </c>
      <c r="I64" s="145">
        <f>'[2]Расчет прогнозных дефляторов'!$D$48</f>
        <v>1.038</v>
      </c>
      <c r="J64" s="146">
        <f t="shared" ref="J64:J89" si="16">H64*I64</f>
        <v>252527</v>
      </c>
      <c r="K64" s="146">
        <f t="shared" si="15"/>
        <v>249754</v>
      </c>
      <c r="L64" s="147"/>
      <c r="M64" s="147"/>
      <c r="N64" s="147"/>
    </row>
    <row r="65" spans="1:14" s="167" customFormat="1" ht="25.5" hidden="1" outlineLevel="3" x14ac:dyDescent="0.2">
      <c r="A65" s="160" t="s">
        <v>2224</v>
      </c>
      <c r="B65" s="91" t="s">
        <v>561</v>
      </c>
      <c r="C65" s="91" t="s">
        <v>562</v>
      </c>
      <c r="D65" s="161" t="s">
        <v>300</v>
      </c>
      <c r="E65" s="162">
        <f>'Земляные работы'!K14</f>
        <v>49.5</v>
      </c>
      <c r="F65" s="149">
        <f>'Земляные работы'!K14/'Земляные работы'!K19*(139109+18545)*(1.023*1.005-2.3%*15%)*6.99</f>
        <v>49416</v>
      </c>
      <c r="G65" s="163">
        <f>$G$766</f>
        <v>1.123</v>
      </c>
      <c r="H65" s="164">
        <f t="shared" si="14"/>
        <v>55494</v>
      </c>
      <c r="I65" s="163">
        <f>'[2]Расчет прогнозных дефляторов'!$D$48</f>
        <v>1.038</v>
      </c>
      <c r="J65" s="164">
        <f t="shared" si="16"/>
        <v>57603</v>
      </c>
      <c r="K65" s="164">
        <f t="shared" si="15"/>
        <v>56970</v>
      </c>
      <c r="L65" s="165" t="s">
        <v>563</v>
      </c>
      <c r="M65" s="165"/>
      <c r="N65" s="165"/>
    </row>
    <row r="66" spans="1:14" s="167" customFormat="1" ht="15.75" hidden="1" outlineLevel="3" x14ac:dyDescent="0.2">
      <c r="A66" s="160" t="s">
        <v>2225</v>
      </c>
      <c r="B66" s="91" t="s">
        <v>564</v>
      </c>
      <c r="C66" s="91" t="s">
        <v>565</v>
      </c>
      <c r="D66" s="161" t="s">
        <v>300</v>
      </c>
      <c r="E66" s="162">
        <f>'Земляные работы'!L14</f>
        <v>49.5</v>
      </c>
      <c r="F66" s="149">
        <f>'Земляные работы'!L14/'Земляные работы'!L19*(39510)*(1.023*1.005-2.3%*15%)*6.99</f>
        <v>12384</v>
      </c>
      <c r="G66" s="163">
        <f>$G$766</f>
        <v>1.123</v>
      </c>
      <c r="H66" s="164">
        <f t="shared" si="14"/>
        <v>13907</v>
      </c>
      <c r="I66" s="163">
        <f>'[2]Расчет прогнозных дефляторов'!$D$48</f>
        <v>1.038</v>
      </c>
      <c r="J66" s="164">
        <f t="shared" si="16"/>
        <v>14435</v>
      </c>
      <c r="K66" s="164">
        <f t="shared" si="15"/>
        <v>14277</v>
      </c>
      <c r="L66" s="165" t="s">
        <v>563</v>
      </c>
      <c r="M66" s="165"/>
      <c r="N66" s="165"/>
    </row>
    <row r="67" spans="1:14" s="148" customFormat="1" ht="25.5" hidden="1" outlineLevel="3" x14ac:dyDescent="0.2">
      <c r="A67" s="95" t="s">
        <v>2226</v>
      </c>
      <c r="B67" s="42" t="s">
        <v>567</v>
      </c>
      <c r="C67" s="42" t="s">
        <v>750</v>
      </c>
      <c r="D67" s="100" t="s">
        <v>300</v>
      </c>
      <c r="E67" s="168">
        <f>20100.9*'Земляные работы'!M14/'Земляные работы'!$M$19</f>
        <v>863</v>
      </c>
      <c r="F67" s="149">
        <f>'Земляные работы'!N14/'Земляные работы'!$N$19*(60641+30320+211146)*(1.023*1.005-2.3%*15%)*6.99</f>
        <v>99508</v>
      </c>
      <c r="G67" s="145">
        <f>$G$766</f>
        <v>1.123</v>
      </c>
      <c r="H67" s="146">
        <f t="shared" si="14"/>
        <v>111747</v>
      </c>
      <c r="I67" s="145">
        <f>'[2]Расчет прогнозных дефляторов'!$D$48</f>
        <v>1.038</v>
      </c>
      <c r="J67" s="146">
        <f t="shared" si="16"/>
        <v>115993</v>
      </c>
      <c r="K67" s="146">
        <f t="shared" si="15"/>
        <v>114719</v>
      </c>
      <c r="L67" s="147" t="s">
        <v>360</v>
      </c>
      <c r="M67" s="147"/>
      <c r="N67" s="147"/>
    </row>
    <row r="68" spans="1:14" s="148" customFormat="1" ht="15.75" hidden="1" outlineLevel="3" x14ac:dyDescent="0.2">
      <c r="A68" s="95"/>
      <c r="B68" s="42"/>
      <c r="C68" s="157" t="s">
        <v>577</v>
      </c>
      <c r="D68" s="100"/>
      <c r="E68" s="149"/>
      <c r="F68" s="149"/>
      <c r="G68" s="145"/>
      <c r="H68" s="146"/>
      <c r="I68" s="145">
        <f>'[2]Расчет прогнозных дефляторов'!$D$48</f>
        <v>1.038</v>
      </c>
      <c r="J68" s="146">
        <f t="shared" si="16"/>
        <v>0</v>
      </c>
      <c r="K68" s="146">
        <f t="shared" si="15"/>
        <v>0</v>
      </c>
      <c r="L68" s="147"/>
      <c r="M68" s="147"/>
      <c r="N68" s="147"/>
    </row>
    <row r="69" spans="1:14" s="148" customFormat="1" ht="25.5" hidden="1" outlineLevel="3" x14ac:dyDescent="0.2">
      <c r="A69" s="95" t="s">
        <v>2227</v>
      </c>
      <c r="B69" s="42" t="s">
        <v>355</v>
      </c>
      <c r="C69" s="42" t="s">
        <v>356</v>
      </c>
      <c r="D69" s="100" t="s">
        <v>300</v>
      </c>
      <c r="E69" s="149">
        <f>'Земляные работы'!H15</f>
        <v>2476</v>
      </c>
      <c r="F69" s="149">
        <f>'Земляные работы'!H15/'Земляные работы'!$H$19*4511030*(1.023*1.005-2.3%*15%)*6.99</f>
        <v>3536343</v>
      </c>
      <c r="G69" s="145">
        <f>$G$766</f>
        <v>1.123</v>
      </c>
      <c r="H69" s="146">
        <f t="shared" si="14"/>
        <v>3971313</v>
      </c>
      <c r="I69" s="145">
        <f>'[2]Расчет прогнозных дефляторов'!$D$48</f>
        <v>1.038</v>
      </c>
      <c r="J69" s="146">
        <f t="shared" si="16"/>
        <v>4122223</v>
      </c>
      <c r="K69" s="146">
        <f t="shared" si="15"/>
        <v>4076950</v>
      </c>
      <c r="L69" s="147"/>
      <c r="M69" s="147"/>
      <c r="N69" s="147"/>
    </row>
    <row r="70" spans="1:14" s="148" customFormat="1" ht="15.75" hidden="1" outlineLevel="3" x14ac:dyDescent="0.2">
      <c r="A70" s="95" t="s">
        <v>2228</v>
      </c>
      <c r="B70" s="42" t="s">
        <v>560</v>
      </c>
      <c r="C70" s="42" t="s">
        <v>656</v>
      </c>
      <c r="D70" s="100" t="s">
        <v>300</v>
      </c>
      <c r="E70" s="149">
        <f>'Земляные работы'!H15</f>
        <v>2476</v>
      </c>
      <c r="F70" s="149">
        <f>'Земляные работы'!H15/'Земляные работы'!$H$19*(370936+320904)*(1.023*1.005-2.3%*15%)*6.99</f>
        <v>542356</v>
      </c>
      <c r="G70" s="145">
        <f>$G$766</f>
        <v>1.123</v>
      </c>
      <c r="H70" s="146">
        <f t="shared" si="14"/>
        <v>609066</v>
      </c>
      <c r="I70" s="145">
        <f>'[2]Расчет прогнозных дефляторов'!$D$48</f>
        <v>1.038</v>
      </c>
      <c r="J70" s="146">
        <f t="shared" si="16"/>
        <v>632211</v>
      </c>
      <c r="K70" s="146">
        <f t="shared" si="15"/>
        <v>625268</v>
      </c>
      <c r="L70" s="147"/>
      <c r="M70" s="147"/>
      <c r="N70" s="147"/>
    </row>
    <row r="71" spans="1:14" s="170" customFormat="1" ht="25.5" hidden="1" outlineLevel="3" x14ac:dyDescent="0.2">
      <c r="A71" s="160" t="s">
        <v>2229</v>
      </c>
      <c r="B71" s="91" t="s">
        <v>561</v>
      </c>
      <c r="C71" s="91" t="s">
        <v>562</v>
      </c>
      <c r="D71" s="161" t="s">
        <v>300</v>
      </c>
      <c r="E71" s="162">
        <f>'Земляные работы'!K15</f>
        <v>123.8</v>
      </c>
      <c r="F71" s="149">
        <f>'Земляные работы'!K15/'Земляные работы'!K19*(139109+18545)*(1.023*1.005-2.3%*15%)*6.99</f>
        <v>123590</v>
      </c>
      <c r="G71" s="163">
        <f>$G$766</f>
        <v>1.123</v>
      </c>
      <c r="H71" s="164">
        <f t="shared" si="14"/>
        <v>138792</v>
      </c>
      <c r="I71" s="163">
        <f>'[2]Расчет прогнозных дефляторов'!$D$48</f>
        <v>1.038</v>
      </c>
      <c r="J71" s="164">
        <f t="shared" si="16"/>
        <v>144066</v>
      </c>
      <c r="K71" s="164">
        <f t="shared" si="15"/>
        <v>142484</v>
      </c>
      <c r="L71" s="169" t="s">
        <v>563</v>
      </c>
      <c r="M71" s="169"/>
      <c r="N71" s="169"/>
    </row>
    <row r="72" spans="1:14" s="170" customFormat="1" ht="15.75" hidden="1" outlineLevel="3" x14ac:dyDescent="0.2">
      <c r="A72" s="160" t="s">
        <v>2230</v>
      </c>
      <c r="B72" s="91" t="s">
        <v>564</v>
      </c>
      <c r="C72" s="91" t="s">
        <v>565</v>
      </c>
      <c r="D72" s="161" t="s">
        <v>300</v>
      </c>
      <c r="E72" s="162">
        <f>'Земляные работы'!L15</f>
        <v>123.8</v>
      </c>
      <c r="F72" s="149">
        <f>'Земляные работы'!L15/'Земляные работы'!L19*(39510)*(1.023*1.005-2.3%*15%)*6.99</f>
        <v>30973</v>
      </c>
      <c r="G72" s="163">
        <f>$G$766</f>
        <v>1.123</v>
      </c>
      <c r="H72" s="164">
        <f t="shared" si="14"/>
        <v>34783</v>
      </c>
      <c r="I72" s="163">
        <f>'[2]Расчет прогнозных дефляторов'!$D$48</f>
        <v>1.038</v>
      </c>
      <c r="J72" s="164">
        <f t="shared" si="16"/>
        <v>36105</v>
      </c>
      <c r="K72" s="164">
        <f t="shared" si="15"/>
        <v>35708</v>
      </c>
      <c r="L72" s="169" t="s">
        <v>563</v>
      </c>
      <c r="M72" s="169"/>
      <c r="N72" s="169"/>
    </row>
    <row r="73" spans="1:14" s="148" customFormat="1" ht="25.5" hidden="1" outlineLevel="3" x14ac:dyDescent="0.2">
      <c r="A73" s="95" t="s">
        <v>2231</v>
      </c>
      <c r="B73" s="42" t="s">
        <v>567</v>
      </c>
      <c r="C73" s="42" t="s">
        <v>750</v>
      </c>
      <c r="D73" s="100" t="s">
        <v>300</v>
      </c>
      <c r="E73" s="168">
        <f>20100.9*'Земляные работы'!M15/'Земляные работы'!$M$19</f>
        <v>2250.9</v>
      </c>
      <c r="F73" s="149">
        <f>'Земляные работы'!N15/'Земляные работы'!$N$19*(60641+30320+211146)*(1.023*1.005-2.3%*15%)*6.99</f>
        <v>259540</v>
      </c>
      <c r="G73" s="145">
        <f>$G$766</f>
        <v>1.123</v>
      </c>
      <c r="H73" s="146">
        <f t="shared" si="14"/>
        <v>291463</v>
      </c>
      <c r="I73" s="145">
        <f>'[2]Расчет прогнозных дефляторов'!$D$48</f>
        <v>1.038</v>
      </c>
      <c r="J73" s="146">
        <f t="shared" si="16"/>
        <v>302539</v>
      </c>
      <c r="K73" s="146">
        <f t="shared" si="15"/>
        <v>299216</v>
      </c>
      <c r="L73" s="147" t="s">
        <v>360</v>
      </c>
      <c r="M73" s="147"/>
      <c r="N73" s="147"/>
    </row>
    <row r="74" spans="1:14" s="148" customFormat="1" ht="15.75" hidden="1" outlineLevel="3" x14ac:dyDescent="0.2">
      <c r="A74" s="95"/>
      <c r="B74" s="42"/>
      <c r="C74" s="157" t="s">
        <v>746</v>
      </c>
      <c r="D74" s="100"/>
      <c r="E74" s="149"/>
      <c r="F74" s="149"/>
      <c r="G74" s="145"/>
      <c r="H74" s="146"/>
      <c r="I74" s="145">
        <f>'[2]Расчет прогнозных дефляторов'!$D$48</f>
        <v>1.038</v>
      </c>
      <c r="J74" s="146">
        <f t="shared" si="16"/>
        <v>0</v>
      </c>
      <c r="K74" s="146">
        <f t="shared" si="15"/>
        <v>0</v>
      </c>
      <c r="L74" s="147"/>
      <c r="M74" s="147"/>
      <c r="N74" s="147"/>
    </row>
    <row r="75" spans="1:14" s="148" customFormat="1" ht="25.5" hidden="1" outlineLevel="3" x14ac:dyDescent="0.2">
      <c r="A75" s="95" t="s">
        <v>2232</v>
      </c>
      <c r="B75" s="42" t="s">
        <v>355</v>
      </c>
      <c r="C75" s="42" t="s">
        <v>356</v>
      </c>
      <c r="D75" s="100" t="s">
        <v>300</v>
      </c>
      <c r="E75" s="149">
        <f>'Земляные работы'!H16</f>
        <v>3310</v>
      </c>
      <c r="F75" s="149">
        <f>'Земляные работы'!H16/'Земляные работы'!$H$19*4511030*(1.023*1.005-2.3%*15%)*6.99</f>
        <v>4727503</v>
      </c>
      <c r="G75" s="145">
        <f>$G$766</f>
        <v>1.123</v>
      </c>
      <c r="H75" s="146">
        <f t="shared" ref="H75:H79" si="17">F75*G75</f>
        <v>5308986</v>
      </c>
      <c r="I75" s="145">
        <f>'[2]Расчет прогнозных дефляторов'!$D$48</f>
        <v>1.038</v>
      </c>
      <c r="J75" s="146">
        <f t="shared" si="16"/>
        <v>5510727</v>
      </c>
      <c r="K75" s="146">
        <f t="shared" si="15"/>
        <v>5450205</v>
      </c>
      <c r="L75" s="147"/>
      <c r="M75" s="147"/>
      <c r="N75" s="147"/>
    </row>
    <row r="76" spans="1:14" s="148" customFormat="1" ht="15.75" hidden="1" outlineLevel="3" x14ac:dyDescent="0.2">
      <c r="A76" s="95" t="s">
        <v>2233</v>
      </c>
      <c r="B76" s="42" t="s">
        <v>560</v>
      </c>
      <c r="C76" s="42" t="s">
        <v>656</v>
      </c>
      <c r="D76" s="100" t="s">
        <v>300</v>
      </c>
      <c r="E76" s="149">
        <f>'Земляные работы'!H16</f>
        <v>3310</v>
      </c>
      <c r="F76" s="149">
        <f>'Земляные работы'!H16/'Земляные работы'!$H$19*(370936+320904)*(1.023*1.005-2.3%*15%)*6.99</f>
        <v>725040</v>
      </c>
      <c r="G76" s="145">
        <f>$G$766</f>
        <v>1.123</v>
      </c>
      <c r="H76" s="146">
        <f t="shared" si="17"/>
        <v>814220</v>
      </c>
      <c r="I76" s="145">
        <f>'[2]Расчет прогнозных дефляторов'!$D$48</f>
        <v>1.038</v>
      </c>
      <c r="J76" s="146">
        <f t="shared" si="16"/>
        <v>845160</v>
      </c>
      <c r="K76" s="146">
        <f t="shared" si="15"/>
        <v>835878</v>
      </c>
      <c r="L76" s="147"/>
      <c r="M76" s="147"/>
      <c r="N76" s="147"/>
    </row>
    <row r="77" spans="1:14" s="170" customFormat="1" ht="25.5" hidden="1" outlineLevel="3" x14ac:dyDescent="0.2">
      <c r="A77" s="160" t="s">
        <v>2234</v>
      </c>
      <c r="B77" s="91" t="s">
        <v>561</v>
      </c>
      <c r="C77" s="91" t="s">
        <v>562</v>
      </c>
      <c r="D77" s="161" t="s">
        <v>300</v>
      </c>
      <c r="E77" s="162">
        <f>'Земляные работы'!K16</f>
        <v>165.5</v>
      </c>
      <c r="F77" s="149">
        <f>'Земляные работы'!K16/'Земляные работы'!K19*(139109+18545)*(1.023*1.005-2.3%*15%)*6.99</f>
        <v>165219</v>
      </c>
      <c r="G77" s="163">
        <f>$G$766</f>
        <v>1.123</v>
      </c>
      <c r="H77" s="164">
        <f t="shared" si="17"/>
        <v>185541</v>
      </c>
      <c r="I77" s="163">
        <f>'[2]Расчет прогнозных дефляторов'!$D$48</f>
        <v>1.038</v>
      </c>
      <c r="J77" s="164">
        <f t="shared" si="16"/>
        <v>192592</v>
      </c>
      <c r="K77" s="164">
        <f t="shared" si="15"/>
        <v>190477</v>
      </c>
      <c r="L77" s="169" t="s">
        <v>563</v>
      </c>
      <c r="M77" s="169"/>
      <c r="N77" s="169"/>
    </row>
    <row r="78" spans="1:14" s="170" customFormat="1" ht="15.75" hidden="1" outlineLevel="3" x14ac:dyDescent="0.2">
      <c r="A78" s="160" t="s">
        <v>2235</v>
      </c>
      <c r="B78" s="91" t="s">
        <v>564</v>
      </c>
      <c r="C78" s="91" t="s">
        <v>565</v>
      </c>
      <c r="D78" s="161" t="s">
        <v>300</v>
      </c>
      <c r="E78" s="162">
        <f>'Земляные работы'!L16</f>
        <v>165.5</v>
      </c>
      <c r="F78" s="149">
        <f>'Земляные работы'!L16/'Земляные работы'!L19*(39510)*(1.023*1.005-2.3%*15%)*6.99</f>
        <v>41406</v>
      </c>
      <c r="G78" s="163">
        <f>$G$766</f>
        <v>1.123</v>
      </c>
      <c r="H78" s="164">
        <f t="shared" si="17"/>
        <v>46499</v>
      </c>
      <c r="I78" s="163">
        <f>'[2]Расчет прогнозных дефляторов'!$D$48</f>
        <v>1.038</v>
      </c>
      <c r="J78" s="164">
        <f t="shared" si="16"/>
        <v>48266</v>
      </c>
      <c r="K78" s="164">
        <f t="shared" si="15"/>
        <v>47736</v>
      </c>
      <c r="L78" s="169" t="s">
        <v>563</v>
      </c>
      <c r="M78" s="169"/>
      <c r="N78" s="169"/>
    </row>
    <row r="79" spans="1:14" s="148" customFormat="1" ht="25.5" hidden="1" outlineLevel="3" x14ac:dyDescent="0.2">
      <c r="A79" s="95" t="s">
        <v>2236</v>
      </c>
      <c r="B79" s="42" t="s">
        <v>567</v>
      </c>
      <c r="C79" s="42" t="s">
        <v>750</v>
      </c>
      <c r="D79" s="100" t="s">
        <v>300</v>
      </c>
      <c r="E79" s="168">
        <f>20100.9*'Земляные работы'!M16/'Земляные работы'!$M$19</f>
        <v>3027.7</v>
      </c>
      <c r="F79" s="149">
        <f>'Земляные работы'!N16/'Земляные работы'!$N$19*(60641+30320+211146)*(1.023*1.005-2.3%*15%)*6.99</f>
        <v>349109</v>
      </c>
      <c r="G79" s="145">
        <f>$G$766</f>
        <v>1.123</v>
      </c>
      <c r="H79" s="146">
        <f t="shared" si="17"/>
        <v>392049</v>
      </c>
      <c r="I79" s="145">
        <f>'[2]Расчет прогнозных дефляторов'!$D$48</f>
        <v>1.038</v>
      </c>
      <c r="J79" s="146">
        <f t="shared" si="16"/>
        <v>406947</v>
      </c>
      <c r="K79" s="146">
        <f t="shared" si="15"/>
        <v>402478</v>
      </c>
      <c r="L79" s="147" t="s">
        <v>360</v>
      </c>
      <c r="M79" s="147"/>
      <c r="N79" s="147"/>
    </row>
    <row r="80" spans="1:14" s="148" customFormat="1" ht="15.75" hidden="1" outlineLevel="3" x14ac:dyDescent="0.2">
      <c r="A80" s="95"/>
      <c r="B80" s="42"/>
      <c r="C80" s="157" t="s">
        <v>747</v>
      </c>
      <c r="D80" s="100"/>
      <c r="E80" s="149"/>
      <c r="F80" s="149"/>
      <c r="G80" s="145"/>
      <c r="H80" s="146"/>
      <c r="I80" s="145">
        <f>'[2]Расчет прогнозных дефляторов'!$D$48</f>
        <v>1.038</v>
      </c>
      <c r="J80" s="146">
        <f t="shared" si="16"/>
        <v>0</v>
      </c>
      <c r="K80" s="146">
        <f t="shared" si="15"/>
        <v>0</v>
      </c>
      <c r="L80" s="147"/>
      <c r="M80" s="147"/>
      <c r="N80" s="147"/>
    </row>
    <row r="81" spans="1:14" s="148" customFormat="1" ht="25.5" hidden="1" outlineLevel="3" x14ac:dyDescent="0.2">
      <c r="A81" s="95" t="s">
        <v>2237</v>
      </c>
      <c r="B81" s="42" t="s">
        <v>355</v>
      </c>
      <c r="C81" s="42" t="s">
        <v>356</v>
      </c>
      <c r="D81" s="100" t="s">
        <v>300</v>
      </c>
      <c r="E81" s="149">
        <f>'Земляные работы'!H17</f>
        <v>2315</v>
      </c>
      <c r="F81" s="149">
        <f>'Земляные работы'!H17/'Земляные работы'!$H$19*4511030*(1.023*1.005-2.3%*15%)*6.99</f>
        <v>3306395</v>
      </c>
      <c r="G81" s="145">
        <f t="shared" ref="G81:G89" si="18">$G$766</f>
        <v>1.123</v>
      </c>
      <c r="H81" s="146">
        <f t="shared" ref="H81:H85" si="19">F81*G81</f>
        <v>3713082</v>
      </c>
      <c r="I81" s="145">
        <f>'[2]Расчет прогнозных дефляторов'!$D$48</f>
        <v>1.038</v>
      </c>
      <c r="J81" s="146">
        <f t="shared" si="16"/>
        <v>3854179</v>
      </c>
      <c r="K81" s="146">
        <f t="shared" si="15"/>
        <v>3811850</v>
      </c>
      <c r="L81" s="147"/>
      <c r="M81" s="147"/>
      <c r="N81" s="147"/>
    </row>
    <row r="82" spans="1:14" s="148" customFormat="1" ht="15.75" hidden="1" outlineLevel="3" x14ac:dyDescent="0.2">
      <c r="A82" s="95" t="s">
        <v>2238</v>
      </c>
      <c r="B82" s="42" t="s">
        <v>560</v>
      </c>
      <c r="C82" s="42" t="s">
        <v>656</v>
      </c>
      <c r="D82" s="100" t="s">
        <v>300</v>
      </c>
      <c r="E82" s="149">
        <f>'Земляные работы'!H17</f>
        <v>2315</v>
      </c>
      <c r="F82" s="149">
        <f>'Земляные работы'!H17/'Земляные работы'!$H$19*(370936+320904)*(1.023*1.005-2.3%*15%)*6.99</f>
        <v>507090</v>
      </c>
      <c r="G82" s="145">
        <f t="shared" si="18"/>
        <v>1.123</v>
      </c>
      <c r="H82" s="146">
        <f t="shared" si="19"/>
        <v>569462</v>
      </c>
      <c r="I82" s="145">
        <f>'[2]Расчет прогнозных дефляторов'!$D$48</f>
        <v>1.038</v>
      </c>
      <c r="J82" s="146">
        <f t="shared" si="16"/>
        <v>591102</v>
      </c>
      <c r="K82" s="146">
        <f t="shared" si="15"/>
        <v>584610</v>
      </c>
      <c r="L82" s="147"/>
      <c r="M82" s="147"/>
      <c r="N82" s="147"/>
    </row>
    <row r="83" spans="1:14" s="170" customFormat="1" ht="25.5" hidden="1" outlineLevel="3" x14ac:dyDescent="0.2">
      <c r="A83" s="160" t="s">
        <v>2239</v>
      </c>
      <c r="B83" s="91" t="s">
        <v>561</v>
      </c>
      <c r="C83" s="91" t="s">
        <v>562</v>
      </c>
      <c r="D83" s="161" t="s">
        <v>300</v>
      </c>
      <c r="E83" s="162">
        <f>'Земляные работы'!K17</f>
        <v>115.8</v>
      </c>
      <c r="F83" s="149">
        <f>'Земляные работы'!K17/'Земляные работы'!K19*(139109+18545)*(1.023*1.005-2.3%*15%)*6.99</f>
        <v>115604</v>
      </c>
      <c r="G83" s="163">
        <f t="shared" si="18"/>
        <v>1.123</v>
      </c>
      <c r="H83" s="164">
        <f t="shared" si="19"/>
        <v>129823</v>
      </c>
      <c r="I83" s="163">
        <f>'[2]Расчет прогнозных дефляторов'!$D$48</f>
        <v>1.038</v>
      </c>
      <c r="J83" s="164">
        <f t="shared" si="16"/>
        <v>134756</v>
      </c>
      <c r="K83" s="164">
        <f t="shared" si="15"/>
        <v>133276</v>
      </c>
      <c r="L83" s="169" t="s">
        <v>563</v>
      </c>
      <c r="M83" s="169"/>
      <c r="N83" s="169"/>
    </row>
    <row r="84" spans="1:14" s="170" customFormat="1" ht="15.75" hidden="1" outlineLevel="3" x14ac:dyDescent="0.2">
      <c r="A84" s="160" t="s">
        <v>2240</v>
      </c>
      <c r="B84" s="91" t="s">
        <v>564</v>
      </c>
      <c r="C84" s="91" t="s">
        <v>565</v>
      </c>
      <c r="D84" s="161" t="s">
        <v>300</v>
      </c>
      <c r="E84" s="162">
        <f>'Земляные работы'!L17</f>
        <v>115.8</v>
      </c>
      <c r="F84" s="149">
        <f>'Земляные работы'!L17/'Земляные работы'!L19*(39510)*(1.023*1.005-2.3%*15%)*6.99</f>
        <v>28972</v>
      </c>
      <c r="G84" s="163">
        <f t="shared" si="18"/>
        <v>1.123</v>
      </c>
      <c r="H84" s="164">
        <f t="shared" si="19"/>
        <v>32536</v>
      </c>
      <c r="I84" s="163">
        <f>'[2]Расчет прогнозных дефляторов'!$D$48</f>
        <v>1.038</v>
      </c>
      <c r="J84" s="164">
        <f t="shared" si="16"/>
        <v>33772</v>
      </c>
      <c r="K84" s="164">
        <f t="shared" si="15"/>
        <v>33401</v>
      </c>
      <c r="L84" s="169" t="s">
        <v>563</v>
      </c>
      <c r="M84" s="169"/>
      <c r="N84" s="169"/>
    </row>
    <row r="85" spans="1:14" s="148" customFormat="1" ht="25.5" hidden="1" outlineLevel="3" x14ac:dyDescent="0.2">
      <c r="A85" s="95" t="s">
        <v>2241</v>
      </c>
      <c r="B85" s="42" t="s">
        <v>567</v>
      </c>
      <c r="C85" s="42" t="s">
        <v>750</v>
      </c>
      <c r="D85" s="100" t="s">
        <v>300</v>
      </c>
      <c r="E85" s="168">
        <f>20100.9*'Земляные работы'!M17/'Земляные работы'!$M$19</f>
        <v>2087</v>
      </c>
      <c r="F85" s="149">
        <f>'Земляные работы'!N17/'Земляные работы'!$N$19*(60641+30320+211146)*(1.023*1.005-2.3%*15%)*6.99</f>
        <v>240642</v>
      </c>
      <c r="G85" s="145">
        <f t="shared" si="18"/>
        <v>1.123</v>
      </c>
      <c r="H85" s="146">
        <f t="shared" si="19"/>
        <v>270241</v>
      </c>
      <c r="I85" s="145">
        <f>'[2]Расчет прогнозных дефляторов'!$D$48</f>
        <v>1.038</v>
      </c>
      <c r="J85" s="146">
        <f t="shared" si="16"/>
        <v>280510</v>
      </c>
      <c r="K85" s="146">
        <f t="shared" si="15"/>
        <v>277429</v>
      </c>
      <c r="L85" s="147" t="s">
        <v>360</v>
      </c>
      <c r="M85" s="147"/>
      <c r="N85" s="147"/>
    </row>
    <row r="86" spans="1:14" s="148" customFormat="1" ht="15.75" hidden="1" outlineLevel="3" x14ac:dyDescent="0.2">
      <c r="A86" s="95" t="s">
        <v>2242</v>
      </c>
      <c r="B86" s="42" t="s">
        <v>756</v>
      </c>
      <c r="C86" s="42" t="s">
        <v>580</v>
      </c>
      <c r="D86" s="100" t="s">
        <v>305</v>
      </c>
      <c r="E86" s="149">
        <v>1</v>
      </c>
      <c r="F86" s="149">
        <f>187009*(1.023*1.005-2.3%*15%)*6.99</f>
        <v>1339435</v>
      </c>
      <c r="G86" s="145">
        <f t="shared" si="18"/>
        <v>1.123</v>
      </c>
      <c r="H86" s="146">
        <f t="shared" si="14"/>
        <v>1504186</v>
      </c>
      <c r="I86" s="145">
        <f>'[2]Расчет прогнозных дефляторов'!$D$48</f>
        <v>1.038</v>
      </c>
      <c r="J86" s="146">
        <f t="shared" si="16"/>
        <v>1561345</v>
      </c>
      <c r="K86" s="146">
        <f t="shared" si="15"/>
        <v>1544197</v>
      </c>
      <c r="L86" s="147" t="s">
        <v>757</v>
      </c>
      <c r="M86" s="147"/>
      <c r="N86" s="147"/>
    </row>
    <row r="87" spans="1:14" s="148" customFormat="1" ht="15.75" hidden="1" outlineLevel="3" x14ac:dyDescent="0.2">
      <c r="A87" s="95" t="s">
        <v>2243</v>
      </c>
      <c r="B87" s="42" t="s">
        <v>758</v>
      </c>
      <c r="C87" s="42" t="s">
        <v>582</v>
      </c>
      <c r="D87" s="100" t="s">
        <v>305</v>
      </c>
      <c r="E87" s="149">
        <v>1</v>
      </c>
      <c r="F87" s="149">
        <f>299334*(1.023*1.005-2.3%*15%)*6.99</f>
        <v>2143952</v>
      </c>
      <c r="G87" s="145">
        <f t="shared" si="18"/>
        <v>1.123</v>
      </c>
      <c r="H87" s="146">
        <f t="shared" si="14"/>
        <v>2407658</v>
      </c>
      <c r="I87" s="145">
        <f>'[2]Расчет прогнозных дефляторов'!$D$48</f>
        <v>1.038</v>
      </c>
      <c r="J87" s="146">
        <f t="shared" si="16"/>
        <v>2499149</v>
      </c>
      <c r="K87" s="146">
        <f t="shared" si="15"/>
        <v>2471702</v>
      </c>
      <c r="L87" s="147" t="s">
        <v>759</v>
      </c>
      <c r="M87" s="147"/>
      <c r="N87" s="147"/>
    </row>
    <row r="88" spans="1:14" s="148" customFormat="1" ht="15.75" hidden="1" outlineLevel="3" x14ac:dyDescent="0.2">
      <c r="A88" s="95" t="s">
        <v>2244</v>
      </c>
      <c r="B88" s="42" t="s">
        <v>760</v>
      </c>
      <c r="C88" s="42" t="s">
        <v>583</v>
      </c>
      <c r="D88" s="100" t="s">
        <v>305</v>
      </c>
      <c r="E88" s="149">
        <v>1</v>
      </c>
      <c r="F88" s="149">
        <f>313077*(1.023*1.005-2.3%*15%)*6.99</f>
        <v>2242385</v>
      </c>
      <c r="G88" s="145">
        <f t="shared" si="18"/>
        <v>1.123</v>
      </c>
      <c r="H88" s="146">
        <f t="shared" si="14"/>
        <v>2518198</v>
      </c>
      <c r="I88" s="145">
        <f>'[2]Расчет прогнозных дефляторов'!$D$48</f>
        <v>1.038</v>
      </c>
      <c r="J88" s="146">
        <f t="shared" si="16"/>
        <v>2613890</v>
      </c>
      <c r="K88" s="146">
        <f t="shared" si="15"/>
        <v>2585182</v>
      </c>
      <c r="L88" s="147" t="s">
        <v>761</v>
      </c>
      <c r="M88" s="147"/>
      <c r="N88" s="147"/>
    </row>
    <row r="89" spans="1:14" s="148" customFormat="1" ht="15.75" hidden="1" outlineLevel="3" x14ac:dyDescent="0.2">
      <c r="A89" s="95" t="s">
        <v>2245</v>
      </c>
      <c r="B89" s="42" t="s">
        <v>762</v>
      </c>
      <c r="C89" s="42" t="s">
        <v>745</v>
      </c>
      <c r="D89" s="100" t="s">
        <v>305</v>
      </c>
      <c r="E89" s="149">
        <v>1</v>
      </c>
      <c r="F89" s="149">
        <f>262877*(1.023*1.005-2.3%*15%)*6.99</f>
        <v>1882832</v>
      </c>
      <c r="G89" s="145">
        <f t="shared" si="18"/>
        <v>1.123</v>
      </c>
      <c r="H89" s="146">
        <f t="shared" si="14"/>
        <v>2114420</v>
      </c>
      <c r="I89" s="145">
        <f>'[2]Расчет прогнозных дефляторов'!$D$48</f>
        <v>1.038</v>
      </c>
      <c r="J89" s="146">
        <f t="shared" si="16"/>
        <v>2194768</v>
      </c>
      <c r="K89" s="146">
        <f t="shared" si="15"/>
        <v>2170664</v>
      </c>
      <c r="L89" s="147" t="s">
        <v>763</v>
      </c>
      <c r="M89" s="147"/>
      <c r="N89" s="147"/>
    </row>
    <row r="90" spans="1:14" s="243" customFormat="1" ht="15.75" hidden="1" outlineLevel="3" x14ac:dyDescent="0.2">
      <c r="A90" s="244"/>
      <c r="B90" s="245"/>
      <c r="C90" s="245" t="s">
        <v>1802</v>
      </c>
      <c r="D90" s="246"/>
      <c r="E90" s="247"/>
      <c r="F90" s="240"/>
      <c r="G90" s="248"/>
      <c r="H90" s="255"/>
      <c r="I90" s="248"/>
      <c r="J90" s="255"/>
      <c r="K90" s="255"/>
      <c r="L90" s="269"/>
      <c r="M90" s="269"/>
      <c r="N90" s="269"/>
    </row>
    <row r="91" spans="1:14" s="148" customFormat="1" ht="15.75" hidden="1" outlineLevel="3" x14ac:dyDescent="0.2">
      <c r="A91" s="95"/>
      <c r="B91" s="42"/>
      <c r="C91" s="157" t="s">
        <v>744</v>
      </c>
      <c r="D91" s="100"/>
      <c r="E91" s="149"/>
      <c r="F91" s="149"/>
      <c r="G91" s="145"/>
      <c r="H91" s="146"/>
      <c r="I91" s="145">
        <f>'[2]Расчет прогнозных дефляторов'!$D$57</f>
        <v>1.042</v>
      </c>
      <c r="J91" s="146"/>
      <c r="K91" s="146"/>
      <c r="L91" s="147"/>
      <c r="M91" s="147"/>
      <c r="N91" s="147"/>
    </row>
    <row r="92" spans="1:14" s="148" customFormat="1" ht="25.5" hidden="1" outlineLevel="3" x14ac:dyDescent="0.2">
      <c r="A92" s="95" t="s">
        <v>2246</v>
      </c>
      <c r="B92" s="42" t="s">
        <v>355</v>
      </c>
      <c r="C92" s="42" t="s">
        <v>356</v>
      </c>
      <c r="D92" s="100" t="s">
        <v>300</v>
      </c>
      <c r="E92" s="149">
        <f>'Земляные работы'!H18</f>
        <v>8100</v>
      </c>
      <c r="F92" s="149">
        <f>'Земляные работы'!H18/'Земляные работы'!$H$19*4511030*(1.023*1.005-2.3%*15%)*6.99</f>
        <v>11568813</v>
      </c>
      <c r="G92" s="145">
        <f t="shared" ref="G92:G99" si="20">$G$766</f>
        <v>1.123</v>
      </c>
      <c r="H92" s="146">
        <f t="shared" si="14"/>
        <v>12991777</v>
      </c>
      <c r="I92" s="145">
        <f>'[2]Расчет прогнозных дефляторов'!$D$57</f>
        <v>1.042</v>
      </c>
      <c r="J92" s="146">
        <f>H92*I92</f>
        <v>13537432</v>
      </c>
      <c r="K92" s="146">
        <f t="shared" ref="K92:K98" si="21">H92+(J92-H92)*(1-30/100)</f>
        <v>13373736</v>
      </c>
      <c r="L92" s="147"/>
      <c r="M92" s="147"/>
      <c r="N92" s="147"/>
    </row>
    <row r="93" spans="1:14" s="148" customFormat="1" ht="15.75" hidden="1" outlineLevel="3" x14ac:dyDescent="0.2">
      <c r="A93" s="95" t="s">
        <v>2247</v>
      </c>
      <c r="B93" s="42" t="s">
        <v>560</v>
      </c>
      <c r="C93" s="42" t="s">
        <v>656</v>
      </c>
      <c r="D93" s="100" t="s">
        <v>300</v>
      </c>
      <c r="E93" s="149">
        <f>'Земляные работы'!H18</f>
        <v>8100</v>
      </c>
      <c r="F93" s="149">
        <f>'Земляные работы'!H18/'Земляные работы'!$H$19*(370936+320904)*(1.023*1.005-2.3%*15%)*6.99</f>
        <v>1774266</v>
      </c>
      <c r="G93" s="145">
        <f t="shared" si="20"/>
        <v>1.123</v>
      </c>
      <c r="H93" s="146">
        <f t="shared" si="14"/>
        <v>1992501</v>
      </c>
      <c r="I93" s="145">
        <f>'[2]Расчет прогнозных дефляторов'!$D$57</f>
        <v>1.042</v>
      </c>
      <c r="J93" s="146">
        <f t="shared" ref="J93:J98" si="22">H93*I93</f>
        <v>2076186</v>
      </c>
      <c r="K93" s="146">
        <f t="shared" si="21"/>
        <v>2051081</v>
      </c>
      <c r="L93" s="147"/>
      <c r="M93" s="147"/>
      <c r="N93" s="147"/>
    </row>
    <row r="94" spans="1:14" s="167" customFormat="1" ht="25.5" hidden="1" outlineLevel="3" x14ac:dyDescent="0.2">
      <c r="A94" s="160" t="s">
        <v>2248</v>
      </c>
      <c r="B94" s="91" t="s">
        <v>561</v>
      </c>
      <c r="C94" s="91" t="s">
        <v>562</v>
      </c>
      <c r="D94" s="161" t="s">
        <v>300</v>
      </c>
      <c r="E94" s="162">
        <f>'Земляные работы'!K18</f>
        <v>405</v>
      </c>
      <c r="F94" s="149">
        <f>'Земляные работы'!K18/'Земляные работы'!K19*(139109+18545)*(1.023*1.005-2.3%*15%)*6.99</f>
        <v>404313</v>
      </c>
      <c r="G94" s="163">
        <f t="shared" si="20"/>
        <v>1.123</v>
      </c>
      <c r="H94" s="164">
        <f t="shared" si="14"/>
        <v>454043</v>
      </c>
      <c r="I94" s="163">
        <f>'[2]Расчет прогнозных дефляторов'!$D$57</f>
        <v>1.042</v>
      </c>
      <c r="J94" s="164">
        <f t="shared" si="22"/>
        <v>473113</v>
      </c>
      <c r="K94" s="164">
        <f t="shared" si="21"/>
        <v>467392</v>
      </c>
      <c r="L94" s="165" t="s">
        <v>563</v>
      </c>
      <c r="M94" s="165"/>
      <c r="N94" s="165"/>
    </row>
    <row r="95" spans="1:14" s="167" customFormat="1" ht="15.75" hidden="1" outlineLevel="3" x14ac:dyDescent="0.2">
      <c r="A95" s="160" t="s">
        <v>2249</v>
      </c>
      <c r="B95" s="91" t="s">
        <v>564</v>
      </c>
      <c r="C95" s="91" t="s">
        <v>565</v>
      </c>
      <c r="D95" s="161" t="s">
        <v>300</v>
      </c>
      <c r="E95" s="162">
        <f>'Земляные работы'!L18</f>
        <v>405</v>
      </c>
      <c r="F95" s="149">
        <f>'Земляные работы'!L18/'Земляные работы'!L19*(39510)*(1.023*1.005-2.3%*15%)*6.99</f>
        <v>101326</v>
      </c>
      <c r="G95" s="163">
        <f t="shared" si="20"/>
        <v>1.123</v>
      </c>
      <c r="H95" s="164">
        <f t="shared" si="14"/>
        <v>113789</v>
      </c>
      <c r="I95" s="163">
        <f>'[2]Расчет прогнозных дефляторов'!$D$57</f>
        <v>1.042</v>
      </c>
      <c r="J95" s="164">
        <f t="shared" si="22"/>
        <v>118568</v>
      </c>
      <c r="K95" s="164">
        <f t="shared" si="21"/>
        <v>117134</v>
      </c>
      <c r="L95" s="165" t="s">
        <v>563</v>
      </c>
      <c r="M95" s="165"/>
      <c r="N95" s="165"/>
    </row>
    <row r="96" spans="1:14" s="148" customFormat="1" ht="25.5" hidden="1" outlineLevel="3" x14ac:dyDescent="0.2">
      <c r="A96" s="95" t="s">
        <v>2250</v>
      </c>
      <c r="B96" s="42" t="s">
        <v>567</v>
      </c>
      <c r="C96" s="42" t="s">
        <v>750</v>
      </c>
      <c r="D96" s="100" t="s">
        <v>300</v>
      </c>
      <c r="E96" s="168">
        <f>20100.9*'Земляные работы'!M18/'Земляные работы'!$M$19+0.1</f>
        <v>7200</v>
      </c>
      <c r="F96" s="149">
        <f>('Земляные работы'!N18/'Земляные работы'!$N$19)*(60641+30320+211146)*(1.023*1.005-2.3%*15%)*6.99</f>
        <v>740535</v>
      </c>
      <c r="G96" s="145">
        <f t="shared" si="20"/>
        <v>1.123</v>
      </c>
      <c r="H96" s="146">
        <f t="shared" si="14"/>
        <v>831621</v>
      </c>
      <c r="I96" s="145">
        <f>'[2]Расчет прогнозных дефляторов'!$D$57</f>
        <v>1.042</v>
      </c>
      <c r="J96" s="146">
        <f t="shared" si="22"/>
        <v>866549</v>
      </c>
      <c r="K96" s="146">
        <f t="shared" si="21"/>
        <v>856071</v>
      </c>
      <c r="L96" s="147" t="s">
        <v>360</v>
      </c>
      <c r="M96" s="147"/>
      <c r="N96" s="147"/>
    </row>
    <row r="97" spans="1:14" s="148" customFormat="1" ht="15.75" hidden="1" outlineLevel="3" x14ac:dyDescent="0.2">
      <c r="A97" s="95" t="s">
        <v>2251</v>
      </c>
      <c r="B97" s="42" t="s">
        <v>764</v>
      </c>
      <c r="C97" s="42" t="s">
        <v>748</v>
      </c>
      <c r="D97" s="100" t="s">
        <v>305</v>
      </c>
      <c r="E97" s="149">
        <v>1</v>
      </c>
      <c r="F97" s="149">
        <f>141938*(1.023*1.005-2.3%*15%)*6.99</f>
        <v>1016618</v>
      </c>
      <c r="G97" s="145">
        <f t="shared" si="20"/>
        <v>1.123</v>
      </c>
      <c r="H97" s="146">
        <f t="shared" si="14"/>
        <v>1141662</v>
      </c>
      <c r="I97" s="145">
        <f>'[2]Расчет прогнозных дефляторов'!$D$57</f>
        <v>1.042</v>
      </c>
      <c r="J97" s="146">
        <f t="shared" si="22"/>
        <v>1189612</v>
      </c>
      <c r="K97" s="146">
        <f t="shared" si="21"/>
        <v>1175227</v>
      </c>
      <c r="L97" s="147" t="s">
        <v>765</v>
      </c>
      <c r="M97" s="147"/>
      <c r="N97" s="147"/>
    </row>
    <row r="98" spans="1:14" s="148" customFormat="1" ht="15.75" hidden="1" outlineLevel="3" x14ac:dyDescent="0.2">
      <c r="A98" s="95" t="s">
        <v>2252</v>
      </c>
      <c r="B98" s="42" t="s">
        <v>766</v>
      </c>
      <c r="C98" s="42" t="s">
        <v>749</v>
      </c>
      <c r="D98" s="100" t="s">
        <v>408</v>
      </c>
      <c r="E98" s="149">
        <v>1</v>
      </c>
      <c r="F98" s="149">
        <f>1075018*(1.023*1.005-2.3%*15%)*6.99</f>
        <v>7699718</v>
      </c>
      <c r="G98" s="145">
        <f t="shared" si="20"/>
        <v>1.123</v>
      </c>
      <c r="H98" s="146">
        <f t="shared" si="14"/>
        <v>8646783</v>
      </c>
      <c r="I98" s="145">
        <f>'[2]Расчет прогнозных дефляторов'!$D$57</f>
        <v>1.042</v>
      </c>
      <c r="J98" s="146">
        <f t="shared" si="22"/>
        <v>9009948</v>
      </c>
      <c r="K98" s="146">
        <f t="shared" si="21"/>
        <v>8900999</v>
      </c>
      <c r="L98" s="147" t="s">
        <v>455</v>
      </c>
      <c r="M98" s="147"/>
      <c r="N98" s="147"/>
    </row>
    <row r="99" spans="1:14" s="237" customFormat="1" ht="25.5" outlineLevel="2" collapsed="1" x14ac:dyDescent="0.2">
      <c r="A99" s="238" t="s">
        <v>366</v>
      </c>
      <c r="B99" s="229" t="s">
        <v>144</v>
      </c>
      <c r="C99" s="229" t="s">
        <v>1786</v>
      </c>
      <c r="D99" s="239" t="s">
        <v>292</v>
      </c>
      <c r="E99" s="240">
        <v>1</v>
      </c>
      <c r="F99" s="240">
        <f>SUM(F100:F110)</f>
        <v>2166987</v>
      </c>
      <c r="G99" s="241">
        <f t="shared" si="20"/>
        <v>1.123</v>
      </c>
      <c r="H99" s="240">
        <f>SUM(H100:H110)</f>
        <v>2433526</v>
      </c>
      <c r="I99" s="241">
        <f>'[2]Расчет прогнозных дефляторов'!$D$102</f>
        <v>1.0429999999999999</v>
      </c>
      <c r="J99" s="240">
        <f>SUM(J100:J110)</f>
        <v>2538167</v>
      </c>
      <c r="K99" s="240">
        <f>SUM(K100:K110)</f>
        <v>2506774</v>
      </c>
      <c r="L99" s="286"/>
      <c r="M99" s="256"/>
      <c r="N99" s="256"/>
    </row>
    <row r="100" spans="1:14" s="148" customFormat="1" ht="15.75" hidden="1" outlineLevel="3" x14ac:dyDescent="0.2">
      <c r="A100" s="95"/>
      <c r="B100" s="42"/>
      <c r="C100" s="157" t="s">
        <v>367</v>
      </c>
      <c r="D100" s="100"/>
      <c r="E100" s="149"/>
      <c r="F100" s="149"/>
      <c r="G100" s="145"/>
      <c r="H100" s="146"/>
      <c r="I100" s="145">
        <f>'[2]Расчет прогнозных дефляторов'!$D$102</f>
        <v>1.0429999999999999</v>
      </c>
      <c r="J100" s="146">
        <f t="shared" ref="J100:J110" si="23">H100*I100</f>
        <v>0</v>
      </c>
      <c r="K100" s="146">
        <f t="shared" ref="K100:K110" si="24">H100+(J100-H100)*(1-30/100)</f>
        <v>0</v>
      </c>
      <c r="L100" s="147"/>
      <c r="M100" s="147"/>
      <c r="N100" s="147"/>
    </row>
    <row r="101" spans="1:14" s="148" customFormat="1" ht="25.5" hidden="1" outlineLevel="3" x14ac:dyDescent="0.2">
      <c r="A101" s="95" t="s">
        <v>368</v>
      </c>
      <c r="B101" s="42" t="s">
        <v>369</v>
      </c>
      <c r="C101" s="42" t="s">
        <v>356</v>
      </c>
      <c r="D101" s="100" t="s">
        <v>300</v>
      </c>
      <c r="E101" s="149">
        <v>332</v>
      </c>
      <c r="F101" s="149">
        <f>65647*(1.023*1.005-2.3%*15%)*6.99-87</f>
        <v>470104</v>
      </c>
      <c r="G101" s="145">
        <f t="shared" ref="G101:G106" si="25">$G$766</f>
        <v>1.123</v>
      </c>
      <c r="H101" s="146">
        <f t="shared" ref="H101:H106" si="26">F101*G101</f>
        <v>527927</v>
      </c>
      <c r="I101" s="145">
        <f>'[2]Расчет прогнозных дефляторов'!$D$102</f>
        <v>1.0429999999999999</v>
      </c>
      <c r="J101" s="146">
        <f t="shared" si="23"/>
        <v>550628</v>
      </c>
      <c r="K101" s="146">
        <f t="shared" si="24"/>
        <v>543818</v>
      </c>
      <c r="L101" s="147"/>
      <c r="M101" s="147"/>
      <c r="N101" s="147"/>
    </row>
    <row r="102" spans="1:14" s="148" customFormat="1" ht="15.75" hidden="1" outlineLevel="3" x14ac:dyDescent="0.2">
      <c r="A102" s="95" t="s">
        <v>370</v>
      </c>
      <c r="B102" s="42" t="s">
        <v>772</v>
      </c>
      <c r="C102" s="42" t="s">
        <v>656</v>
      </c>
      <c r="D102" s="100" t="s">
        <v>300</v>
      </c>
      <c r="E102" s="168">
        <v>232.4</v>
      </c>
      <c r="F102" s="149">
        <f>(5022+2772+405)*(1.023*1.005-2.3%*15%)*6.99</f>
        <v>58725</v>
      </c>
      <c r="G102" s="145">
        <f t="shared" si="25"/>
        <v>1.123</v>
      </c>
      <c r="H102" s="146">
        <f t="shared" si="26"/>
        <v>65948</v>
      </c>
      <c r="I102" s="145">
        <f>'[2]Расчет прогнозных дефляторов'!$D$102</f>
        <v>1.0429999999999999</v>
      </c>
      <c r="J102" s="146">
        <f t="shared" si="23"/>
        <v>68784</v>
      </c>
      <c r="K102" s="146">
        <f t="shared" si="24"/>
        <v>67933</v>
      </c>
      <c r="L102" s="147"/>
      <c r="M102" s="147"/>
      <c r="N102" s="147"/>
    </row>
    <row r="103" spans="1:14" s="148" customFormat="1" ht="15.75" hidden="1" outlineLevel="3" x14ac:dyDescent="0.2">
      <c r="A103" s="95" t="s">
        <v>371</v>
      </c>
      <c r="B103" s="42" t="s">
        <v>372</v>
      </c>
      <c r="C103" s="42" t="s">
        <v>460</v>
      </c>
      <c r="D103" s="100" t="s">
        <v>300</v>
      </c>
      <c r="E103" s="168">
        <v>99.6</v>
      </c>
      <c r="F103" s="149">
        <f>1669*(1.023*1.005-2.3%*15%)*6.99</f>
        <v>11954</v>
      </c>
      <c r="G103" s="145">
        <f t="shared" si="25"/>
        <v>1.123</v>
      </c>
      <c r="H103" s="146">
        <f t="shared" si="26"/>
        <v>13424</v>
      </c>
      <c r="I103" s="145">
        <f>'[2]Расчет прогнозных дефляторов'!$D$102</f>
        <v>1.0429999999999999</v>
      </c>
      <c r="J103" s="146">
        <f t="shared" si="23"/>
        <v>14001</v>
      </c>
      <c r="K103" s="146">
        <f t="shared" si="24"/>
        <v>13828</v>
      </c>
      <c r="L103" s="147"/>
      <c r="M103" s="147"/>
      <c r="N103" s="147"/>
    </row>
    <row r="104" spans="1:14" s="148" customFormat="1" ht="15.75" hidden="1" outlineLevel="3" x14ac:dyDescent="0.2">
      <c r="A104" s="95" t="s">
        <v>374</v>
      </c>
      <c r="B104" s="42" t="s">
        <v>375</v>
      </c>
      <c r="C104" s="42" t="s">
        <v>359</v>
      </c>
      <c r="D104" s="100" t="s">
        <v>300</v>
      </c>
      <c r="E104" s="168">
        <v>99.6</v>
      </c>
      <c r="F104" s="149">
        <f>(339+239+1021)*(1.023*1.005-2.3%*15%)*6.99</f>
        <v>11453</v>
      </c>
      <c r="G104" s="145">
        <f t="shared" si="25"/>
        <v>1.123</v>
      </c>
      <c r="H104" s="146">
        <f t="shared" si="26"/>
        <v>12862</v>
      </c>
      <c r="I104" s="145">
        <f>'[2]Расчет прогнозных дефляторов'!$D$102</f>
        <v>1.0429999999999999</v>
      </c>
      <c r="J104" s="146">
        <f t="shared" si="23"/>
        <v>13415</v>
      </c>
      <c r="K104" s="146">
        <f t="shared" si="24"/>
        <v>13249</v>
      </c>
      <c r="L104" s="147"/>
      <c r="M104" s="147"/>
      <c r="N104" s="147"/>
    </row>
    <row r="105" spans="1:14" s="148" customFormat="1" ht="25.5" hidden="1" outlineLevel="3" x14ac:dyDescent="0.2">
      <c r="A105" s="95" t="s">
        <v>376</v>
      </c>
      <c r="B105" s="42" t="s">
        <v>774</v>
      </c>
      <c r="C105" s="42" t="s">
        <v>773</v>
      </c>
      <c r="D105" s="100" t="s">
        <v>377</v>
      </c>
      <c r="E105" s="149">
        <v>60</v>
      </c>
      <c r="F105" s="149">
        <f>(60/190*(864+5408+10382)+789)*(1.023*1.005-2.3%*15%)*6.99</f>
        <v>43319</v>
      </c>
      <c r="G105" s="145">
        <f t="shared" si="25"/>
        <v>1.123</v>
      </c>
      <c r="H105" s="146">
        <f t="shared" si="26"/>
        <v>48647</v>
      </c>
      <c r="I105" s="145">
        <f>'[2]Расчет прогнозных дефляторов'!$D$102</f>
        <v>1.0429999999999999</v>
      </c>
      <c r="J105" s="146">
        <f t="shared" si="23"/>
        <v>50739</v>
      </c>
      <c r="K105" s="146">
        <f t="shared" si="24"/>
        <v>50111</v>
      </c>
      <c r="L105" s="147"/>
      <c r="M105" s="147"/>
      <c r="N105" s="147"/>
    </row>
    <row r="106" spans="1:14" s="148" customFormat="1" ht="25.5" hidden="1" outlineLevel="3" x14ac:dyDescent="0.2">
      <c r="A106" s="95" t="s">
        <v>378</v>
      </c>
      <c r="B106" s="42" t="s">
        <v>776</v>
      </c>
      <c r="C106" s="42" t="s">
        <v>775</v>
      </c>
      <c r="D106" s="100" t="s">
        <v>377</v>
      </c>
      <c r="E106" s="149">
        <v>130</v>
      </c>
      <c r="F106" s="149">
        <f>(130/190*(864+5408+10382)+6269)*(1.023*1.005-2.3%*15%)*6.99</f>
        <v>126516</v>
      </c>
      <c r="G106" s="145">
        <f t="shared" si="25"/>
        <v>1.123</v>
      </c>
      <c r="H106" s="146">
        <f t="shared" si="26"/>
        <v>142077</v>
      </c>
      <c r="I106" s="145">
        <f>'[2]Расчет прогнозных дефляторов'!$D$102</f>
        <v>1.0429999999999999</v>
      </c>
      <c r="J106" s="146">
        <f t="shared" si="23"/>
        <v>148186</v>
      </c>
      <c r="K106" s="146">
        <f t="shared" si="24"/>
        <v>146353</v>
      </c>
      <c r="L106" s="147"/>
      <c r="M106" s="147"/>
      <c r="N106" s="147"/>
    </row>
    <row r="107" spans="1:14" s="148" customFormat="1" ht="15.75" hidden="1" outlineLevel="3" x14ac:dyDescent="0.2">
      <c r="A107" s="95"/>
      <c r="B107" s="42"/>
      <c r="C107" s="157" t="s">
        <v>379</v>
      </c>
      <c r="D107" s="100"/>
      <c r="E107" s="149"/>
      <c r="F107" s="149"/>
      <c r="G107" s="145"/>
      <c r="H107" s="146"/>
      <c r="I107" s="145">
        <f>'[2]Расчет прогнозных дефляторов'!$D$102</f>
        <v>1.0429999999999999</v>
      </c>
      <c r="J107" s="146">
        <f t="shared" si="23"/>
        <v>0</v>
      </c>
      <c r="K107" s="146">
        <f t="shared" si="24"/>
        <v>0</v>
      </c>
      <c r="L107" s="147"/>
      <c r="M107" s="147"/>
      <c r="N107" s="147"/>
    </row>
    <row r="108" spans="1:14" s="148" customFormat="1" ht="25.5" hidden="1" outlineLevel="3" x14ac:dyDescent="0.2">
      <c r="A108" s="95" t="s">
        <v>380</v>
      </c>
      <c r="B108" s="42" t="s">
        <v>381</v>
      </c>
      <c r="C108" s="42" t="s">
        <v>778</v>
      </c>
      <c r="D108" s="100" t="s">
        <v>377</v>
      </c>
      <c r="E108" s="149">
        <v>120</v>
      </c>
      <c r="F108" s="149">
        <f>(1923+123008)*(1.023*1.005-2.3%*15%)*6.99</f>
        <v>894807</v>
      </c>
      <c r="G108" s="145">
        <f t="shared" ref="G108:G116" si="27">$G$766</f>
        <v>1.123</v>
      </c>
      <c r="H108" s="146">
        <f>F108*G108</f>
        <v>1004868</v>
      </c>
      <c r="I108" s="145">
        <f>'[2]Расчет прогнозных дефляторов'!$D$102</f>
        <v>1.0429999999999999</v>
      </c>
      <c r="J108" s="146">
        <f t="shared" si="23"/>
        <v>1048077</v>
      </c>
      <c r="K108" s="146">
        <f t="shared" si="24"/>
        <v>1035114</v>
      </c>
      <c r="L108" s="147"/>
      <c r="M108" s="147"/>
      <c r="N108" s="147"/>
    </row>
    <row r="109" spans="1:14" s="148" customFormat="1" ht="25.5" hidden="1" outlineLevel="3" x14ac:dyDescent="0.2">
      <c r="A109" s="95" t="s">
        <v>382</v>
      </c>
      <c r="B109" s="42" t="s">
        <v>383</v>
      </c>
      <c r="C109" s="42" t="s">
        <v>777</v>
      </c>
      <c r="D109" s="100" t="s">
        <v>377</v>
      </c>
      <c r="E109" s="149">
        <v>120</v>
      </c>
      <c r="F109" s="149">
        <f>(1239+35765)*(1.023*1.005-2.3%*15%)*6.99</f>
        <v>265038</v>
      </c>
      <c r="G109" s="145">
        <f t="shared" si="27"/>
        <v>1.123</v>
      </c>
      <c r="H109" s="146">
        <f>F109*G109</f>
        <v>297638</v>
      </c>
      <c r="I109" s="145">
        <f>'[2]Расчет прогнозных дефляторов'!$D$102</f>
        <v>1.0429999999999999</v>
      </c>
      <c r="J109" s="146">
        <f t="shared" si="23"/>
        <v>310436</v>
      </c>
      <c r="K109" s="146">
        <f t="shared" si="24"/>
        <v>306597</v>
      </c>
      <c r="L109" s="147"/>
      <c r="M109" s="147"/>
      <c r="N109" s="147"/>
    </row>
    <row r="110" spans="1:14" s="148" customFormat="1" ht="25.5" hidden="1" outlineLevel="3" x14ac:dyDescent="0.2">
      <c r="A110" s="95" t="s">
        <v>384</v>
      </c>
      <c r="B110" s="42" t="s">
        <v>385</v>
      </c>
      <c r="C110" s="42" t="s">
        <v>386</v>
      </c>
      <c r="D110" s="100" t="s">
        <v>377</v>
      </c>
      <c r="E110" s="149">
        <v>830</v>
      </c>
      <c r="F110" s="149">
        <f>(13357+26444)*(1.023*1.005-2.3%*15%)*6.99</f>
        <v>285071</v>
      </c>
      <c r="G110" s="145">
        <f t="shared" si="27"/>
        <v>1.123</v>
      </c>
      <c r="H110" s="146">
        <f>F110*G110</f>
        <v>320135</v>
      </c>
      <c r="I110" s="145">
        <f>'[2]Расчет прогнозных дефляторов'!$D$102</f>
        <v>1.0429999999999999</v>
      </c>
      <c r="J110" s="146">
        <f t="shared" si="23"/>
        <v>333901</v>
      </c>
      <c r="K110" s="146">
        <f t="shared" si="24"/>
        <v>329771</v>
      </c>
      <c r="L110" s="147"/>
      <c r="M110" s="147"/>
      <c r="N110" s="147"/>
    </row>
    <row r="111" spans="1:14" s="237" customFormat="1" ht="25.5" outlineLevel="2" collapsed="1" x14ac:dyDescent="0.2">
      <c r="A111" s="238" t="s">
        <v>387</v>
      </c>
      <c r="B111" s="229" t="s">
        <v>146</v>
      </c>
      <c r="C111" s="229" t="s">
        <v>1781</v>
      </c>
      <c r="D111" s="300" t="s">
        <v>292</v>
      </c>
      <c r="E111" s="240">
        <v>1</v>
      </c>
      <c r="F111" s="240">
        <f>SUM(F112:F116)</f>
        <v>55007</v>
      </c>
      <c r="G111" s="241">
        <f t="shared" si="27"/>
        <v>1.123</v>
      </c>
      <c r="H111" s="240">
        <f>SUM(H112:H116)</f>
        <v>61772</v>
      </c>
      <c r="I111" s="241">
        <f>'[2]Расчет прогнозных дефляторов'!$D$93</f>
        <v>1.042</v>
      </c>
      <c r="J111" s="240">
        <f>SUM(J112:J116)</f>
        <v>64379</v>
      </c>
      <c r="K111" s="240">
        <f>SUM(K112:K116)</f>
        <v>63598</v>
      </c>
      <c r="L111" s="256"/>
      <c r="M111" s="256"/>
      <c r="N111" s="256"/>
    </row>
    <row r="112" spans="1:14" s="155" customFormat="1" ht="25.5" hidden="1" outlineLevel="3" x14ac:dyDescent="0.2">
      <c r="A112" s="95" t="s">
        <v>388</v>
      </c>
      <c r="B112" s="42" t="s">
        <v>783</v>
      </c>
      <c r="C112" s="42" t="s">
        <v>782</v>
      </c>
      <c r="D112" s="143" t="s">
        <v>408</v>
      </c>
      <c r="E112" s="149">
        <v>4</v>
      </c>
      <c r="F112" s="149">
        <f>(4/9*387+1775)*(1.023*1.005-2.3%*15%)*6.99+0*4.09</f>
        <v>13945</v>
      </c>
      <c r="G112" s="145">
        <f t="shared" si="27"/>
        <v>1.123</v>
      </c>
      <c r="H112" s="146">
        <f>F112*G112</f>
        <v>15660</v>
      </c>
      <c r="I112" s="145">
        <f>'[2]Расчет прогнозных дефляторов'!$D$93</f>
        <v>1.042</v>
      </c>
      <c r="J112" s="146">
        <f>H112*I112</f>
        <v>16318</v>
      </c>
      <c r="K112" s="146">
        <f>H112+(J112-H112)*(1-30/100)</f>
        <v>16121</v>
      </c>
      <c r="L112" s="96"/>
      <c r="M112" s="96"/>
      <c r="N112" s="96"/>
    </row>
    <row r="113" spans="1:14" s="155" customFormat="1" ht="25.5" hidden="1" outlineLevel="3" x14ac:dyDescent="0.2">
      <c r="A113" s="95" t="s">
        <v>389</v>
      </c>
      <c r="B113" s="42" t="s">
        <v>784</v>
      </c>
      <c r="C113" s="42" t="s">
        <v>781</v>
      </c>
      <c r="D113" s="143" t="s">
        <v>408</v>
      </c>
      <c r="E113" s="149">
        <v>4</v>
      </c>
      <c r="F113" s="149">
        <f>(4/9*387+2476)*(1.023*1.005-2.3%*15%)*6.99+0*4.09+44</f>
        <v>19010</v>
      </c>
      <c r="G113" s="145">
        <f t="shared" si="27"/>
        <v>1.123</v>
      </c>
      <c r="H113" s="146">
        <f>F113*G113</f>
        <v>21348</v>
      </c>
      <c r="I113" s="145">
        <f>'[2]Расчет прогнозных дефляторов'!$D$93</f>
        <v>1.042</v>
      </c>
      <c r="J113" s="146">
        <f>H113*I113</f>
        <v>22245</v>
      </c>
      <c r="K113" s="146">
        <f>H113+(J113-H113)*(1-30/100)</f>
        <v>21976</v>
      </c>
      <c r="L113" s="96"/>
      <c r="M113" s="96"/>
      <c r="N113" s="96"/>
    </row>
    <row r="114" spans="1:14" s="155" customFormat="1" ht="25.5" hidden="1" outlineLevel="3" x14ac:dyDescent="0.2">
      <c r="A114" s="95" t="s">
        <v>390</v>
      </c>
      <c r="B114" s="42" t="s">
        <v>785</v>
      </c>
      <c r="C114" s="42" t="s">
        <v>780</v>
      </c>
      <c r="D114" s="143" t="s">
        <v>408</v>
      </c>
      <c r="E114" s="149">
        <v>1</v>
      </c>
      <c r="F114" s="149">
        <f>(1/9*387+654)*(1.023*1.005-2.3%*15%)*6.99+0*4.09</f>
        <v>4992</v>
      </c>
      <c r="G114" s="145">
        <f t="shared" si="27"/>
        <v>1.123</v>
      </c>
      <c r="H114" s="146">
        <f>F114*G114</f>
        <v>5606</v>
      </c>
      <c r="I114" s="145">
        <f>'[2]Расчет прогнозных дефляторов'!$D$93</f>
        <v>1.042</v>
      </c>
      <c r="J114" s="146">
        <f>H114*I114</f>
        <v>5841</v>
      </c>
      <c r="K114" s="146">
        <f>H114+(J114-H114)*(1-30/100)</f>
        <v>5771</v>
      </c>
      <c r="L114" s="96"/>
      <c r="M114" s="96"/>
      <c r="N114" s="96"/>
    </row>
    <row r="115" spans="1:14" s="148" customFormat="1" ht="25.5" hidden="1" outlineLevel="3" x14ac:dyDescent="0.2">
      <c r="A115" s="95" t="s">
        <v>391</v>
      </c>
      <c r="B115" s="42" t="s">
        <v>786</v>
      </c>
      <c r="C115" s="42" t="s">
        <v>779</v>
      </c>
      <c r="D115" s="143" t="s">
        <v>408</v>
      </c>
      <c r="E115" s="149">
        <v>3</v>
      </c>
      <c r="F115" s="149">
        <f>(129+1456)*(1.023*1.005-2.3%*15%)*6.99+0*4.09</f>
        <v>11352</v>
      </c>
      <c r="G115" s="145">
        <f t="shared" si="27"/>
        <v>1.123</v>
      </c>
      <c r="H115" s="146">
        <f>F115*G115</f>
        <v>12748</v>
      </c>
      <c r="I115" s="145">
        <f>'[2]Расчет прогнозных дефляторов'!$D$75</f>
        <v>1.0429999999999999</v>
      </c>
      <c r="J115" s="146">
        <f>H115*I115</f>
        <v>13296</v>
      </c>
      <c r="K115" s="146">
        <f>H115+(J115-H115)*(1-30/100)</f>
        <v>13132</v>
      </c>
      <c r="L115" s="147"/>
      <c r="M115" s="147"/>
      <c r="N115" s="147"/>
    </row>
    <row r="116" spans="1:14" s="155" customFormat="1" ht="15.75" hidden="1" outlineLevel="3" x14ac:dyDescent="0.2">
      <c r="A116" s="95" t="s">
        <v>392</v>
      </c>
      <c r="B116" s="42" t="s">
        <v>787</v>
      </c>
      <c r="C116" s="42" t="s">
        <v>482</v>
      </c>
      <c r="D116" s="143" t="s">
        <v>292</v>
      </c>
      <c r="E116" s="149">
        <v>1</v>
      </c>
      <c r="F116" s="149">
        <f>(797)*(1.023*1.005-2.3%*15%)*6.99+0*4.09</f>
        <v>5708</v>
      </c>
      <c r="G116" s="145">
        <f t="shared" si="27"/>
        <v>1.123</v>
      </c>
      <c r="H116" s="146">
        <f t="shared" ref="H116" si="28">F116*G116</f>
        <v>6410</v>
      </c>
      <c r="I116" s="145">
        <f>'[2]Расчет прогнозных дефляторов'!$D$93</f>
        <v>1.042</v>
      </c>
      <c r="J116" s="146">
        <f t="shared" ref="J116" si="29">H116*I116</f>
        <v>6679</v>
      </c>
      <c r="K116" s="146">
        <f t="shared" ref="K116" si="30">H116+(J116-H116)*(1-30/100)</f>
        <v>6598</v>
      </c>
      <c r="L116" s="96"/>
      <c r="M116" s="96"/>
      <c r="N116" s="96"/>
    </row>
    <row r="117" spans="1:14" s="237" customFormat="1" ht="15.75" outlineLevel="2" collapsed="1" x14ac:dyDescent="0.2">
      <c r="A117" s="238" t="s">
        <v>566</v>
      </c>
      <c r="B117" s="229" t="s">
        <v>148</v>
      </c>
      <c r="C117" s="229" t="s">
        <v>592</v>
      </c>
      <c r="D117" s="239" t="s">
        <v>292</v>
      </c>
      <c r="E117" s="240">
        <v>1</v>
      </c>
      <c r="F117" s="240">
        <f>SUM(F118:F123)</f>
        <v>17446969</v>
      </c>
      <c r="G117" s="241"/>
      <c r="H117" s="240">
        <f>SUM(H118:H123)</f>
        <v>19592946</v>
      </c>
      <c r="I117" s="241">
        <f>'[2]Расчет прогнозных дефляторов'!$D$75</f>
        <v>1.0429999999999999</v>
      </c>
      <c r="J117" s="240">
        <f>SUM(J118:J123)</f>
        <v>20419397</v>
      </c>
      <c r="K117" s="240">
        <f>SUM(K118:K123)</f>
        <v>20171462</v>
      </c>
      <c r="L117" s="286"/>
      <c r="M117" s="256"/>
      <c r="N117" s="256"/>
    </row>
    <row r="118" spans="1:14" s="148" customFormat="1" ht="25.5" hidden="1" outlineLevel="3" x14ac:dyDescent="0.2">
      <c r="A118" s="95" t="s">
        <v>1817</v>
      </c>
      <c r="B118" s="42" t="s">
        <v>788</v>
      </c>
      <c r="C118" s="42" t="s">
        <v>1816</v>
      </c>
      <c r="D118" s="100" t="s">
        <v>292</v>
      </c>
      <c r="E118" s="149">
        <v>1</v>
      </c>
      <c r="F118" s="149">
        <f>32437*(1.023*1.005-2.3%*15%)*6.99+408816*4.09</f>
        <v>1904384</v>
      </c>
      <c r="G118" s="145">
        <f t="shared" ref="G118:G123" si="31">$G$766</f>
        <v>1.123</v>
      </c>
      <c r="H118" s="146">
        <f>F118*G118</f>
        <v>2138623</v>
      </c>
      <c r="I118" s="145">
        <f>'[2]Расчет прогнозных дефляторов'!$D$75</f>
        <v>1.0429999999999999</v>
      </c>
      <c r="J118" s="146">
        <f>H118*I118</f>
        <v>2230584</v>
      </c>
      <c r="K118" s="146">
        <f>H118+(J118-H118)*(1-30/100)</f>
        <v>2202996</v>
      </c>
      <c r="L118" s="147"/>
      <c r="M118" s="147"/>
      <c r="N118" s="147"/>
    </row>
    <row r="119" spans="1:14" s="148" customFormat="1" ht="15.75" hidden="1" outlineLevel="3" x14ac:dyDescent="0.2">
      <c r="A119" s="95" t="s">
        <v>1818</v>
      </c>
      <c r="B119" s="42" t="s">
        <v>789</v>
      </c>
      <c r="C119" s="42" t="s">
        <v>1815</v>
      </c>
      <c r="D119" s="100" t="s">
        <v>292</v>
      </c>
      <c r="E119" s="149">
        <v>1</v>
      </c>
      <c r="F119" s="149">
        <f>2014*(1.023*1.005-2.3%*15%)*6.99+66296*4.09</f>
        <v>285576</v>
      </c>
      <c r="G119" s="145">
        <f t="shared" si="31"/>
        <v>1.123</v>
      </c>
      <c r="H119" s="146">
        <f>F119*G119</f>
        <v>320702</v>
      </c>
      <c r="I119" s="145">
        <f>'[2]Расчет прогнозных дефляторов'!$D$75</f>
        <v>1.0429999999999999</v>
      </c>
      <c r="J119" s="146">
        <f>H119*I119</f>
        <v>334492</v>
      </c>
      <c r="K119" s="146">
        <f>H119+(J119-H119)*(1-30/100)</f>
        <v>330355</v>
      </c>
      <c r="L119" s="147"/>
      <c r="M119" s="147"/>
      <c r="N119" s="147"/>
    </row>
    <row r="120" spans="1:14" s="148" customFormat="1" ht="25.5" hidden="1" outlineLevel="3" x14ac:dyDescent="0.2">
      <c r="A120" s="95" t="s">
        <v>1819</v>
      </c>
      <c r="B120" s="42" t="s">
        <v>790</v>
      </c>
      <c r="C120" s="42" t="s">
        <v>1814</v>
      </c>
      <c r="D120" s="100" t="s">
        <v>292</v>
      </c>
      <c r="E120" s="149">
        <v>1</v>
      </c>
      <c r="F120" s="149">
        <f>27148*(1.023*1.005-2.3%*15%)*6.99+109702*4.09</f>
        <v>643126</v>
      </c>
      <c r="G120" s="145">
        <f t="shared" si="31"/>
        <v>1.123</v>
      </c>
      <c r="H120" s="146">
        <f>F120*G120</f>
        <v>722230</v>
      </c>
      <c r="I120" s="145">
        <f>'[2]Расчет прогнозных дефляторов'!$D$66</f>
        <v>1.042</v>
      </c>
      <c r="J120" s="146">
        <f>H120*I120</f>
        <v>752564</v>
      </c>
      <c r="K120" s="146">
        <f>H120+(J120-H120)*(1-30/100)</f>
        <v>743464</v>
      </c>
      <c r="L120" s="147"/>
      <c r="M120" s="147"/>
      <c r="N120" s="147"/>
    </row>
    <row r="121" spans="1:14" s="148" customFormat="1" ht="15.75" hidden="1" outlineLevel="3" x14ac:dyDescent="0.2">
      <c r="A121" s="95" t="s">
        <v>1820</v>
      </c>
      <c r="B121" s="42" t="s">
        <v>791</v>
      </c>
      <c r="C121" s="42" t="s">
        <v>1813</v>
      </c>
      <c r="D121" s="100" t="s">
        <v>292</v>
      </c>
      <c r="E121" s="149">
        <v>1</v>
      </c>
      <c r="F121" s="149">
        <f>2014*(1.023*1.005-2.3%*15%)*6.99+66296*4.09</f>
        <v>285576</v>
      </c>
      <c r="G121" s="145">
        <f t="shared" si="31"/>
        <v>1.123</v>
      </c>
      <c r="H121" s="146">
        <f>F121*G121</f>
        <v>320702</v>
      </c>
      <c r="I121" s="145">
        <f>'[2]Расчет прогнозных дефляторов'!$D$66</f>
        <v>1.042</v>
      </c>
      <c r="J121" s="146">
        <f>H121*I121</f>
        <v>334171</v>
      </c>
      <c r="K121" s="146">
        <f>H121+(J121-H121)*(1-30/100)</f>
        <v>330130</v>
      </c>
      <c r="L121" s="147"/>
      <c r="M121" s="147"/>
      <c r="N121" s="147"/>
    </row>
    <row r="122" spans="1:14" s="148" customFormat="1" ht="15.75" hidden="1" outlineLevel="3" x14ac:dyDescent="0.2">
      <c r="A122" s="95" t="s">
        <v>1821</v>
      </c>
      <c r="B122" s="42" t="s">
        <v>792</v>
      </c>
      <c r="C122" s="42" t="s">
        <v>1812</v>
      </c>
      <c r="D122" s="100" t="s">
        <v>292</v>
      </c>
      <c r="E122" s="149">
        <v>1</v>
      </c>
      <c r="F122" s="149">
        <f>6762*(1.023*1.005-2.3%*15%)*6.99+3254515*4.09-34</f>
        <v>13359365</v>
      </c>
      <c r="G122" s="145">
        <f t="shared" si="31"/>
        <v>1.123</v>
      </c>
      <c r="H122" s="146">
        <f>F122*G122</f>
        <v>15002567</v>
      </c>
      <c r="I122" s="145">
        <f>'[2]Расчет прогнозных дефляторов'!$D$66</f>
        <v>1.042</v>
      </c>
      <c r="J122" s="146">
        <f>H122*I122</f>
        <v>15632675</v>
      </c>
      <c r="K122" s="146">
        <f>H122+(J122-H122)*(1-30/100)</f>
        <v>15443643</v>
      </c>
      <c r="L122" s="147"/>
      <c r="M122" s="147"/>
      <c r="N122" s="147"/>
    </row>
    <row r="123" spans="1:14" s="148" customFormat="1" ht="15.75" hidden="1" outlineLevel="3" x14ac:dyDescent="0.2">
      <c r="A123" s="95" t="s">
        <v>1822</v>
      </c>
      <c r="B123" s="42" t="s">
        <v>793</v>
      </c>
      <c r="C123" s="42" t="s">
        <v>794</v>
      </c>
      <c r="D123" s="100" t="s">
        <v>292</v>
      </c>
      <c r="E123" s="149">
        <v>1</v>
      </c>
      <c r="F123" s="149">
        <f>15028*(1.023*1.005-2.3%*15%)*6.99+210588*4.09</f>
        <v>968942</v>
      </c>
      <c r="G123" s="145">
        <f t="shared" si="31"/>
        <v>1.123</v>
      </c>
      <c r="H123" s="146">
        <f t="shared" ref="H123" si="32">F123*G123</f>
        <v>1088122</v>
      </c>
      <c r="I123" s="145">
        <f>'[2]Расчет прогнозных дефляторов'!$D$75</f>
        <v>1.0429999999999999</v>
      </c>
      <c r="J123" s="146">
        <f t="shared" ref="J123" si="33">H123*I123</f>
        <v>1134911</v>
      </c>
      <c r="K123" s="146">
        <f t="shared" ref="K123" si="34">H123+(J123-H123)*(1-30/100)</f>
        <v>1120874</v>
      </c>
      <c r="L123" s="172"/>
      <c r="M123" s="147"/>
      <c r="N123" s="147"/>
    </row>
    <row r="124" spans="1:14" s="237" customFormat="1" ht="15.75" outlineLevel="2" collapsed="1" x14ac:dyDescent="0.2">
      <c r="A124" s="238" t="s">
        <v>568</v>
      </c>
      <c r="B124" s="229" t="s">
        <v>150</v>
      </c>
      <c r="C124" s="229" t="s">
        <v>585</v>
      </c>
      <c r="D124" s="300" t="s">
        <v>292</v>
      </c>
      <c r="E124" s="240">
        <v>1</v>
      </c>
      <c r="F124" s="240">
        <f>SUM(F125:F128)</f>
        <v>1183285</v>
      </c>
      <c r="G124" s="241"/>
      <c r="H124" s="240">
        <f>SUM(H125:H128)</f>
        <v>1328830</v>
      </c>
      <c r="I124" s="241">
        <f>'[2]Расчет прогнозных дефляторов'!$D$75</f>
        <v>1.0429999999999999</v>
      </c>
      <c r="J124" s="240">
        <f>SUM(J125:J128)</f>
        <v>1385356</v>
      </c>
      <c r="K124" s="240">
        <f>SUM(K125:K128)</f>
        <v>1368398</v>
      </c>
      <c r="L124" s="286"/>
      <c r="M124" s="256"/>
      <c r="N124" s="256"/>
    </row>
    <row r="125" spans="1:14" s="148" customFormat="1" ht="15.75" hidden="1" outlineLevel="3" x14ac:dyDescent="0.2">
      <c r="A125" s="95" t="s">
        <v>2253</v>
      </c>
      <c r="B125" s="42" t="s">
        <v>795</v>
      </c>
      <c r="C125" s="42" t="s">
        <v>1823</v>
      </c>
      <c r="D125" s="100" t="s">
        <v>292</v>
      </c>
      <c r="E125" s="149">
        <v>1</v>
      </c>
      <c r="F125" s="149">
        <f>21939*(1.023*1.005-2.3%*15%)*6.99+6290*4.09</f>
        <v>182862</v>
      </c>
      <c r="G125" s="145">
        <f>$G$766</f>
        <v>1.123</v>
      </c>
      <c r="H125" s="146">
        <f>F125*G125</f>
        <v>205354</v>
      </c>
      <c r="I125" s="145">
        <f>'[2]Расчет прогнозных дефляторов'!$D$75</f>
        <v>1.0429999999999999</v>
      </c>
      <c r="J125" s="146">
        <f>H125*I125</f>
        <v>214184</v>
      </c>
      <c r="K125" s="146">
        <f>H125+(J125-H125)*(1-30/100)</f>
        <v>211535</v>
      </c>
      <c r="L125" s="147"/>
      <c r="M125" s="147"/>
      <c r="N125" s="147"/>
    </row>
    <row r="126" spans="1:14" s="148" customFormat="1" ht="15.75" hidden="1" outlineLevel="3" x14ac:dyDescent="0.2">
      <c r="A126" s="95" t="s">
        <v>2254</v>
      </c>
      <c r="B126" s="42" t="s">
        <v>796</v>
      </c>
      <c r="C126" s="42" t="s">
        <v>1824</v>
      </c>
      <c r="D126" s="100" t="s">
        <v>292</v>
      </c>
      <c r="E126" s="149">
        <v>1</v>
      </c>
      <c r="F126" s="149">
        <f>20137*(1.023*1.005-2.3%*15%)*6.99+75841*4.09</f>
        <v>454419</v>
      </c>
      <c r="G126" s="145">
        <f>$G$766</f>
        <v>1.123</v>
      </c>
      <c r="H126" s="146">
        <f>F126*G126</f>
        <v>510313</v>
      </c>
      <c r="I126" s="145">
        <f>'[2]Расчет прогнозных дефляторов'!$D$75</f>
        <v>1.0429999999999999</v>
      </c>
      <c r="J126" s="146">
        <f>H126*I126</f>
        <v>532256</v>
      </c>
      <c r="K126" s="146">
        <f>H126+(J126-H126)*(1-30/100)</f>
        <v>525673</v>
      </c>
      <c r="L126" s="147"/>
      <c r="M126" s="147"/>
      <c r="N126" s="147"/>
    </row>
    <row r="127" spans="1:14" s="148" customFormat="1" ht="15.75" hidden="1" outlineLevel="3" x14ac:dyDescent="0.2">
      <c r="A127" s="95" t="s">
        <v>2255</v>
      </c>
      <c r="B127" s="42" t="s">
        <v>797</v>
      </c>
      <c r="C127" s="42" t="s">
        <v>1825</v>
      </c>
      <c r="D127" s="100" t="s">
        <v>292</v>
      </c>
      <c r="E127" s="149">
        <v>1</v>
      </c>
      <c r="F127" s="149">
        <f>10435*(1.023*1.005-2.3%*15%)*6.99+3896*4.09</f>
        <v>90674</v>
      </c>
      <c r="G127" s="145">
        <f>$G$766</f>
        <v>1.123</v>
      </c>
      <c r="H127" s="146">
        <f>F127*G127</f>
        <v>101827</v>
      </c>
      <c r="I127" s="145">
        <f>'[2]Расчет прогнозных дефляторов'!$D$66</f>
        <v>1.042</v>
      </c>
      <c r="J127" s="146">
        <f>H127*I127</f>
        <v>106104</v>
      </c>
      <c r="K127" s="146">
        <f>H127+(J127-H127)*(1-30/100)</f>
        <v>104821</v>
      </c>
      <c r="L127" s="147"/>
      <c r="M127" s="147"/>
      <c r="N127" s="147"/>
    </row>
    <row r="128" spans="1:14" s="148" customFormat="1" ht="15.75" hidden="1" outlineLevel="3" x14ac:dyDescent="0.2">
      <c r="A128" s="95" t="s">
        <v>2256</v>
      </c>
      <c r="B128" s="42" t="s">
        <v>798</v>
      </c>
      <c r="C128" s="42" t="s">
        <v>1826</v>
      </c>
      <c r="D128" s="100" t="s">
        <v>292</v>
      </c>
      <c r="E128" s="149">
        <v>1</v>
      </c>
      <c r="F128" s="149">
        <f>19865*(1.023*1.005-2.3%*15%)*6.99+76530*4.09+41</f>
        <v>455330</v>
      </c>
      <c r="G128" s="145">
        <f>$G$766</f>
        <v>1.123</v>
      </c>
      <c r="H128" s="146">
        <f>F128*G128</f>
        <v>511336</v>
      </c>
      <c r="I128" s="145">
        <f>'[2]Расчет прогнозных дефляторов'!$D$66</f>
        <v>1.042</v>
      </c>
      <c r="J128" s="146">
        <f>H128*I128</f>
        <v>532812</v>
      </c>
      <c r="K128" s="146">
        <f>H128+(J128-H128)*(1-30/100)</f>
        <v>526369</v>
      </c>
      <c r="L128" s="147"/>
      <c r="M128" s="147"/>
      <c r="N128" s="147"/>
    </row>
    <row r="129" spans="1:14" s="237" customFormat="1" ht="15.75" outlineLevel="2" collapsed="1" x14ac:dyDescent="0.2">
      <c r="A129" s="238" t="s">
        <v>569</v>
      </c>
      <c r="B129" s="229" t="s">
        <v>152</v>
      </c>
      <c r="C129" s="229" t="s">
        <v>599</v>
      </c>
      <c r="D129" s="239" t="s">
        <v>292</v>
      </c>
      <c r="E129" s="240">
        <v>1</v>
      </c>
      <c r="F129" s="240">
        <f>SUM(F130:F138)</f>
        <v>5350166</v>
      </c>
      <c r="G129" s="241"/>
      <c r="H129" s="240">
        <f>SUM(H130:H138)</f>
        <v>6008237</v>
      </c>
      <c r="I129" s="241">
        <f>'[2]Расчет прогнозных дефляторов'!$D$66</f>
        <v>1.042</v>
      </c>
      <c r="J129" s="240">
        <f>SUM(J130:J138)</f>
        <v>6265759</v>
      </c>
      <c r="K129" s="240">
        <f>SUM(K130:K138)</f>
        <v>6188503</v>
      </c>
      <c r="L129" s="256"/>
      <c r="M129" s="256"/>
      <c r="N129" s="256"/>
    </row>
    <row r="130" spans="1:14" s="148" customFormat="1" ht="15.75" hidden="1" outlineLevel="3" x14ac:dyDescent="0.2">
      <c r="A130" s="95" t="s">
        <v>1835</v>
      </c>
      <c r="B130" s="42" t="s">
        <v>799</v>
      </c>
      <c r="C130" s="42" t="s">
        <v>1830</v>
      </c>
      <c r="D130" s="100" t="s">
        <v>292</v>
      </c>
      <c r="E130" s="149">
        <v>1</v>
      </c>
      <c r="F130" s="149">
        <f>12743*(1.023*1.005-2.3%*15%)*6.99+435177*4.09+67</f>
        <v>1871211</v>
      </c>
      <c r="G130" s="145">
        <f t="shared" ref="G130:G138" si="35">$G$766</f>
        <v>1.123</v>
      </c>
      <c r="H130" s="146">
        <f t="shared" ref="H130:H131" si="36">F130*G130</f>
        <v>2101370</v>
      </c>
      <c r="I130" s="145">
        <f>'[2]Расчет прогнозных дефляторов'!$D$75</f>
        <v>1.0429999999999999</v>
      </c>
      <c r="J130" s="146">
        <f>H130*I130</f>
        <v>2191729</v>
      </c>
      <c r="K130" s="146">
        <f>H130+(J130-H130)*(1-30/100)</f>
        <v>2164621</v>
      </c>
      <c r="L130" s="147"/>
      <c r="M130" s="147"/>
      <c r="N130" s="147"/>
    </row>
    <row r="131" spans="1:14" s="148" customFormat="1" ht="15.75" hidden="1" outlineLevel="3" x14ac:dyDescent="0.2">
      <c r="A131" s="95" t="s">
        <v>1836</v>
      </c>
      <c r="B131" s="42" t="s">
        <v>800</v>
      </c>
      <c r="C131" s="42" t="s">
        <v>1831</v>
      </c>
      <c r="D131" s="100" t="s">
        <v>292</v>
      </c>
      <c r="E131" s="149">
        <v>1</v>
      </c>
      <c r="F131" s="149">
        <f>1949*(1.023*1.005-2.3%*15%)*6.99+2938*4.09</f>
        <v>25976</v>
      </c>
      <c r="G131" s="145">
        <f t="shared" si="35"/>
        <v>1.123</v>
      </c>
      <c r="H131" s="146">
        <f t="shared" si="36"/>
        <v>29171</v>
      </c>
      <c r="I131" s="145">
        <f>'[2]Расчет прогнозных дефляторов'!$D$75</f>
        <v>1.0429999999999999</v>
      </c>
      <c r="J131" s="146">
        <f>H131*I131</f>
        <v>30425</v>
      </c>
      <c r="K131" s="146">
        <f>H131+(J131-H131)*(1-30/100)</f>
        <v>30049</v>
      </c>
      <c r="L131" s="147"/>
      <c r="M131" s="147"/>
      <c r="N131" s="147"/>
    </row>
    <row r="132" spans="1:14" s="148" customFormat="1" ht="15.75" hidden="1" outlineLevel="3" x14ac:dyDescent="0.2">
      <c r="A132" s="95" t="s">
        <v>1837</v>
      </c>
      <c r="B132" s="42" t="s">
        <v>801</v>
      </c>
      <c r="C132" s="42" t="s">
        <v>1827</v>
      </c>
      <c r="D132" s="100" t="s">
        <v>292</v>
      </c>
      <c r="E132" s="149">
        <v>1</v>
      </c>
      <c r="F132" s="149">
        <f>14098*(1.023*1.005-2.3%*15%)*6.99+142193*4.09</f>
        <v>682545</v>
      </c>
      <c r="G132" s="145">
        <f t="shared" si="35"/>
        <v>1.123</v>
      </c>
      <c r="H132" s="146">
        <f>F132*G132</f>
        <v>766498</v>
      </c>
      <c r="I132" s="145">
        <f>'[2]Расчет прогнозных дефляторов'!$D$66</f>
        <v>1.042</v>
      </c>
      <c r="J132" s="146">
        <f>H132*I132</f>
        <v>798691</v>
      </c>
      <c r="K132" s="146">
        <f>H132+(J132-H132)*(1-30/100)</f>
        <v>789033</v>
      </c>
      <c r="L132" s="147"/>
      <c r="M132" s="147"/>
      <c r="N132" s="147"/>
    </row>
    <row r="133" spans="1:14" s="148" customFormat="1" ht="15.75" hidden="1" outlineLevel="3" x14ac:dyDescent="0.2">
      <c r="A133" s="95" t="s">
        <v>1838</v>
      </c>
      <c r="B133" s="42" t="s">
        <v>802</v>
      </c>
      <c r="C133" s="42" t="s">
        <v>1828</v>
      </c>
      <c r="D133" s="100" t="s">
        <v>292</v>
      </c>
      <c r="E133" s="149">
        <v>1</v>
      </c>
      <c r="F133" s="149">
        <f>2216*(1.023*1.005-2.3%*15%)*6.99+3400*4.09</f>
        <v>29778</v>
      </c>
      <c r="G133" s="145">
        <f t="shared" si="35"/>
        <v>1.123</v>
      </c>
      <c r="H133" s="146">
        <f>F133*G133</f>
        <v>33441</v>
      </c>
      <c r="I133" s="145">
        <f>'[2]Расчет прогнозных дефляторов'!$D$66</f>
        <v>1.042</v>
      </c>
      <c r="J133" s="146">
        <f>H133*I133</f>
        <v>34846</v>
      </c>
      <c r="K133" s="146">
        <f>H133+(J133-H133)*(1-30/100)</f>
        <v>34425</v>
      </c>
      <c r="L133" s="147"/>
      <c r="M133" s="147"/>
      <c r="N133" s="147"/>
    </row>
    <row r="134" spans="1:14" s="148" customFormat="1" ht="25.5" hidden="1" outlineLevel="3" x14ac:dyDescent="0.2">
      <c r="A134" s="95" t="s">
        <v>1839</v>
      </c>
      <c r="B134" s="42" t="s">
        <v>804</v>
      </c>
      <c r="C134" s="42" t="s">
        <v>1833</v>
      </c>
      <c r="D134" s="100" t="s">
        <v>292</v>
      </c>
      <c r="E134" s="149">
        <v>1</v>
      </c>
      <c r="F134" s="149">
        <f>19076*(1.023*1.005-2.3%*15%)*6.99+162324*4.09</f>
        <v>800535</v>
      </c>
      <c r="G134" s="145">
        <f t="shared" si="35"/>
        <v>1.123</v>
      </c>
      <c r="H134" s="146">
        <f t="shared" ref="H134:H138" si="37">F134*G134</f>
        <v>899001</v>
      </c>
      <c r="I134" s="145">
        <f>'[2]Расчет прогнозных дефляторов'!$D$75</f>
        <v>1.0429999999999999</v>
      </c>
      <c r="J134" s="146">
        <f t="shared" ref="J134:J136" si="38">H134*I134</f>
        <v>937658</v>
      </c>
      <c r="K134" s="146">
        <f t="shared" ref="K134:K138" si="39">H134+(J134-H134)*(1-30/100)</f>
        <v>926061</v>
      </c>
      <c r="L134" s="172"/>
      <c r="M134" s="147"/>
      <c r="N134" s="147"/>
    </row>
    <row r="135" spans="1:14" s="148" customFormat="1" ht="15.75" hidden="1" outlineLevel="3" x14ac:dyDescent="0.2">
      <c r="A135" s="95" t="s">
        <v>1840</v>
      </c>
      <c r="B135" s="42" t="s">
        <v>805</v>
      </c>
      <c r="C135" s="42" t="s">
        <v>1834</v>
      </c>
      <c r="D135" s="100" t="s">
        <v>292</v>
      </c>
      <c r="E135" s="149">
        <v>1</v>
      </c>
      <c r="F135" s="149">
        <f>3005*(1.023*1.005-2.3%*15%)*6.99+3644*4.09</f>
        <v>36427</v>
      </c>
      <c r="G135" s="145">
        <f t="shared" si="35"/>
        <v>1.123</v>
      </c>
      <c r="H135" s="146">
        <f t="shared" si="37"/>
        <v>40908</v>
      </c>
      <c r="I135" s="145">
        <f>'[2]Расчет прогнозных дефляторов'!$D$75</f>
        <v>1.0429999999999999</v>
      </c>
      <c r="J135" s="146">
        <f t="shared" si="38"/>
        <v>42667</v>
      </c>
      <c r="K135" s="146">
        <f t="shared" si="39"/>
        <v>42139</v>
      </c>
      <c r="L135" s="172"/>
      <c r="M135" s="147"/>
      <c r="N135" s="147"/>
    </row>
    <row r="136" spans="1:14" s="148" customFormat="1" ht="15.75" hidden="1" outlineLevel="3" x14ac:dyDescent="0.2">
      <c r="A136" s="95" t="s">
        <v>1841</v>
      </c>
      <c r="B136" s="42" t="s">
        <v>807</v>
      </c>
      <c r="C136" s="42" t="s">
        <v>806</v>
      </c>
      <c r="D136" s="100" t="s">
        <v>292</v>
      </c>
      <c r="E136" s="149">
        <v>1</v>
      </c>
      <c r="F136" s="149">
        <f>129307*(1.023*1.005-2.3%*15%)*6.99+226856*4.09</f>
        <v>1853991</v>
      </c>
      <c r="G136" s="145">
        <f t="shared" si="35"/>
        <v>1.123</v>
      </c>
      <c r="H136" s="146">
        <f t="shared" si="37"/>
        <v>2082032</v>
      </c>
      <c r="I136" s="145">
        <f>'[2]Расчет прогнозных дефляторов'!$D$75</f>
        <v>1.0429999999999999</v>
      </c>
      <c r="J136" s="146">
        <f t="shared" si="38"/>
        <v>2171559</v>
      </c>
      <c r="K136" s="146">
        <f t="shared" si="39"/>
        <v>2144701</v>
      </c>
      <c r="L136" s="172"/>
      <c r="M136" s="147"/>
      <c r="N136" s="147"/>
    </row>
    <row r="137" spans="1:14" s="148" customFormat="1" ht="15.75" hidden="1" outlineLevel="3" x14ac:dyDescent="0.2">
      <c r="A137" s="95" t="s">
        <v>1842</v>
      </c>
      <c r="B137" s="42" t="s">
        <v>809</v>
      </c>
      <c r="C137" s="42" t="s">
        <v>1832</v>
      </c>
      <c r="D137" s="100" t="s">
        <v>292</v>
      </c>
      <c r="E137" s="149">
        <v>1</v>
      </c>
      <c r="F137" s="149">
        <f>1603*(1.023*1.005-2.3%*15%)*6.99+2312*4.09</f>
        <v>20937</v>
      </c>
      <c r="G137" s="145">
        <f t="shared" si="35"/>
        <v>1.123</v>
      </c>
      <c r="H137" s="146">
        <f t="shared" si="37"/>
        <v>23512</v>
      </c>
      <c r="I137" s="145">
        <f>'[2]Расчет прогнозных дефляторов'!$D$75</f>
        <v>1.0429999999999999</v>
      </c>
      <c r="J137" s="146">
        <f>H137*I137</f>
        <v>24523</v>
      </c>
      <c r="K137" s="146">
        <f t="shared" si="39"/>
        <v>24220</v>
      </c>
      <c r="L137" s="147"/>
      <c r="M137" s="147"/>
      <c r="N137" s="147"/>
    </row>
    <row r="138" spans="1:14" s="148" customFormat="1" ht="15.75" hidden="1" outlineLevel="3" x14ac:dyDescent="0.2">
      <c r="A138" s="95" t="s">
        <v>1843</v>
      </c>
      <c r="B138" s="42" t="s">
        <v>810</v>
      </c>
      <c r="C138" s="42" t="s">
        <v>1829</v>
      </c>
      <c r="D138" s="100" t="s">
        <v>292</v>
      </c>
      <c r="E138" s="149">
        <v>1</v>
      </c>
      <c r="F138" s="149">
        <f>2696*(1.023*1.005-2.3%*15%)*6.99+2312*4.09</f>
        <v>28766</v>
      </c>
      <c r="G138" s="145">
        <f t="shared" si="35"/>
        <v>1.123</v>
      </c>
      <c r="H138" s="146">
        <f t="shared" si="37"/>
        <v>32304</v>
      </c>
      <c r="I138" s="145">
        <f>'[2]Расчет прогнозных дефляторов'!$D$66</f>
        <v>1.042</v>
      </c>
      <c r="J138" s="146">
        <f t="shared" ref="J138" si="40">H138*I138</f>
        <v>33661</v>
      </c>
      <c r="K138" s="146">
        <f t="shared" si="39"/>
        <v>33254</v>
      </c>
      <c r="L138" s="147"/>
      <c r="M138" s="147"/>
      <c r="N138" s="147"/>
    </row>
    <row r="139" spans="1:14" s="237" customFormat="1" ht="15.75" outlineLevel="2" collapsed="1" x14ac:dyDescent="0.2">
      <c r="A139" s="238" t="s">
        <v>570</v>
      </c>
      <c r="B139" s="229" t="s">
        <v>154</v>
      </c>
      <c r="C139" s="229" t="s">
        <v>155</v>
      </c>
      <c r="D139" s="239" t="s">
        <v>292</v>
      </c>
      <c r="E139" s="240">
        <v>1</v>
      </c>
      <c r="F139" s="240">
        <f>SUM(F140:F159)</f>
        <v>109675309</v>
      </c>
      <c r="G139" s="241"/>
      <c r="H139" s="240">
        <f>SUM(H140:H159)</f>
        <v>123165370</v>
      </c>
      <c r="I139" s="241"/>
      <c r="J139" s="240">
        <f>SUM(J140:J159)</f>
        <v>128338318</v>
      </c>
      <c r="K139" s="240">
        <f>SUM(K140:K159)</f>
        <v>126786434</v>
      </c>
      <c r="L139" s="286"/>
      <c r="M139" s="256"/>
      <c r="N139" s="256"/>
    </row>
    <row r="140" spans="1:14" s="155" customFormat="1" ht="15.75" hidden="1" outlineLevel="3" x14ac:dyDescent="0.2">
      <c r="A140" s="93"/>
      <c r="B140" s="94"/>
      <c r="C140" s="157" t="s">
        <v>811</v>
      </c>
      <c r="D140" s="150"/>
      <c r="E140" s="151"/>
      <c r="F140" s="151"/>
      <c r="G140" s="152"/>
      <c r="H140" s="153"/>
      <c r="I140" s="152"/>
      <c r="J140" s="153"/>
      <c r="K140" s="153"/>
      <c r="L140" s="154"/>
      <c r="M140" s="96"/>
      <c r="N140" s="96"/>
    </row>
    <row r="141" spans="1:14" s="148" customFormat="1" ht="25.5" hidden="1" outlineLevel="3" x14ac:dyDescent="0.2">
      <c r="A141" s="95" t="s">
        <v>2257</v>
      </c>
      <c r="B141" s="42" t="s">
        <v>818</v>
      </c>
      <c r="C141" s="42" t="s">
        <v>812</v>
      </c>
      <c r="D141" s="100" t="s">
        <v>377</v>
      </c>
      <c r="E141" s="168">
        <v>128.5</v>
      </c>
      <c r="F141" s="149">
        <f>2802255*(1.023*1.005-2.3%*15%)*6.99+15</f>
        <v>20070910</v>
      </c>
      <c r="G141" s="174">
        <f t="shared" ref="G141:G147" si="41">$G$766</f>
        <v>1.123</v>
      </c>
      <c r="H141" s="146">
        <f t="shared" ref="H141:H147" si="42">F141*G141</f>
        <v>22539632</v>
      </c>
      <c r="I141" s="145">
        <f>'[2]Расчет прогнозных дефляторов'!$D$93</f>
        <v>1.042</v>
      </c>
      <c r="J141" s="146">
        <f>H141*I141</f>
        <v>23486297</v>
      </c>
      <c r="K141" s="146">
        <f t="shared" ref="K141:K160" si="43">H141+(J141-H141)*(1-30/100)</f>
        <v>23202298</v>
      </c>
      <c r="L141" s="172"/>
      <c r="M141" s="147"/>
      <c r="N141" s="147"/>
    </row>
    <row r="142" spans="1:14" s="148" customFormat="1" ht="15.75" hidden="1" outlineLevel="3" x14ac:dyDescent="0.2">
      <c r="A142" s="95" t="s">
        <v>2258</v>
      </c>
      <c r="B142" s="42" t="s">
        <v>819</v>
      </c>
      <c r="C142" s="42" t="s">
        <v>813</v>
      </c>
      <c r="D142" s="100" t="s">
        <v>408</v>
      </c>
      <c r="E142" s="149">
        <v>27</v>
      </c>
      <c r="F142" s="149">
        <f>1674188*(1.023*1.005-2.3%*15%)*6.99</f>
        <v>11991218</v>
      </c>
      <c r="G142" s="174">
        <f t="shared" si="41"/>
        <v>1.123</v>
      </c>
      <c r="H142" s="146">
        <f t="shared" si="42"/>
        <v>13466138</v>
      </c>
      <c r="I142" s="145">
        <f>'[2]Расчет прогнозных дефляторов'!$D$93</f>
        <v>1.042</v>
      </c>
      <c r="J142" s="146">
        <f t="shared" ref="J142:J160" si="44">H142*I142</f>
        <v>14031716</v>
      </c>
      <c r="K142" s="146">
        <f t="shared" si="43"/>
        <v>13862043</v>
      </c>
      <c r="L142" s="172"/>
      <c r="M142" s="147"/>
      <c r="N142" s="147"/>
    </row>
    <row r="143" spans="1:14" s="155" customFormat="1" ht="15.75" hidden="1" outlineLevel="3" x14ac:dyDescent="0.2">
      <c r="A143" s="95" t="s">
        <v>2259</v>
      </c>
      <c r="B143" s="42" t="s">
        <v>820</v>
      </c>
      <c r="C143" s="42" t="s">
        <v>814</v>
      </c>
      <c r="D143" s="100" t="s">
        <v>408</v>
      </c>
      <c r="E143" s="149">
        <v>8</v>
      </c>
      <c r="F143" s="149">
        <f>1073167*(1.023*1.005-2.3%*15%)*6.99</f>
        <v>7686460</v>
      </c>
      <c r="G143" s="174">
        <f t="shared" si="41"/>
        <v>1.123</v>
      </c>
      <c r="H143" s="146">
        <f t="shared" si="42"/>
        <v>8631895</v>
      </c>
      <c r="I143" s="145">
        <f>'[2]Расчет прогнозных дефляторов'!$D$93</f>
        <v>1.042</v>
      </c>
      <c r="J143" s="146">
        <f t="shared" si="44"/>
        <v>8994435</v>
      </c>
      <c r="K143" s="146">
        <f t="shared" si="43"/>
        <v>8885673</v>
      </c>
      <c r="L143" s="154"/>
      <c r="M143" s="96"/>
      <c r="N143" s="96"/>
    </row>
    <row r="144" spans="1:14" s="155" customFormat="1" ht="15.75" hidden="1" outlineLevel="3" x14ac:dyDescent="0.2">
      <c r="A144" s="95" t="s">
        <v>2260</v>
      </c>
      <c r="B144" s="42" t="s">
        <v>822</v>
      </c>
      <c r="C144" s="42" t="s">
        <v>815</v>
      </c>
      <c r="D144" s="100" t="s">
        <v>408</v>
      </c>
      <c r="E144" s="99">
        <v>31</v>
      </c>
      <c r="F144" s="149">
        <f>4671332*(1.023*1.005-2.3%*15%)*6.99</f>
        <v>33457987</v>
      </c>
      <c r="G144" s="174">
        <f t="shared" si="41"/>
        <v>1.123</v>
      </c>
      <c r="H144" s="146">
        <f t="shared" si="42"/>
        <v>37573319</v>
      </c>
      <c r="I144" s="145">
        <f>'[2]Расчет прогнозных дефляторов'!$D$93</f>
        <v>1.042</v>
      </c>
      <c r="J144" s="146">
        <f t="shared" si="44"/>
        <v>39151398</v>
      </c>
      <c r="K144" s="146">
        <f t="shared" si="43"/>
        <v>38677974</v>
      </c>
      <c r="L144" s="172" t="s">
        <v>821</v>
      </c>
      <c r="M144" s="96"/>
      <c r="N144" s="96"/>
    </row>
    <row r="145" spans="1:14" s="155" customFormat="1" ht="15.75" hidden="1" outlineLevel="3" x14ac:dyDescent="0.2">
      <c r="A145" s="95" t="s">
        <v>2261</v>
      </c>
      <c r="B145" s="42" t="s">
        <v>823</v>
      </c>
      <c r="C145" s="42" t="s">
        <v>816</v>
      </c>
      <c r="D145" s="100" t="s">
        <v>408</v>
      </c>
      <c r="E145" s="149">
        <v>8</v>
      </c>
      <c r="F145" s="149">
        <f>1337842*(1.023*1.005-2.3%*15%)*6.99</f>
        <v>9582171</v>
      </c>
      <c r="G145" s="174">
        <f t="shared" si="41"/>
        <v>1.123</v>
      </c>
      <c r="H145" s="146">
        <f t="shared" si="42"/>
        <v>10760778</v>
      </c>
      <c r="I145" s="145">
        <f>'[2]Расчет прогнозных дефляторов'!$D$93</f>
        <v>1.042</v>
      </c>
      <c r="J145" s="146">
        <f t="shared" si="44"/>
        <v>11212731</v>
      </c>
      <c r="K145" s="146">
        <f t="shared" si="43"/>
        <v>11077145</v>
      </c>
      <c r="L145" s="154"/>
      <c r="M145" s="96"/>
      <c r="N145" s="96"/>
    </row>
    <row r="146" spans="1:14" s="155" customFormat="1" ht="15.75" hidden="1" outlineLevel="3" x14ac:dyDescent="0.2">
      <c r="A146" s="95" t="s">
        <v>2262</v>
      </c>
      <c r="B146" s="42" t="s">
        <v>825</v>
      </c>
      <c r="C146" s="42" t="s">
        <v>817</v>
      </c>
      <c r="D146" s="100" t="s">
        <v>377</v>
      </c>
      <c r="E146" s="149">
        <v>42</v>
      </c>
      <c r="F146" s="149">
        <f>152109*(1.023*1.005-2.3%*15%)*6.99</f>
        <v>1089467</v>
      </c>
      <c r="G146" s="174">
        <f t="shared" si="41"/>
        <v>1.123</v>
      </c>
      <c r="H146" s="146">
        <f t="shared" si="42"/>
        <v>1223471</v>
      </c>
      <c r="I146" s="145">
        <f>'[2]Расчет прогнозных дефляторов'!$D$93</f>
        <v>1.042</v>
      </c>
      <c r="J146" s="146">
        <f t="shared" si="44"/>
        <v>1274857</v>
      </c>
      <c r="K146" s="146">
        <f t="shared" si="43"/>
        <v>1259441</v>
      </c>
      <c r="L146" s="154"/>
      <c r="M146" s="96"/>
      <c r="N146" s="96"/>
    </row>
    <row r="147" spans="1:14" s="155" customFormat="1" ht="15.75" hidden="1" outlineLevel="3" x14ac:dyDescent="0.2">
      <c r="A147" s="160" t="s">
        <v>2263</v>
      </c>
      <c r="B147" s="91" t="s">
        <v>826</v>
      </c>
      <c r="C147" s="91" t="s">
        <v>824</v>
      </c>
      <c r="D147" s="161" t="s">
        <v>404</v>
      </c>
      <c r="E147" s="99">
        <v>5740</v>
      </c>
      <c r="F147" s="99">
        <f>261916*(1.023*1.005-2.3%*15%)*6.99</f>
        <v>1875949</v>
      </c>
      <c r="G147" s="163">
        <f t="shared" si="41"/>
        <v>1.123</v>
      </c>
      <c r="H147" s="164">
        <f t="shared" si="42"/>
        <v>2106691</v>
      </c>
      <c r="I147" s="145">
        <f>'[2]Расчет прогнозных дефляторов'!$D$93</f>
        <v>1.042</v>
      </c>
      <c r="J147" s="164">
        <f t="shared" si="44"/>
        <v>2195172</v>
      </c>
      <c r="K147" s="146">
        <f t="shared" si="43"/>
        <v>2168628</v>
      </c>
      <c r="L147" s="172" t="s">
        <v>836</v>
      </c>
      <c r="M147" s="96"/>
      <c r="N147" s="96"/>
    </row>
    <row r="148" spans="1:14" s="155" customFormat="1" ht="15.75" hidden="1" outlineLevel="3" x14ac:dyDescent="0.2">
      <c r="A148" s="93"/>
      <c r="B148" s="94"/>
      <c r="C148" s="157" t="s">
        <v>827</v>
      </c>
      <c r="D148" s="150"/>
      <c r="E148" s="151"/>
      <c r="F148" s="151"/>
      <c r="G148" s="174"/>
      <c r="H148" s="146"/>
      <c r="I148" s="145">
        <f>'[2]Расчет прогнозных дефляторов'!$D$93</f>
        <v>1.042</v>
      </c>
      <c r="J148" s="146">
        <f t="shared" si="44"/>
        <v>0</v>
      </c>
      <c r="K148" s="146"/>
      <c r="L148" s="154"/>
      <c r="M148" s="96"/>
      <c r="N148" s="96"/>
    </row>
    <row r="149" spans="1:14" s="148" customFormat="1" ht="25.5" hidden="1" outlineLevel="3" x14ac:dyDescent="0.2">
      <c r="A149" s="95" t="s">
        <v>2264</v>
      </c>
      <c r="B149" s="42" t="s">
        <v>830</v>
      </c>
      <c r="C149" s="42" t="s">
        <v>828</v>
      </c>
      <c r="D149" s="100" t="s">
        <v>377</v>
      </c>
      <c r="E149" s="168">
        <f>41.5</f>
        <v>41.5</v>
      </c>
      <c r="F149" s="149">
        <f>906858*(1.023*1.005-2.3%*15%)*6.99</f>
        <v>6495287</v>
      </c>
      <c r="G149" s="174">
        <f t="shared" ref="G149:G154" si="45">$G$766</f>
        <v>1.123</v>
      </c>
      <c r="H149" s="146">
        <f t="shared" ref="H149:H154" si="46">F149*G149</f>
        <v>7294207</v>
      </c>
      <c r="I149" s="145">
        <f>'[2]Расчет прогнозных дефляторов'!$D$93</f>
        <v>1.042</v>
      </c>
      <c r="J149" s="146">
        <f t="shared" si="44"/>
        <v>7600564</v>
      </c>
      <c r="K149" s="146">
        <f t="shared" si="43"/>
        <v>7508657</v>
      </c>
      <c r="L149" s="172"/>
      <c r="M149" s="147"/>
      <c r="N149" s="147"/>
    </row>
    <row r="150" spans="1:14" s="148" customFormat="1" ht="15.75" hidden="1" outlineLevel="3" x14ac:dyDescent="0.2">
      <c r="A150" s="95" t="s">
        <v>2265</v>
      </c>
      <c r="B150" s="42" t="s">
        <v>831</v>
      </c>
      <c r="C150" s="42" t="s">
        <v>829</v>
      </c>
      <c r="D150" s="100" t="s">
        <v>408</v>
      </c>
      <c r="E150" s="149">
        <v>8</v>
      </c>
      <c r="F150" s="149">
        <f>537430*(1.023*1.005-2.3%*15%)*6.99</f>
        <v>3849293</v>
      </c>
      <c r="G150" s="174">
        <f t="shared" si="45"/>
        <v>1.123</v>
      </c>
      <c r="H150" s="146">
        <f t="shared" si="46"/>
        <v>4322756</v>
      </c>
      <c r="I150" s="145">
        <f>'[2]Расчет прогнозных дефляторов'!$D$93</f>
        <v>1.042</v>
      </c>
      <c r="J150" s="146">
        <f t="shared" si="44"/>
        <v>4504312</v>
      </c>
      <c r="K150" s="146">
        <f t="shared" si="43"/>
        <v>4449845</v>
      </c>
      <c r="L150" s="172"/>
      <c r="M150" s="147"/>
      <c r="N150" s="147"/>
    </row>
    <row r="151" spans="1:14" s="148" customFormat="1" ht="15.75" hidden="1" outlineLevel="3" x14ac:dyDescent="0.2">
      <c r="A151" s="95" t="s">
        <v>2266</v>
      </c>
      <c r="B151" s="42" t="s">
        <v>832</v>
      </c>
      <c r="C151" s="42" t="s">
        <v>814</v>
      </c>
      <c r="D151" s="100" t="s">
        <v>408</v>
      </c>
      <c r="E151" s="149">
        <v>4</v>
      </c>
      <c r="F151" s="149">
        <f>306068*(1.023*1.005-2.3%*15%)*6.99</f>
        <v>2192184</v>
      </c>
      <c r="G151" s="174">
        <f t="shared" si="45"/>
        <v>1.123</v>
      </c>
      <c r="H151" s="146">
        <f t="shared" si="46"/>
        <v>2461823</v>
      </c>
      <c r="I151" s="145">
        <f>'[2]Расчет прогнозных дефляторов'!$D$93</f>
        <v>1.042</v>
      </c>
      <c r="J151" s="146">
        <f t="shared" si="44"/>
        <v>2565220</v>
      </c>
      <c r="K151" s="146">
        <f t="shared" si="43"/>
        <v>2534201</v>
      </c>
      <c r="L151" s="172"/>
      <c r="M151" s="147"/>
      <c r="N151" s="147"/>
    </row>
    <row r="152" spans="1:14" s="148" customFormat="1" ht="15.75" hidden="1" outlineLevel="3" x14ac:dyDescent="0.2">
      <c r="A152" s="95" t="s">
        <v>2267</v>
      </c>
      <c r="B152" s="42" t="s">
        <v>833</v>
      </c>
      <c r="C152" s="42" t="s">
        <v>815</v>
      </c>
      <c r="D152" s="100" t="s">
        <v>408</v>
      </c>
      <c r="E152" s="149">
        <v>10</v>
      </c>
      <c r="F152" s="149">
        <f>858564*(1.023*1.005-2.3%*15%)*6.99</f>
        <v>6149386</v>
      </c>
      <c r="G152" s="174">
        <f t="shared" si="45"/>
        <v>1.123</v>
      </c>
      <c r="H152" s="146">
        <f t="shared" si="46"/>
        <v>6905760</v>
      </c>
      <c r="I152" s="145">
        <f>'[2]Расчет прогнозных дефляторов'!$D$93</f>
        <v>1.042</v>
      </c>
      <c r="J152" s="146">
        <f t="shared" si="44"/>
        <v>7195802</v>
      </c>
      <c r="K152" s="146">
        <f t="shared" si="43"/>
        <v>7108789</v>
      </c>
      <c r="L152" s="172"/>
      <c r="M152" s="147"/>
      <c r="N152" s="147"/>
    </row>
    <row r="153" spans="1:14" s="148" customFormat="1" ht="15.75" hidden="1" outlineLevel="3" x14ac:dyDescent="0.2">
      <c r="A153" s="95" t="s">
        <v>2268</v>
      </c>
      <c r="B153" s="42" t="s">
        <v>834</v>
      </c>
      <c r="C153" s="42" t="s">
        <v>816</v>
      </c>
      <c r="D153" s="100" t="s">
        <v>408</v>
      </c>
      <c r="E153" s="149">
        <v>4</v>
      </c>
      <c r="F153" s="149">
        <f>380777*(1.023*1.005-2.3%*15%)*6.99</f>
        <v>2727280</v>
      </c>
      <c r="G153" s="174">
        <f t="shared" si="45"/>
        <v>1.123</v>
      </c>
      <c r="H153" s="146">
        <f t="shared" si="46"/>
        <v>3062735</v>
      </c>
      <c r="I153" s="145">
        <f>'[2]Расчет прогнозных дефляторов'!$D$93</f>
        <v>1.042</v>
      </c>
      <c r="J153" s="146">
        <f t="shared" si="44"/>
        <v>3191370</v>
      </c>
      <c r="K153" s="146">
        <f t="shared" si="43"/>
        <v>3152780</v>
      </c>
      <c r="L153" s="172"/>
      <c r="M153" s="147"/>
      <c r="N153" s="147"/>
    </row>
    <row r="154" spans="1:14" s="148" customFormat="1" ht="15.75" hidden="1" outlineLevel="3" x14ac:dyDescent="0.2">
      <c r="A154" s="95" t="s">
        <v>2269</v>
      </c>
      <c r="B154" s="42" t="s">
        <v>835</v>
      </c>
      <c r="C154" s="42" t="s">
        <v>824</v>
      </c>
      <c r="D154" s="100" t="s">
        <v>404</v>
      </c>
      <c r="E154" s="149">
        <v>3760</v>
      </c>
      <c r="F154" s="149">
        <f>171569*(1.023*1.005-2.3%*15%)*6.99</f>
        <v>1228847</v>
      </c>
      <c r="G154" s="174">
        <f t="shared" si="45"/>
        <v>1.123</v>
      </c>
      <c r="H154" s="146">
        <f t="shared" si="46"/>
        <v>1379995</v>
      </c>
      <c r="I154" s="145">
        <f>'[2]Расчет прогнозных дефляторов'!$D$93</f>
        <v>1.042</v>
      </c>
      <c r="J154" s="146">
        <f t="shared" si="44"/>
        <v>1437955</v>
      </c>
      <c r="K154" s="146">
        <f t="shared" si="43"/>
        <v>1420567</v>
      </c>
      <c r="L154" s="172"/>
      <c r="M154" s="147"/>
      <c r="N154" s="147"/>
    </row>
    <row r="155" spans="1:14" s="148" customFormat="1" ht="15.75" hidden="1" outlineLevel="3" x14ac:dyDescent="0.2">
      <c r="A155" s="95"/>
      <c r="B155" s="42"/>
      <c r="C155" s="157" t="s">
        <v>837</v>
      </c>
      <c r="D155" s="100"/>
      <c r="E155" s="149"/>
      <c r="F155" s="149"/>
      <c r="G155" s="174"/>
      <c r="H155" s="146"/>
      <c r="I155" s="145"/>
      <c r="J155" s="146">
        <f t="shared" si="44"/>
        <v>0</v>
      </c>
      <c r="K155" s="146"/>
      <c r="L155" s="172"/>
      <c r="M155" s="147"/>
      <c r="N155" s="147"/>
    </row>
    <row r="156" spans="1:14" s="148" customFormat="1" ht="15.75" hidden="1" outlineLevel="3" x14ac:dyDescent="0.2">
      <c r="A156" s="95"/>
      <c r="B156" s="42"/>
      <c r="C156" s="157" t="s">
        <v>838</v>
      </c>
      <c r="D156" s="100"/>
      <c r="E156" s="149"/>
      <c r="F156" s="149"/>
      <c r="G156" s="174"/>
      <c r="H156" s="146"/>
      <c r="I156" s="145"/>
      <c r="J156" s="146">
        <f t="shared" si="44"/>
        <v>0</v>
      </c>
      <c r="K156" s="146"/>
      <c r="L156" s="172"/>
      <c r="M156" s="147"/>
      <c r="N156" s="147"/>
    </row>
    <row r="157" spans="1:14" s="148" customFormat="1" ht="25.5" hidden="1" outlineLevel="3" x14ac:dyDescent="0.2">
      <c r="A157" s="95" t="s">
        <v>2270</v>
      </c>
      <c r="B157" s="42" t="s">
        <v>842</v>
      </c>
      <c r="C157" s="42" t="s">
        <v>839</v>
      </c>
      <c r="D157" s="100" t="s">
        <v>300</v>
      </c>
      <c r="E157" s="149">
        <v>1115</v>
      </c>
      <c r="F157" s="149">
        <f>133953*(1.023*1.005-2.3%*15%)*6.99</f>
        <v>959426</v>
      </c>
      <c r="G157" s="174">
        <f>$G$766</f>
        <v>1.123</v>
      </c>
      <c r="H157" s="146">
        <f>F157*G157</f>
        <v>1077435</v>
      </c>
      <c r="I157" s="145">
        <f>'[2]Расчет прогнозных дефляторов'!$D$93</f>
        <v>1.042</v>
      </c>
      <c r="J157" s="146">
        <f t="shared" si="44"/>
        <v>1122687</v>
      </c>
      <c r="K157" s="146">
        <f t="shared" si="43"/>
        <v>1109111</v>
      </c>
      <c r="L157" s="172"/>
      <c r="M157" s="147"/>
      <c r="N157" s="147"/>
    </row>
    <row r="158" spans="1:14" s="148" customFormat="1" ht="25.5" hidden="1" outlineLevel="3" x14ac:dyDescent="0.2">
      <c r="A158" s="95" t="s">
        <v>2271</v>
      </c>
      <c r="B158" s="42" t="s">
        <v>843</v>
      </c>
      <c r="C158" s="42" t="s">
        <v>840</v>
      </c>
      <c r="D158" s="100" t="s">
        <v>300</v>
      </c>
      <c r="E158" s="149">
        <v>185</v>
      </c>
      <c r="F158" s="149">
        <f>34830*(1.023*1.005-2.3%*15%)*6.99</f>
        <v>249467</v>
      </c>
      <c r="G158" s="174">
        <f>$G$766</f>
        <v>1.123</v>
      </c>
      <c r="H158" s="146">
        <f>F158*G158</f>
        <v>280151</v>
      </c>
      <c r="I158" s="145">
        <f>'[2]Расчет прогнозных дефляторов'!$D$93</f>
        <v>1.042</v>
      </c>
      <c r="J158" s="146">
        <f t="shared" si="44"/>
        <v>291917</v>
      </c>
      <c r="K158" s="146">
        <f t="shared" si="43"/>
        <v>288387</v>
      </c>
      <c r="L158" s="172"/>
      <c r="M158" s="147"/>
      <c r="N158" s="147"/>
    </row>
    <row r="159" spans="1:14" s="148" customFormat="1" ht="25.5" hidden="1" outlineLevel="3" x14ac:dyDescent="0.2">
      <c r="A159" s="95" t="s">
        <v>2272</v>
      </c>
      <c r="B159" s="42" t="s">
        <v>844</v>
      </c>
      <c r="C159" s="42" t="s">
        <v>841</v>
      </c>
      <c r="D159" s="100" t="s">
        <v>300</v>
      </c>
      <c r="E159" s="149">
        <v>895</v>
      </c>
      <c r="F159" s="149">
        <f>9770*(1.023*1.005-2.3%*15%)*6.99</f>
        <v>69977</v>
      </c>
      <c r="G159" s="174">
        <f>$G$766</f>
        <v>1.123</v>
      </c>
      <c r="H159" s="146">
        <f>F159*G159</f>
        <v>78584</v>
      </c>
      <c r="I159" s="145">
        <f>'[2]Расчет прогнозных дефляторов'!$D$93</f>
        <v>1.042</v>
      </c>
      <c r="J159" s="146">
        <f t="shared" si="44"/>
        <v>81885</v>
      </c>
      <c r="K159" s="146">
        <f t="shared" si="43"/>
        <v>80895</v>
      </c>
      <c r="L159" s="172"/>
      <c r="M159" s="147"/>
      <c r="N159" s="147"/>
    </row>
    <row r="160" spans="1:14" s="237" customFormat="1" ht="25.5" outlineLevel="2" x14ac:dyDescent="0.2">
      <c r="A160" s="238" t="s">
        <v>571</v>
      </c>
      <c r="B160" s="229" t="s">
        <v>156</v>
      </c>
      <c r="C160" s="229" t="s">
        <v>1844</v>
      </c>
      <c r="D160" s="239" t="s">
        <v>292</v>
      </c>
      <c r="E160" s="240">
        <v>1</v>
      </c>
      <c r="F160" s="240">
        <f>8732*(1.023*1.005-2.3%*15%)*6.99-14</f>
        <v>62528</v>
      </c>
      <c r="G160" s="241">
        <f>$G$766</f>
        <v>1.123</v>
      </c>
      <c r="H160" s="242">
        <f t="shared" ref="H160" si="47">F160*G160</f>
        <v>70219</v>
      </c>
      <c r="I160" s="241">
        <f>'[2]Расчет прогнозных дефляторов'!$D$66</f>
        <v>1.042</v>
      </c>
      <c r="J160" s="242">
        <f t="shared" si="44"/>
        <v>73168</v>
      </c>
      <c r="K160" s="242">
        <f t="shared" si="43"/>
        <v>72283</v>
      </c>
      <c r="L160" s="286"/>
      <c r="M160" s="256"/>
      <c r="N160" s="256"/>
    </row>
    <row r="161" spans="1:14" s="243" customFormat="1" ht="25.5" outlineLevel="1" x14ac:dyDescent="0.2">
      <c r="A161" s="244" t="s">
        <v>393</v>
      </c>
      <c r="B161" s="245" t="s">
        <v>29</v>
      </c>
      <c r="C161" s="245" t="s">
        <v>30</v>
      </c>
      <c r="D161" s="246" t="s">
        <v>292</v>
      </c>
      <c r="E161" s="247">
        <v>1</v>
      </c>
      <c r="F161" s="247">
        <f>F162+F173+F251+F272+F296+F302+F309+F359+F365+F371+F373+F376+F413+F414+F419+F424</f>
        <v>280010669</v>
      </c>
      <c r="G161" s="248"/>
      <c r="H161" s="247">
        <f>H162+H173+H251+H272+H296+H302+H309+H359+H365+H371+H373+H376+H413+H414+H419+H424</f>
        <v>314451975</v>
      </c>
      <c r="I161" s="248"/>
      <c r="J161" s="247">
        <f>J162+J173+J251+J272+J296+J302+J309+J359+J365+J371+J373+J376+J413+J414+J419+J424</f>
        <v>327971158</v>
      </c>
      <c r="K161" s="247">
        <f>K162+K173+K251+K272+K296+K302+K309+K359+K365+K371+K373+K376+K413+K414+K419+K424</f>
        <v>323915415</v>
      </c>
      <c r="L161" s="269"/>
      <c r="M161" s="269"/>
      <c r="N161" s="269"/>
    </row>
    <row r="162" spans="1:14" s="237" customFormat="1" ht="15.75" outlineLevel="2" collapsed="1" x14ac:dyDescent="0.2">
      <c r="A162" s="238" t="s">
        <v>394</v>
      </c>
      <c r="B162" s="229" t="s">
        <v>158</v>
      </c>
      <c r="C162" s="229" t="s">
        <v>1845</v>
      </c>
      <c r="D162" s="239" t="s">
        <v>292</v>
      </c>
      <c r="E162" s="240">
        <v>1</v>
      </c>
      <c r="F162" s="240">
        <f>SUM(F163:F172)</f>
        <v>7312653</v>
      </c>
      <c r="G162" s="241"/>
      <c r="H162" s="240">
        <f>SUM(H163:H172)</f>
        <v>8212109</v>
      </c>
      <c r="I162" s="241"/>
      <c r="J162" s="240">
        <f>SUM(J163:J172)</f>
        <v>8562980</v>
      </c>
      <c r="K162" s="240">
        <f>SUM(K163:K172)</f>
        <v>8457718</v>
      </c>
      <c r="L162" s="256"/>
      <c r="M162" s="256"/>
      <c r="N162" s="256"/>
    </row>
    <row r="163" spans="1:14" s="148" customFormat="1" ht="15.75" hidden="1" outlineLevel="3" x14ac:dyDescent="0.2">
      <c r="A163" s="95" t="s">
        <v>1849</v>
      </c>
      <c r="B163" s="42" t="s">
        <v>846</v>
      </c>
      <c r="C163" s="42" t="s">
        <v>414</v>
      </c>
      <c r="D163" s="100" t="s">
        <v>292</v>
      </c>
      <c r="E163" s="149">
        <v>1</v>
      </c>
      <c r="F163" s="149">
        <f>190285*(1.023*1.005-2.3%*15%)*6.99+0*4.09</f>
        <v>1362899</v>
      </c>
      <c r="G163" s="145">
        <f t="shared" ref="G163:G173" si="48">$G$766</f>
        <v>1.123</v>
      </c>
      <c r="H163" s="146">
        <f t="shared" ref="H163:H169" si="49">F163*G163</f>
        <v>1530536</v>
      </c>
      <c r="I163" s="145">
        <f>'[2]Расчет прогнозных дефляторов'!$D$75</f>
        <v>1.0429999999999999</v>
      </c>
      <c r="J163" s="146">
        <f t="shared" ref="J163:J169" si="50">H163*I163</f>
        <v>1596349</v>
      </c>
      <c r="K163" s="146">
        <f t="shared" ref="K163:K169" si="51">H163+(J163-H163)*(1-30/100)</f>
        <v>1576605</v>
      </c>
      <c r="L163" s="147" t="s">
        <v>847</v>
      </c>
      <c r="M163" s="147"/>
      <c r="N163" s="147"/>
    </row>
    <row r="164" spans="1:14" s="148" customFormat="1" ht="15.75" hidden="1" outlineLevel="3" x14ac:dyDescent="0.2">
      <c r="A164" s="95" t="s">
        <v>1850</v>
      </c>
      <c r="B164" s="42" t="s">
        <v>848</v>
      </c>
      <c r="C164" s="42" t="s">
        <v>1772</v>
      </c>
      <c r="D164" s="100" t="s">
        <v>292</v>
      </c>
      <c r="E164" s="149">
        <v>1</v>
      </c>
      <c r="F164" s="149">
        <f>54471*(1.023*1.005-2.3%*15%)*6.99+0*4.09</f>
        <v>390144</v>
      </c>
      <c r="G164" s="145">
        <f t="shared" si="48"/>
        <v>1.123</v>
      </c>
      <c r="H164" s="146">
        <f t="shared" si="49"/>
        <v>438132</v>
      </c>
      <c r="I164" s="145">
        <f>'[2]Расчет прогнозных дефляторов'!$D$75</f>
        <v>1.0429999999999999</v>
      </c>
      <c r="J164" s="146">
        <f t="shared" si="50"/>
        <v>456972</v>
      </c>
      <c r="K164" s="146">
        <f t="shared" si="51"/>
        <v>451320</v>
      </c>
      <c r="L164" s="147"/>
      <c r="M164" s="147"/>
      <c r="N164" s="147"/>
    </row>
    <row r="165" spans="1:14" s="148" customFormat="1" ht="15.75" hidden="1" outlineLevel="3" x14ac:dyDescent="0.2">
      <c r="A165" s="95" t="s">
        <v>1851</v>
      </c>
      <c r="B165" s="42" t="s">
        <v>849</v>
      </c>
      <c r="C165" s="42" t="s">
        <v>1773</v>
      </c>
      <c r="D165" s="100" t="s">
        <v>292</v>
      </c>
      <c r="E165" s="149">
        <v>1</v>
      </c>
      <c r="F165" s="149">
        <f>333456*(1.023*1.005-2.3%*15%)*6.99+0*4.09-47</f>
        <v>2388301</v>
      </c>
      <c r="G165" s="145">
        <f t="shared" si="48"/>
        <v>1.123</v>
      </c>
      <c r="H165" s="146">
        <f t="shared" si="49"/>
        <v>2682062</v>
      </c>
      <c r="I165" s="145">
        <f>'[2]Расчет прогнозных дефляторов'!$D$75</f>
        <v>1.0429999999999999</v>
      </c>
      <c r="J165" s="146">
        <f t="shared" si="50"/>
        <v>2797391</v>
      </c>
      <c r="K165" s="146">
        <f t="shared" si="51"/>
        <v>2762792</v>
      </c>
      <c r="L165" s="147"/>
      <c r="M165" s="147"/>
      <c r="N165" s="147"/>
    </row>
    <row r="166" spans="1:14" s="148" customFormat="1" ht="15.75" hidden="1" outlineLevel="3" x14ac:dyDescent="0.2">
      <c r="A166" s="95" t="s">
        <v>1852</v>
      </c>
      <c r="B166" s="42" t="s">
        <v>851</v>
      </c>
      <c r="C166" s="42" t="s">
        <v>850</v>
      </c>
      <c r="D166" s="100" t="s">
        <v>404</v>
      </c>
      <c r="E166" s="149">
        <v>72</v>
      </c>
      <c r="F166" s="149">
        <f>86505*(1.023*1.005-2.3%*15%)*6.99+0*4.09</f>
        <v>619584</v>
      </c>
      <c r="G166" s="145">
        <f t="shared" si="48"/>
        <v>1.123</v>
      </c>
      <c r="H166" s="146">
        <f t="shared" si="49"/>
        <v>695793</v>
      </c>
      <c r="I166" s="145">
        <f>'[2]Расчет прогнозных дефляторов'!$D$75</f>
        <v>1.0429999999999999</v>
      </c>
      <c r="J166" s="146">
        <f t="shared" si="50"/>
        <v>725712</v>
      </c>
      <c r="K166" s="146">
        <f t="shared" si="51"/>
        <v>716736</v>
      </c>
      <c r="L166" s="147"/>
      <c r="M166" s="147"/>
      <c r="N166" s="147"/>
    </row>
    <row r="167" spans="1:14" s="148" customFormat="1" ht="15.75" hidden="1" outlineLevel="3" x14ac:dyDescent="0.2">
      <c r="A167" s="95" t="s">
        <v>1853</v>
      </c>
      <c r="B167" s="42" t="s">
        <v>854</v>
      </c>
      <c r="C167" s="42" t="s">
        <v>852</v>
      </c>
      <c r="D167" s="100" t="s">
        <v>292</v>
      </c>
      <c r="E167" s="149">
        <v>1</v>
      </c>
      <c r="F167" s="149">
        <f>69716*(1.023*1.005-2.3%*15%)*6.99+0*4.09</f>
        <v>499334</v>
      </c>
      <c r="G167" s="145">
        <f t="shared" si="48"/>
        <v>1.123</v>
      </c>
      <c r="H167" s="146">
        <f t="shared" si="49"/>
        <v>560752</v>
      </c>
      <c r="I167" s="145">
        <f>'[2]Расчет прогнозных дефляторов'!$D$75</f>
        <v>1.0429999999999999</v>
      </c>
      <c r="J167" s="146">
        <f t="shared" si="50"/>
        <v>584864</v>
      </c>
      <c r="K167" s="146">
        <f t="shared" si="51"/>
        <v>577630</v>
      </c>
      <c r="L167" s="147" t="s">
        <v>853</v>
      </c>
      <c r="M167" s="147"/>
      <c r="N167" s="147"/>
    </row>
    <row r="168" spans="1:14" s="148" customFormat="1" ht="15.75" hidden="1" outlineLevel="3" x14ac:dyDescent="0.2">
      <c r="A168" s="95" t="s">
        <v>1854</v>
      </c>
      <c r="B168" s="42" t="s">
        <v>856</v>
      </c>
      <c r="C168" s="42" t="s">
        <v>855</v>
      </c>
      <c r="D168" s="100" t="s">
        <v>377</v>
      </c>
      <c r="E168" s="149">
        <v>25</v>
      </c>
      <c r="F168" s="149">
        <f>4693*(1.023*1.005-2.3%*15%)*6.99+0*4.09</f>
        <v>33613</v>
      </c>
      <c r="G168" s="145">
        <f t="shared" si="48"/>
        <v>1.123</v>
      </c>
      <c r="H168" s="146">
        <f t="shared" si="49"/>
        <v>37747</v>
      </c>
      <c r="I168" s="145">
        <f>'[2]Расчет прогнозных дефляторов'!$D$75</f>
        <v>1.0429999999999999</v>
      </c>
      <c r="J168" s="146">
        <f t="shared" si="50"/>
        <v>39370</v>
      </c>
      <c r="K168" s="146">
        <f t="shared" si="51"/>
        <v>38883</v>
      </c>
      <c r="L168" s="147"/>
      <c r="M168" s="147"/>
      <c r="N168" s="147"/>
    </row>
    <row r="169" spans="1:14" s="148" customFormat="1" ht="15.75" hidden="1" outlineLevel="3" x14ac:dyDescent="0.2">
      <c r="A169" s="95" t="s">
        <v>1855</v>
      </c>
      <c r="B169" s="42" t="s">
        <v>858</v>
      </c>
      <c r="C169" s="42" t="s">
        <v>857</v>
      </c>
      <c r="D169" s="100" t="s">
        <v>404</v>
      </c>
      <c r="E169" s="168">
        <f>548.2</f>
        <v>548.20000000000005</v>
      </c>
      <c r="F169" s="149">
        <f>2078*(1.023*1.005-2.3%*15%)*6.99+0*4.09</f>
        <v>14883</v>
      </c>
      <c r="G169" s="145">
        <f t="shared" si="48"/>
        <v>1.123</v>
      </c>
      <c r="H169" s="146">
        <f t="shared" si="49"/>
        <v>16714</v>
      </c>
      <c r="I169" s="145">
        <f>'[2]Расчет прогнозных дефляторов'!$D$75</f>
        <v>1.0429999999999999</v>
      </c>
      <c r="J169" s="146">
        <f t="shared" si="50"/>
        <v>17433</v>
      </c>
      <c r="K169" s="146">
        <f t="shared" si="51"/>
        <v>17217</v>
      </c>
      <c r="L169" s="147"/>
      <c r="M169" s="147"/>
      <c r="N169" s="147"/>
    </row>
    <row r="170" spans="1:14" s="155" customFormat="1" ht="15.75" hidden="1" outlineLevel="3" x14ac:dyDescent="0.2">
      <c r="A170" s="95" t="s">
        <v>1856</v>
      </c>
      <c r="B170" s="42" t="s">
        <v>861</v>
      </c>
      <c r="C170" s="42" t="s">
        <v>859</v>
      </c>
      <c r="D170" s="143" t="s">
        <v>305</v>
      </c>
      <c r="E170" s="149">
        <v>1</v>
      </c>
      <c r="F170" s="149">
        <f>3*5*2.7/81*1813*(1.023*1.005-2.3%*15%)*6.99+247669*4.09</f>
        <v>1019459</v>
      </c>
      <c r="G170" s="145">
        <f t="shared" si="48"/>
        <v>1.123</v>
      </c>
      <c r="H170" s="146">
        <f>F170*G170</f>
        <v>1144852</v>
      </c>
      <c r="I170" s="145">
        <f>'[2]Расчет прогнозных дефляторов'!$D$93</f>
        <v>1.042</v>
      </c>
      <c r="J170" s="146">
        <f>H170*I170</f>
        <v>1192936</v>
      </c>
      <c r="K170" s="146">
        <f>H170+(J170-H170)*(1-30/100)</f>
        <v>1178511</v>
      </c>
      <c r="L170" s="154"/>
      <c r="M170" s="176"/>
      <c r="N170" s="96"/>
    </row>
    <row r="171" spans="1:14" s="155" customFormat="1" ht="15.75" hidden="1" outlineLevel="3" x14ac:dyDescent="0.2">
      <c r="A171" s="95" t="s">
        <v>1857</v>
      </c>
      <c r="B171" s="42" t="s">
        <v>862</v>
      </c>
      <c r="C171" s="42" t="s">
        <v>860</v>
      </c>
      <c r="D171" s="143" t="s">
        <v>408</v>
      </c>
      <c r="E171" s="149">
        <v>1</v>
      </c>
      <c r="F171" s="149">
        <f>3*5*2.7/81*1813*(1.023*1.005-2.3%*15%)*6.99+234714*4.09</f>
        <v>966473</v>
      </c>
      <c r="G171" s="145">
        <f t="shared" si="48"/>
        <v>1.123</v>
      </c>
      <c r="H171" s="146">
        <f>F171*G171</f>
        <v>1085349</v>
      </c>
      <c r="I171" s="145">
        <f>'[2]Расчет прогнозных дефляторов'!$D$93</f>
        <v>1.042</v>
      </c>
      <c r="J171" s="146">
        <f>H171*I171</f>
        <v>1130934</v>
      </c>
      <c r="K171" s="146">
        <f>H171+(J171-H171)*(1-30/100)</f>
        <v>1117259</v>
      </c>
      <c r="L171" s="154"/>
      <c r="M171" s="96"/>
      <c r="N171" s="96"/>
    </row>
    <row r="172" spans="1:14" s="155" customFormat="1" ht="15.75" hidden="1" outlineLevel="3" x14ac:dyDescent="0.2">
      <c r="A172" s="95" t="s">
        <v>1858</v>
      </c>
      <c r="B172" s="42" t="s">
        <v>863</v>
      </c>
      <c r="C172" s="42" t="s">
        <v>864</v>
      </c>
      <c r="D172" s="143" t="s">
        <v>404</v>
      </c>
      <c r="E172" s="168">
        <v>55</v>
      </c>
      <c r="F172" s="149">
        <f>(2508)*(1.023*1.005-2.3%*15%)*6.99+0*4.09</f>
        <v>17963</v>
      </c>
      <c r="G172" s="145">
        <f t="shared" si="48"/>
        <v>1.123</v>
      </c>
      <c r="H172" s="146">
        <f>F172*G172</f>
        <v>20172</v>
      </c>
      <c r="I172" s="145">
        <f>'[2]Расчет прогнозных дефляторов'!$D$93</f>
        <v>1.042</v>
      </c>
      <c r="J172" s="146">
        <f>H172*I172</f>
        <v>21019</v>
      </c>
      <c r="K172" s="146">
        <f>H172+(J172-H172)*(1-30/100)</f>
        <v>20765</v>
      </c>
      <c r="L172" s="154"/>
      <c r="M172" s="96"/>
      <c r="N172" s="96"/>
    </row>
    <row r="173" spans="1:14" s="237" customFormat="1" ht="15.75" outlineLevel="2" collapsed="1" x14ac:dyDescent="0.2">
      <c r="A173" s="238" t="s">
        <v>395</v>
      </c>
      <c r="B173" s="229" t="s">
        <v>160</v>
      </c>
      <c r="C173" s="229" t="s">
        <v>1848</v>
      </c>
      <c r="D173" s="239" t="s">
        <v>292</v>
      </c>
      <c r="E173" s="240">
        <v>1</v>
      </c>
      <c r="F173" s="240">
        <f>SUM(F174:F250)</f>
        <v>82872073</v>
      </c>
      <c r="G173" s="241">
        <f t="shared" si="48"/>
        <v>1.123</v>
      </c>
      <c r="H173" s="240">
        <f>SUM(H174:H250)</f>
        <v>93065337</v>
      </c>
      <c r="I173" s="241">
        <f>'[2]Расчет прогнозных дефляторов'!$D$75</f>
        <v>1.0429999999999999</v>
      </c>
      <c r="J173" s="240">
        <f>SUM(J174:J250)</f>
        <v>97067148</v>
      </c>
      <c r="K173" s="240">
        <f>SUM(K174:K250)</f>
        <v>95866609</v>
      </c>
      <c r="L173" s="256"/>
      <c r="M173" s="256"/>
      <c r="N173" s="256"/>
    </row>
    <row r="174" spans="1:14" s="148" customFormat="1" ht="15.75" hidden="1" outlineLevel="3" x14ac:dyDescent="0.2">
      <c r="A174" s="95"/>
      <c r="B174" s="42"/>
      <c r="C174" s="42" t="s">
        <v>866</v>
      </c>
      <c r="D174" s="100"/>
      <c r="E174" s="168"/>
      <c r="F174" s="149"/>
      <c r="G174" s="145"/>
      <c r="H174" s="146"/>
      <c r="I174" s="145"/>
      <c r="J174" s="146"/>
      <c r="K174" s="146"/>
      <c r="L174" s="147"/>
      <c r="M174" s="147"/>
      <c r="N174" s="147"/>
    </row>
    <row r="175" spans="1:14" s="148" customFormat="1" ht="15.75" hidden="1" outlineLevel="3" x14ac:dyDescent="0.2">
      <c r="A175" s="95"/>
      <c r="B175" s="42"/>
      <c r="C175" s="157" t="s">
        <v>870</v>
      </c>
      <c r="D175" s="100"/>
      <c r="E175" s="168"/>
      <c r="F175" s="149"/>
      <c r="G175" s="145"/>
      <c r="H175" s="146"/>
      <c r="I175" s="145"/>
      <c r="J175" s="146"/>
      <c r="K175" s="146"/>
      <c r="L175" s="147"/>
      <c r="M175" s="147"/>
      <c r="N175" s="147"/>
    </row>
    <row r="176" spans="1:14" s="148" customFormat="1" ht="15.75" hidden="1" outlineLevel="3" x14ac:dyDescent="0.2">
      <c r="A176" s="95" t="s">
        <v>396</v>
      </c>
      <c r="B176" s="42" t="s">
        <v>867</v>
      </c>
      <c r="C176" s="42" t="s">
        <v>865</v>
      </c>
      <c r="D176" s="100" t="s">
        <v>377</v>
      </c>
      <c r="E176" s="168">
        <f>147.8</f>
        <v>147.80000000000001</v>
      </c>
      <c r="F176" s="149">
        <f>(16089+10569)*(1.023*1.005-2.3%*15%)*6.99+0*4.09</f>
        <v>190935</v>
      </c>
      <c r="G176" s="145">
        <f>$G$766</f>
        <v>1.123</v>
      </c>
      <c r="H176" s="146">
        <f t="shared" ref="H176:H178" si="52">F176*G176</f>
        <v>214420</v>
      </c>
      <c r="I176" s="145">
        <f>'[2]Расчет прогнозных дефляторов'!$D$75</f>
        <v>1.0429999999999999</v>
      </c>
      <c r="J176" s="146">
        <f t="shared" ref="J176:J178" si="53">H176*I176</f>
        <v>223640</v>
      </c>
      <c r="K176" s="146">
        <f t="shared" ref="K176:K178" si="54">H176+(J176-H176)*(1-30/100)</f>
        <v>220874</v>
      </c>
      <c r="L176" s="147"/>
      <c r="M176" s="147"/>
      <c r="N176" s="147"/>
    </row>
    <row r="177" spans="1:14" s="148" customFormat="1" ht="25.5" hidden="1" outlineLevel="3" x14ac:dyDescent="0.2">
      <c r="A177" s="95" t="s">
        <v>397</v>
      </c>
      <c r="B177" s="42" t="s">
        <v>400</v>
      </c>
      <c r="C177" s="42" t="s">
        <v>868</v>
      </c>
      <c r="D177" s="100" t="s">
        <v>404</v>
      </c>
      <c r="E177" s="168">
        <v>1360</v>
      </c>
      <c r="F177" s="149">
        <f>(41932+8690+164346)*(1.023*1.005-2.3%*15%)*6.99+0*4.09</f>
        <v>1539689</v>
      </c>
      <c r="G177" s="145">
        <f>$G$766</f>
        <v>1.123</v>
      </c>
      <c r="H177" s="146">
        <f t="shared" si="52"/>
        <v>1729071</v>
      </c>
      <c r="I177" s="145">
        <f>'[2]Расчет прогнозных дефляторов'!$D$75</f>
        <v>1.0429999999999999</v>
      </c>
      <c r="J177" s="146">
        <f t="shared" si="53"/>
        <v>1803421</v>
      </c>
      <c r="K177" s="146">
        <f t="shared" si="54"/>
        <v>1781116</v>
      </c>
      <c r="L177" s="147"/>
      <c r="M177" s="147"/>
      <c r="N177" s="147"/>
    </row>
    <row r="178" spans="1:14" s="148" customFormat="1" ht="63.75" hidden="1" outlineLevel="3" x14ac:dyDescent="0.2">
      <c r="A178" s="95" t="s">
        <v>399</v>
      </c>
      <c r="B178" s="42" t="s">
        <v>869</v>
      </c>
      <c r="C178" s="42" t="s">
        <v>871</v>
      </c>
      <c r="D178" s="100" t="s">
        <v>404</v>
      </c>
      <c r="E178" s="168">
        <v>57.1</v>
      </c>
      <c r="F178" s="149">
        <f>(36896)*(1.023*1.005-2.3%*15%)*6.99+0*4.09</f>
        <v>264264</v>
      </c>
      <c r="G178" s="145">
        <f>$G$766</f>
        <v>1.123</v>
      </c>
      <c r="H178" s="146">
        <f t="shared" si="52"/>
        <v>296768</v>
      </c>
      <c r="I178" s="145">
        <f>'[2]Расчет прогнозных дефляторов'!$D$75</f>
        <v>1.0429999999999999</v>
      </c>
      <c r="J178" s="146">
        <f t="shared" si="53"/>
        <v>309529</v>
      </c>
      <c r="K178" s="146">
        <f t="shared" si="54"/>
        <v>305701</v>
      </c>
      <c r="L178" s="147"/>
      <c r="M178" s="147"/>
      <c r="N178" s="147"/>
    </row>
    <row r="179" spans="1:14" s="148" customFormat="1" ht="15.75" hidden="1" outlineLevel="3" x14ac:dyDescent="0.2">
      <c r="A179" s="95"/>
      <c r="B179" s="42"/>
      <c r="C179" s="157" t="s">
        <v>872</v>
      </c>
      <c r="D179" s="100"/>
      <c r="E179" s="168"/>
      <c r="F179" s="149"/>
      <c r="G179" s="145"/>
      <c r="H179" s="146"/>
      <c r="I179" s="145"/>
      <c r="J179" s="146"/>
      <c r="K179" s="146"/>
      <c r="L179" s="147"/>
      <c r="M179" s="147"/>
      <c r="N179" s="147"/>
    </row>
    <row r="180" spans="1:14" s="148" customFormat="1" ht="15.75" hidden="1" outlineLevel="3" x14ac:dyDescent="0.2">
      <c r="A180" s="95" t="s">
        <v>401</v>
      </c>
      <c r="B180" s="42" t="s">
        <v>874</v>
      </c>
      <c r="C180" s="42" t="s">
        <v>873</v>
      </c>
      <c r="D180" s="100" t="s">
        <v>404</v>
      </c>
      <c r="E180" s="168">
        <v>1034.3</v>
      </c>
      <c r="F180" s="149">
        <f>(21257)*(1.023*1.005-2.3%*15%)*6.99+0*4.09</f>
        <v>152251</v>
      </c>
      <c r="G180" s="145">
        <f t="shared" ref="G180:G185" si="55">$G$766</f>
        <v>1.123</v>
      </c>
      <c r="H180" s="146">
        <f t="shared" ref="H180:H185" si="56">F180*G180</f>
        <v>170978</v>
      </c>
      <c r="I180" s="145">
        <f>'[2]Расчет прогнозных дефляторов'!$D$75</f>
        <v>1.0429999999999999</v>
      </c>
      <c r="J180" s="146">
        <f t="shared" ref="J180:J185" si="57">H180*I180</f>
        <v>178330</v>
      </c>
      <c r="K180" s="146">
        <f t="shared" ref="K180:K185" si="58">H180+(J180-H180)*(1-30/100)</f>
        <v>176124</v>
      </c>
      <c r="L180" s="147"/>
      <c r="M180" s="147"/>
      <c r="N180" s="147"/>
    </row>
    <row r="181" spans="1:14" s="148" customFormat="1" ht="51" hidden="1" outlineLevel="3" x14ac:dyDescent="0.2">
      <c r="A181" s="95" t="s">
        <v>402</v>
      </c>
      <c r="B181" s="42" t="s">
        <v>876</v>
      </c>
      <c r="C181" s="42" t="s">
        <v>875</v>
      </c>
      <c r="D181" s="100" t="s">
        <v>404</v>
      </c>
      <c r="E181" s="168">
        <v>957.9</v>
      </c>
      <c r="F181" s="149">
        <f>(763776)*(1.023*1.005-2.3%*15%)*6.99+0*4.09</f>
        <v>5470476</v>
      </c>
      <c r="G181" s="145">
        <f t="shared" si="55"/>
        <v>1.123</v>
      </c>
      <c r="H181" s="146">
        <f t="shared" si="56"/>
        <v>6143345</v>
      </c>
      <c r="I181" s="145">
        <f>'[2]Расчет прогнозных дефляторов'!$D$75</f>
        <v>1.0429999999999999</v>
      </c>
      <c r="J181" s="146">
        <f t="shared" si="57"/>
        <v>6407509</v>
      </c>
      <c r="K181" s="146">
        <f t="shared" si="58"/>
        <v>6328260</v>
      </c>
      <c r="L181" s="147"/>
      <c r="M181" s="147"/>
      <c r="N181" s="147"/>
    </row>
    <row r="182" spans="1:14" s="148" customFormat="1" ht="51" hidden="1" outlineLevel="3" x14ac:dyDescent="0.2">
      <c r="A182" s="95" t="s">
        <v>403</v>
      </c>
      <c r="B182" s="42" t="s">
        <v>878</v>
      </c>
      <c r="C182" s="42" t="s">
        <v>877</v>
      </c>
      <c r="D182" s="100" t="s">
        <v>404</v>
      </c>
      <c r="E182" s="168">
        <v>24.5</v>
      </c>
      <c r="F182" s="149">
        <f>(17897)*(1.023*1.005-2.3%*15%)*6.99+0*4.09</f>
        <v>128186</v>
      </c>
      <c r="G182" s="145">
        <f t="shared" si="55"/>
        <v>1.123</v>
      </c>
      <c r="H182" s="146">
        <f t="shared" si="56"/>
        <v>143953</v>
      </c>
      <c r="I182" s="145">
        <f>'[2]Расчет прогнозных дефляторов'!$D$75</f>
        <v>1.0429999999999999</v>
      </c>
      <c r="J182" s="146">
        <f t="shared" si="57"/>
        <v>150143</v>
      </c>
      <c r="K182" s="146">
        <f t="shared" si="58"/>
        <v>148286</v>
      </c>
      <c r="L182" s="147"/>
      <c r="M182" s="147"/>
      <c r="N182" s="147"/>
    </row>
    <row r="183" spans="1:14" s="148" customFormat="1" ht="15.75" hidden="1" outlineLevel="3" x14ac:dyDescent="0.2">
      <c r="A183" s="95" t="s">
        <v>405</v>
      </c>
      <c r="B183" s="42" t="s">
        <v>880</v>
      </c>
      <c r="C183" s="42" t="s">
        <v>879</v>
      </c>
      <c r="D183" s="100" t="s">
        <v>404</v>
      </c>
      <c r="E183" s="100">
        <f>18.51</f>
        <v>18.510000000000002</v>
      </c>
      <c r="F183" s="149">
        <f>(2415)*(1.023*1.005-2.3%*15%)*6.99+0*4.09</f>
        <v>17297</v>
      </c>
      <c r="G183" s="145">
        <f t="shared" si="55"/>
        <v>1.123</v>
      </c>
      <c r="H183" s="146">
        <f t="shared" si="56"/>
        <v>19425</v>
      </c>
      <c r="I183" s="145">
        <f>'[2]Расчет прогнозных дефляторов'!$D$75</f>
        <v>1.0429999999999999</v>
      </c>
      <c r="J183" s="146">
        <f t="shared" si="57"/>
        <v>20260</v>
      </c>
      <c r="K183" s="146">
        <f t="shared" si="58"/>
        <v>20010</v>
      </c>
      <c r="L183" s="147"/>
      <c r="M183" s="147"/>
      <c r="N183" s="147"/>
    </row>
    <row r="184" spans="1:14" s="148" customFormat="1" ht="25.5" hidden="1" outlineLevel="3" x14ac:dyDescent="0.2">
      <c r="A184" s="95" t="s">
        <v>1859</v>
      </c>
      <c r="B184" s="42" t="s">
        <v>882</v>
      </c>
      <c r="C184" s="42" t="s">
        <v>881</v>
      </c>
      <c r="D184" s="100" t="s">
        <v>404</v>
      </c>
      <c r="E184" s="100">
        <f>2.56</f>
        <v>2.56</v>
      </c>
      <c r="F184" s="149">
        <f>(2610)*(1.023*1.005-2.3%*15%)*6.99+0*4.09</f>
        <v>18694</v>
      </c>
      <c r="G184" s="145">
        <f t="shared" si="55"/>
        <v>1.123</v>
      </c>
      <c r="H184" s="146">
        <f t="shared" si="56"/>
        <v>20993</v>
      </c>
      <c r="I184" s="145">
        <f>'[2]Расчет прогнозных дефляторов'!$D$75</f>
        <v>1.0429999999999999</v>
      </c>
      <c r="J184" s="146">
        <f t="shared" si="57"/>
        <v>21896</v>
      </c>
      <c r="K184" s="146">
        <f t="shared" si="58"/>
        <v>21625</v>
      </c>
      <c r="L184" s="147"/>
      <c r="M184" s="147"/>
      <c r="N184" s="147"/>
    </row>
    <row r="185" spans="1:14" s="148" customFormat="1" ht="15.75" hidden="1" outlineLevel="3" x14ac:dyDescent="0.2">
      <c r="A185" s="95" t="s">
        <v>1860</v>
      </c>
      <c r="B185" s="42" t="s">
        <v>884</v>
      </c>
      <c r="C185" s="42" t="s">
        <v>883</v>
      </c>
      <c r="D185" s="100" t="s">
        <v>404</v>
      </c>
      <c r="E185" s="100">
        <f>116.13</f>
        <v>116.13</v>
      </c>
      <c r="F185" s="149">
        <f>(21437)*(1.023*1.005-2.3%*15%)*6.99+0*4.09</f>
        <v>153541</v>
      </c>
      <c r="G185" s="145">
        <f t="shared" si="55"/>
        <v>1.123</v>
      </c>
      <c r="H185" s="146">
        <f t="shared" si="56"/>
        <v>172427</v>
      </c>
      <c r="I185" s="145">
        <f>'[2]Расчет прогнозных дефляторов'!$D$75</f>
        <v>1.0429999999999999</v>
      </c>
      <c r="J185" s="146">
        <f t="shared" si="57"/>
        <v>179841</v>
      </c>
      <c r="K185" s="146">
        <f t="shared" si="58"/>
        <v>177617</v>
      </c>
      <c r="L185" s="147"/>
      <c r="M185" s="147"/>
      <c r="N185" s="147"/>
    </row>
    <row r="186" spans="1:14" s="148" customFormat="1" ht="15.75" hidden="1" outlineLevel="3" x14ac:dyDescent="0.2">
      <c r="A186" s="95"/>
      <c r="B186" s="42"/>
      <c r="C186" s="157" t="s">
        <v>885</v>
      </c>
      <c r="D186" s="100"/>
      <c r="E186" s="168"/>
      <c r="F186" s="149"/>
      <c r="G186" s="145"/>
      <c r="H186" s="146"/>
      <c r="I186" s="145"/>
      <c r="J186" s="146"/>
      <c r="K186" s="146"/>
      <c r="L186" s="147"/>
      <c r="M186" s="147"/>
      <c r="N186" s="147"/>
    </row>
    <row r="187" spans="1:14" s="148" customFormat="1" ht="15.75" hidden="1" outlineLevel="3" x14ac:dyDescent="0.2">
      <c r="A187" s="95"/>
      <c r="B187" s="42"/>
      <c r="C187" s="42" t="s">
        <v>886</v>
      </c>
      <c r="D187" s="100"/>
      <c r="E187" s="168"/>
      <c r="F187" s="149"/>
      <c r="G187" s="145"/>
      <c r="H187" s="146"/>
      <c r="I187" s="145"/>
      <c r="J187" s="146"/>
      <c r="K187" s="146"/>
      <c r="L187" s="147"/>
      <c r="M187" s="147"/>
      <c r="N187" s="147"/>
    </row>
    <row r="188" spans="1:14" s="148" customFormat="1" ht="15.75" hidden="1" outlineLevel="3" x14ac:dyDescent="0.2">
      <c r="A188" s="95" t="s">
        <v>1861</v>
      </c>
      <c r="B188" s="42" t="s">
        <v>888</v>
      </c>
      <c r="C188" s="42" t="s">
        <v>887</v>
      </c>
      <c r="D188" s="100" t="s">
        <v>404</v>
      </c>
      <c r="E188" s="168">
        <f>196.4</f>
        <v>196.4</v>
      </c>
      <c r="F188" s="149">
        <f>(5245+18301)*(1.023*1.005-2.3%*15%)*6.99+0*4.09</f>
        <v>168646</v>
      </c>
      <c r="G188" s="145">
        <f>$G$766</f>
        <v>1.123</v>
      </c>
      <c r="H188" s="146">
        <f t="shared" ref="H188:H190" si="59">F188*G188</f>
        <v>189389</v>
      </c>
      <c r="I188" s="145">
        <f>'[2]Расчет прогнозных дефляторов'!$D$75</f>
        <v>1.0429999999999999</v>
      </c>
      <c r="J188" s="146">
        <f t="shared" ref="J188:J190" si="60">H188*I188</f>
        <v>197533</v>
      </c>
      <c r="K188" s="146">
        <f t="shared" ref="K188:K190" si="61">H188+(J188-H188)*(1-30/100)</f>
        <v>195090</v>
      </c>
      <c r="L188" s="147"/>
      <c r="M188" s="147"/>
      <c r="N188" s="147"/>
    </row>
    <row r="189" spans="1:14" s="148" customFormat="1" ht="15.75" hidden="1" outlineLevel="3" x14ac:dyDescent="0.2">
      <c r="A189" s="95" t="s">
        <v>1862</v>
      </c>
      <c r="B189" s="42" t="s">
        <v>889</v>
      </c>
      <c r="C189" s="42" t="s">
        <v>890</v>
      </c>
      <c r="D189" s="100" t="s">
        <v>377</v>
      </c>
      <c r="E189" s="168">
        <f>91.2</f>
        <v>91.2</v>
      </c>
      <c r="F189" s="149">
        <f>(17114)*(1.023*1.005-2.3%*15%)*6.99+0*4.09</f>
        <v>122577</v>
      </c>
      <c r="G189" s="145">
        <f>$G$766</f>
        <v>1.123</v>
      </c>
      <c r="H189" s="146">
        <f t="shared" si="59"/>
        <v>137654</v>
      </c>
      <c r="I189" s="145">
        <f>'[2]Расчет прогнозных дефляторов'!$D$75</f>
        <v>1.0429999999999999</v>
      </c>
      <c r="J189" s="146">
        <f t="shared" si="60"/>
        <v>143573</v>
      </c>
      <c r="K189" s="146">
        <f t="shared" si="61"/>
        <v>141797</v>
      </c>
      <c r="L189" s="147"/>
      <c r="M189" s="147"/>
      <c r="N189" s="147"/>
    </row>
    <row r="190" spans="1:14" s="148" customFormat="1" ht="38.25" hidden="1" outlineLevel="3" x14ac:dyDescent="0.2">
      <c r="A190" s="95" t="s">
        <v>1863</v>
      </c>
      <c r="B190" s="42" t="s">
        <v>892</v>
      </c>
      <c r="C190" s="42" t="s">
        <v>891</v>
      </c>
      <c r="D190" s="100" t="s">
        <v>404</v>
      </c>
      <c r="E190" s="168">
        <f>57.4</f>
        <v>57.4</v>
      </c>
      <c r="F190" s="149">
        <f>(6694)*(1.023*1.005-2.3%*15%)*6.99+0*4.09</f>
        <v>47945</v>
      </c>
      <c r="G190" s="145">
        <f>$G$766</f>
        <v>1.123</v>
      </c>
      <c r="H190" s="146">
        <f t="shared" si="59"/>
        <v>53842</v>
      </c>
      <c r="I190" s="145">
        <f>'[2]Расчет прогнозных дефляторов'!$D$75</f>
        <v>1.0429999999999999</v>
      </c>
      <c r="J190" s="146">
        <f t="shared" si="60"/>
        <v>56157</v>
      </c>
      <c r="K190" s="146">
        <f t="shared" si="61"/>
        <v>55463</v>
      </c>
      <c r="L190" s="147"/>
      <c r="M190" s="147"/>
      <c r="N190" s="147"/>
    </row>
    <row r="191" spans="1:14" s="148" customFormat="1" ht="15.75" hidden="1" outlineLevel="3" x14ac:dyDescent="0.2">
      <c r="A191" s="95"/>
      <c r="B191" s="42"/>
      <c r="C191" s="157" t="s">
        <v>465</v>
      </c>
      <c r="D191" s="100"/>
      <c r="E191" s="168"/>
      <c r="F191" s="149"/>
      <c r="G191" s="145"/>
      <c r="H191" s="146"/>
      <c r="I191" s="145"/>
      <c r="J191" s="146"/>
      <c r="K191" s="146"/>
      <c r="L191" s="147"/>
      <c r="M191" s="147"/>
      <c r="N191" s="147"/>
    </row>
    <row r="192" spans="1:14" s="148" customFormat="1" ht="15.75" hidden="1" outlineLevel="3" x14ac:dyDescent="0.2">
      <c r="A192" s="95" t="s">
        <v>1864</v>
      </c>
      <c r="B192" s="42" t="s">
        <v>894</v>
      </c>
      <c r="C192" s="42" t="s">
        <v>893</v>
      </c>
      <c r="D192" s="100" t="s">
        <v>300</v>
      </c>
      <c r="E192" s="100">
        <f>938.53</f>
        <v>938.53</v>
      </c>
      <c r="F192" s="149">
        <f>(357102)*(1.023*1.005-2.3%*15%)*6.99+0*4.09</f>
        <v>2557710</v>
      </c>
      <c r="G192" s="145">
        <f>$G$766</f>
        <v>1.123</v>
      </c>
      <c r="H192" s="146">
        <f t="shared" ref="H192:H194" si="62">F192*G192</f>
        <v>2872308</v>
      </c>
      <c r="I192" s="145">
        <f>'[2]Расчет прогнозных дефляторов'!$D$75</f>
        <v>1.0429999999999999</v>
      </c>
      <c r="J192" s="146">
        <f t="shared" ref="J192:J194" si="63">H192*I192</f>
        <v>2995817</v>
      </c>
      <c r="K192" s="146">
        <f t="shared" ref="K192:K194" si="64">H192+(J192-H192)*(1-30/100)</f>
        <v>2958764</v>
      </c>
      <c r="L192" s="147"/>
      <c r="M192" s="147"/>
      <c r="N192" s="147"/>
    </row>
    <row r="193" spans="1:14" s="148" customFormat="1" ht="15.75" hidden="1" outlineLevel="3" x14ac:dyDescent="0.2">
      <c r="A193" s="95" t="s">
        <v>1865</v>
      </c>
      <c r="B193" s="42" t="s">
        <v>896</v>
      </c>
      <c r="C193" s="42" t="s">
        <v>895</v>
      </c>
      <c r="D193" s="100" t="s">
        <v>404</v>
      </c>
      <c r="E193" s="145">
        <f>107.894</f>
        <v>107.89400000000001</v>
      </c>
      <c r="F193" s="149">
        <f>(18233)*(1.023*1.005-2.3%*15%)*6.99+0*4.09</f>
        <v>130592</v>
      </c>
      <c r="G193" s="145">
        <f>$G$766</f>
        <v>1.123</v>
      </c>
      <c r="H193" s="146">
        <f t="shared" si="62"/>
        <v>146655</v>
      </c>
      <c r="I193" s="145">
        <f>'[2]Расчет прогнозных дефляторов'!$D$75</f>
        <v>1.0429999999999999</v>
      </c>
      <c r="J193" s="146">
        <f t="shared" si="63"/>
        <v>152961</v>
      </c>
      <c r="K193" s="146">
        <f t="shared" si="64"/>
        <v>151069</v>
      </c>
      <c r="L193" s="147"/>
      <c r="M193" s="147"/>
      <c r="N193" s="147"/>
    </row>
    <row r="194" spans="1:14" s="148" customFormat="1" ht="15.75" hidden="1" outlineLevel="3" x14ac:dyDescent="0.2">
      <c r="A194" s="95" t="s">
        <v>1866</v>
      </c>
      <c r="B194" s="42" t="s">
        <v>898</v>
      </c>
      <c r="C194" s="42" t="s">
        <v>897</v>
      </c>
      <c r="D194" s="100" t="s">
        <v>300</v>
      </c>
      <c r="E194" s="168">
        <f>11.7</f>
        <v>11.7</v>
      </c>
      <c r="F194" s="149">
        <f>(9898)*(1.023*1.005-2.3%*15%)*6.99+0*4.09</f>
        <v>70894</v>
      </c>
      <c r="G194" s="145">
        <f>$G$766</f>
        <v>1.123</v>
      </c>
      <c r="H194" s="146">
        <f t="shared" si="62"/>
        <v>79614</v>
      </c>
      <c r="I194" s="145">
        <f>'[2]Расчет прогнозных дефляторов'!$D$75</f>
        <v>1.0429999999999999</v>
      </c>
      <c r="J194" s="146">
        <f t="shared" si="63"/>
        <v>83037</v>
      </c>
      <c r="K194" s="146">
        <f t="shared" si="64"/>
        <v>82010</v>
      </c>
      <c r="L194" s="147"/>
      <c r="M194" s="147"/>
      <c r="N194" s="147"/>
    </row>
    <row r="195" spans="1:14" s="148" customFormat="1" ht="15.75" hidden="1" outlineLevel="3" x14ac:dyDescent="0.2">
      <c r="A195" s="95"/>
      <c r="B195" s="42"/>
      <c r="C195" s="157" t="s">
        <v>414</v>
      </c>
      <c r="D195" s="100"/>
      <c r="E195" s="168"/>
      <c r="F195" s="149"/>
      <c r="G195" s="145"/>
      <c r="H195" s="146"/>
      <c r="I195" s="145"/>
      <c r="J195" s="146"/>
      <c r="K195" s="146"/>
      <c r="L195" s="147"/>
      <c r="M195" s="147"/>
      <c r="N195" s="147"/>
    </row>
    <row r="196" spans="1:14" s="148" customFormat="1" ht="102" hidden="1" outlineLevel="3" x14ac:dyDescent="0.2">
      <c r="A196" s="95" t="s">
        <v>1867</v>
      </c>
      <c r="B196" s="42" t="s">
        <v>899</v>
      </c>
      <c r="C196" s="42" t="s">
        <v>900</v>
      </c>
      <c r="D196" s="100" t="s">
        <v>404</v>
      </c>
      <c r="E196" s="168">
        <v>428</v>
      </c>
      <c r="F196" s="149">
        <f>(272799)*(1.023*1.005-2.3%*15%)*6.99+0*4.09</f>
        <v>1953898</v>
      </c>
      <c r="G196" s="145">
        <f t="shared" ref="G196:G202" si="65">$G$766</f>
        <v>1.123</v>
      </c>
      <c r="H196" s="146">
        <f t="shared" ref="H196:H202" si="66">F196*G196</f>
        <v>2194227</v>
      </c>
      <c r="I196" s="145">
        <f>'[2]Расчет прогнозных дефляторов'!$D$75</f>
        <v>1.0429999999999999</v>
      </c>
      <c r="J196" s="146">
        <f t="shared" ref="J196:J202" si="67">H196*I196</f>
        <v>2288579</v>
      </c>
      <c r="K196" s="146">
        <f t="shared" ref="K196:K202" si="68">H196+(J196-H196)*(1-30/100)</f>
        <v>2260273</v>
      </c>
      <c r="L196" s="147"/>
      <c r="M196" s="147"/>
      <c r="N196" s="147"/>
    </row>
    <row r="197" spans="1:14" s="148" customFormat="1" ht="76.5" hidden="1" outlineLevel="3" x14ac:dyDescent="0.2">
      <c r="A197" s="95" t="s">
        <v>1868</v>
      </c>
      <c r="B197" s="42" t="s">
        <v>902</v>
      </c>
      <c r="C197" s="42" t="s">
        <v>904</v>
      </c>
      <c r="D197" s="100" t="s">
        <v>404</v>
      </c>
      <c r="E197" s="168">
        <f>988.1</f>
        <v>988.1</v>
      </c>
      <c r="F197" s="149">
        <f>(215544)*(1.023*1.005-2.3%*15%)*6.99+0*4.09</f>
        <v>1543814</v>
      </c>
      <c r="G197" s="145">
        <f t="shared" si="65"/>
        <v>1.123</v>
      </c>
      <c r="H197" s="146">
        <f t="shared" si="66"/>
        <v>1733703</v>
      </c>
      <c r="I197" s="145">
        <f>'[2]Расчет прогнозных дефляторов'!$D$75</f>
        <v>1.0429999999999999</v>
      </c>
      <c r="J197" s="146">
        <f t="shared" si="67"/>
        <v>1808252</v>
      </c>
      <c r="K197" s="146">
        <f t="shared" si="68"/>
        <v>1785887</v>
      </c>
      <c r="L197" s="147"/>
      <c r="M197" s="147"/>
      <c r="N197" s="147"/>
    </row>
    <row r="198" spans="1:14" s="148" customFormat="1" ht="38.25" hidden="1" outlineLevel="3" x14ac:dyDescent="0.2">
      <c r="A198" s="95" t="s">
        <v>1869</v>
      </c>
      <c r="B198" s="42" t="s">
        <v>903</v>
      </c>
      <c r="C198" s="42" t="s">
        <v>901</v>
      </c>
      <c r="D198" s="100" t="s">
        <v>404</v>
      </c>
      <c r="E198" s="168">
        <f>33.2</f>
        <v>33.200000000000003</v>
      </c>
      <c r="F198" s="149">
        <f>(13596)*(1.023*1.005-2.3%*15%)*6.99+0*4.09</f>
        <v>97380</v>
      </c>
      <c r="G198" s="145">
        <f t="shared" si="65"/>
        <v>1.123</v>
      </c>
      <c r="H198" s="146">
        <f t="shared" si="66"/>
        <v>109358</v>
      </c>
      <c r="I198" s="145">
        <f>'[2]Расчет прогнозных дефляторов'!$D$75</f>
        <v>1.0429999999999999</v>
      </c>
      <c r="J198" s="146">
        <f t="shared" si="67"/>
        <v>114060</v>
      </c>
      <c r="K198" s="146">
        <f t="shared" si="68"/>
        <v>112649</v>
      </c>
      <c r="L198" s="147"/>
      <c r="M198" s="147"/>
      <c r="N198" s="147"/>
    </row>
    <row r="199" spans="1:14" s="148" customFormat="1" ht="15.75" hidden="1" outlineLevel="3" x14ac:dyDescent="0.2">
      <c r="A199" s="95" t="s">
        <v>1870</v>
      </c>
      <c r="B199" s="42" t="s">
        <v>906</v>
      </c>
      <c r="C199" s="42" t="s">
        <v>905</v>
      </c>
      <c r="D199" s="100" t="s">
        <v>377</v>
      </c>
      <c r="E199" s="168">
        <f>147</f>
        <v>147</v>
      </c>
      <c r="F199" s="149">
        <f>(17188)*(1.023*1.005-2.3%*15%)*6.99+0*4.09</f>
        <v>123107</v>
      </c>
      <c r="G199" s="145">
        <f t="shared" si="65"/>
        <v>1.123</v>
      </c>
      <c r="H199" s="146">
        <f t="shared" si="66"/>
        <v>138249</v>
      </c>
      <c r="I199" s="145">
        <f>'[2]Расчет прогнозных дефляторов'!$D$75</f>
        <v>1.0429999999999999</v>
      </c>
      <c r="J199" s="146">
        <f t="shared" si="67"/>
        <v>144194</v>
      </c>
      <c r="K199" s="146">
        <f t="shared" si="68"/>
        <v>142411</v>
      </c>
      <c r="L199" s="147"/>
      <c r="M199" s="147"/>
      <c r="N199" s="147"/>
    </row>
    <row r="200" spans="1:14" s="148" customFormat="1" ht="15.75" hidden="1" outlineLevel="3" x14ac:dyDescent="0.2">
      <c r="A200" s="95" t="s">
        <v>1871</v>
      </c>
      <c r="B200" s="42" t="s">
        <v>907</v>
      </c>
      <c r="C200" s="42" t="s">
        <v>908</v>
      </c>
      <c r="D200" s="100" t="s">
        <v>408</v>
      </c>
      <c r="E200" s="168">
        <v>1</v>
      </c>
      <c r="F200" s="149">
        <f>(2642)*(1.023*1.005-2.3%*15%)*6.99+0*4.09</f>
        <v>18923</v>
      </c>
      <c r="G200" s="145">
        <f t="shared" si="65"/>
        <v>1.123</v>
      </c>
      <c r="H200" s="146">
        <f t="shared" si="66"/>
        <v>21251</v>
      </c>
      <c r="I200" s="145">
        <f>'[2]Расчет прогнозных дефляторов'!$D$75</f>
        <v>1.0429999999999999</v>
      </c>
      <c r="J200" s="146">
        <f t="shared" si="67"/>
        <v>22165</v>
      </c>
      <c r="K200" s="146">
        <f t="shared" si="68"/>
        <v>21891</v>
      </c>
      <c r="L200" s="147"/>
      <c r="M200" s="147"/>
      <c r="N200" s="147"/>
    </row>
    <row r="201" spans="1:14" s="148" customFormat="1" ht="15.75" hidden="1" outlineLevel="3" x14ac:dyDescent="0.2">
      <c r="A201" s="95" t="s">
        <v>1872</v>
      </c>
      <c r="B201" s="42" t="s">
        <v>910</v>
      </c>
      <c r="C201" s="42" t="s">
        <v>909</v>
      </c>
      <c r="D201" s="100" t="s">
        <v>292</v>
      </c>
      <c r="E201" s="168">
        <v>1</v>
      </c>
      <c r="F201" s="149">
        <f>(6275)*(1.023*1.005-2.3%*15%)*6.99+0*4.09</f>
        <v>44944</v>
      </c>
      <c r="G201" s="145">
        <f t="shared" si="65"/>
        <v>1.123</v>
      </c>
      <c r="H201" s="146">
        <f t="shared" si="66"/>
        <v>50472</v>
      </c>
      <c r="I201" s="145">
        <f>'[2]Расчет прогнозных дефляторов'!$D$75</f>
        <v>1.0429999999999999</v>
      </c>
      <c r="J201" s="146">
        <f t="shared" si="67"/>
        <v>52642</v>
      </c>
      <c r="K201" s="146">
        <f t="shared" si="68"/>
        <v>51991</v>
      </c>
      <c r="L201" s="147"/>
      <c r="M201" s="147"/>
      <c r="N201" s="147"/>
    </row>
    <row r="202" spans="1:14" s="148" customFormat="1" ht="38.25" hidden="1" outlineLevel="3" x14ac:dyDescent="0.2">
      <c r="A202" s="95" t="s">
        <v>1873</v>
      </c>
      <c r="B202" s="42" t="s">
        <v>912</v>
      </c>
      <c r="C202" s="42" t="s">
        <v>911</v>
      </c>
      <c r="D202" s="100" t="s">
        <v>292</v>
      </c>
      <c r="E202" s="168">
        <v>1</v>
      </c>
      <c r="F202" s="149">
        <f>(19205)*(1.023*1.005-2.3%*15%)*6.99+0*4.09</f>
        <v>137554</v>
      </c>
      <c r="G202" s="145">
        <f t="shared" si="65"/>
        <v>1.123</v>
      </c>
      <c r="H202" s="146">
        <f t="shared" si="66"/>
        <v>154473</v>
      </c>
      <c r="I202" s="145">
        <f>'[2]Расчет прогнозных дефляторов'!$D$75</f>
        <v>1.0429999999999999</v>
      </c>
      <c r="J202" s="146">
        <f t="shared" si="67"/>
        <v>161115</v>
      </c>
      <c r="K202" s="146">
        <f t="shared" si="68"/>
        <v>159122</v>
      </c>
      <c r="L202" s="147"/>
      <c r="M202" s="147"/>
      <c r="N202" s="147"/>
    </row>
    <row r="203" spans="1:14" s="148" customFormat="1" ht="15.75" hidden="1" outlineLevel="3" x14ac:dyDescent="0.2">
      <c r="A203" s="95"/>
      <c r="B203" s="42"/>
      <c r="C203" s="157" t="s">
        <v>913</v>
      </c>
      <c r="D203" s="100"/>
      <c r="E203" s="168"/>
      <c r="F203" s="149"/>
      <c r="G203" s="145"/>
      <c r="H203" s="146"/>
      <c r="I203" s="145"/>
      <c r="J203" s="146"/>
      <c r="K203" s="146"/>
      <c r="L203" s="147"/>
      <c r="M203" s="147"/>
      <c r="N203" s="147"/>
    </row>
    <row r="204" spans="1:14" s="148" customFormat="1" ht="15.75" hidden="1" outlineLevel="3" x14ac:dyDescent="0.2">
      <c r="A204" s="95" t="s">
        <v>1874</v>
      </c>
      <c r="B204" s="42" t="s">
        <v>915</v>
      </c>
      <c r="C204" s="42" t="s">
        <v>914</v>
      </c>
      <c r="D204" s="100" t="s">
        <v>404</v>
      </c>
      <c r="E204" s="168">
        <f>378.1</f>
        <v>378.1</v>
      </c>
      <c r="F204" s="149">
        <f>(5683171)*(1.023*1.005-2.3%*15%)*6.99+0*4.09-3</f>
        <v>40705188</v>
      </c>
      <c r="G204" s="145">
        <f>$G$766</f>
        <v>1.123</v>
      </c>
      <c r="H204" s="146">
        <f t="shared" ref="H204:H208" si="69">F204*G204</f>
        <v>45711926</v>
      </c>
      <c r="I204" s="145">
        <f>'[2]Расчет прогнозных дефляторов'!$D$75</f>
        <v>1.0429999999999999</v>
      </c>
      <c r="J204" s="146">
        <f t="shared" ref="J204:J208" si="70">H204*I204</f>
        <v>47677539</v>
      </c>
      <c r="K204" s="146">
        <f t="shared" ref="K204:K208" si="71">H204+(J204-H204)*(1-30/100)</f>
        <v>47087855</v>
      </c>
      <c r="L204" s="147" t="s">
        <v>916</v>
      </c>
      <c r="M204" s="147"/>
      <c r="N204" s="147"/>
    </row>
    <row r="205" spans="1:14" s="148" customFormat="1" ht="15.75" hidden="1" outlineLevel="3" x14ac:dyDescent="0.2">
      <c r="A205" s="95" t="s">
        <v>1875</v>
      </c>
      <c r="B205" s="42" t="s">
        <v>918</v>
      </c>
      <c r="C205" s="42" t="s">
        <v>917</v>
      </c>
      <c r="D205" s="100" t="s">
        <v>404</v>
      </c>
      <c r="E205" s="100">
        <f>60.22+16.28+20.72</f>
        <v>97.22</v>
      </c>
      <c r="F205" s="149">
        <f>(427374)*(1.023*1.005-2.3%*15%)*6.99+0*4.09</f>
        <v>3061027</v>
      </c>
      <c r="G205" s="145">
        <f>$G$766</f>
        <v>1.123</v>
      </c>
      <c r="H205" s="146">
        <f t="shared" si="69"/>
        <v>3437533</v>
      </c>
      <c r="I205" s="145">
        <f>'[2]Расчет прогнозных дефляторов'!$D$75</f>
        <v>1.0429999999999999</v>
      </c>
      <c r="J205" s="146">
        <f t="shared" si="70"/>
        <v>3585347</v>
      </c>
      <c r="K205" s="146">
        <f t="shared" si="71"/>
        <v>3541003</v>
      </c>
      <c r="L205" s="147" t="s">
        <v>916</v>
      </c>
      <c r="M205" s="147"/>
      <c r="N205" s="147"/>
    </row>
    <row r="206" spans="1:14" s="148" customFormat="1" ht="15.75" hidden="1" outlineLevel="3" x14ac:dyDescent="0.2">
      <c r="A206" s="95" t="s">
        <v>1876</v>
      </c>
      <c r="B206" s="42" t="s">
        <v>920</v>
      </c>
      <c r="C206" s="42" t="s">
        <v>919</v>
      </c>
      <c r="D206" s="100" t="s">
        <v>377</v>
      </c>
      <c r="E206" s="168">
        <f>24.8</f>
        <v>24.8</v>
      </c>
      <c r="F206" s="149">
        <f>(2086)*(1.023*1.005-2.3%*15%)*6.99+0*4.09</f>
        <v>14941</v>
      </c>
      <c r="G206" s="145">
        <f>$G$766</f>
        <v>1.123</v>
      </c>
      <c r="H206" s="146">
        <f t="shared" si="69"/>
        <v>16779</v>
      </c>
      <c r="I206" s="145">
        <f>'[2]Расчет прогнозных дефляторов'!$D$75</f>
        <v>1.0429999999999999</v>
      </c>
      <c r="J206" s="146">
        <f t="shared" si="70"/>
        <v>17500</v>
      </c>
      <c r="K206" s="146">
        <f t="shared" si="71"/>
        <v>17284</v>
      </c>
      <c r="L206" s="147"/>
      <c r="M206" s="147"/>
      <c r="N206" s="147"/>
    </row>
    <row r="207" spans="1:14" s="148" customFormat="1" ht="15.75" hidden="1" outlineLevel="3" x14ac:dyDescent="0.2">
      <c r="A207" s="95" t="s">
        <v>1877</v>
      </c>
      <c r="B207" s="42" t="s">
        <v>922</v>
      </c>
      <c r="C207" s="42" t="s">
        <v>921</v>
      </c>
      <c r="D207" s="100" t="s">
        <v>404</v>
      </c>
      <c r="E207" s="100">
        <f>37.66</f>
        <v>37.659999999999997</v>
      </c>
      <c r="F207" s="149">
        <f>(68279)*(1.023*1.005-2.3%*15%)*6.99+0*4.09</f>
        <v>489042</v>
      </c>
      <c r="G207" s="145">
        <f>$G$766</f>
        <v>1.123</v>
      </c>
      <c r="H207" s="146">
        <f t="shared" si="69"/>
        <v>549194</v>
      </c>
      <c r="I207" s="145">
        <f>'[2]Расчет прогнозных дефляторов'!$D$75</f>
        <v>1.0429999999999999</v>
      </c>
      <c r="J207" s="146">
        <f t="shared" si="70"/>
        <v>572809</v>
      </c>
      <c r="K207" s="146">
        <f t="shared" si="71"/>
        <v>565725</v>
      </c>
      <c r="L207" s="147"/>
      <c r="M207" s="147"/>
      <c r="N207" s="147"/>
    </row>
    <row r="208" spans="1:14" s="148" customFormat="1" ht="15.75" hidden="1" outlineLevel="3" x14ac:dyDescent="0.2">
      <c r="A208" s="95" t="s">
        <v>1878</v>
      </c>
      <c r="B208" s="42" t="s">
        <v>924</v>
      </c>
      <c r="C208" s="42" t="s">
        <v>923</v>
      </c>
      <c r="D208" s="100" t="s">
        <v>404</v>
      </c>
      <c r="E208" s="100">
        <f>64.14+29.88+38.96+55.09</f>
        <v>188.07</v>
      </c>
      <c r="F208" s="149">
        <f>(302436)*(1.023*1.005-2.3%*15%)*6.99+0*4.09</f>
        <v>2166170</v>
      </c>
      <c r="G208" s="145">
        <f>$G$766</f>
        <v>1.123</v>
      </c>
      <c r="H208" s="146">
        <f t="shared" si="69"/>
        <v>2432609</v>
      </c>
      <c r="I208" s="145">
        <f>'[2]Расчет прогнозных дефляторов'!$D$75</f>
        <v>1.0429999999999999</v>
      </c>
      <c r="J208" s="146">
        <f t="shared" si="70"/>
        <v>2537211</v>
      </c>
      <c r="K208" s="146">
        <f t="shared" si="71"/>
        <v>2505830</v>
      </c>
      <c r="L208" s="147"/>
      <c r="M208" s="147"/>
      <c r="N208" s="147"/>
    </row>
    <row r="209" spans="1:14" s="148" customFormat="1" ht="15.75" hidden="1" outlineLevel="3" x14ac:dyDescent="0.2">
      <c r="A209" s="95"/>
      <c r="B209" s="42"/>
      <c r="C209" s="157" t="s">
        <v>925</v>
      </c>
      <c r="D209" s="100"/>
      <c r="E209" s="168"/>
      <c r="F209" s="149"/>
      <c r="G209" s="145"/>
      <c r="H209" s="146"/>
      <c r="I209" s="145"/>
      <c r="J209" s="146"/>
      <c r="K209" s="146"/>
      <c r="L209" s="147"/>
      <c r="M209" s="147"/>
      <c r="N209" s="147"/>
    </row>
    <row r="210" spans="1:14" s="148" customFormat="1" ht="15.75" hidden="1" outlineLevel="3" x14ac:dyDescent="0.2">
      <c r="A210" s="95"/>
      <c r="B210" s="42"/>
      <c r="C210" s="42" t="s">
        <v>926</v>
      </c>
      <c r="D210" s="100"/>
      <c r="E210" s="168"/>
      <c r="F210" s="149"/>
      <c r="G210" s="145"/>
      <c r="H210" s="146"/>
      <c r="I210" s="145"/>
      <c r="J210" s="146"/>
      <c r="K210" s="146"/>
      <c r="L210" s="147"/>
      <c r="M210" s="147"/>
      <c r="N210" s="147"/>
    </row>
    <row r="211" spans="1:14" s="148" customFormat="1" ht="76.5" hidden="1" outlineLevel="3" x14ac:dyDescent="0.2">
      <c r="A211" s="95" t="s">
        <v>1879</v>
      </c>
      <c r="B211" s="42" t="s">
        <v>928</v>
      </c>
      <c r="C211" s="42" t="s">
        <v>927</v>
      </c>
      <c r="D211" s="100" t="s">
        <v>404</v>
      </c>
      <c r="E211" s="100">
        <f>86.64</f>
        <v>86.64</v>
      </c>
      <c r="F211" s="149">
        <f>(27015)*(1.023*1.005-2.3%*15%)*6.99+0*4.09</f>
        <v>193492</v>
      </c>
      <c r="G211" s="145">
        <f t="shared" ref="G211:G221" si="72">$G$766</f>
        <v>1.123</v>
      </c>
      <c r="H211" s="146">
        <f t="shared" ref="H211:H221" si="73">F211*G211</f>
        <v>217292</v>
      </c>
      <c r="I211" s="145">
        <f>'[2]Расчет прогнозных дефляторов'!$D$75</f>
        <v>1.0429999999999999</v>
      </c>
      <c r="J211" s="146">
        <f t="shared" ref="J211:J221" si="74">H211*I211</f>
        <v>226636</v>
      </c>
      <c r="K211" s="146">
        <f t="shared" ref="K211:K221" si="75">H211+(J211-H211)*(1-30/100)</f>
        <v>223833</v>
      </c>
      <c r="L211" s="147"/>
      <c r="M211" s="147"/>
      <c r="N211" s="147"/>
    </row>
    <row r="212" spans="1:14" s="148" customFormat="1" ht="114.75" hidden="1" outlineLevel="3" x14ac:dyDescent="0.2">
      <c r="A212" s="95" t="s">
        <v>1880</v>
      </c>
      <c r="B212" s="42" t="s">
        <v>930</v>
      </c>
      <c r="C212" s="42" t="s">
        <v>929</v>
      </c>
      <c r="D212" s="100" t="s">
        <v>404</v>
      </c>
      <c r="E212" s="100">
        <f>254.58</f>
        <v>254.58</v>
      </c>
      <c r="F212" s="149">
        <f>(91784)*(1.023*1.005-2.3%*15%)*6.99+0*4.09</f>
        <v>657394</v>
      </c>
      <c r="G212" s="145">
        <f t="shared" si="72"/>
        <v>1.123</v>
      </c>
      <c r="H212" s="146">
        <f t="shared" si="73"/>
        <v>738253</v>
      </c>
      <c r="I212" s="145">
        <f>'[2]Расчет прогнозных дефляторов'!$D$75</f>
        <v>1.0429999999999999</v>
      </c>
      <c r="J212" s="146">
        <f t="shared" si="74"/>
        <v>769998</v>
      </c>
      <c r="K212" s="146">
        <f t="shared" si="75"/>
        <v>760475</v>
      </c>
      <c r="L212" s="147"/>
      <c r="M212" s="147"/>
      <c r="N212" s="147"/>
    </row>
    <row r="213" spans="1:14" s="148" customFormat="1" ht="127.5" hidden="1" outlineLevel="3" x14ac:dyDescent="0.2">
      <c r="A213" s="95" t="s">
        <v>1881</v>
      </c>
      <c r="B213" s="42" t="s">
        <v>931</v>
      </c>
      <c r="C213" s="42" t="s">
        <v>932</v>
      </c>
      <c r="D213" s="100" t="s">
        <v>404</v>
      </c>
      <c r="E213" s="168">
        <f>25</f>
        <v>25</v>
      </c>
      <c r="F213" s="149">
        <f>(11088)*(1.023*1.005-2.3%*15%)*6.99+0*4.09</f>
        <v>79417</v>
      </c>
      <c r="G213" s="145">
        <f t="shared" si="72"/>
        <v>1.123</v>
      </c>
      <c r="H213" s="146">
        <f t="shared" si="73"/>
        <v>89185</v>
      </c>
      <c r="I213" s="145">
        <f>'[2]Расчет прогнозных дефляторов'!$D$75</f>
        <v>1.0429999999999999</v>
      </c>
      <c r="J213" s="146">
        <f t="shared" si="74"/>
        <v>93020</v>
      </c>
      <c r="K213" s="146">
        <f t="shared" si="75"/>
        <v>91870</v>
      </c>
      <c r="L213" s="147"/>
      <c r="M213" s="147"/>
      <c r="N213" s="147"/>
    </row>
    <row r="214" spans="1:14" s="148" customFormat="1" ht="114.75" hidden="1" outlineLevel="3" x14ac:dyDescent="0.2">
      <c r="A214" s="95" t="s">
        <v>1882</v>
      </c>
      <c r="B214" s="42" t="s">
        <v>934</v>
      </c>
      <c r="C214" s="42" t="s">
        <v>933</v>
      </c>
      <c r="D214" s="100" t="s">
        <v>404</v>
      </c>
      <c r="E214" s="100">
        <f>252.25</f>
        <v>252.25</v>
      </c>
      <c r="F214" s="149">
        <f>(106857)*(1.023*1.005-2.3%*15%)*6.99+0*4.09</f>
        <v>765353</v>
      </c>
      <c r="G214" s="145">
        <f t="shared" si="72"/>
        <v>1.123</v>
      </c>
      <c r="H214" s="146">
        <f t="shared" si="73"/>
        <v>859491</v>
      </c>
      <c r="I214" s="145">
        <f>'[2]Расчет прогнозных дефляторов'!$D$75</f>
        <v>1.0429999999999999</v>
      </c>
      <c r="J214" s="146">
        <f t="shared" si="74"/>
        <v>896449</v>
      </c>
      <c r="K214" s="146">
        <f t="shared" si="75"/>
        <v>885362</v>
      </c>
      <c r="L214" s="147"/>
      <c r="M214" s="147"/>
      <c r="N214" s="147"/>
    </row>
    <row r="215" spans="1:14" s="148" customFormat="1" ht="89.25" hidden="1" outlineLevel="3" x14ac:dyDescent="0.2">
      <c r="A215" s="95" t="s">
        <v>1883</v>
      </c>
      <c r="B215" s="42" t="s">
        <v>936</v>
      </c>
      <c r="C215" s="42" t="s">
        <v>935</v>
      </c>
      <c r="D215" s="100" t="s">
        <v>404</v>
      </c>
      <c r="E215" s="100">
        <f>65.52</f>
        <v>65.52</v>
      </c>
      <c r="F215" s="149">
        <f>(26746)*(1.023*1.005-2.3%*15%)*6.99+0*4.09</f>
        <v>191566</v>
      </c>
      <c r="G215" s="145">
        <f t="shared" si="72"/>
        <v>1.123</v>
      </c>
      <c r="H215" s="146">
        <f t="shared" si="73"/>
        <v>215129</v>
      </c>
      <c r="I215" s="145">
        <f>'[2]Расчет прогнозных дефляторов'!$D$75</f>
        <v>1.0429999999999999</v>
      </c>
      <c r="J215" s="146">
        <f t="shared" si="74"/>
        <v>224380</v>
      </c>
      <c r="K215" s="146">
        <f t="shared" si="75"/>
        <v>221605</v>
      </c>
      <c r="L215" s="147"/>
      <c r="M215" s="147"/>
      <c r="N215" s="147"/>
    </row>
    <row r="216" spans="1:14" s="148" customFormat="1" ht="102" hidden="1" outlineLevel="3" x14ac:dyDescent="0.2">
      <c r="A216" s="95" t="s">
        <v>1884</v>
      </c>
      <c r="B216" s="42" t="s">
        <v>938</v>
      </c>
      <c r="C216" s="42" t="s">
        <v>937</v>
      </c>
      <c r="D216" s="100" t="s">
        <v>404</v>
      </c>
      <c r="E216" s="100">
        <f>80.27</f>
        <v>80.27</v>
      </c>
      <c r="F216" s="149">
        <f>(32198)*(1.023*1.005-2.3%*15%)*6.99+0*4.09</f>
        <v>230615</v>
      </c>
      <c r="G216" s="145">
        <f t="shared" si="72"/>
        <v>1.123</v>
      </c>
      <c r="H216" s="146">
        <f t="shared" si="73"/>
        <v>258981</v>
      </c>
      <c r="I216" s="145">
        <f>'[2]Расчет прогнозных дефляторов'!$D$75</f>
        <v>1.0429999999999999</v>
      </c>
      <c r="J216" s="146">
        <f t="shared" si="74"/>
        <v>270117</v>
      </c>
      <c r="K216" s="146">
        <f t="shared" si="75"/>
        <v>266776</v>
      </c>
      <c r="L216" s="147"/>
      <c r="M216" s="147"/>
      <c r="N216" s="147"/>
    </row>
    <row r="217" spans="1:14" s="148" customFormat="1" ht="114.75" hidden="1" outlineLevel="3" x14ac:dyDescent="0.2">
      <c r="A217" s="95" t="s">
        <v>1885</v>
      </c>
      <c r="B217" s="42" t="s">
        <v>940</v>
      </c>
      <c r="C217" s="42" t="s">
        <v>939</v>
      </c>
      <c r="D217" s="100" t="s">
        <v>404</v>
      </c>
      <c r="E217" s="100">
        <f>85.07</f>
        <v>85.07</v>
      </c>
      <c r="F217" s="149">
        <f>(36045)*(1.023*1.005-2.3%*15%)*6.99+0*4.09</f>
        <v>258169</v>
      </c>
      <c r="G217" s="145">
        <f t="shared" si="72"/>
        <v>1.123</v>
      </c>
      <c r="H217" s="146">
        <f t="shared" si="73"/>
        <v>289924</v>
      </c>
      <c r="I217" s="145">
        <f>'[2]Расчет прогнозных дефляторов'!$D$75</f>
        <v>1.0429999999999999</v>
      </c>
      <c r="J217" s="146">
        <f t="shared" si="74"/>
        <v>302391</v>
      </c>
      <c r="K217" s="146">
        <f t="shared" si="75"/>
        <v>298651</v>
      </c>
      <c r="L217" s="147"/>
      <c r="M217" s="147"/>
      <c r="N217" s="147"/>
    </row>
    <row r="218" spans="1:14" s="148" customFormat="1" ht="127.5" hidden="1" outlineLevel="3" x14ac:dyDescent="0.2">
      <c r="A218" s="95" t="s">
        <v>1886</v>
      </c>
      <c r="B218" s="42" t="s">
        <v>942</v>
      </c>
      <c r="C218" s="42" t="s">
        <v>941</v>
      </c>
      <c r="D218" s="100" t="s">
        <v>404</v>
      </c>
      <c r="E218" s="100">
        <f>122.32</f>
        <v>122.32</v>
      </c>
      <c r="F218" s="149">
        <f>(54241)*(1.023*1.005-2.3%*15%)*6.99+0*4.09</f>
        <v>388496</v>
      </c>
      <c r="G218" s="145">
        <f t="shared" si="72"/>
        <v>1.123</v>
      </c>
      <c r="H218" s="146">
        <f t="shared" si="73"/>
        <v>436281</v>
      </c>
      <c r="I218" s="145">
        <f>'[2]Расчет прогнозных дефляторов'!$D$75</f>
        <v>1.0429999999999999</v>
      </c>
      <c r="J218" s="146">
        <f t="shared" si="74"/>
        <v>455041</v>
      </c>
      <c r="K218" s="146">
        <f t="shared" si="75"/>
        <v>449413</v>
      </c>
      <c r="L218" s="147"/>
      <c r="M218" s="147"/>
      <c r="N218" s="147"/>
    </row>
    <row r="219" spans="1:14" s="148" customFormat="1" ht="127.5" hidden="1" outlineLevel="3" x14ac:dyDescent="0.2">
      <c r="A219" s="95" t="s">
        <v>1887</v>
      </c>
      <c r="B219" s="42" t="s">
        <v>944</v>
      </c>
      <c r="C219" s="42" t="s">
        <v>943</v>
      </c>
      <c r="D219" s="100" t="s">
        <v>404</v>
      </c>
      <c r="E219" s="168">
        <f>109.6</f>
        <v>109.6</v>
      </c>
      <c r="F219" s="149">
        <f>(48617)*(1.023*1.005-2.3%*15%)*6.99+0*4.09</f>
        <v>348215</v>
      </c>
      <c r="G219" s="145">
        <f t="shared" si="72"/>
        <v>1.123</v>
      </c>
      <c r="H219" s="146">
        <f t="shared" si="73"/>
        <v>391045</v>
      </c>
      <c r="I219" s="145">
        <f>'[2]Расчет прогнозных дефляторов'!$D$75</f>
        <v>1.0429999999999999</v>
      </c>
      <c r="J219" s="146">
        <f t="shared" si="74"/>
        <v>407860</v>
      </c>
      <c r="K219" s="146">
        <f t="shared" si="75"/>
        <v>402816</v>
      </c>
      <c r="L219" s="147"/>
      <c r="M219" s="147"/>
      <c r="N219" s="147"/>
    </row>
    <row r="220" spans="1:14" s="148" customFormat="1" ht="127.5" hidden="1" outlineLevel="3" x14ac:dyDescent="0.2">
      <c r="A220" s="95" t="s">
        <v>1888</v>
      </c>
      <c r="B220" s="42" t="s">
        <v>946</v>
      </c>
      <c r="C220" s="42" t="s">
        <v>945</v>
      </c>
      <c r="D220" s="100" t="s">
        <v>404</v>
      </c>
      <c r="E220" s="100">
        <f>50.92</f>
        <v>50.92</v>
      </c>
      <c r="F220" s="149">
        <f>(22583)*(1.023*1.005-2.3%*15%)*6.99+0*4.09</f>
        <v>161749</v>
      </c>
      <c r="G220" s="145">
        <f t="shared" si="72"/>
        <v>1.123</v>
      </c>
      <c r="H220" s="146">
        <f t="shared" si="73"/>
        <v>181644</v>
      </c>
      <c r="I220" s="145">
        <f>'[2]Расчет прогнозных дефляторов'!$D$75</f>
        <v>1.0429999999999999</v>
      </c>
      <c r="J220" s="146">
        <f t="shared" si="74"/>
        <v>189455</v>
      </c>
      <c r="K220" s="146">
        <f t="shared" si="75"/>
        <v>187112</v>
      </c>
      <c r="L220" s="147"/>
      <c r="M220" s="147"/>
      <c r="N220" s="147"/>
    </row>
    <row r="221" spans="1:14" s="148" customFormat="1" ht="89.25" hidden="1" outlineLevel="3" x14ac:dyDescent="0.2">
      <c r="A221" s="95" t="s">
        <v>1889</v>
      </c>
      <c r="B221" s="42" t="s">
        <v>948</v>
      </c>
      <c r="C221" s="42" t="s">
        <v>947</v>
      </c>
      <c r="D221" s="100" t="s">
        <v>404</v>
      </c>
      <c r="E221" s="100">
        <f>51.75</f>
        <v>51.75</v>
      </c>
      <c r="F221" s="149">
        <f>(25065)*(1.023*1.005-2.3%*15%)*6.99+0*4.09</f>
        <v>179526</v>
      </c>
      <c r="G221" s="145">
        <f t="shared" si="72"/>
        <v>1.123</v>
      </c>
      <c r="H221" s="146">
        <f t="shared" si="73"/>
        <v>201608</v>
      </c>
      <c r="I221" s="145">
        <f>'[2]Расчет прогнозных дефляторов'!$D$75</f>
        <v>1.0429999999999999</v>
      </c>
      <c r="J221" s="146">
        <f t="shared" si="74"/>
        <v>210277</v>
      </c>
      <c r="K221" s="146">
        <f t="shared" si="75"/>
        <v>207676</v>
      </c>
      <c r="L221" s="147"/>
      <c r="M221" s="147"/>
      <c r="N221" s="147"/>
    </row>
    <row r="222" spans="1:14" s="148" customFormat="1" ht="15.75" hidden="1" outlineLevel="3" x14ac:dyDescent="0.2">
      <c r="A222" s="95"/>
      <c r="B222" s="42"/>
      <c r="C222" s="42" t="s">
        <v>949</v>
      </c>
      <c r="D222" s="100"/>
      <c r="E222" s="168"/>
      <c r="F222" s="149"/>
      <c r="G222" s="145"/>
      <c r="H222" s="146"/>
      <c r="I222" s="145"/>
      <c r="J222" s="146"/>
      <c r="K222" s="146"/>
      <c r="L222" s="147"/>
      <c r="M222" s="147"/>
      <c r="N222" s="147"/>
    </row>
    <row r="223" spans="1:14" s="148" customFormat="1" ht="114.75" hidden="1" outlineLevel="3" x14ac:dyDescent="0.2">
      <c r="A223" s="95" t="s">
        <v>1890</v>
      </c>
      <c r="B223" s="42" t="s">
        <v>951</v>
      </c>
      <c r="C223" s="42" t="s">
        <v>950</v>
      </c>
      <c r="D223" s="100" t="s">
        <v>404</v>
      </c>
      <c r="E223" s="168">
        <f>318.7</f>
        <v>318.7</v>
      </c>
      <c r="F223" s="149">
        <f>(114665)*(1.023*1.005-2.3%*15%)*6.99+0*4.09</f>
        <v>821278</v>
      </c>
      <c r="G223" s="145">
        <f t="shared" ref="G223:G228" si="76">$G$766</f>
        <v>1.123</v>
      </c>
      <c r="H223" s="146">
        <f t="shared" ref="H223:H228" si="77">F223*G223</f>
        <v>922295</v>
      </c>
      <c r="I223" s="145">
        <f>'[2]Расчет прогнозных дефляторов'!$D$75</f>
        <v>1.0429999999999999</v>
      </c>
      <c r="J223" s="146">
        <f t="shared" ref="J223:J228" si="78">H223*I223</f>
        <v>961954</v>
      </c>
      <c r="K223" s="146">
        <f t="shared" ref="K223:K228" si="79">H223+(J223-H223)*(1-30/100)</f>
        <v>950056</v>
      </c>
      <c r="L223" s="147"/>
      <c r="M223" s="147"/>
      <c r="N223" s="147"/>
    </row>
    <row r="224" spans="1:14" s="148" customFormat="1" ht="114.75" hidden="1" outlineLevel="3" x14ac:dyDescent="0.2">
      <c r="A224" s="95" t="s">
        <v>1891</v>
      </c>
      <c r="B224" s="42" t="s">
        <v>953</v>
      </c>
      <c r="C224" s="42" t="s">
        <v>952</v>
      </c>
      <c r="D224" s="100" t="s">
        <v>404</v>
      </c>
      <c r="E224" s="168">
        <f>34.8</f>
        <v>34.799999999999997</v>
      </c>
      <c r="F224" s="149">
        <f>(12523)*(1.023*1.005-2.3%*15%)*6.99+0*4.09</f>
        <v>89695</v>
      </c>
      <c r="G224" s="145">
        <f t="shared" si="76"/>
        <v>1.123</v>
      </c>
      <c r="H224" s="146">
        <f t="shared" si="77"/>
        <v>100727</v>
      </c>
      <c r="I224" s="145">
        <f>'[2]Расчет прогнозных дефляторов'!$D$75</f>
        <v>1.0429999999999999</v>
      </c>
      <c r="J224" s="146">
        <f t="shared" si="78"/>
        <v>105058</v>
      </c>
      <c r="K224" s="146">
        <f t="shared" si="79"/>
        <v>103759</v>
      </c>
      <c r="L224" s="147"/>
      <c r="M224" s="147"/>
      <c r="N224" s="147"/>
    </row>
    <row r="225" spans="1:14" s="148" customFormat="1" ht="114.75" hidden="1" outlineLevel="3" x14ac:dyDescent="0.2">
      <c r="A225" s="95" t="s">
        <v>1892</v>
      </c>
      <c r="B225" s="42" t="s">
        <v>955</v>
      </c>
      <c r="C225" s="42" t="s">
        <v>954</v>
      </c>
      <c r="D225" s="100" t="s">
        <v>404</v>
      </c>
      <c r="E225" s="100">
        <f>258.83</f>
        <v>258.83</v>
      </c>
      <c r="F225" s="149">
        <f>(93116)*(1.023*1.005-2.3%*15%)*6.99+0*4.09</f>
        <v>666935</v>
      </c>
      <c r="G225" s="145">
        <f t="shared" si="76"/>
        <v>1.123</v>
      </c>
      <c r="H225" s="146">
        <f t="shared" si="77"/>
        <v>748968</v>
      </c>
      <c r="I225" s="145">
        <f>'[2]Расчет прогнозных дефляторов'!$D$75</f>
        <v>1.0429999999999999</v>
      </c>
      <c r="J225" s="146">
        <f t="shared" si="78"/>
        <v>781174</v>
      </c>
      <c r="K225" s="146">
        <f t="shared" si="79"/>
        <v>771512</v>
      </c>
      <c r="L225" s="147"/>
      <c r="M225" s="147"/>
      <c r="N225" s="147"/>
    </row>
    <row r="226" spans="1:14" s="148" customFormat="1" ht="114.75" hidden="1" outlineLevel="3" x14ac:dyDescent="0.2">
      <c r="A226" s="95" t="s">
        <v>1893</v>
      </c>
      <c r="B226" s="42" t="s">
        <v>957</v>
      </c>
      <c r="C226" s="42" t="s">
        <v>956</v>
      </c>
      <c r="D226" s="100" t="s">
        <v>404</v>
      </c>
      <c r="E226" s="100">
        <f>69.84</f>
        <v>69.84</v>
      </c>
      <c r="F226" s="149">
        <f>(25113)*(1.023*1.005-2.3%*15%)*6.99+0*4.09</f>
        <v>179870</v>
      </c>
      <c r="G226" s="145">
        <f t="shared" si="76"/>
        <v>1.123</v>
      </c>
      <c r="H226" s="146">
        <f t="shared" si="77"/>
        <v>201994</v>
      </c>
      <c r="I226" s="145">
        <f>'[2]Расчет прогнозных дефляторов'!$D$75</f>
        <v>1.0429999999999999</v>
      </c>
      <c r="J226" s="146">
        <f t="shared" si="78"/>
        <v>210680</v>
      </c>
      <c r="K226" s="146">
        <f t="shared" si="79"/>
        <v>208074</v>
      </c>
      <c r="L226" s="147"/>
      <c r="M226" s="147"/>
      <c r="N226" s="147"/>
    </row>
    <row r="227" spans="1:14" s="148" customFormat="1" ht="140.25" hidden="1" outlineLevel="3" x14ac:dyDescent="0.2">
      <c r="A227" s="95" t="s">
        <v>1894</v>
      </c>
      <c r="B227" s="42" t="s">
        <v>959</v>
      </c>
      <c r="C227" s="42" t="s">
        <v>962</v>
      </c>
      <c r="D227" s="100" t="s">
        <v>404</v>
      </c>
      <c r="E227" s="100">
        <f>99.64</f>
        <v>99.64</v>
      </c>
      <c r="F227" s="149">
        <f>(49975)*(1.023*1.005-2.3%*15%)*6.99+0*4.09</f>
        <v>357941</v>
      </c>
      <c r="G227" s="145">
        <f t="shared" si="76"/>
        <v>1.123</v>
      </c>
      <c r="H227" s="146">
        <f t="shared" si="77"/>
        <v>401968</v>
      </c>
      <c r="I227" s="145">
        <f>'[2]Расчет прогнозных дефляторов'!$D$75</f>
        <v>1.0429999999999999</v>
      </c>
      <c r="J227" s="146">
        <f t="shared" si="78"/>
        <v>419253</v>
      </c>
      <c r="K227" s="146">
        <f t="shared" si="79"/>
        <v>414068</v>
      </c>
      <c r="L227" s="147"/>
      <c r="M227" s="147"/>
      <c r="N227" s="147"/>
    </row>
    <row r="228" spans="1:14" s="148" customFormat="1" ht="51" hidden="1" outlineLevel="3" x14ac:dyDescent="0.2">
      <c r="A228" s="95" t="s">
        <v>1895</v>
      </c>
      <c r="B228" s="42" t="s">
        <v>960</v>
      </c>
      <c r="C228" s="42" t="s">
        <v>961</v>
      </c>
      <c r="D228" s="100" t="s">
        <v>404</v>
      </c>
      <c r="E228" s="168">
        <f>688</f>
        <v>688</v>
      </c>
      <c r="F228" s="149">
        <f>(80037)*(1.023*1.005-2.3%*15%)*6.99+0*4.09</f>
        <v>573258</v>
      </c>
      <c r="G228" s="145">
        <f t="shared" si="76"/>
        <v>1.123</v>
      </c>
      <c r="H228" s="146">
        <f t="shared" si="77"/>
        <v>643769</v>
      </c>
      <c r="I228" s="145">
        <f>'[2]Расчет прогнозных дефляторов'!$D$75</f>
        <v>1.0429999999999999</v>
      </c>
      <c r="J228" s="146">
        <f t="shared" si="78"/>
        <v>671451</v>
      </c>
      <c r="K228" s="146">
        <f t="shared" si="79"/>
        <v>663146</v>
      </c>
      <c r="L228" s="172" t="s">
        <v>958</v>
      </c>
      <c r="M228" s="147"/>
      <c r="N228" s="147"/>
    </row>
    <row r="229" spans="1:14" s="148" customFormat="1" ht="15.75" hidden="1" outlineLevel="3" x14ac:dyDescent="0.2">
      <c r="A229" s="95"/>
      <c r="B229" s="42"/>
      <c r="C229" s="157" t="s">
        <v>963</v>
      </c>
      <c r="D229" s="100"/>
      <c r="E229" s="168"/>
      <c r="F229" s="149"/>
      <c r="G229" s="145"/>
      <c r="H229" s="146"/>
      <c r="I229" s="145"/>
      <c r="J229" s="146"/>
      <c r="K229" s="146"/>
      <c r="L229" s="147"/>
      <c r="M229" s="147"/>
      <c r="N229" s="147"/>
    </row>
    <row r="230" spans="1:14" s="148" customFormat="1" ht="25.5" hidden="1" outlineLevel="3" x14ac:dyDescent="0.2">
      <c r="A230" s="95" t="s">
        <v>1896</v>
      </c>
      <c r="B230" s="42" t="s">
        <v>964</v>
      </c>
      <c r="C230" s="42" t="s">
        <v>965</v>
      </c>
      <c r="D230" s="100" t="s">
        <v>404</v>
      </c>
      <c r="E230" s="100">
        <f>432.57</f>
        <v>432.57</v>
      </c>
      <c r="F230" s="149">
        <f>(38987)*(1.023*1.005-2.3%*15%)*6.99+0*4.09</f>
        <v>279241</v>
      </c>
      <c r="G230" s="145">
        <f t="shared" ref="G230:G242" si="80">$G$766</f>
        <v>1.123</v>
      </c>
      <c r="H230" s="146">
        <f t="shared" ref="H230:H242" si="81">F230*G230</f>
        <v>313588</v>
      </c>
      <c r="I230" s="145">
        <f>'[2]Расчет прогнозных дефляторов'!$D$75</f>
        <v>1.0429999999999999</v>
      </c>
      <c r="J230" s="146">
        <f t="shared" ref="J230:J242" si="82">H230*I230</f>
        <v>327072</v>
      </c>
      <c r="K230" s="146">
        <f t="shared" ref="K230:K242" si="83">H230+(J230-H230)*(1-30/100)</f>
        <v>323027</v>
      </c>
      <c r="L230" s="147"/>
      <c r="M230" s="147"/>
      <c r="N230" s="147"/>
    </row>
    <row r="231" spans="1:14" s="148" customFormat="1" ht="89.25" hidden="1" outlineLevel="3" x14ac:dyDescent="0.2">
      <c r="A231" s="95" t="s">
        <v>1897</v>
      </c>
      <c r="B231" s="42" t="s">
        <v>966</v>
      </c>
      <c r="C231" s="42" t="s">
        <v>971</v>
      </c>
      <c r="D231" s="100" t="s">
        <v>404</v>
      </c>
      <c r="E231" s="100">
        <f>2224.93</f>
        <v>2224.9299999999998</v>
      </c>
      <c r="F231" s="149">
        <f>(300552)*(1.023*1.005-2.3%*15%)*6.99+0*4.09</f>
        <v>2152676</v>
      </c>
      <c r="G231" s="145">
        <f t="shared" si="80"/>
        <v>1.123</v>
      </c>
      <c r="H231" s="146">
        <f t="shared" si="81"/>
        <v>2417455</v>
      </c>
      <c r="I231" s="145">
        <f>'[2]Расчет прогнозных дефляторов'!$D$75</f>
        <v>1.0429999999999999</v>
      </c>
      <c r="J231" s="146">
        <f t="shared" si="82"/>
        <v>2521406</v>
      </c>
      <c r="K231" s="146">
        <f t="shared" si="83"/>
        <v>2490221</v>
      </c>
      <c r="L231" s="147"/>
      <c r="M231" s="147"/>
      <c r="N231" s="147"/>
    </row>
    <row r="232" spans="1:14" s="148" customFormat="1" ht="25.5" hidden="1" outlineLevel="3" x14ac:dyDescent="0.2">
      <c r="A232" s="95" t="s">
        <v>1898</v>
      </c>
      <c r="B232" s="42" t="s">
        <v>968</v>
      </c>
      <c r="C232" s="42" t="s">
        <v>967</v>
      </c>
      <c r="D232" s="100" t="s">
        <v>404</v>
      </c>
      <c r="E232" s="145">
        <f>204.491</f>
        <v>204.49100000000001</v>
      </c>
      <c r="F232" s="149">
        <f>(18431)*(1.023*1.005-2.3%*15%)*6.99+0*4.09</f>
        <v>132010</v>
      </c>
      <c r="G232" s="145">
        <f t="shared" si="80"/>
        <v>1.123</v>
      </c>
      <c r="H232" s="146">
        <f t="shared" si="81"/>
        <v>148247</v>
      </c>
      <c r="I232" s="145">
        <f>'[2]Расчет прогнозных дефляторов'!$D$75</f>
        <v>1.0429999999999999</v>
      </c>
      <c r="J232" s="146">
        <f t="shared" si="82"/>
        <v>154622</v>
      </c>
      <c r="K232" s="146">
        <f t="shared" si="83"/>
        <v>152710</v>
      </c>
      <c r="L232" s="147"/>
      <c r="M232" s="147"/>
      <c r="N232" s="147"/>
    </row>
    <row r="233" spans="1:14" s="148" customFormat="1" ht="89.25" hidden="1" outlineLevel="3" x14ac:dyDescent="0.2">
      <c r="A233" s="95" t="s">
        <v>1899</v>
      </c>
      <c r="B233" s="42" t="s">
        <v>969</v>
      </c>
      <c r="C233" s="42" t="s">
        <v>970</v>
      </c>
      <c r="D233" s="100" t="s">
        <v>404</v>
      </c>
      <c r="E233" s="100">
        <f>154.71</f>
        <v>154.71</v>
      </c>
      <c r="F233" s="149">
        <f>(20901)*(1.023*1.005-2.3%*15%)*6.99+0*4.09</f>
        <v>149701</v>
      </c>
      <c r="G233" s="145">
        <f t="shared" si="80"/>
        <v>1.123</v>
      </c>
      <c r="H233" s="146">
        <f t="shared" si="81"/>
        <v>168114</v>
      </c>
      <c r="I233" s="145">
        <f>'[2]Расчет прогнозных дефляторов'!$D$75</f>
        <v>1.0429999999999999</v>
      </c>
      <c r="J233" s="146">
        <f t="shared" si="82"/>
        <v>175343</v>
      </c>
      <c r="K233" s="146">
        <f t="shared" si="83"/>
        <v>173174</v>
      </c>
      <c r="L233" s="147"/>
      <c r="M233" s="147"/>
      <c r="N233" s="147"/>
    </row>
    <row r="234" spans="1:14" s="148" customFormat="1" ht="25.5" hidden="1" outlineLevel="3" x14ac:dyDescent="0.2">
      <c r="A234" s="95" t="s">
        <v>1900</v>
      </c>
      <c r="B234" s="42" t="s">
        <v>972</v>
      </c>
      <c r="C234" s="42" t="s">
        <v>973</v>
      </c>
      <c r="D234" s="100" t="s">
        <v>404</v>
      </c>
      <c r="E234" s="145">
        <f>580.553</f>
        <v>580.553</v>
      </c>
      <c r="F234" s="149">
        <f>(119993)*(1.023*1.005-2.3%*15%)*6.99+0*4.09</f>
        <v>859439</v>
      </c>
      <c r="G234" s="145">
        <f t="shared" si="80"/>
        <v>1.123</v>
      </c>
      <c r="H234" s="146">
        <f t="shared" si="81"/>
        <v>965150</v>
      </c>
      <c r="I234" s="145">
        <f>'[2]Расчет прогнозных дефляторов'!$D$75</f>
        <v>1.0429999999999999</v>
      </c>
      <c r="J234" s="146">
        <f t="shared" si="82"/>
        <v>1006651</v>
      </c>
      <c r="K234" s="146">
        <f t="shared" si="83"/>
        <v>994201</v>
      </c>
      <c r="L234" s="147"/>
      <c r="M234" s="147"/>
      <c r="N234" s="147"/>
    </row>
    <row r="235" spans="1:14" s="148" customFormat="1" ht="89.25" hidden="1" outlineLevel="3" x14ac:dyDescent="0.2">
      <c r="A235" s="95" t="s">
        <v>1901</v>
      </c>
      <c r="B235" s="42" t="s">
        <v>974</v>
      </c>
      <c r="C235" s="42" t="s">
        <v>975</v>
      </c>
      <c r="D235" s="100" t="s">
        <v>404</v>
      </c>
      <c r="E235" s="100">
        <f>403.71</f>
        <v>403.71</v>
      </c>
      <c r="F235" s="149">
        <f>(54531)*(1.023*1.005-2.3%*15%)*6.99+0*4.09</f>
        <v>390573</v>
      </c>
      <c r="G235" s="145">
        <f t="shared" si="80"/>
        <v>1.123</v>
      </c>
      <c r="H235" s="146">
        <f t="shared" si="81"/>
        <v>438613</v>
      </c>
      <c r="I235" s="145">
        <f>'[2]Расчет прогнозных дефляторов'!$D$75</f>
        <v>1.0429999999999999</v>
      </c>
      <c r="J235" s="146">
        <f t="shared" si="82"/>
        <v>457473</v>
      </c>
      <c r="K235" s="146">
        <f t="shared" si="83"/>
        <v>451815</v>
      </c>
      <c r="L235" s="147"/>
      <c r="M235" s="147"/>
      <c r="N235" s="147"/>
    </row>
    <row r="236" spans="1:14" s="148" customFormat="1" ht="25.5" hidden="1" outlineLevel="3" x14ac:dyDescent="0.2">
      <c r="A236" s="95" t="s">
        <v>1902</v>
      </c>
      <c r="B236" s="42" t="s">
        <v>976</v>
      </c>
      <c r="C236" s="42" t="s">
        <v>977</v>
      </c>
      <c r="D236" s="100" t="s">
        <v>404</v>
      </c>
      <c r="E236" s="100">
        <f>487.169*0.12</f>
        <v>58.46</v>
      </c>
      <c r="F236" s="149">
        <f>(16205)*(1.023*1.005-2.3%*15%)*6.99+0*4.09</f>
        <v>116067</v>
      </c>
      <c r="G236" s="145">
        <f t="shared" si="80"/>
        <v>1.123</v>
      </c>
      <c r="H236" s="146">
        <f t="shared" si="81"/>
        <v>130343</v>
      </c>
      <c r="I236" s="145">
        <f>'[2]Расчет прогнозных дефляторов'!$D$75</f>
        <v>1.0429999999999999</v>
      </c>
      <c r="J236" s="146">
        <f t="shared" si="82"/>
        <v>135948</v>
      </c>
      <c r="K236" s="146">
        <f t="shared" si="83"/>
        <v>134267</v>
      </c>
      <c r="L236" s="147"/>
      <c r="M236" s="147"/>
      <c r="N236" s="147"/>
    </row>
    <row r="237" spans="1:14" s="148" customFormat="1" ht="38.25" hidden="1" outlineLevel="3" x14ac:dyDescent="0.2">
      <c r="A237" s="95" t="s">
        <v>1903</v>
      </c>
      <c r="B237" s="42" t="s">
        <v>978</v>
      </c>
      <c r="C237" s="42" t="s">
        <v>979</v>
      </c>
      <c r="D237" s="100" t="s">
        <v>404</v>
      </c>
      <c r="E237" s="100">
        <f>174.99</f>
        <v>174.99</v>
      </c>
      <c r="F237" s="149">
        <f>(8111)*(1.023*1.005-2.3%*15%)*6.99+0*4.09</f>
        <v>58094</v>
      </c>
      <c r="G237" s="145">
        <f t="shared" si="80"/>
        <v>1.123</v>
      </c>
      <c r="H237" s="146">
        <f t="shared" si="81"/>
        <v>65240</v>
      </c>
      <c r="I237" s="145">
        <f>'[2]Расчет прогнозных дефляторов'!$D$75</f>
        <v>1.0429999999999999</v>
      </c>
      <c r="J237" s="146">
        <f t="shared" si="82"/>
        <v>68045</v>
      </c>
      <c r="K237" s="146">
        <f t="shared" si="83"/>
        <v>67204</v>
      </c>
      <c r="L237" s="147"/>
      <c r="M237" s="147"/>
      <c r="N237" s="147"/>
    </row>
    <row r="238" spans="1:14" s="148" customFormat="1" ht="89.25" hidden="1" outlineLevel="3" x14ac:dyDescent="0.2">
      <c r="A238" s="95" t="s">
        <v>1904</v>
      </c>
      <c r="B238" s="42" t="s">
        <v>980</v>
      </c>
      <c r="C238" s="42" t="s">
        <v>981</v>
      </c>
      <c r="D238" s="100" t="s">
        <v>404</v>
      </c>
      <c r="E238" s="145">
        <f>392.145</f>
        <v>392.14499999999998</v>
      </c>
      <c r="F238" s="149">
        <f>(40345)*(1.023*1.005-2.3%*15%)*6.99+0*4.09</f>
        <v>288967</v>
      </c>
      <c r="G238" s="145">
        <f t="shared" si="80"/>
        <v>1.123</v>
      </c>
      <c r="H238" s="146">
        <f t="shared" si="81"/>
        <v>324510</v>
      </c>
      <c r="I238" s="145">
        <f>'[2]Расчет прогнозных дефляторов'!$D$75</f>
        <v>1.0429999999999999</v>
      </c>
      <c r="J238" s="146">
        <f t="shared" si="82"/>
        <v>338464</v>
      </c>
      <c r="K238" s="146">
        <f t="shared" si="83"/>
        <v>334278</v>
      </c>
      <c r="L238" s="147"/>
      <c r="M238" s="147"/>
      <c r="N238" s="147"/>
    </row>
    <row r="239" spans="1:14" s="148" customFormat="1" ht="38.25" hidden="1" outlineLevel="3" x14ac:dyDescent="0.2">
      <c r="A239" s="95" t="s">
        <v>1905</v>
      </c>
      <c r="B239" s="42" t="s">
        <v>982</v>
      </c>
      <c r="C239" s="42" t="s">
        <v>983</v>
      </c>
      <c r="D239" s="100" t="s">
        <v>404</v>
      </c>
      <c r="E239" s="145">
        <f>448.285</f>
        <v>448.28500000000003</v>
      </c>
      <c r="F239" s="149">
        <f>(24747)*(1.023*1.005-2.3%*15%)*6.99+0*4.09</f>
        <v>177248</v>
      </c>
      <c r="G239" s="145">
        <f t="shared" si="80"/>
        <v>1.123</v>
      </c>
      <c r="H239" s="146">
        <f t="shared" si="81"/>
        <v>199050</v>
      </c>
      <c r="I239" s="145">
        <f>'[2]Расчет прогнозных дефляторов'!$D$75</f>
        <v>1.0429999999999999</v>
      </c>
      <c r="J239" s="146">
        <f t="shared" si="82"/>
        <v>207609</v>
      </c>
      <c r="K239" s="146">
        <f t="shared" si="83"/>
        <v>205041</v>
      </c>
      <c r="L239" s="147"/>
      <c r="M239" s="147"/>
      <c r="N239" s="147"/>
    </row>
    <row r="240" spans="1:14" s="148" customFormat="1" ht="25.5" hidden="1" outlineLevel="3" x14ac:dyDescent="0.2">
      <c r="A240" s="95" t="s">
        <v>1906</v>
      </c>
      <c r="B240" s="42" t="s">
        <v>984</v>
      </c>
      <c r="C240" s="42" t="s">
        <v>985</v>
      </c>
      <c r="D240" s="100" t="s">
        <v>404</v>
      </c>
      <c r="E240" s="100">
        <f>195.32</f>
        <v>195.32</v>
      </c>
      <c r="F240" s="149">
        <f>(17598)*(1.023*1.005-2.3%*15%)*6.99+0*4.09</f>
        <v>126044</v>
      </c>
      <c r="G240" s="145">
        <f t="shared" si="80"/>
        <v>1.123</v>
      </c>
      <c r="H240" s="146">
        <f t="shared" si="81"/>
        <v>141547</v>
      </c>
      <c r="I240" s="145">
        <f>'[2]Расчет прогнозных дефляторов'!$D$75</f>
        <v>1.0429999999999999</v>
      </c>
      <c r="J240" s="146">
        <f t="shared" si="82"/>
        <v>147634</v>
      </c>
      <c r="K240" s="146">
        <f t="shared" si="83"/>
        <v>145808</v>
      </c>
      <c r="L240" s="147"/>
      <c r="M240" s="147"/>
      <c r="N240" s="147"/>
    </row>
    <row r="241" spans="1:14" s="148" customFormat="1" ht="76.5" hidden="1" outlineLevel="3" x14ac:dyDescent="0.2">
      <c r="A241" s="95" t="s">
        <v>1907</v>
      </c>
      <c r="B241" s="42" t="s">
        <v>986</v>
      </c>
      <c r="C241" s="42" t="s">
        <v>990</v>
      </c>
      <c r="D241" s="100" t="s">
        <v>404</v>
      </c>
      <c r="E241" s="100">
        <f>93.14</f>
        <v>93.14</v>
      </c>
      <c r="F241" s="149">
        <f>(65900)*(1.023*1.005-2.3%*15%)*6.99+0*4.09</f>
        <v>472003</v>
      </c>
      <c r="G241" s="145">
        <f t="shared" si="80"/>
        <v>1.123</v>
      </c>
      <c r="H241" s="146">
        <f t="shared" si="81"/>
        <v>530059</v>
      </c>
      <c r="I241" s="145">
        <f>'[2]Расчет прогнозных дефляторов'!$D$75</f>
        <v>1.0429999999999999</v>
      </c>
      <c r="J241" s="146">
        <f t="shared" si="82"/>
        <v>552852</v>
      </c>
      <c r="K241" s="146">
        <f t="shared" si="83"/>
        <v>546014</v>
      </c>
      <c r="L241" s="147"/>
      <c r="M241" s="147"/>
      <c r="N241" s="147"/>
    </row>
    <row r="242" spans="1:14" s="148" customFormat="1" ht="63.75" hidden="1" outlineLevel="3" x14ac:dyDescent="0.2">
      <c r="A242" s="95" t="s">
        <v>1908</v>
      </c>
      <c r="B242" s="42" t="s">
        <v>987</v>
      </c>
      <c r="C242" s="42" t="s">
        <v>988</v>
      </c>
      <c r="D242" s="100" t="s">
        <v>404</v>
      </c>
      <c r="E242" s="100">
        <f>171.75</f>
        <v>171.75</v>
      </c>
      <c r="F242" s="149">
        <f>(50262)*(1.023*1.005-2.3%*15%)*6.99+0*4.09</f>
        <v>359997</v>
      </c>
      <c r="G242" s="145">
        <f t="shared" si="80"/>
        <v>1.123</v>
      </c>
      <c r="H242" s="146">
        <f t="shared" si="81"/>
        <v>404277</v>
      </c>
      <c r="I242" s="145">
        <f>'[2]Расчет прогнозных дефляторов'!$D$75</f>
        <v>1.0429999999999999</v>
      </c>
      <c r="J242" s="146">
        <f t="shared" si="82"/>
        <v>421661</v>
      </c>
      <c r="K242" s="146">
        <f t="shared" si="83"/>
        <v>416446</v>
      </c>
      <c r="L242" s="147"/>
      <c r="M242" s="147"/>
      <c r="N242" s="147"/>
    </row>
    <row r="243" spans="1:14" s="148" customFormat="1" ht="15.75" hidden="1" outlineLevel="3" x14ac:dyDescent="0.2">
      <c r="A243" s="95"/>
      <c r="B243" s="42"/>
      <c r="C243" s="157" t="s">
        <v>989</v>
      </c>
      <c r="D243" s="100"/>
      <c r="E243" s="168"/>
      <c r="F243" s="149"/>
      <c r="G243" s="145"/>
      <c r="H243" s="146"/>
      <c r="I243" s="145"/>
      <c r="J243" s="146"/>
      <c r="K243" s="146"/>
      <c r="L243" s="147"/>
      <c r="M243" s="147"/>
      <c r="N243" s="147"/>
    </row>
    <row r="244" spans="1:14" s="148" customFormat="1" ht="63.75" hidden="1" outlineLevel="3" x14ac:dyDescent="0.2">
      <c r="A244" s="95" t="s">
        <v>1909</v>
      </c>
      <c r="B244" s="42" t="s">
        <v>991</v>
      </c>
      <c r="C244" s="42" t="s">
        <v>992</v>
      </c>
      <c r="D244" s="100" t="s">
        <v>404</v>
      </c>
      <c r="E244" s="100">
        <f>706.52</f>
        <v>706.52</v>
      </c>
      <c r="F244" s="149">
        <f>(83188)*(1.023*1.005-2.3%*15%)*6.99+0*4.09</f>
        <v>595826</v>
      </c>
      <c r="G244" s="145">
        <f t="shared" ref="G244:G250" si="84">$G$766</f>
        <v>1.123</v>
      </c>
      <c r="H244" s="146">
        <f t="shared" ref="H244:H250" si="85">F244*G244</f>
        <v>669113</v>
      </c>
      <c r="I244" s="145">
        <f>'[2]Расчет прогнозных дефляторов'!$D$75</f>
        <v>1.0429999999999999</v>
      </c>
      <c r="J244" s="146">
        <f t="shared" ref="J244:J250" si="86">H244*I244</f>
        <v>697885</v>
      </c>
      <c r="K244" s="146">
        <f t="shared" ref="K244:K250" si="87">H244+(J244-H244)*(1-30/100)</f>
        <v>689253</v>
      </c>
      <c r="L244" s="147"/>
      <c r="M244" s="147"/>
      <c r="N244" s="147"/>
    </row>
    <row r="245" spans="1:14" s="148" customFormat="1" ht="25.5" hidden="1" outlineLevel="3" x14ac:dyDescent="0.2">
      <c r="A245" s="95" t="s">
        <v>1910</v>
      </c>
      <c r="B245" s="42" t="s">
        <v>993</v>
      </c>
      <c r="C245" s="42" t="s">
        <v>995</v>
      </c>
      <c r="D245" s="100" t="s">
        <v>404</v>
      </c>
      <c r="E245" s="168">
        <f>150.5</f>
        <v>150.5</v>
      </c>
      <c r="F245" s="149">
        <f>(381275)*(1.023*1.005-2.3%*15%)*6.99+0*4.09</f>
        <v>2730847</v>
      </c>
      <c r="G245" s="145">
        <f t="shared" si="84"/>
        <v>1.123</v>
      </c>
      <c r="H245" s="146">
        <f t="shared" si="85"/>
        <v>3066741</v>
      </c>
      <c r="I245" s="145">
        <f>'[2]Расчет прогнозных дефляторов'!$D$75</f>
        <v>1.0429999999999999</v>
      </c>
      <c r="J245" s="146">
        <f t="shared" si="86"/>
        <v>3198611</v>
      </c>
      <c r="K245" s="146">
        <f t="shared" si="87"/>
        <v>3159050</v>
      </c>
      <c r="L245" s="147" t="s">
        <v>994</v>
      </c>
      <c r="M245" s="147"/>
      <c r="N245" s="147"/>
    </row>
    <row r="246" spans="1:14" s="148" customFormat="1" ht="38.25" hidden="1" outlineLevel="3" x14ac:dyDescent="0.2">
      <c r="A246" s="95" t="s">
        <v>1911</v>
      </c>
      <c r="B246" s="42" t="s">
        <v>996</v>
      </c>
      <c r="C246" s="42" t="s">
        <v>997</v>
      </c>
      <c r="D246" s="100" t="s">
        <v>404</v>
      </c>
      <c r="E246" s="100">
        <f>108.05</f>
        <v>108.05</v>
      </c>
      <c r="F246" s="149">
        <f>(620646)*(1.023*1.005-2.3%*15%)*6.99+0*4.09</f>
        <v>4445320</v>
      </c>
      <c r="G246" s="145">
        <f t="shared" si="84"/>
        <v>1.123</v>
      </c>
      <c r="H246" s="146">
        <f t="shared" si="85"/>
        <v>4992094</v>
      </c>
      <c r="I246" s="145">
        <f>'[2]Расчет прогнозных дефляторов'!$D$75</f>
        <v>1.0429999999999999</v>
      </c>
      <c r="J246" s="146">
        <f t="shared" si="86"/>
        <v>5206754</v>
      </c>
      <c r="K246" s="146">
        <f t="shared" si="87"/>
        <v>5142356</v>
      </c>
      <c r="L246" s="147" t="s">
        <v>994</v>
      </c>
      <c r="M246" s="147"/>
      <c r="N246" s="147"/>
    </row>
    <row r="247" spans="1:14" s="148" customFormat="1" ht="38.25" hidden="1" outlineLevel="3" x14ac:dyDescent="0.2">
      <c r="A247" s="95" t="s">
        <v>1912</v>
      </c>
      <c r="B247" s="42" t="s">
        <v>998</v>
      </c>
      <c r="C247" s="42" t="s">
        <v>999</v>
      </c>
      <c r="D247" s="100" t="s">
        <v>404</v>
      </c>
      <c r="E247" s="100">
        <f>387.56</f>
        <v>387.56</v>
      </c>
      <c r="F247" s="149">
        <f>(24176)*(1.023*1.005-2.3%*15%)*6.99+0*4.09</f>
        <v>173158</v>
      </c>
      <c r="G247" s="145">
        <f t="shared" si="84"/>
        <v>1.123</v>
      </c>
      <c r="H247" s="146">
        <f t="shared" si="85"/>
        <v>194456</v>
      </c>
      <c r="I247" s="145">
        <f>'[2]Расчет прогнозных дефляторов'!$D$75</f>
        <v>1.0429999999999999</v>
      </c>
      <c r="J247" s="146">
        <f t="shared" si="86"/>
        <v>202818</v>
      </c>
      <c r="K247" s="146">
        <f t="shared" si="87"/>
        <v>200309</v>
      </c>
      <c r="L247" s="147"/>
      <c r="M247" s="147"/>
      <c r="N247" s="147"/>
    </row>
    <row r="248" spans="1:14" s="148" customFormat="1" ht="38.25" hidden="1" outlineLevel="3" x14ac:dyDescent="0.2">
      <c r="A248" s="95" t="s">
        <v>1913</v>
      </c>
      <c r="B248" s="42" t="s">
        <v>1001</v>
      </c>
      <c r="C248" s="42" t="s">
        <v>1000</v>
      </c>
      <c r="D248" s="100" t="s">
        <v>404</v>
      </c>
      <c r="E248" s="100">
        <f>102.03</f>
        <v>102.03</v>
      </c>
      <c r="F248" s="149">
        <f>(154002)*(1.023*1.005-2.3%*15%)*6.99+0*4.09</f>
        <v>1103025</v>
      </c>
      <c r="G248" s="145">
        <f t="shared" si="84"/>
        <v>1.123</v>
      </c>
      <c r="H248" s="146">
        <f t="shared" si="85"/>
        <v>1238697</v>
      </c>
      <c r="I248" s="145">
        <f>'[2]Расчет прогнозных дефляторов'!$D$75</f>
        <v>1.0429999999999999</v>
      </c>
      <c r="J248" s="146">
        <f t="shared" si="86"/>
        <v>1291961</v>
      </c>
      <c r="K248" s="146">
        <f t="shared" si="87"/>
        <v>1275982</v>
      </c>
      <c r="L248" s="147"/>
      <c r="M248" s="147"/>
      <c r="N248" s="147"/>
    </row>
    <row r="249" spans="1:14" s="148" customFormat="1" ht="38.25" hidden="1" outlineLevel="3" x14ac:dyDescent="0.2">
      <c r="A249" s="95" t="s">
        <v>1914</v>
      </c>
      <c r="B249" s="42" t="s">
        <v>1003</v>
      </c>
      <c r="C249" s="42" t="s">
        <v>1002</v>
      </c>
      <c r="D249" s="100" t="s">
        <v>404</v>
      </c>
      <c r="E249" s="100">
        <f>145.22</f>
        <v>145.22</v>
      </c>
      <c r="F249" s="149">
        <f>(65316)*(1.023*1.005-2.3%*15%)*6.99+0*4.09</f>
        <v>467820</v>
      </c>
      <c r="G249" s="145">
        <f t="shared" si="84"/>
        <v>1.123</v>
      </c>
      <c r="H249" s="146">
        <f t="shared" si="85"/>
        <v>525362</v>
      </c>
      <c r="I249" s="145">
        <f>'[2]Расчет прогнозных дефляторов'!$D$75</f>
        <v>1.0429999999999999</v>
      </c>
      <c r="J249" s="146">
        <f t="shared" si="86"/>
        <v>547953</v>
      </c>
      <c r="K249" s="146">
        <f t="shared" si="87"/>
        <v>541176</v>
      </c>
      <c r="L249" s="147"/>
      <c r="M249" s="147"/>
      <c r="N249" s="147"/>
    </row>
    <row r="250" spans="1:14" s="148" customFormat="1" ht="25.5" hidden="1" outlineLevel="3" x14ac:dyDescent="0.2">
      <c r="A250" s="95" t="s">
        <v>1915</v>
      </c>
      <c r="B250" s="42" t="s">
        <v>1004</v>
      </c>
      <c r="C250" s="42" t="s">
        <v>1005</v>
      </c>
      <c r="D250" s="100" t="s">
        <v>404</v>
      </c>
      <c r="E250" s="100">
        <f>371.74</f>
        <v>371.74</v>
      </c>
      <c r="F250" s="149">
        <f>(36491)*(1.023*1.005-2.3%*15%)*6.99+0*4.09</f>
        <v>261363</v>
      </c>
      <c r="G250" s="145">
        <f t="shared" si="84"/>
        <v>1.123</v>
      </c>
      <c r="H250" s="146">
        <f t="shared" si="85"/>
        <v>293511</v>
      </c>
      <c r="I250" s="145">
        <f>'[2]Расчет прогнозных дефляторов'!$D$75</f>
        <v>1.0429999999999999</v>
      </c>
      <c r="J250" s="146">
        <f t="shared" si="86"/>
        <v>306132</v>
      </c>
      <c r="K250" s="146">
        <f t="shared" si="87"/>
        <v>302346</v>
      </c>
      <c r="L250" s="147"/>
      <c r="M250" s="147"/>
      <c r="N250" s="147"/>
    </row>
    <row r="251" spans="1:14" s="237" customFormat="1" ht="31.5" customHeight="1" outlineLevel="2" collapsed="1" x14ac:dyDescent="0.2">
      <c r="A251" s="238" t="s">
        <v>406</v>
      </c>
      <c r="B251" s="229" t="s">
        <v>162</v>
      </c>
      <c r="C251" s="229" t="s">
        <v>1847</v>
      </c>
      <c r="D251" s="239" t="s">
        <v>292</v>
      </c>
      <c r="E251" s="240">
        <v>1</v>
      </c>
      <c r="F251" s="240">
        <f>SUM(F252:F271)</f>
        <v>22290274</v>
      </c>
      <c r="G251" s="241"/>
      <c r="H251" s="240">
        <f>SUM(H252:H271)</f>
        <v>25031976</v>
      </c>
      <c r="I251" s="241"/>
      <c r="J251" s="240">
        <f>SUM(J252:J271)</f>
        <v>26108351</v>
      </c>
      <c r="K251" s="240">
        <f>SUM(K252:K271)</f>
        <v>25785440</v>
      </c>
      <c r="L251" s="256"/>
      <c r="M251" s="256"/>
      <c r="N251" s="256"/>
    </row>
    <row r="252" spans="1:14" s="148" customFormat="1" ht="15.75" hidden="1" outlineLevel="3" x14ac:dyDescent="0.2">
      <c r="A252" s="95"/>
      <c r="B252" s="42"/>
      <c r="C252" s="157" t="s">
        <v>367</v>
      </c>
      <c r="D252" s="100"/>
      <c r="E252" s="100"/>
      <c r="F252" s="149"/>
      <c r="G252" s="145"/>
      <c r="H252" s="146"/>
      <c r="I252" s="145"/>
      <c r="J252" s="146"/>
      <c r="K252" s="146"/>
      <c r="L252" s="147"/>
      <c r="M252" s="147"/>
      <c r="N252" s="147"/>
    </row>
    <row r="253" spans="1:14" s="148" customFormat="1" ht="15.75" hidden="1" outlineLevel="3" x14ac:dyDescent="0.2">
      <c r="A253" s="95" t="s">
        <v>407</v>
      </c>
      <c r="B253" s="42" t="s">
        <v>1007</v>
      </c>
      <c r="C253" s="42" t="s">
        <v>1006</v>
      </c>
      <c r="D253" s="100" t="s">
        <v>300</v>
      </c>
      <c r="E253" s="100">
        <v>110</v>
      </c>
      <c r="F253" s="149">
        <f>(18362)*(1.023*1.005-2.3%*15%)*6.99+0*4.09</f>
        <v>131516</v>
      </c>
      <c r="G253" s="145">
        <f>$G$766</f>
        <v>1.123</v>
      </c>
      <c r="H253" s="146">
        <f t="shared" ref="H253:H254" si="88">F253*G253</f>
        <v>147692</v>
      </c>
      <c r="I253" s="145">
        <f>'[2]Расчет прогнозных дефляторов'!$D$75</f>
        <v>1.0429999999999999</v>
      </c>
      <c r="J253" s="146">
        <f t="shared" ref="J253:J254" si="89">H253*I253</f>
        <v>154043</v>
      </c>
      <c r="K253" s="146">
        <f t="shared" ref="K253:K254" si="90">H253+(J253-H253)*(1-30/100)</f>
        <v>152138</v>
      </c>
      <c r="L253" s="147" t="s">
        <v>1008</v>
      </c>
      <c r="M253" s="147"/>
      <c r="N253" s="147"/>
    </row>
    <row r="254" spans="1:14" s="148" customFormat="1" ht="25.5" hidden="1" outlineLevel="3" x14ac:dyDescent="0.2">
      <c r="A254" s="95" t="s">
        <v>409</v>
      </c>
      <c r="B254" s="42" t="s">
        <v>1009</v>
      </c>
      <c r="C254" s="42" t="s">
        <v>750</v>
      </c>
      <c r="D254" s="100" t="s">
        <v>300</v>
      </c>
      <c r="E254" s="100">
        <v>420</v>
      </c>
      <c r="F254" s="149">
        <f>(6023)*(1.023*1.005-2.3%*15%)*6.99+0*4.09</f>
        <v>43139</v>
      </c>
      <c r="G254" s="145">
        <f>$G$766</f>
        <v>1.123</v>
      </c>
      <c r="H254" s="146">
        <f t="shared" si="88"/>
        <v>48445</v>
      </c>
      <c r="I254" s="145">
        <f>'[2]Расчет прогнозных дефляторов'!$D$75</f>
        <v>1.0429999999999999</v>
      </c>
      <c r="J254" s="146">
        <f t="shared" si="89"/>
        <v>50528</v>
      </c>
      <c r="K254" s="146">
        <f t="shared" si="90"/>
        <v>49903</v>
      </c>
      <c r="L254" s="147"/>
      <c r="M254" s="147"/>
      <c r="N254" s="147"/>
    </row>
    <row r="255" spans="1:14" s="148" customFormat="1" ht="15.75" hidden="1" outlineLevel="3" x14ac:dyDescent="0.2">
      <c r="A255" s="95"/>
      <c r="B255" s="42"/>
      <c r="C255" s="157" t="s">
        <v>1020</v>
      </c>
      <c r="D255" s="100"/>
      <c r="E255" s="100"/>
      <c r="F255" s="149"/>
      <c r="G255" s="145"/>
      <c r="H255" s="146"/>
      <c r="I255" s="145"/>
      <c r="J255" s="146"/>
      <c r="K255" s="146"/>
      <c r="L255" s="147"/>
      <c r="M255" s="147"/>
      <c r="N255" s="147"/>
    </row>
    <row r="256" spans="1:14" s="148" customFormat="1" ht="15.75" hidden="1" outlineLevel="3" x14ac:dyDescent="0.2">
      <c r="A256" s="95" t="s">
        <v>410</v>
      </c>
      <c r="B256" s="42" t="s">
        <v>1011</v>
      </c>
      <c r="C256" s="42" t="s">
        <v>1021</v>
      </c>
      <c r="D256" s="100" t="s">
        <v>300</v>
      </c>
      <c r="E256" s="168">
        <f>237.9</f>
        <v>237.9</v>
      </c>
      <c r="F256" s="149">
        <f>(319411)*(1.023*1.005-2.3%*15%)*6.99+0*4.09</f>
        <v>2287752</v>
      </c>
      <c r="G256" s="145">
        <f t="shared" ref="G256:G262" si="91">$G$766</f>
        <v>1.123</v>
      </c>
      <c r="H256" s="146">
        <f t="shared" ref="H256:H262" si="92">F256*G256</f>
        <v>2569145</v>
      </c>
      <c r="I256" s="145">
        <f>'[2]Расчет прогнозных дефляторов'!$D$75</f>
        <v>1.0429999999999999</v>
      </c>
      <c r="J256" s="146">
        <f t="shared" ref="J256:J262" si="93">H256*I256</f>
        <v>2679618</v>
      </c>
      <c r="K256" s="146">
        <f t="shared" ref="K256:K262" si="94">H256+(J256-H256)*(1-30/100)</f>
        <v>2646476</v>
      </c>
      <c r="L256" s="147"/>
      <c r="M256" s="147"/>
      <c r="N256" s="147"/>
    </row>
    <row r="257" spans="1:14" s="148" customFormat="1" ht="15.75" hidden="1" outlineLevel="3" x14ac:dyDescent="0.2">
      <c r="A257" s="95" t="s">
        <v>411</v>
      </c>
      <c r="B257" s="42" t="s">
        <v>1013</v>
      </c>
      <c r="C257" s="42" t="s">
        <v>1022</v>
      </c>
      <c r="D257" s="100" t="s">
        <v>300</v>
      </c>
      <c r="E257" s="100">
        <f>52.1</f>
        <v>52.1</v>
      </c>
      <c r="F257" s="149">
        <f>(75676)*(1.023*1.005-2.3%*15%)*6.99+0*4.09</f>
        <v>542022</v>
      </c>
      <c r="G257" s="145">
        <f t="shared" si="91"/>
        <v>1.123</v>
      </c>
      <c r="H257" s="146">
        <f t="shared" si="92"/>
        <v>608691</v>
      </c>
      <c r="I257" s="145">
        <f>'[2]Расчет прогнозных дефляторов'!$D$75</f>
        <v>1.0429999999999999</v>
      </c>
      <c r="J257" s="146">
        <f t="shared" si="93"/>
        <v>634865</v>
      </c>
      <c r="K257" s="146">
        <f t="shared" si="94"/>
        <v>627013</v>
      </c>
      <c r="L257" s="147"/>
      <c r="M257" s="147"/>
      <c r="N257" s="147"/>
    </row>
    <row r="258" spans="1:14" s="148" customFormat="1" ht="15.75" hidden="1" outlineLevel="3" x14ac:dyDescent="0.2">
      <c r="A258" s="95" t="s">
        <v>412</v>
      </c>
      <c r="B258" s="42" t="s">
        <v>1014</v>
      </c>
      <c r="C258" s="42" t="s">
        <v>1012</v>
      </c>
      <c r="D258" s="100" t="s">
        <v>300</v>
      </c>
      <c r="E258" s="100">
        <f>45.6</f>
        <v>45.6</v>
      </c>
      <c r="F258" s="149">
        <f>(75718)*(1.023*1.005-2.3%*15%)*6.99+0*4.09</f>
        <v>542323</v>
      </c>
      <c r="G258" s="145">
        <f t="shared" si="91"/>
        <v>1.123</v>
      </c>
      <c r="H258" s="146">
        <f t="shared" si="92"/>
        <v>609029</v>
      </c>
      <c r="I258" s="145">
        <f>'[2]Расчет прогнозных дефляторов'!$D$75</f>
        <v>1.0429999999999999</v>
      </c>
      <c r="J258" s="146">
        <f t="shared" si="93"/>
        <v>635217</v>
      </c>
      <c r="K258" s="146">
        <f t="shared" si="94"/>
        <v>627361</v>
      </c>
      <c r="L258" s="147"/>
      <c r="M258" s="147"/>
      <c r="N258" s="147"/>
    </row>
    <row r="259" spans="1:14" s="148" customFormat="1" ht="15.75" hidden="1" outlineLevel="3" x14ac:dyDescent="0.2">
      <c r="A259" s="95" t="s">
        <v>413</v>
      </c>
      <c r="B259" s="42" t="s">
        <v>1015</v>
      </c>
      <c r="C259" s="42" t="s">
        <v>1023</v>
      </c>
      <c r="D259" s="100" t="s">
        <v>300</v>
      </c>
      <c r="E259" s="100">
        <f>27.6</f>
        <v>27.6</v>
      </c>
      <c r="F259" s="149">
        <f>(93327)*(1.023*1.005-2.3%*15%)*6.99+0*4.09</f>
        <v>668446</v>
      </c>
      <c r="G259" s="145">
        <f t="shared" si="91"/>
        <v>1.123</v>
      </c>
      <c r="H259" s="146">
        <f t="shared" si="92"/>
        <v>750665</v>
      </c>
      <c r="I259" s="145">
        <f>'[2]Расчет прогнозных дефляторов'!$D$75</f>
        <v>1.0429999999999999</v>
      </c>
      <c r="J259" s="146">
        <f t="shared" si="93"/>
        <v>782944</v>
      </c>
      <c r="K259" s="146">
        <f t="shared" si="94"/>
        <v>773260</v>
      </c>
      <c r="L259" s="147"/>
      <c r="M259" s="147"/>
      <c r="N259" s="147"/>
    </row>
    <row r="260" spans="1:14" s="148" customFormat="1" ht="15.75" hidden="1" outlineLevel="3" x14ac:dyDescent="0.2">
      <c r="A260" s="95" t="s">
        <v>415</v>
      </c>
      <c r="B260" s="42" t="s">
        <v>1017</v>
      </c>
      <c r="C260" s="42" t="s">
        <v>1016</v>
      </c>
      <c r="D260" s="100" t="s">
        <v>300</v>
      </c>
      <c r="E260" s="100">
        <f>116</f>
        <v>116</v>
      </c>
      <c r="F260" s="149">
        <f>(250290)*(1.023*1.005-2.3%*15%)*6.99+0*4.09</f>
        <v>1792679</v>
      </c>
      <c r="G260" s="145">
        <f t="shared" si="91"/>
        <v>1.123</v>
      </c>
      <c r="H260" s="146">
        <f t="shared" si="92"/>
        <v>2013179</v>
      </c>
      <c r="I260" s="145">
        <f>'[2]Расчет прогнозных дефляторов'!$D$75</f>
        <v>1.0429999999999999</v>
      </c>
      <c r="J260" s="146">
        <f t="shared" si="93"/>
        <v>2099746</v>
      </c>
      <c r="K260" s="146">
        <f t="shared" si="94"/>
        <v>2073776</v>
      </c>
      <c r="L260" s="147"/>
      <c r="M260" s="147"/>
      <c r="N260" s="147"/>
    </row>
    <row r="261" spans="1:14" s="148" customFormat="1" ht="15.75" hidden="1" outlineLevel="3" x14ac:dyDescent="0.2">
      <c r="A261" s="95" t="s">
        <v>416</v>
      </c>
      <c r="B261" s="42" t="s">
        <v>1018</v>
      </c>
      <c r="C261" s="42" t="s">
        <v>1024</v>
      </c>
      <c r="D261" s="100" t="s">
        <v>300</v>
      </c>
      <c r="E261" s="100">
        <f>28.3</f>
        <v>28.3</v>
      </c>
      <c r="F261" s="149">
        <f>(47432)*(1.023*1.005-2.3%*15%)*6.99+0*4.09</f>
        <v>339727</v>
      </c>
      <c r="G261" s="145">
        <f t="shared" si="91"/>
        <v>1.123</v>
      </c>
      <c r="H261" s="146">
        <f t="shared" si="92"/>
        <v>381513</v>
      </c>
      <c r="I261" s="145">
        <f>'[2]Расчет прогнозных дефляторов'!$D$75</f>
        <v>1.0429999999999999</v>
      </c>
      <c r="J261" s="146">
        <f t="shared" si="93"/>
        <v>397918</v>
      </c>
      <c r="K261" s="146">
        <f t="shared" si="94"/>
        <v>392997</v>
      </c>
      <c r="L261" s="147"/>
      <c r="M261" s="147"/>
      <c r="N261" s="147"/>
    </row>
    <row r="262" spans="1:14" s="148" customFormat="1" ht="25.5" hidden="1" outlineLevel="3" x14ac:dyDescent="0.2">
      <c r="A262" s="95" t="s">
        <v>417</v>
      </c>
      <c r="B262" s="42" t="s">
        <v>1025</v>
      </c>
      <c r="C262" s="42" t="s">
        <v>1019</v>
      </c>
      <c r="D262" s="100" t="s">
        <v>292</v>
      </c>
      <c r="E262" s="100">
        <v>1</v>
      </c>
      <c r="F262" s="149">
        <f>(102455)*(1.023*1.005-2.3%*15%)*6.99+0*4.09</f>
        <v>733825</v>
      </c>
      <c r="G262" s="145">
        <f t="shared" si="91"/>
        <v>1.123</v>
      </c>
      <c r="H262" s="146">
        <f t="shared" si="92"/>
        <v>824085</v>
      </c>
      <c r="I262" s="145">
        <f>'[2]Расчет прогнозных дефляторов'!$D$75</f>
        <v>1.0429999999999999</v>
      </c>
      <c r="J262" s="146">
        <f t="shared" si="93"/>
        <v>859521</v>
      </c>
      <c r="K262" s="146">
        <f t="shared" si="94"/>
        <v>848890</v>
      </c>
      <c r="L262" s="147"/>
      <c r="M262" s="147"/>
      <c r="N262" s="147"/>
    </row>
    <row r="263" spans="1:14" s="148" customFormat="1" ht="15.75" hidden="1" outlineLevel="3" x14ac:dyDescent="0.2">
      <c r="A263" s="95"/>
      <c r="B263" s="42"/>
      <c r="C263" s="157" t="s">
        <v>1026</v>
      </c>
      <c r="D263" s="100"/>
      <c r="E263" s="100"/>
      <c r="F263" s="149"/>
      <c r="G263" s="145"/>
      <c r="H263" s="146"/>
      <c r="I263" s="145"/>
      <c r="J263" s="146"/>
      <c r="K263" s="146"/>
      <c r="L263" s="147"/>
      <c r="M263" s="147"/>
      <c r="N263" s="147"/>
    </row>
    <row r="264" spans="1:14" s="148" customFormat="1" ht="15.75" hidden="1" outlineLevel="3" x14ac:dyDescent="0.2">
      <c r="A264" s="95" t="s">
        <v>418</v>
      </c>
      <c r="B264" s="42" t="s">
        <v>1029</v>
      </c>
      <c r="C264" s="42" t="s">
        <v>1027</v>
      </c>
      <c r="D264" s="100" t="s">
        <v>292</v>
      </c>
      <c r="E264" s="100">
        <v>1</v>
      </c>
      <c r="F264" s="149">
        <f>(32268)*(1.023*1.005-2.3%*15%)*6.99+0*4.09</f>
        <v>231117</v>
      </c>
      <c r="G264" s="145">
        <f t="shared" ref="G264:G272" si="95">$G$766</f>
        <v>1.123</v>
      </c>
      <c r="H264" s="146">
        <f t="shared" ref="H264:H271" si="96">F264*G264</f>
        <v>259544</v>
      </c>
      <c r="I264" s="145">
        <f>'[2]Расчет прогнозных дефляторов'!$D$75</f>
        <v>1.0429999999999999</v>
      </c>
      <c r="J264" s="146">
        <f t="shared" ref="J264:J271" si="97">H264*I264</f>
        <v>270704</v>
      </c>
      <c r="K264" s="146">
        <f t="shared" ref="K264:K271" si="98">H264+(J264-H264)*(1-30/100)</f>
        <v>267356</v>
      </c>
      <c r="L264" s="147" t="s">
        <v>1039</v>
      </c>
      <c r="M264" s="147"/>
      <c r="N264" s="147"/>
    </row>
    <row r="265" spans="1:14" s="148" customFormat="1" ht="15.75" hidden="1" outlineLevel="3" x14ac:dyDescent="0.2">
      <c r="A265" s="160" t="s">
        <v>419</v>
      </c>
      <c r="B265" s="91" t="s">
        <v>1030</v>
      </c>
      <c r="C265" s="91" t="s">
        <v>1028</v>
      </c>
      <c r="D265" s="161" t="s">
        <v>408</v>
      </c>
      <c r="E265" s="161">
        <v>918</v>
      </c>
      <c r="F265" s="99">
        <f>(305556)*(1.023*1.005-2.3%*15%)*6.99+0*4.09</f>
        <v>2188517</v>
      </c>
      <c r="G265" s="163">
        <f t="shared" si="95"/>
        <v>1.123</v>
      </c>
      <c r="H265" s="164">
        <f t="shared" si="96"/>
        <v>2457705</v>
      </c>
      <c r="I265" s="163">
        <f>'[2]Расчет прогнозных дефляторов'!$D$75</f>
        <v>1.0429999999999999</v>
      </c>
      <c r="J265" s="164">
        <f t="shared" si="97"/>
        <v>2563386</v>
      </c>
      <c r="K265" s="164">
        <f t="shared" si="98"/>
        <v>2531682</v>
      </c>
      <c r="L265" s="147" t="s">
        <v>742</v>
      </c>
      <c r="M265" s="147"/>
      <c r="N265" s="147"/>
    </row>
    <row r="266" spans="1:14" s="148" customFormat="1" ht="25.5" hidden="1" outlineLevel="3" x14ac:dyDescent="0.2">
      <c r="A266" s="95" t="s">
        <v>420</v>
      </c>
      <c r="B266" s="42" t="s">
        <v>1032</v>
      </c>
      <c r="C266" s="42" t="s">
        <v>1031</v>
      </c>
      <c r="D266" s="100" t="s">
        <v>292</v>
      </c>
      <c r="E266" s="100">
        <v>1</v>
      </c>
      <c r="F266" s="149">
        <f>(1160425)*(1.023*1.005-2.3%*15%)*6.99+0*4.09</f>
        <v>8311438</v>
      </c>
      <c r="G266" s="145">
        <f t="shared" si="95"/>
        <v>1.123</v>
      </c>
      <c r="H266" s="146">
        <f t="shared" si="96"/>
        <v>9333745</v>
      </c>
      <c r="I266" s="145">
        <f>'[2]Расчет прогнозных дефляторов'!$D$75</f>
        <v>1.0429999999999999</v>
      </c>
      <c r="J266" s="146">
        <f t="shared" si="97"/>
        <v>9735096</v>
      </c>
      <c r="K266" s="146">
        <f t="shared" si="98"/>
        <v>9614691</v>
      </c>
      <c r="L266" s="172" t="s">
        <v>1038</v>
      </c>
      <c r="M266" s="147"/>
      <c r="N266" s="147"/>
    </row>
    <row r="267" spans="1:14" s="148" customFormat="1" ht="15.75" hidden="1" outlineLevel="3" x14ac:dyDescent="0.2">
      <c r="A267" s="160" t="s">
        <v>421</v>
      </c>
      <c r="B267" s="91" t="s">
        <v>1033</v>
      </c>
      <c r="C267" s="91" t="s">
        <v>1028</v>
      </c>
      <c r="D267" s="161" t="s">
        <v>408</v>
      </c>
      <c r="E267" s="161">
        <v>1200</v>
      </c>
      <c r="F267" s="99">
        <f>(399420)*(1.023*1.005-2.3%*15%)*6.99+0*4.09+7</f>
        <v>2860816</v>
      </c>
      <c r="G267" s="163">
        <f t="shared" si="95"/>
        <v>1.123</v>
      </c>
      <c r="H267" s="164">
        <f t="shared" si="96"/>
        <v>3212696</v>
      </c>
      <c r="I267" s="163">
        <f>'[2]Расчет прогнозных дефляторов'!$D$75</f>
        <v>1.0429999999999999</v>
      </c>
      <c r="J267" s="164">
        <f t="shared" si="97"/>
        <v>3350842</v>
      </c>
      <c r="K267" s="164">
        <f t="shared" si="98"/>
        <v>3309398</v>
      </c>
      <c r="L267" s="147" t="s">
        <v>742</v>
      </c>
      <c r="M267" s="147"/>
      <c r="N267" s="147"/>
    </row>
    <row r="268" spans="1:14" s="148" customFormat="1" ht="15.75" hidden="1" outlineLevel="3" x14ac:dyDescent="0.2">
      <c r="A268" s="95" t="s">
        <v>422</v>
      </c>
      <c r="B268" s="42" t="s">
        <v>1035</v>
      </c>
      <c r="C268" s="42" t="s">
        <v>1034</v>
      </c>
      <c r="D268" s="100" t="s">
        <v>292</v>
      </c>
      <c r="E268" s="100">
        <v>1</v>
      </c>
      <c r="F268" s="149">
        <f>(7966)*(1.023*1.005-2.3%*15%)*6.99+0*4.09</f>
        <v>57056</v>
      </c>
      <c r="G268" s="145">
        <f t="shared" si="95"/>
        <v>1.123</v>
      </c>
      <c r="H268" s="146">
        <f t="shared" si="96"/>
        <v>64074</v>
      </c>
      <c r="I268" s="145">
        <f>'[2]Расчет прогнозных дефляторов'!$D$75</f>
        <v>1.0429999999999999</v>
      </c>
      <c r="J268" s="146">
        <f t="shared" si="97"/>
        <v>66829</v>
      </c>
      <c r="K268" s="146">
        <f t="shared" si="98"/>
        <v>66003</v>
      </c>
      <c r="L268" s="147" t="s">
        <v>1040</v>
      </c>
      <c r="M268" s="147"/>
      <c r="N268" s="147"/>
    </row>
    <row r="269" spans="1:14" s="148" customFormat="1" ht="15.75" hidden="1" outlineLevel="3" x14ac:dyDescent="0.2">
      <c r="A269" s="95" t="s">
        <v>1916</v>
      </c>
      <c r="B269" s="42" t="s">
        <v>1037</v>
      </c>
      <c r="C269" s="42" t="s">
        <v>1036</v>
      </c>
      <c r="D269" s="100" t="s">
        <v>637</v>
      </c>
      <c r="E269" s="100">
        <v>1.5</v>
      </c>
      <c r="F269" s="149">
        <f>(22414)*(1.023*1.005-2.3%*15%)*6.99+0*4.09</f>
        <v>160538</v>
      </c>
      <c r="G269" s="145">
        <f t="shared" si="95"/>
        <v>1.123</v>
      </c>
      <c r="H269" s="146">
        <f t="shared" si="96"/>
        <v>180284</v>
      </c>
      <c r="I269" s="145">
        <f>'[2]Расчет прогнозных дефляторов'!$D$75</f>
        <v>1.0429999999999999</v>
      </c>
      <c r="J269" s="146">
        <f t="shared" si="97"/>
        <v>188036</v>
      </c>
      <c r="K269" s="146">
        <f t="shared" si="98"/>
        <v>185710</v>
      </c>
      <c r="L269" s="147"/>
      <c r="M269" s="147"/>
      <c r="N269" s="147"/>
    </row>
    <row r="270" spans="1:14" s="148" customFormat="1" ht="25.5" hidden="1" outlineLevel="3" x14ac:dyDescent="0.2">
      <c r="A270" s="225" t="s">
        <v>1917</v>
      </c>
      <c r="B270" s="226" t="s">
        <v>1042</v>
      </c>
      <c r="C270" s="226" t="s">
        <v>1041</v>
      </c>
      <c r="D270" s="227" t="s">
        <v>404</v>
      </c>
      <c r="E270" s="227">
        <f>3951</f>
        <v>3951</v>
      </c>
      <c r="F270" s="223">
        <f>(57230)*(1.023*1.005-2.3%*15%)*6.99+0*4.09</f>
        <v>409905</v>
      </c>
      <c r="G270" s="224">
        <f t="shared" si="95"/>
        <v>1.123</v>
      </c>
      <c r="H270" s="228">
        <f t="shared" si="96"/>
        <v>460323</v>
      </c>
      <c r="I270" s="224">
        <f>'[2]Расчет прогнозных дефляторов'!$D$75</f>
        <v>1.0429999999999999</v>
      </c>
      <c r="J270" s="228">
        <f t="shared" si="97"/>
        <v>480117</v>
      </c>
      <c r="K270" s="228">
        <f t="shared" si="98"/>
        <v>474179</v>
      </c>
      <c r="L270" s="147" t="s">
        <v>1043</v>
      </c>
      <c r="M270" s="147"/>
      <c r="N270" s="147"/>
    </row>
    <row r="271" spans="1:14" s="148" customFormat="1" ht="38.25" hidden="1" outlineLevel="3" x14ac:dyDescent="0.2">
      <c r="A271" s="225" t="s">
        <v>1918</v>
      </c>
      <c r="B271" s="226" t="s">
        <v>1046</v>
      </c>
      <c r="C271" s="226" t="s">
        <v>1044</v>
      </c>
      <c r="D271" s="227" t="s">
        <v>404</v>
      </c>
      <c r="E271" s="227">
        <f>198</f>
        <v>198</v>
      </c>
      <c r="F271" s="223">
        <f>(138146)*(1.023*1.005-2.3%*15%)*6.99+0*4.09</f>
        <v>989458</v>
      </c>
      <c r="G271" s="224">
        <f t="shared" si="95"/>
        <v>1.123</v>
      </c>
      <c r="H271" s="228">
        <f t="shared" si="96"/>
        <v>1111161</v>
      </c>
      <c r="I271" s="224">
        <f>'[2]Расчет прогнозных дефляторов'!$D$75</f>
        <v>1.0429999999999999</v>
      </c>
      <c r="J271" s="228">
        <f t="shared" si="97"/>
        <v>1158941</v>
      </c>
      <c r="K271" s="228">
        <f t="shared" si="98"/>
        <v>1144607</v>
      </c>
      <c r="L271" s="147" t="s">
        <v>1045</v>
      </c>
      <c r="M271" s="147"/>
      <c r="N271" s="147"/>
    </row>
    <row r="272" spans="1:14" s="237" customFormat="1" ht="25.5" outlineLevel="2" collapsed="1" x14ac:dyDescent="0.2">
      <c r="A272" s="238" t="s">
        <v>423</v>
      </c>
      <c r="B272" s="229" t="s">
        <v>164</v>
      </c>
      <c r="C272" s="229" t="s">
        <v>1919</v>
      </c>
      <c r="D272" s="239" t="s">
        <v>292</v>
      </c>
      <c r="E272" s="240">
        <v>1</v>
      </c>
      <c r="F272" s="240">
        <f>SUM(F273:F295)</f>
        <v>72287036</v>
      </c>
      <c r="G272" s="241">
        <f t="shared" si="95"/>
        <v>1.123</v>
      </c>
      <c r="H272" s="240">
        <f>SUM(H273:H295)</f>
        <v>81178343</v>
      </c>
      <c r="I272" s="241">
        <f>'[2]Расчет прогнозных дефляторов'!$D$75</f>
        <v>1.0429999999999999</v>
      </c>
      <c r="J272" s="240">
        <f>SUM(J273:J295)</f>
        <v>84669012</v>
      </c>
      <c r="K272" s="240">
        <f>SUM(K273:K295)</f>
        <v>83621813</v>
      </c>
      <c r="L272" s="256"/>
      <c r="M272" s="256"/>
      <c r="N272" s="256"/>
    </row>
    <row r="273" spans="1:14" s="148" customFormat="1" ht="15.75" hidden="1" outlineLevel="3" x14ac:dyDescent="0.2">
      <c r="A273" s="95"/>
      <c r="B273" s="42"/>
      <c r="C273" s="157" t="s">
        <v>367</v>
      </c>
      <c r="D273" s="100"/>
      <c r="E273" s="100"/>
      <c r="F273" s="149"/>
      <c r="G273" s="145"/>
      <c r="H273" s="146"/>
      <c r="I273" s="145"/>
      <c r="J273" s="146"/>
      <c r="K273" s="146"/>
      <c r="L273" s="147"/>
      <c r="M273" s="147"/>
      <c r="N273" s="147"/>
    </row>
    <row r="274" spans="1:14" s="148" customFormat="1" ht="25.5" hidden="1" outlineLevel="3" x14ac:dyDescent="0.2">
      <c r="A274" s="95" t="s">
        <v>424</v>
      </c>
      <c r="B274" s="42" t="s">
        <v>1047</v>
      </c>
      <c r="C274" s="42" t="s">
        <v>356</v>
      </c>
      <c r="D274" s="100" t="s">
        <v>300</v>
      </c>
      <c r="E274" s="100">
        <f>4472.5</f>
        <v>4472.5</v>
      </c>
      <c r="F274" s="149">
        <f>(891857)*(1.023*1.005-2.3%*15%)*6.99+0*4.09-28</f>
        <v>6387816</v>
      </c>
      <c r="G274" s="145">
        <f t="shared" ref="G274:G281" si="99">$G$766</f>
        <v>1.123</v>
      </c>
      <c r="H274" s="146">
        <f t="shared" ref="H274:H281" si="100">F274*G274</f>
        <v>7173517</v>
      </c>
      <c r="I274" s="145">
        <f>'[2]Расчет прогнозных дефляторов'!$D$75</f>
        <v>1.0429999999999999</v>
      </c>
      <c r="J274" s="146">
        <f t="shared" ref="J274:J281" si="101">H274*I274</f>
        <v>7481978</v>
      </c>
      <c r="K274" s="146">
        <f t="shared" ref="K274:K281" si="102">H274+(J274-H274)*(1-30/100)</f>
        <v>7389440</v>
      </c>
      <c r="L274" s="147"/>
      <c r="M274" s="147"/>
      <c r="N274" s="147"/>
    </row>
    <row r="275" spans="1:14" s="148" customFormat="1" ht="15.75" hidden="1" outlineLevel="3" x14ac:dyDescent="0.2">
      <c r="A275" s="95" t="s">
        <v>1928</v>
      </c>
      <c r="B275" s="42" t="s">
        <v>1053</v>
      </c>
      <c r="C275" s="42" t="s">
        <v>1048</v>
      </c>
      <c r="D275" s="100" t="s">
        <v>300</v>
      </c>
      <c r="E275" s="100">
        <f>3261.5</f>
        <v>3261.5</v>
      </c>
      <c r="F275" s="149">
        <f>(41760)*(1.023*1.005-2.3%*15%)*6.99+0*4.09</f>
        <v>299102</v>
      </c>
      <c r="G275" s="145">
        <f t="shared" si="99"/>
        <v>1.123</v>
      </c>
      <c r="H275" s="146">
        <f t="shared" si="100"/>
        <v>335892</v>
      </c>
      <c r="I275" s="145">
        <f>'[2]Расчет прогнозных дефляторов'!$D$75</f>
        <v>1.0429999999999999</v>
      </c>
      <c r="J275" s="146">
        <f t="shared" si="101"/>
        <v>350335</v>
      </c>
      <c r="K275" s="146">
        <f t="shared" si="102"/>
        <v>346002</v>
      </c>
      <c r="L275" s="147"/>
      <c r="M275" s="147"/>
      <c r="N275" s="147"/>
    </row>
    <row r="276" spans="1:14" s="148" customFormat="1" ht="25.5" hidden="1" outlineLevel="3" x14ac:dyDescent="0.2">
      <c r="A276" s="95" t="s">
        <v>1929</v>
      </c>
      <c r="B276" s="42" t="s">
        <v>1054</v>
      </c>
      <c r="C276" s="42" t="s">
        <v>1049</v>
      </c>
      <c r="D276" s="100" t="s">
        <v>300</v>
      </c>
      <c r="E276" s="100">
        <f>1211</f>
        <v>1211</v>
      </c>
      <c r="F276" s="149">
        <f>(52707)*(1.023*1.005-2.3%*15%)*6.99+0*4.09</f>
        <v>377509</v>
      </c>
      <c r="G276" s="145">
        <f t="shared" si="99"/>
        <v>1.123</v>
      </c>
      <c r="H276" s="146">
        <f t="shared" si="100"/>
        <v>423943</v>
      </c>
      <c r="I276" s="145">
        <f>'[2]Расчет прогнозных дефляторов'!$D$75</f>
        <v>1.0429999999999999</v>
      </c>
      <c r="J276" s="146">
        <f t="shared" si="101"/>
        <v>442173</v>
      </c>
      <c r="K276" s="146">
        <f t="shared" si="102"/>
        <v>436704</v>
      </c>
      <c r="L276" s="147" t="s">
        <v>1050</v>
      </c>
      <c r="M276" s="147"/>
      <c r="N276" s="147"/>
    </row>
    <row r="277" spans="1:14" s="148" customFormat="1" ht="25.5" hidden="1" outlineLevel="3" x14ac:dyDescent="0.2">
      <c r="A277" s="95" t="s">
        <v>1930</v>
      </c>
      <c r="B277" s="42" t="s">
        <v>1055</v>
      </c>
      <c r="C277" s="42" t="s">
        <v>1052</v>
      </c>
      <c r="D277" s="100" t="s">
        <v>300</v>
      </c>
      <c r="E277" s="100">
        <f>3261.5</f>
        <v>3261.5</v>
      </c>
      <c r="F277" s="149">
        <f>(53926)*(1.023*1.005-2.3%*15%)*6.99+0*4.09</f>
        <v>386240</v>
      </c>
      <c r="G277" s="145">
        <f t="shared" si="99"/>
        <v>1.123</v>
      </c>
      <c r="H277" s="146">
        <f t="shared" si="100"/>
        <v>433748</v>
      </c>
      <c r="I277" s="145">
        <f>'[2]Расчет прогнозных дефляторов'!$D$75</f>
        <v>1.0429999999999999</v>
      </c>
      <c r="J277" s="146">
        <f t="shared" si="101"/>
        <v>452399</v>
      </c>
      <c r="K277" s="146">
        <f t="shared" si="102"/>
        <v>446804</v>
      </c>
      <c r="L277" s="147"/>
      <c r="M277" s="147"/>
      <c r="N277" s="147"/>
    </row>
    <row r="278" spans="1:14" s="148" customFormat="1" ht="15.75" hidden="1" outlineLevel="3" x14ac:dyDescent="0.2">
      <c r="A278" s="95" t="s">
        <v>1931</v>
      </c>
      <c r="B278" s="42" t="s">
        <v>1057</v>
      </c>
      <c r="C278" s="42" t="s">
        <v>1056</v>
      </c>
      <c r="D278" s="100" t="s">
        <v>300</v>
      </c>
      <c r="E278" s="100">
        <f>860.9</f>
        <v>860.9</v>
      </c>
      <c r="F278" s="149">
        <f>(1232562)*(1.023*1.005-2.3%*15%)*6.99+0*4.09</f>
        <v>8828112</v>
      </c>
      <c r="G278" s="145">
        <f t="shared" si="99"/>
        <v>1.123</v>
      </c>
      <c r="H278" s="146">
        <f t="shared" si="100"/>
        <v>9913970</v>
      </c>
      <c r="I278" s="145">
        <f>'[2]Расчет прогнозных дефляторов'!$D$75</f>
        <v>1.0429999999999999</v>
      </c>
      <c r="J278" s="146">
        <f t="shared" si="101"/>
        <v>10340271</v>
      </c>
      <c r="K278" s="146">
        <f t="shared" si="102"/>
        <v>10212381</v>
      </c>
      <c r="L278" s="147" t="s">
        <v>1058</v>
      </c>
      <c r="M278" s="147"/>
      <c r="N278" s="147"/>
    </row>
    <row r="279" spans="1:14" s="148" customFormat="1" ht="15.75" hidden="1" outlineLevel="3" x14ac:dyDescent="0.2">
      <c r="A279" s="95" t="s">
        <v>1932</v>
      </c>
      <c r="B279" s="42" t="s">
        <v>1060</v>
      </c>
      <c r="C279" s="42" t="s">
        <v>1059</v>
      </c>
      <c r="D279" s="100" t="s">
        <v>300</v>
      </c>
      <c r="E279" s="100">
        <v>378</v>
      </c>
      <c r="F279" s="149">
        <f>(939689)*(1.023*1.005-2.3%*15%)*6.99+0*4.09</f>
        <v>6730436</v>
      </c>
      <c r="G279" s="145">
        <f t="shared" si="99"/>
        <v>1.123</v>
      </c>
      <c r="H279" s="146">
        <f t="shared" si="100"/>
        <v>7558280</v>
      </c>
      <c r="I279" s="145">
        <f>'[2]Расчет прогнозных дефляторов'!$D$75</f>
        <v>1.0429999999999999</v>
      </c>
      <c r="J279" s="146">
        <f t="shared" si="101"/>
        <v>7883286</v>
      </c>
      <c r="K279" s="146">
        <f t="shared" si="102"/>
        <v>7785784</v>
      </c>
      <c r="L279" s="147" t="s">
        <v>1061</v>
      </c>
      <c r="M279" s="147"/>
      <c r="N279" s="147"/>
    </row>
    <row r="280" spans="1:14" s="148" customFormat="1" ht="15.75" hidden="1" outlineLevel="3" x14ac:dyDescent="0.2">
      <c r="A280" s="95" t="s">
        <v>1933</v>
      </c>
      <c r="B280" s="42" t="s">
        <v>1063</v>
      </c>
      <c r="C280" s="42" t="s">
        <v>1062</v>
      </c>
      <c r="D280" s="100" t="s">
        <v>300</v>
      </c>
      <c r="E280" s="100">
        <f>175.7</f>
        <v>175.7</v>
      </c>
      <c r="F280" s="149">
        <f>(433264)*(1.023*1.005-2.3%*15%)*6.99+0*4.09</f>
        <v>3103214</v>
      </c>
      <c r="G280" s="145">
        <f t="shared" si="99"/>
        <v>1.123</v>
      </c>
      <c r="H280" s="146">
        <f t="shared" si="100"/>
        <v>3484909</v>
      </c>
      <c r="I280" s="145">
        <f>'[2]Расчет прогнозных дефляторов'!$D$75</f>
        <v>1.0429999999999999</v>
      </c>
      <c r="J280" s="146">
        <f t="shared" si="101"/>
        <v>3634760</v>
      </c>
      <c r="K280" s="146">
        <f t="shared" si="102"/>
        <v>3589805</v>
      </c>
      <c r="L280" s="147" t="s">
        <v>1064</v>
      </c>
      <c r="M280" s="147"/>
      <c r="N280" s="147"/>
    </row>
    <row r="281" spans="1:14" s="148" customFormat="1" ht="15.75" hidden="1" outlineLevel="3" x14ac:dyDescent="0.2">
      <c r="A281" s="95" t="s">
        <v>1934</v>
      </c>
      <c r="B281" s="42" t="s">
        <v>1066</v>
      </c>
      <c r="C281" s="42" t="s">
        <v>1065</v>
      </c>
      <c r="D281" s="100" t="s">
        <v>300</v>
      </c>
      <c r="E281" s="100">
        <f>165.6</f>
        <v>165.6</v>
      </c>
      <c r="F281" s="149">
        <f>(406848)*(1.023*1.005-2.3%*15%)*6.99+0*4.09</f>
        <v>2914012</v>
      </c>
      <c r="G281" s="145">
        <f t="shared" si="99"/>
        <v>1.123</v>
      </c>
      <c r="H281" s="146">
        <f t="shared" si="100"/>
        <v>3272435</v>
      </c>
      <c r="I281" s="145">
        <f>'[2]Расчет прогнозных дефляторов'!$D$75</f>
        <v>1.0429999999999999</v>
      </c>
      <c r="J281" s="146">
        <f t="shared" si="101"/>
        <v>3413150</v>
      </c>
      <c r="K281" s="146">
        <f t="shared" si="102"/>
        <v>3370936</v>
      </c>
      <c r="L281" s="147" t="s">
        <v>1067</v>
      </c>
      <c r="M281" s="147"/>
      <c r="N281" s="147"/>
    </row>
    <row r="282" spans="1:14" s="148" customFormat="1" ht="15.75" hidden="1" outlineLevel="3" x14ac:dyDescent="0.2">
      <c r="A282" s="95"/>
      <c r="B282" s="42"/>
      <c r="C282" s="157" t="s">
        <v>1068</v>
      </c>
      <c r="D282" s="100"/>
      <c r="E282" s="100"/>
      <c r="F282" s="149"/>
      <c r="G282" s="145"/>
      <c r="H282" s="146"/>
      <c r="I282" s="145"/>
      <c r="J282" s="146"/>
      <c r="K282" s="146"/>
      <c r="L282" s="147"/>
      <c r="M282" s="147"/>
      <c r="N282" s="147"/>
    </row>
    <row r="283" spans="1:14" s="148" customFormat="1" ht="15.75" hidden="1" outlineLevel="3" x14ac:dyDescent="0.2">
      <c r="A283" s="95" t="s">
        <v>1935</v>
      </c>
      <c r="B283" s="42" t="s">
        <v>1070</v>
      </c>
      <c r="C283" s="42" t="s">
        <v>1069</v>
      </c>
      <c r="D283" s="100" t="s">
        <v>300</v>
      </c>
      <c r="E283" s="100">
        <v>605</v>
      </c>
      <c r="F283" s="149">
        <f>(1249894)*(1.023*1.005-2.3%*15%)*6.99+0*4.09</f>
        <v>8952251</v>
      </c>
      <c r="G283" s="145">
        <f>$G$766</f>
        <v>1.123</v>
      </c>
      <c r="H283" s="146">
        <f t="shared" ref="H283:H286" si="103">F283*G283</f>
        <v>10053378</v>
      </c>
      <c r="I283" s="145">
        <f>'[2]Расчет прогнозных дефляторов'!$D$75</f>
        <v>1.0429999999999999</v>
      </c>
      <c r="J283" s="146">
        <f t="shared" ref="J283:J286" si="104">H283*I283</f>
        <v>10485673</v>
      </c>
      <c r="K283" s="146">
        <f t="shared" ref="K283:K286" si="105">H283+(J283-H283)*(1-30/100)</f>
        <v>10355985</v>
      </c>
      <c r="L283" s="147"/>
      <c r="M283" s="147"/>
      <c r="N283" s="147"/>
    </row>
    <row r="284" spans="1:14" s="148" customFormat="1" ht="15.75" hidden="1" outlineLevel="3" x14ac:dyDescent="0.2">
      <c r="A284" s="95" t="s">
        <v>1936</v>
      </c>
      <c r="B284" s="42" t="s">
        <v>1072</v>
      </c>
      <c r="C284" s="42" t="s">
        <v>1071</v>
      </c>
      <c r="D284" s="100" t="s">
        <v>300</v>
      </c>
      <c r="E284" s="100">
        <f>480.7+623</f>
        <v>1103.7</v>
      </c>
      <c r="F284" s="149">
        <f>(3058478)*(1.023*1.005-2.3%*15%)*6.99+0*4.09</f>
        <v>21906068</v>
      </c>
      <c r="G284" s="145">
        <f>$G$766</f>
        <v>1.123</v>
      </c>
      <c r="H284" s="146">
        <f t="shared" si="103"/>
        <v>24600514</v>
      </c>
      <c r="I284" s="145">
        <f>'[2]Расчет прогнозных дефляторов'!$D$75</f>
        <v>1.0429999999999999</v>
      </c>
      <c r="J284" s="146">
        <f t="shared" si="104"/>
        <v>25658336</v>
      </c>
      <c r="K284" s="146">
        <f t="shared" si="105"/>
        <v>25340989</v>
      </c>
      <c r="L284" s="147"/>
      <c r="M284" s="147"/>
      <c r="N284" s="147"/>
    </row>
    <row r="285" spans="1:14" s="148" customFormat="1" ht="15.75" hidden="1" outlineLevel="3" x14ac:dyDescent="0.2">
      <c r="A285" s="95" t="s">
        <v>1937</v>
      </c>
      <c r="B285" s="42" t="s">
        <v>1073</v>
      </c>
      <c r="C285" s="42" t="s">
        <v>1074</v>
      </c>
      <c r="D285" s="100" t="s">
        <v>300</v>
      </c>
      <c r="E285" s="100">
        <v>15</v>
      </c>
      <c r="F285" s="149">
        <f>(33483)*(1.023*1.005-2.3%*15%)*6.99+0*4.09</f>
        <v>239819</v>
      </c>
      <c r="G285" s="145">
        <f>$G$766</f>
        <v>1.123</v>
      </c>
      <c r="H285" s="146">
        <f t="shared" si="103"/>
        <v>269317</v>
      </c>
      <c r="I285" s="145">
        <f>'[2]Расчет прогнозных дефляторов'!$D$75</f>
        <v>1.0429999999999999</v>
      </c>
      <c r="J285" s="146">
        <f t="shared" si="104"/>
        <v>280898</v>
      </c>
      <c r="K285" s="146">
        <f t="shared" si="105"/>
        <v>277424</v>
      </c>
      <c r="L285" s="147"/>
      <c r="M285" s="147"/>
      <c r="N285" s="147"/>
    </row>
    <row r="286" spans="1:14" s="148" customFormat="1" ht="25.5" hidden="1" outlineLevel="3" x14ac:dyDescent="0.2">
      <c r="A286" s="95" t="s">
        <v>1938</v>
      </c>
      <c r="B286" s="42" t="s">
        <v>1075</v>
      </c>
      <c r="C286" s="42" t="s">
        <v>1019</v>
      </c>
      <c r="D286" s="100" t="s">
        <v>292</v>
      </c>
      <c r="E286" s="100">
        <v>1</v>
      </c>
      <c r="F286" s="149">
        <f>(97099)*(1.023*1.005-2.3%*15%)*6.99+0*4.09</f>
        <v>695463</v>
      </c>
      <c r="G286" s="145">
        <f>$G$766</f>
        <v>1.123</v>
      </c>
      <c r="H286" s="146">
        <f t="shared" si="103"/>
        <v>781005</v>
      </c>
      <c r="I286" s="145">
        <f>'[2]Расчет прогнозных дефляторов'!$D$75</f>
        <v>1.0429999999999999</v>
      </c>
      <c r="J286" s="146">
        <f t="shared" si="104"/>
        <v>814588</v>
      </c>
      <c r="K286" s="146">
        <f t="shared" si="105"/>
        <v>804513</v>
      </c>
      <c r="L286" s="147"/>
      <c r="M286" s="147"/>
      <c r="N286" s="147"/>
    </row>
    <row r="287" spans="1:14" s="148" customFormat="1" ht="15.75" hidden="1" outlineLevel="3" x14ac:dyDescent="0.2">
      <c r="A287" s="95"/>
      <c r="B287" s="42"/>
      <c r="C287" s="157" t="s">
        <v>1026</v>
      </c>
      <c r="D287" s="100"/>
      <c r="E287" s="100"/>
      <c r="F287" s="149"/>
      <c r="G287" s="145"/>
      <c r="H287" s="146"/>
      <c r="I287" s="145"/>
      <c r="J287" s="146"/>
      <c r="K287" s="146"/>
      <c r="L287" s="147"/>
      <c r="M287" s="147"/>
      <c r="N287" s="147"/>
    </row>
    <row r="288" spans="1:14" s="148" customFormat="1" ht="15.75" hidden="1" outlineLevel="3" x14ac:dyDescent="0.2">
      <c r="A288" s="95" t="s">
        <v>1939</v>
      </c>
      <c r="B288" s="42" t="s">
        <v>1077</v>
      </c>
      <c r="C288" s="42" t="s">
        <v>1076</v>
      </c>
      <c r="D288" s="100" t="s">
        <v>637</v>
      </c>
      <c r="E288" s="100">
        <v>70.47</v>
      </c>
      <c r="F288" s="149">
        <f>(632505)*(1.023*1.005-2.3%*15%)*6.99+0*4.09</f>
        <v>4530259</v>
      </c>
      <c r="G288" s="145">
        <f>$G$766</f>
        <v>1.123</v>
      </c>
      <c r="H288" s="146">
        <f t="shared" ref="H288" si="106">F288*G288</f>
        <v>5087481</v>
      </c>
      <c r="I288" s="145">
        <f>'[2]Расчет прогнозных дефляторов'!$D$75</f>
        <v>1.0429999999999999</v>
      </c>
      <c r="J288" s="146">
        <f t="shared" ref="J288" si="107">H288*I288</f>
        <v>5306243</v>
      </c>
      <c r="K288" s="146">
        <f t="shared" ref="K288" si="108">H288+(J288-H288)*(1-30/100)</f>
        <v>5240614</v>
      </c>
      <c r="L288" s="147"/>
      <c r="M288" s="147"/>
      <c r="N288" s="147"/>
    </row>
    <row r="289" spans="1:14" s="148" customFormat="1" ht="15.75" hidden="1" outlineLevel="3" x14ac:dyDescent="0.2">
      <c r="A289" s="95"/>
      <c r="B289" s="42"/>
      <c r="C289" s="157" t="s">
        <v>1078</v>
      </c>
      <c r="D289" s="100"/>
      <c r="E289" s="100"/>
      <c r="F289" s="149"/>
      <c r="G289" s="145"/>
      <c r="H289" s="146"/>
      <c r="I289" s="145"/>
      <c r="J289" s="146"/>
      <c r="K289" s="146"/>
      <c r="L289" s="147"/>
      <c r="M289" s="147"/>
      <c r="N289" s="147"/>
    </row>
    <row r="290" spans="1:14" s="148" customFormat="1" ht="15.75" hidden="1" outlineLevel="3" x14ac:dyDescent="0.2">
      <c r="A290" s="95" t="s">
        <v>1940</v>
      </c>
      <c r="B290" s="42" t="s">
        <v>1080</v>
      </c>
      <c r="C290" s="42" t="s">
        <v>1079</v>
      </c>
      <c r="D290" s="100" t="s">
        <v>637</v>
      </c>
      <c r="E290" s="145">
        <f>7.149+0.678</f>
        <v>7.827</v>
      </c>
      <c r="F290" s="149">
        <f>(70535)*(1.023*1.005-2.3%*15%)*6.99+0*4.09</f>
        <v>505200</v>
      </c>
      <c r="G290" s="145">
        <f t="shared" ref="G290:G301" si="109">$G$766</f>
        <v>1.123</v>
      </c>
      <c r="H290" s="146">
        <f t="shared" ref="H290:H295" si="110">F290*G290</f>
        <v>567340</v>
      </c>
      <c r="I290" s="145">
        <f>'[2]Расчет прогнозных дефляторов'!$D$75</f>
        <v>1.0429999999999999</v>
      </c>
      <c r="J290" s="146">
        <f t="shared" ref="J290:J295" si="111">H290*I290</f>
        <v>591736</v>
      </c>
      <c r="K290" s="146">
        <f t="shared" ref="K290:K295" si="112">H290+(J290-H290)*(1-30/100)</f>
        <v>584417</v>
      </c>
      <c r="L290" s="147"/>
      <c r="M290" s="147"/>
      <c r="N290" s="147"/>
    </row>
    <row r="291" spans="1:14" s="148" customFormat="1" ht="15.75" hidden="1" outlineLevel="3" x14ac:dyDescent="0.2">
      <c r="A291" s="95" t="s">
        <v>1941</v>
      </c>
      <c r="B291" s="42" t="s">
        <v>1082</v>
      </c>
      <c r="C291" s="42" t="s">
        <v>1081</v>
      </c>
      <c r="D291" s="100" t="s">
        <v>637</v>
      </c>
      <c r="E291" s="100">
        <v>2.1</v>
      </c>
      <c r="F291" s="149">
        <f>(25909)*(1.023*1.005-2.3%*15%)*6.99+0*4.09</f>
        <v>185571</v>
      </c>
      <c r="G291" s="145">
        <f t="shared" si="109"/>
        <v>1.123</v>
      </c>
      <c r="H291" s="146">
        <f t="shared" si="110"/>
        <v>208396</v>
      </c>
      <c r="I291" s="145">
        <f>'[2]Расчет прогнозных дефляторов'!$D$75</f>
        <v>1.0429999999999999</v>
      </c>
      <c r="J291" s="146">
        <f t="shared" si="111"/>
        <v>217357</v>
      </c>
      <c r="K291" s="146">
        <f t="shared" si="112"/>
        <v>214669</v>
      </c>
      <c r="L291" s="147"/>
      <c r="M291" s="147"/>
      <c r="N291" s="147"/>
    </row>
    <row r="292" spans="1:14" s="148" customFormat="1" ht="15.75" hidden="1" outlineLevel="3" x14ac:dyDescent="0.2">
      <c r="A292" s="95" t="s">
        <v>1942</v>
      </c>
      <c r="B292" s="42" t="s">
        <v>1084</v>
      </c>
      <c r="C292" s="42" t="s">
        <v>1083</v>
      </c>
      <c r="D292" s="100" t="s">
        <v>637</v>
      </c>
      <c r="E292" s="145">
        <f>65.191</f>
        <v>65.191000000000003</v>
      </c>
      <c r="F292" s="149">
        <f>(632831)*(1.023*1.005-2.3%*15%)*6.99+0*4.09</f>
        <v>4532594</v>
      </c>
      <c r="G292" s="145">
        <f t="shared" si="109"/>
        <v>1.123</v>
      </c>
      <c r="H292" s="146">
        <f t="shared" si="110"/>
        <v>5090103</v>
      </c>
      <c r="I292" s="145">
        <f>'[2]Расчет прогнозных дефляторов'!$D$75</f>
        <v>1.0429999999999999</v>
      </c>
      <c r="J292" s="146">
        <f t="shared" si="111"/>
        <v>5308977</v>
      </c>
      <c r="K292" s="146">
        <f t="shared" si="112"/>
        <v>5243315</v>
      </c>
      <c r="L292" s="147"/>
      <c r="M292" s="147"/>
      <c r="N292" s="147"/>
    </row>
    <row r="293" spans="1:14" s="148" customFormat="1" ht="15.75" hidden="1" outlineLevel="3" x14ac:dyDescent="0.2">
      <c r="A293" s="95" t="s">
        <v>1943</v>
      </c>
      <c r="B293" s="42" t="s">
        <v>1086</v>
      </c>
      <c r="C293" s="42" t="s">
        <v>1085</v>
      </c>
      <c r="D293" s="100" t="s">
        <v>637</v>
      </c>
      <c r="E293" s="145">
        <f>21.534</f>
        <v>21.533999999999999</v>
      </c>
      <c r="F293" s="149">
        <f>(193888)*(1.023*1.005-2.3%*15%)*6.99+0*4.09</f>
        <v>1388705</v>
      </c>
      <c r="G293" s="145">
        <f t="shared" si="109"/>
        <v>1.123</v>
      </c>
      <c r="H293" s="146">
        <f t="shared" si="110"/>
        <v>1559516</v>
      </c>
      <c r="I293" s="145">
        <f>'[2]Расчет прогнозных дефляторов'!$D$75</f>
        <v>1.0429999999999999</v>
      </c>
      <c r="J293" s="146">
        <f t="shared" si="111"/>
        <v>1626575</v>
      </c>
      <c r="K293" s="146">
        <f t="shared" si="112"/>
        <v>1606457</v>
      </c>
      <c r="L293" s="147"/>
      <c r="M293" s="147"/>
      <c r="N293" s="147"/>
    </row>
    <row r="294" spans="1:14" s="148" customFormat="1" ht="15.75" hidden="1" outlineLevel="3" x14ac:dyDescent="0.2">
      <c r="A294" s="95" t="s">
        <v>1944</v>
      </c>
      <c r="B294" s="42" t="s">
        <v>1088</v>
      </c>
      <c r="C294" s="42" t="s">
        <v>1087</v>
      </c>
      <c r="D294" s="100" t="s">
        <v>637</v>
      </c>
      <c r="E294" s="145">
        <f>2.929</f>
        <v>2.9289999999999998</v>
      </c>
      <c r="F294" s="149">
        <f>(26372)*(1.023*1.005-2.3%*15%)*6.99+0*4.09</f>
        <v>188887</v>
      </c>
      <c r="G294" s="145">
        <f t="shared" si="109"/>
        <v>1.123</v>
      </c>
      <c r="H294" s="146">
        <f t="shared" si="110"/>
        <v>212120</v>
      </c>
      <c r="I294" s="145">
        <f>'[2]Расчет прогнозных дефляторов'!$D$75</f>
        <v>1.0429999999999999</v>
      </c>
      <c r="J294" s="146">
        <f t="shared" si="111"/>
        <v>221241</v>
      </c>
      <c r="K294" s="146">
        <f t="shared" si="112"/>
        <v>218505</v>
      </c>
      <c r="L294" s="147"/>
      <c r="M294" s="147"/>
      <c r="N294" s="147"/>
    </row>
    <row r="295" spans="1:14" s="148" customFormat="1" ht="15.75" hidden="1" outlineLevel="3" x14ac:dyDescent="0.2">
      <c r="A295" s="95" t="s">
        <v>1945</v>
      </c>
      <c r="B295" s="42" t="s">
        <v>1090</v>
      </c>
      <c r="C295" s="42" t="s">
        <v>1089</v>
      </c>
      <c r="D295" s="100" t="s">
        <v>404</v>
      </c>
      <c r="E295" s="149">
        <f>136</f>
        <v>136</v>
      </c>
      <c r="F295" s="149">
        <f>(18957)*(1.023*1.005-2.3%*15%)*6.99+0*4.09</f>
        <v>135778</v>
      </c>
      <c r="G295" s="145">
        <f t="shared" si="109"/>
        <v>1.123</v>
      </c>
      <c r="H295" s="146">
        <f t="shared" si="110"/>
        <v>152479</v>
      </c>
      <c r="I295" s="145">
        <f>'[2]Расчет прогнозных дефляторов'!$D$75</f>
        <v>1.0429999999999999</v>
      </c>
      <c r="J295" s="146">
        <f t="shared" si="111"/>
        <v>159036</v>
      </c>
      <c r="K295" s="146">
        <f t="shared" si="112"/>
        <v>157069</v>
      </c>
      <c r="L295" s="147"/>
      <c r="M295" s="147"/>
      <c r="N295" s="147"/>
    </row>
    <row r="296" spans="1:14" s="237" customFormat="1" ht="15.75" outlineLevel="2" collapsed="1" x14ac:dyDescent="0.2">
      <c r="A296" s="238" t="s">
        <v>425</v>
      </c>
      <c r="B296" s="229" t="s">
        <v>166</v>
      </c>
      <c r="C296" s="229" t="s">
        <v>1920</v>
      </c>
      <c r="D296" s="239" t="s">
        <v>292</v>
      </c>
      <c r="E296" s="240">
        <v>1</v>
      </c>
      <c r="F296" s="240">
        <f>SUM(F297:F301)</f>
        <v>2441220</v>
      </c>
      <c r="G296" s="241">
        <f t="shared" si="109"/>
        <v>1.123</v>
      </c>
      <c r="H296" s="240">
        <f>SUM(H297:H301)</f>
        <v>2741489</v>
      </c>
      <c r="I296" s="241">
        <f>'[2]Расчет прогнозных дефляторов'!$D$75</f>
        <v>1.0429999999999999</v>
      </c>
      <c r="J296" s="240">
        <f>SUM(J297:J301)</f>
        <v>2859373</v>
      </c>
      <c r="K296" s="240">
        <f>SUM(K297:K301)</f>
        <v>2824008</v>
      </c>
      <c r="L296" s="256"/>
      <c r="M296" s="256"/>
      <c r="N296" s="256"/>
    </row>
    <row r="297" spans="1:14" s="148" customFormat="1" ht="15.75" hidden="1" outlineLevel="3" x14ac:dyDescent="0.2">
      <c r="A297" s="95" t="s">
        <v>426</v>
      </c>
      <c r="B297" s="42" t="s">
        <v>1091</v>
      </c>
      <c r="C297" s="42" t="s">
        <v>601</v>
      </c>
      <c r="D297" s="100" t="s">
        <v>292</v>
      </c>
      <c r="E297" s="149">
        <v>1</v>
      </c>
      <c r="F297" s="149">
        <f>(21358)*(1.023*1.005-2.3%*15%)*6.99+236956*4.09+30</f>
        <v>1122155</v>
      </c>
      <c r="G297" s="145">
        <f t="shared" si="109"/>
        <v>1.123</v>
      </c>
      <c r="H297" s="146">
        <f t="shared" ref="H297:H301" si="113">F297*G297</f>
        <v>1260180</v>
      </c>
      <c r="I297" s="145">
        <f>'[2]Расчет прогнозных дефляторов'!$D$75</f>
        <v>1.0429999999999999</v>
      </c>
      <c r="J297" s="146">
        <f t="shared" ref="J297:J301" si="114">H297*I297</f>
        <v>1314368</v>
      </c>
      <c r="K297" s="146">
        <f t="shared" ref="K297:K301" si="115">H297+(J297-H297)*(1-30/100)</f>
        <v>1298112</v>
      </c>
      <c r="L297" s="147"/>
      <c r="M297" s="147"/>
      <c r="N297" s="147"/>
    </row>
    <row r="298" spans="1:14" s="148" customFormat="1" ht="15.75" hidden="1" outlineLevel="3" x14ac:dyDescent="0.2">
      <c r="A298" s="95" t="s">
        <v>428</v>
      </c>
      <c r="B298" s="42" t="s">
        <v>1092</v>
      </c>
      <c r="C298" s="42" t="s">
        <v>603</v>
      </c>
      <c r="D298" s="100" t="s">
        <v>292</v>
      </c>
      <c r="E298" s="149">
        <v>1</v>
      </c>
      <c r="F298" s="149">
        <f>(22317)*(1.023*1.005-2.3%*15%)*6.99+15464*4.09</f>
        <v>223091</v>
      </c>
      <c r="G298" s="145">
        <f t="shared" si="109"/>
        <v>1.123</v>
      </c>
      <c r="H298" s="146">
        <f t="shared" si="113"/>
        <v>250531</v>
      </c>
      <c r="I298" s="145">
        <f>'[2]Расчет прогнозных дефляторов'!$D$75</f>
        <v>1.0429999999999999</v>
      </c>
      <c r="J298" s="146">
        <f t="shared" si="114"/>
        <v>261304</v>
      </c>
      <c r="K298" s="146">
        <f t="shared" si="115"/>
        <v>258072</v>
      </c>
      <c r="L298" s="147"/>
      <c r="M298" s="147"/>
      <c r="N298" s="147"/>
    </row>
    <row r="299" spans="1:14" s="148" customFormat="1" ht="15.75" hidden="1" outlineLevel="3" x14ac:dyDescent="0.2">
      <c r="A299" s="95" t="s">
        <v>430</v>
      </c>
      <c r="B299" s="42" t="s">
        <v>1093</v>
      </c>
      <c r="C299" s="42" t="s">
        <v>808</v>
      </c>
      <c r="D299" s="100" t="s">
        <v>292</v>
      </c>
      <c r="E299" s="149">
        <v>1</v>
      </c>
      <c r="F299" s="149">
        <f>(33441)*(1.023*1.005-2.3%*15%)*6.99+18599*4.09</f>
        <v>315588</v>
      </c>
      <c r="G299" s="145">
        <f t="shared" si="109"/>
        <v>1.123</v>
      </c>
      <c r="H299" s="146">
        <f t="shared" si="113"/>
        <v>354405</v>
      </c>
      <c r="I299" s="145">
        <f>'[2]Расчет прогнозных дефляторов'!$D$75</f>
        <v>1.0429999999999999</v>
      </c>
      <c r="J299" s="146">
        <f t="shared" si="114"/>
        <v>369644</v>
      </c>
      <c r="K299" s="146">
        <f t="shared" si="115"/>
        <v>365072</v>
      </c>
      <c r="L299" s="147"/>
      <c r="M299" s="147"/>
      <c r="N299" s="147"/>
    </row>
    <row r="300" spans="1:14" s="148" customFormat="1" ht="15.75" hidden="1" outlineLevel="3" x14ac:dyDescent="0.2">
      <c r="A300" s="95" t="s">
        <v>431</v>
      </c>
      <c r="B300" s="42" t="s">
        <v>1095</v>
      </c>
      <c r="C300" s="42" t="s">
        <v>1094</v>
      </c>
      <c r="D300" s="100" t="s">
        <v>292</v>
      </c>
      <c r="E300" s="149">
        <v>1</v>
      </c>
      <c r="F300" s="149">
        <f>(2301)*(1.023*1.005-2.3%*15%)*6.99+11587*4.09</f>
        <v>63872</v>
      </c>
      <c r="G300" s="145">
        <f t="shared" si="109"/>
        <v>1.123</v>
      </c>
      <c r="H300" s="146">
        <f t="shared" si="113"/>
        <v>71728</v>
      </c>
      <c r="I300" s="145">
        <f>'[2]Расчет прогнозных дефляторов'!$D$75</f>
        <v>1.0429999999999999</v>
      </c>
      <c r="J300" s="146">
        <f t="shared" si="114"/>
        <v>74812</v>
      </c>
      <c r="K300" s="146">
        <f t="shared" si="115"/>
        <v>73887</v>
      </c>
      <c r="L300" s="147"/>
      <c r="M300" s="147"/>
      <c r="N300" s="147"/>
    </row>
    <row r="301" spans="1:14" s="148" customFormat="1" ht="15.75" hidden="1" outlineLevel="3" x14ac:dyDescent="0.2">
      <c r="A301" s="95" t="s">
        <v>432</v>
      </c>
      <c r="B301" s="42" t="s">
        <v>1097</v>
      </c>
      <c r="C301" s="42" t="s">
        <v>1096</v>
      </c>
      <c r="D301" s="100" t="s">
        <v>292</v>
      </c>
      <c r="E301" s="149">
        <v>1</v>
      </c>
      <c r="F301" s="149">
        <f>(2107)*(1.023*1.005-2.3%*15%)*6.99+171497*4.09</f>
        <v>716514</v>
      </c>
      <c r="G301" s="145">
        <f t="shared" si="109"/>
        <v>1.123</v>
      </c>
      <c r="H301" s="146">
        <f t="shared" si="113"/>
        <v>804645</v>
      </c>
      <c r="I301" s="145">
        <f>'[2]Расчет прогнозных дефляторов'!$D$75</f>
        <v>1.0429999999999999</v>
      </c>
      <c r="J301" s="146">
        <f t="shared" si="114"/>
        <v>839245</v>
      </c>
      <c r="K301" s="146">
        <f t="shared" si="115"/>
        <v>828865</v>
      </c>
      <c r="L301" s="147"/>
      <c r="M301" s="147"/>
      <c r="N301" s="147"/>
    </row>
    <row r="302" spans="1:14" s="237" customFormat="1" ht="25.5" outlineLevel="2" collapsed="1" x14ac:dyDescent="0.2">
      <c r="A302" s="238" t="s">
        <v>433</v>
      </c>
      <c r="B302" s="229" t="s">
        <v>168</v>
      </c>
      <c r="C302" s="229" t="s">
        <v>1846</v>
      </c>
      <c r="D302" s="239" t="s">
        <v>292</v>
      </c>
      <c r="E302" s="240">
        <v>1</v>
      </c>
      <c r="F302" s="240">
        <f>SUM(F303:F308)</f>
        <v>844038</v>
      </c>
      <c r="G302" s="241"/>
      <c r="H302" s="240">
        <f>SUM(H303:H308)</f>
        <v>947854</v>
      </c>
      <c r="I302" s="241"/>
      <c r="J302" s="240">
        <f>SUM(J303:J308)</f>
        <v>988611</v>
      </c>
      <c r="K302" s="240">
        <f>SUM(K303:K308)</f>
        <v>976385</v>
      </c>
      <c r="L302" s="256"/>
      <c r="M302" s="256"/>
      <c r="N302" s="256"/>
    </row>
    <row r="303" spans="1:14" s="148" customFormat="1" ht="15.75" hidden="1" outlineLevel="3" x14ac:dyDescent="0.2">
      <c r="A303" s="95"/>
      <c r="B303" s="42"/>
      <c r="C303" s="157" t="s">
        <v>1098</v>
      </c>
      <c r="D303" s="100"/>
      <c r="E303" s="145"/>
      <c r="F303" s="149"/>
      <c r="G303" s="145"/>
      <c r="H303" s="146"/>
      <c r="I303" s="145"/>
      <c r="J303" s="146"/>
      <c r="K303" s="146"/>
      <c r="L303" s="147"/>
      <c r="M303" s="147"/>
      <c r="N303" s="147"/>
    </row>
    <row r="304" spans="1:14" s="148" customFormat="1" ht="25.5" hidden="1" outlineLevel="3" x14ac:dyDescent="0.2">
      <c r="A304" s="95" t="s">
        <v>434</v>
      </c>
      <c r="B304" s="42" t="s">
        <v>1099</v>
      </c>
      <c r="C304" s="42" t="s">
        <v>427</v>
      </c>
      <c r="D304" s="100" t="s">
        <v>408</v>
      </c>
      <c r="E304" s="149">
        <v>1</v>
      </c>
      <c r="F304" s="149">
        <f>(1724)*(1.023*1.005-2.3%*15%)*6.99+34340*4.09</f>
        <v>152799</v>
      </c>
      <c r="G304" s="145">
        <f t="shared" ref="G304:G309" si="116">$G$766</f>
        <v>1.123</v>
      </c>
      <c r="H304" s="146">
        <f t="shared" ref="H304:H308" si="117">F304*G304</f>
        <v>171593</v>
      </c>
      <c r="I304" s="145">
        <f>'[2]Расчет прогнозных дефляторов'!$D$75</f>
        <v>1.0429999999999999</v>
      </c>
      <c r="J304" s="146">
        <f t="shared" ref="J304:J308" si="118">H304*I304</f>
        <v>178971</v>
      </c>
      <c r="K304" s="146">
        <f t="shared" ref="K304:K308" si="119">H304+(J304-H304)*(1-30/100)</f>
        <v>176758</v>
      </c>
      <c r="L304" s="147"/>
      <c r="M304" s="147"/>
      <c r="N304" s="147"/>
    </row>
    <row r="305" spans="1:14" s="148" customFormat="1" ht="25.5" hidden="1" outlineLevel="3" x14ac:dyDescent="0.2">
      <c r="A305" s="95" t="s">
        <v>436</v>
      </c>
      <c r="B305" s="42" t="s">
        <v>1100</v>
      </c>
      <c r="C305" s="42" t="s">
        <v>429</v>
      </c>
      <c r="D305" s="100" t="s">
        <v>408</v>
      </c>
      <c r="E305" s="149">
        <v>1</v>
      </c>
      <c r="F305" s="149">
        <f>(309)*(1.023*1.005-2.3%*15%)*6.99+49534*4.09</f>
        <v>204807</v>
      </c>
      <c r="G305" s="145">
        <f t="shared" si="116"/>
        <v>1.123</v>
      </c>
      <c r="H305" s="146">
        <f t="shared" si="117"/>
        <v>229998</v>
      </c>
      <c r="I305" s="145">
        <f>'[2]Расчет прогнозных дефляторов'!$D$75</f>
        <v>1.0429999999999999</v>
      </c>
      <c r="J305" s="146">
        <f t="shared" si="118"/>
        <v>239888</v>
      </c>
      <c r="K305" s="146">
        <f t="shared" si="119"/>
        <v>236921</v>
      </c>
      <c r="L305" s="147"/>
      <c r="M305" s="147"/>
      <c r="N305" s="147"/>
    </row>
    <row r="306" spans="1:14" s="148" customFormat="1" ht="15.75" hidden="1" outlineLevel="3" x14ac:dyDescent="0.2">
      <c r="A306" s="95" t="s">
        <v>438</v>
      </c>
      <c r="B306" s="42" t="s">
        <v>1101</v>
      </c>
      <c r="C306" s="42" t="s">
        <v>379</v>
      </c>
      <c r="D306" s="100" t="s">
        <v>292</v>
      </c>
      <c r="E306" s="149">
        <v>1</v>
      </c>
      <c r="F306" s="149">
        <f>(41497)*(1.023*1.005-2.3%*15%)*6.99+0*4.09-24</f>
        <v>297194</v>
      </c>
      <c r="G306" s="145">
        <f t="shared" si="116"/>
        <v>1.123</v>
      </c>
      <c r="H306" s="146">
        <f t="shared" si="117"/>
        <v>333749</v>
      </c>
      <c r="I306" s="145">
        <f>'[2]Расчет прогнозных дефляторов'!$D$75</f>
        <v>1.0429999999999999</v>
      </c>
      <c r="J306" s="146">
        <f t="shared" si="118"/>
        <v>348100</v>
      </c>
      <c r="K306" s="146">
        <f t="shared" si="119"/>
        <v>343795</v>
      </c>
      <c r="L306" s="147"/>
      <c r="M306" s="147"/>
      <c r="N306" s="147"/>
    </row>
    <row r="307" spans="1:14" s="148" customFormat="1" ht="15.75" hidden="1" outlineLevel="3" x14ac:dyDescent="0.2">
      <c r="A307" s="95" t="s">
        <v>1946</v>
      </c>
      <c r="B307" s="42" t="s">
        <v>1103</v>
      </c>
      <c r="C307" s="42" t="s">
        <v>1102</v>
      </c>
      <c r="D307" s="100" t="s">
        <v>292</v>
      </c>
      <c r="E307" s="149">
        <v>1</v>
      </c>
      <c r="F307" s="149">
        <f>(26320)*(1.023*1.005-2.3%*15%)*6.99+0*4.09</f>
        <v>188515</v>
      </c>
      <c r="G307" s="145">
        <f t="shared" si="116"/>
        <v>1.123</v>
      </c>
      <c r="H307" s="146">
        <f t="shared" si="117"/>
        <v>211702</v>
      </c>
      <c r="I307" s="145">
        <f>'[2]Расчет прогнозных дефляторов'!$D$75</f>
        <v>1.0429999999999999</v>
      </c>
      <c r="J307" s="146">
        <f t="shared" si="118"/>
        <v>220805</v>
      </c>
      <c r="K307" s="146">
        <f t="shared" si="119"/>
        <v>218074</v>
      </c>
      <c r="L307" s="147"/>
      <c r="M307" s="147"/>
      <c r="N307" s="147"/>
    </row>
    <row r="308" spans="1:14" s="148" customFormat="1" ht="25.5" hidden="1" outlineLevel="3" x14ac:dyDescent="0.2">
      <c r="A308" s="95" t="s">
        <v>1947</v>
      </c>
      <c r="B308" s="42" t="s">
        <v>1104</v>
      </c>
      <c r="C308" s="42" t="s">
        <v>1105</v>
      </c>
      <c r="D308" s="100" t="s">
        <v>408</v>
      </c>
      <c r="E308" s="149">
        <v>5</v>
      </c>
      <c r="F308" s="149">
        <f>(101)*(1.023*1.005-2.3%*15%)*6.99+0*4.09</f>
        <v>723</v>
      </c>
      <c r="G308" s="145">
        <f t="shared" si="116"/>
        <v>1.123</v>
      </c>
      <c r="H308" s="146">
        <f t="shared" si="117"/>
        <v>812</v>
      </c>
      <c r="I308" s="145">
        <f>'[2]Расчет прогнозных дефляторов'!$D$75</f>
        <v>1.0429999999999999</v>
      </c>
      <c r="J308" s="146">
        <f t="shared" si="118"/>
        <v>847</v>
      </c>
      <c r="K308" s="146">
        <f t="shared" si="119"/>
        <v>837</v>
      </c>
      <c r="L308" s="147"/>
      <c r="M308" s="147"/>
      <c r="N308" s="147"/>
    </row>
    <row r="309" spans="1:14" s="237" customFormat="1" ht="15.75" outlineLevel="2" collapsed="1" x14ac:dyDescent="0.2">
      <c r="A309" s="238" t="s">
        <v>440</v>
      </c>
      <c r="B309" s="229" t="s">
        <v>170</v>
      </c>
      <c r="C309" s="229" t="s">
        <v>1777</v>
      </c>
      <c r="D309" s="239" t="s">
        <v>292</v>
      </c>
      <c r="E309" s="240">
        <v>1</v>
      </c>
      <c r="F309" s="240">
        <f>SUM(F310:F358)</f>
        <v>28157646</v>
      </c>
      <c r="G309" s="241">
        <f t="shared" si="116"/>
        <v>1.123</v>
      </c>
      <c r="H309" s="240">
        <f>SUM(H310:H358)</f>
        <v>31621034</v>
      </c>
      <c r="I309" s="241">
        <f>'[2]Расчет прогнозных дефляторов'!$D$75</f>
        <v>1.0429999999999999</v>
      </c>
      <c r="J309" s="240">
        <f>SUM(J310:J358)</f>
        <v>32980733</v>
      </c>
      <c r="K309" s="240">
        <f>SUM(K310:K358)</f>
        <v>32572825</v>
      </c>
      <c r="L309" s="256"/>
      <c r="M309" s="256"/>
      <c r="N309" s="256"/>
    </row>
    <row r="310" spans="1:14" s="148" customFormat="1" ht="15.75" hidden="1" outlineLevel="3" x14ac:dyDescent="0.2">
      <c r="A310" s="95"/>
      <c r="B310" s="42"/>
      <c r="C310" s="42" t="s">
        <v>379</v>
      </c>
      <c r="D310" s="100"/>
      <c r="E310" s="145"/>
      <c r="F310" s="149"/>
      <c r="G310" s="145"/>
      <c r="H310" s="146"/>
      <c r="I310" s="145"/>
      <c r="J310" s="146"/>
      <c r="K310" s="146"/>
      <c r="L310" s="147"/>
      <c r="M310" s="147"/>
      <c r="N310" s="147"/>
    </row>
    <row r="311" spans="1:14" s="148" customFormat="1" ht="15.75" hidden="1" outlineLevel="3" x14ac:dyDescent="0.2">
      <c r="A311" s="95"/>
      <c r="B311" s="42"/>
      <c r="C311" s="157" t="s">
        <v>1098</v>
      </c>
      <c r="D311" s="100"/>
      <c r="E311" s="145"/>
      <c r="F311" s="149"/>
      <c r="G311" s="145"/>
      <c r="H311" s="146"/>
      <c r="I311" s="145"/>
      <c r="J311" s="146"/>
      <c r="K311" s="146"/>
      <c r="L311" s="147"/>
      <c r="M311" s="147"/>
      <c r="N311" s="147"/>
    </row>
    <row r="312" spans="1:14" s="148" customFormat="1" ht="15.75" hidden="1" outlineLevel="3" x14ac:dyDescent="0.2">
      <c r="A312" s="95" t="s">
        <v>441</v>
      </c>
      <c r="B312" s="42" t="s">
        <v>1154</v>
      </c>
      <c r="C312" s="42" t="s">
        <v>1106</v>
      </c>
      <c r="D312" s="100" t="s">
        <v>408</v>
      </c>
      <c r="E312" s="149">
        <v>1</v>
      </c>
      <c r="F312" s="149">
        <f>(2212)*(1.023*1.005-2.3%*15%)*6.99+1119896*4.09</f>
        <v>4596218</v>
      </c>
      <c r="G312" s="145">
        <f t="shared" ref="G312:G325" si="120">$G$766</f>
        <v>1.123</v>
      </c>
      <c r="H312" s="146">
        <f t="shared" ref="H312:H325" si="121">F312*G312</f>
        <v>5161553</v>
      </c>
      <c r="I312" s="145">
        <f>'[2]Расчет прогнозных дефляторов'!$D$75</f>
        <v>1.0429999999999999</v>
      </c>
      <c r="J312" s="146">
        <f t="shared" ref="J312:J325" si="122">H312*I312</f>
        <v>5383500</v>
      </c>
      <c r="K312" s="146">
        <f t="shared" ref="K312:K325" si="123">H312+(J312-H312)*(1-30/100)</f>
        <v>5316916</v>
      </c>
      <c r="L312" s="147" t="s">
        <v>1197</v>
      </c>
      <c r="M312" s="147"/>
      <c r="N312" s="147"/>
    </row>
    <row r="313" spans="1:14" s="148" customFormat="1" ht="15.75" hidden="1" outlineLevel="3" x14ac:dyDescent="0.2">
      <c r="A313" s="95" t="s">
        <v>442</v>
      </c>
      <c r="B313" s="42" t="s">
        <v>1155</v>
      </c>
      <c r="C313" s="42" t="s">
        <v>1107</v>
      </c>
      <c r="D313" s="100" t="s">
        <v>408</v>
      </c>
      <c r="E313" s="149">
        <v>1</v>
      </c>
      <c r="F313" s="149">
        <f t="shared" ref="F313:F321" si="124">(145)*(1.023*1.005-2.3%*15%)*6.99+10194*4.09</f>
        <v>42732</v>
      </c>
      <c r="G313" s="145">
        <f t="shared" si="120"/>
        <v>1.123</v>
      </c>
      <c r="H313" s="146">
        <f t="shared" si="121"/>
        <v>47988</v>
      </c>
      <c r="I313" s="145">
        <f>'[2]Расчет прогнозных дефляторов'!$D$75</f>
        <v>1.0429999999999999</v>
      </c>
      <c r="J313" s="146">
        <f t="shared" si="122"/>
        <v>50051</v>
      </c>
      <c r="K313" s="146">
        <f t="shared" si="123"/>
        <v>49432</v>
      </c>
      <c r="L313" s="147"/>
      <c r="M313" s="147"/>
      <c r="N313" s="147"/>
    </row>
    <row r="314" spans="1:14" s="148" customFormat="1" ht="15.75" hidden="1" outlineLevel="3" x14ac:dyDescent="0.2">
      <c r="A314" s="95" t="s">
        <v>443</v>
      </c>
      <c r="B314" s="42" t="s">
        <v>1156</v>
      </c>
      <c r="C314" s="42" t="s">
        <v>1108</v>
      </c>
      <c r="D314" s="100" t="s">
        <v>408</v>
      </c>
      <c r="E314" s="149">
        <v>1</v>
      </c>
      <c r="F314" s="149">
        <f t="shared" si="124"/>
        <v>42732</v>
      </c>
      <c r="G314" s="145">
        <f t="shared" si="120"/>
        <v>1.123</v>
      </c>
      <c r="H314" s="146">
        <f t="shared" si="121"/>
        <v>47988</v>
      </c>
      <c r="I314" s="145">
        <f>'[2]Расчет прогнозных дефляторов'!$D$75</f>
        <v>1.0429999999999999</v>
      </c>
      <c r="J314" s="146">
        <f t="shared" si="122"/>
        <v>50051</v>
      </c>
      <c r="K314" s="146">
        <f t="shared" si="123"/>
        <v>49432</v>
      </c>
      <c r="L314" s="147"/>
      <c r="M314" s="147"/>
      <c r="N314" s="147"/>
    </row>
    <row r="315" spans="1:14" s="148" customFormat="1" ht="15.75" hidden="1" outlineLevel="3" x14ac:dyDescent="0.2">
      <c r="A315" s="95" t="s">
        <v>1948</v>
      </c>
      <c r="B315" s="42" t="s">
        <v>1157</v>
      </c>
      <c r="C315" s="42" t="s">
        <v>1109</v>
      </c>
      <c r="D315" s="100" t="s">
        <v>408</v>
      </c>
      <c r="E315" s="149">
        <v>1</v>
      </c>
      <c r="F315" s="149">
        <f t="shared" si="124"/>
        <v>42732</v>
      </c>
      <c r="G315" s="145">
        <f t="shared" si="120"/>
        <v>1.123</v>
      </c>
      <c r="H315" s="146">
        <f t="shared" si="121"/>
        <v>47988</v>
      </c>
      <c r="I315" s="145">
        <f>'[2]Расчет прогнозных дефляторов'!$D$75</f>
        <v>1.0429999999999999</v>
      </c>
      <c r="J315" s="146">
        <f t="shared" si="122"/>
        <v>50051</v>
      </c>
      <c r="K315" s="146">
        <f t="shared" si="123"/>
        <v>49432</v>
      </c>
      <c r="L315" s="147"/>
      <c r="M315" s="147"/>
      <c r="N315" s="147"/>
    </row>
    <row r="316" spans="1:14" s="148" customFormat="1" ht="15.75" hidden="1" outlineLevel="3" x14ac:dyDescent="0.2">
      <c r="A316" s="95" t="s">
        <v>1949</v>
      </c>
      <c r="B316" s="42" t="s">
        <v>1158</v>
      </c>
      <c r="C316" s="42" t="s">
        <v>1110</v>
      </c>
      <c r="D316" s="100" t="s">
        <v>408</v>
      </c>
      <c r="E316" s="149">
        <v>1</v>
      </c>
      <c r="F316" s="149">
        <f t="shared" si="124"/>
        <v>42732</v>
      </c>
      <c r="G316" s="145">
        <f t="shared" si="120"/>
        <v>1.123</v>
      </c>
      <c r="H316" s="146">
        <f t="shared" si="121"/>
        <v>47988</v>
      </c>
      <c r="I316" s="145">
        <f>'[2]Расчет прогнозных дефляторов'!$D$75</f>
        <v>1.0429999999999999</v>
      </c>
      <c r="J316" s="146">
        <f t="shared" si="122"/>
        <v>50051</v>
      </c>
      <c r="K316" s="146">
        <f t="shared" si="123"/>
        <v>49432</v>
      </c>
      <c r="L316" s="147"/>
      <c r="M316" s="147"/>
      <c r="N316" s="147"/>
    </row>
    <row r="317" spans="1:14" s="148" customFormat="1" ht="15.75" hidden="1" outlineLevel="3" x14ac:dyDescent="0.2">
      <c r="A317" s="95" t="s">
        <v>1950</v>
      </c>
      <c r="B317" s="42" t="s">
        <v>1159</v>
      </c>
      <c r="C317" s="42" t="s">
        <v>1111</v>
      </c>
      <c r="D317" s="100" t="s">
        <v>408</v>
      </c>
      <c r="E317" s="149">
        <v>1</v>
      </c>
      <c r="F317" s="149">
        <f t="shared" si="124"/>
        <v>42732</v>
      </c>
      <c r="G317" s="145">
        <f t="shared" si="120"/>
        <v>1.123</v>
      </c>
      <c r="H317" s="146">
        <f t="shared" si="121"/>
        <v>47988</v>
      </c>
      <c r="I317" s="145">
        <f>'[2]Расчет прогнозных дефляторов'!$D$75</f>
        <v>1.0429999999999999</v>
      </c>
      <c r="J317" s="146">
        <f t="shared" si="122"/>
        <v>50051</v>
      </c>
      <c r="K317" s="146">
        <f t="shared" si="123"/>
        <v>49432</v>
      </c>
      <c r="L317" s="147"/>
      <c r="M317" s="147"/>
      <c r="N317" s="147"/>
    </row>
    <row r="318" spans="1:14" s="148" customFormat="1" ht="15.75" hidden="1" outlineLevel="3" x14ac:dyDescent="0.2">
      <c r="A318" s="95" t="s">
        <v>1951</v>
      </c>
      <c r="B318" s="42" t="s">
        <v>1160</v>
      </c>
      <c r="C318" s="42" t="s">
        <v>1112</v>
      </c>
      <c r="D318" s="100" t="s">
        <v>408</v>
      </c>
      <c r="E318" s="149">
        <v>1</v>
      </c>
      <c r="F318" s="149">
        <f t="shared" si="124"/>
        <v>42732</v>
      </c>
      <c r="G318" s="145">
        <f t="shared" si="120"/>
        <v>1.123</v>
      </c>
      <c r="H318" s="146">
        <f t="shared" si="121"/>
        <v>47988</v>
      </c>
      <c r="I318" s="145">
        <f>'[2]Расчет прогнозных дефляторов'!$D$75</f>
        <v>1.0429999999999999</v>
      </c>
      <c r="J318" s="146">
        <f t="shared" si="122"/>
        <v>50051</v>
      </c>
      <c r="K318" s="146">
        <f t="shared" si="123"/>
        <v>49432</v>
      </c>
      <c r="L318" s="147"/>
      <c r="M318" s="147"/>
      <c r="N318" s="147"/>
    </row>
    <row r="319" spans="1:14" s="148" customFormat="1" ht="15.75" hidden="1" outlineLevel="3" x14ac:dyDescent="0.2">
      <c r="A319" s="95" t="s">
        <v>1952</v>
      </c>
      <c r="B319" s="42" t="s">
        <v>1161</v>
      </c>
      <c r="C319" s="42" t="s">
        <v>1113</v>
      </c>
      <c r="D319" s="100" t="s">
        <v>408</v>
      </c>
      <c r="E319" s="149">
        <v>1</v>
      </c>
      <c r="F319" s="149">
        <f t="shared" si="124"/>
        <v>42732</v>
      </c>
      <c r="G319" s="145">
        <f t="shared" si="120"/>
        <v>1.123</v>
      </c>
      <c r="H319" s="146">
        <f t="shared" si="121"/>
        <v>47988</v>
      </c>
      <c r="I319" s="145">
        <f>'[2]Расчет прогнозных дефляторов'!$D$75</f>
        <v>1.0429999999999999</v>
      </c>
      <c r="J319" s="146">
        <f t="shared" si="122"/>
        <v>50051</v>
      </c>
      <c r="K319" s="146">
        <f t="shared" si="123"/>
        <v>49432</v>
      </c>
      <c r="L319" s="147"/>
      <c r="M319" s="147"/>
      <c r="N319" s="147"/>
    </row>
    <row r="320" spans="1:14" s="148" customFormat="1" ht="15.75" hidden="1" outlineLevel="3" x14ac:dyDescent="0.2">
      <c r="A320" s="95" t="s">
        <v>1953</v>
      </c>
      <c r="B320" s="42" t="s">
        <v>1162</v>
      </c>
      <c r="C320" s="42" t="s">
        <v>1114</v>
      </c>
      <c r="D320" s="100" t="s">
        <v>408</v>
      </c>
      <c r="E320" s="149">
        <v>1</v>
      </c>
      <c r="F320" s="149">
        <f t="shared" si="124"/>
        <v>42732</v>
      </c>
      <c r="G320" s="145">
        <f t="shared" si="120"/>
        <v>1.123</v>
      </c>
      <c r="H320" s="146">
        <f t="shared" si="121"/>
        <v>47988</v>
      </c>
      <c r="I320" s="145">
        <f>'[2]Расчет прогнозных дефляторов'!$D$75</f>
        <v>1.0429999999999999</v>
      </c>
      <c r="J320" s="146">
        <f t="shared" si="122"/>
        <v>50051</v>
      </c>
      <c r="K320" s="146">
        <f t="shared" si="123"/>
        <v>49432</v>
      </c>
      <c r="L320" s="147"/>
      <c r="M320" s="147"/>
      <c r="N320" s="147"/>
    </row>
    <row r="321" spans="1:14" s="148" customFormat="1" ht="15.75" hidden="1" outlineLevel="3" x14ac:dyDescent="0.2">
      <c r="A321" s="95" t="s">
        <v>1954</v>
      </c>
      <c r="B321" s="42" t="s">
        <v>1163</v>
      </c>
      <c r="C321" s="42" t="s">
        <v>1115</v>
      </c>
      <c r="D321" s="100" t="s">
        <v>408</v>
      </c>
      <c r="E321" s="149">
        <v>1</v>
      </c>
      <c r="F321" s="149">
        <f t="shared" si="124"/>
        <v>42732</v>
      </c>
      <c r="G321" s="145">
        <f t="shared" si="120"/>
        <v>1.123</v>
      </c>
      <c r="H321" s="146">
        <f t="shared" si="121"/>
        <v>47988</v>
      </c>
      <c r="I321" s="145">
        <f>'[2]Расчет прогнозных дефляторов'!$D$75</f>
        <v>1.0429999999999999</v>
      </c>
      <c r="J321" s="146">
        <f t="shared" si="122"/>
        <v>50051</v>
      </c>
      <c r="K321" s="146">
        <f t="shared" si="123"/>
        <v>49432</v>
      </c>
      <c r="L321" s="147"/>
      <c r="M321" s="147"/>
      <c r="N321" s="147"/>
    </row>
    <row r="322" spans="1:14" s="148" customFormat="1" ht="15.75" hidden="1" outlineLevel="3" x14ac:dyDescent="0.2">
      <c r="A322" s="95" t="s">
        <v>1955</v>
      </c>
      <c r="B322" s="42" t="s">
        <v>1164</v>
      </c>
      <c r="C322" s="42" t="s">
        <v>1116</v>
      </c>
      <c r="D322" s="100" t="s">
        <v>408</v>
      </c>
      <c r="E322" s="149">
        <v>1</v>
      </c>
      <c r="F322" s="149">
        <f>(145)*(1.023*1.005-2.3%*15%)*6.99+148772*4.09</f>
        <v>609516</v>
      </c>
      <c r="G322" s="145">
        <f t="shared" si="120"/>
        <v>1.123</v>
      </c>
      <c r="H322" s="146">
        <f t="shared" si="121"/>
        <v>684486</v>
      </c>
      <c r="I322" s="145">
        <f>'[2]Расчет прогнозных дефляторов'!$D$75</f>
        <v>1.0429999999999999</v>
      </c>
      <c r="J322" s="146">
        <f t="shared" si="122"/>
        <v>713919</v>
      </c>
      <c r="K322" s="146">
        <f t="shared" si="123"/>
        <v>705089</v>
      </c>
      <c r="L322" s="147" t="s">
        <v>1199</v>
      </c>
      <c r="M322" s="147"/>
      <c r="N322" s="147"/>
    </row>
    <row r="323" spans="1:14" s="148" customFormat="1" ht="15.75" hidden="1" outlineLevel="3" x14ac:dyDescent="0.2">
      <c r="A323" s="95" t="s">
        <v>1956</v>
      </c>
      <c r="B323" s="42" t="s">
        <v>1165</v>
      </c>
      <c r="C323" s="42" t="s">
        <v>1117</v>
      </c>
      <c r="D323" s="100" t="s">
        <v>408</v>
      </c>
      <c r="E323" s="149">
        <v>1</v>
      </c>
      <c r="F323" s="149">
        <f>(145)*(1.023*1.005-2.3%*15%)*6.99+10194*4.09</f>
        <v>42732</v>
      </c>
      <c r="G323" s="145">
        <f t="shared" si="120"/>
        <v>1.123</v>
      </c>
      <c r="H323" s="146">
        <f t="shared" si="121"/>
        <v>47988</v>
      </c>
      <c r="I323" s="145">
        <f>'[2]Расчет прогнозных дефляторов'!$D$75</f>
        <v>1.0429999999999999</v>
      </c>
      <c r="J323" s="146">
        <f t="shared" si="122"/>
        <v>50051</v>
      </c>
      <c r="K323" s="146">
        <f t="shared" si="123"/>
        <v>49432</v>
      </c>
      <c r="L323" s="147"/>
      <c r="M323" s="147"/>
      <c r="N323" s="147"/>
    </row>
    <row r="324" spans="1:14" s="148" customFormat="1" ht="15.75" hidden="1" outlineLevel="3" x14ac:dyDescent="0.2">
      <c r="A324" s="95" t="s">
        <v>1957</v>
      </c>
      <c r="B324" s="42" t="s">
        <v>1166</v>
      </c>
      <c r="C324" s="42" t="s">
        <v>1118</v>
      </c>
      <c r="D324" s="100" t="s">
        <v>408</v>
      </c>
      <c r="E324" s="149">
        <v>1</v>
      </c>
      <c r="F324" s="149">
        <f>(145)*(1.023*1.005-2.3%*15%)*6.99+15716*4.09</f>
        <v>65317</v>
      </c>
      <c r="G324" s="145">
        <f t="shared" si="120"/>
        <v>1.123</v>
      </c>
      <c r="H324" s="146">
        <f t="shared" si="121"/>
        <v>73351</v>
      </c>
      <c r="I324" s="145">
        <f>'[2]Расчет прогнозных дефляторов'!$D$75</f>
        <v>1.0429999999999999</v>
      </c>
      <c r="J324" s="146">
        <f t="shared" si="122"/>
        <v>76505</v>
      </c>
      <c r="K324" s="146">
        <f t="shared" si="123"/>
        <v>75559</v>
      </c>
      <c r="L324" s="147"/>
      <c r="M324" s="147"/>
      <c r="N324" s="147"/>
    </row>
    <row r="325" spans="1:14" s="148" customFormat="1" ht="15.75" hidden="1" outlineLevel="3" x14ac:dyDescent="0.2">
      <c r="A325" s="95" t="s">
        <v>1958</v>
      </c>
      <c r="B325" s="42" t="s">
        <v>1167</v>
      </c>
      <c r="C325" s="42" t="s">
        <v>1119</v>
      </c>
      <c r="D325" s="100" t="s">
        <v>408</v>
      </c>
      <c r="E325" s="149">
        <v>1</v>
      </c>
      <c r="F325" s="149">
        <f>(145)*(1.023*1.005-2.3%*15%)*6.99+15716*4.09</f>
        <v>65317</v>
      </c>
      <c r="G325" s="145">
        <f t="shared" si="120"/>
        <v>1.123</v>
      </c>
      <c r="H325" s="146">
        <f t="shared" si="121"/>
        <v>73351</v>
      </c>
      <c r="I325" s="145">
        <f>'[2]Расчет прогнозных дефляторов'!$D$75</f>
        <v>1.0429999999999999</v>
      </c>
      <c r="J325" s="146">
        <f t="shared" si="122"/>
        <v>76505</v>
      </c>
      <c r="K325" s="146">
        <f t="shared" si="123"/>
        <v>75559</v>
      </c>
      <c r="L325" s="147"/>
      <c r="M325" s="147"/>
      <c r="N325" s="147"/>
    </row>
    <row r="326" spans="1:14" s="148" customFormat="1" ht="15.75" hidden="1" outlineLevel="3" x14ac:dyDescent="0.2">
      <c r="A326" s="95"/>
      <c r="B326" s="42"/>
      <c r="C326" s="157" t="s">
        <v>1120</v>
      </c>
      <c r="D326" s="100"/>
      <c r="E326" s="145"/>
      <c r="F326" s="149"/>
      <c r="G326" s="145"/>
      <c r="H326" s="146"/>
      <c r="I326" s="145"/>
      <c r="J326" s="146"/>
      <c r="K326" s="146"/>
      <c r="L326" s="147"/>
      <c r="M326" s="147"/>
      <c r="N326" s="147"/>
    </row>
    <row r="327" spans="1:14" s="148" customFormat="1" ht="15.75" hidden="1" outlineLevel="3" x14ac:dyDescent="0.2">
      <c r="A327" s="95" t="s">
        <v>1959</v>
      </c>
      <c r="B327" s="42" t="s">
        <v>1168</v>
      </c>
      <c r="C327" s="42" t="s">
        <v>1122</v>
      </c>
      <c r="D327" s="100" t="s">
        <v>408</v>
      </c>
      <c r="E327" s="149">
        <v>363</v>
      </c>
      <c r="F327" s="149">
        <f>(8399)*(1.023*1.005-2.3%*15%)*6.99+0*4.09</f>
        <v>60157</v>
      </c>
      <c r="G327" s="145">
        <f t="shared" ref="G327:G333" si="125">$G$766</f>
        <v>1.123</v>
      </c>
      <c r="H327" s="146">
        <f t="shared" ref="H327:H333" si="126">F327*G327</f>
        <v>67556</v>
      </c>
      <c r="I327" s="145">
        <f>'[2]Расчет прогнозных дефляторов'!$D$75</f>
        <v>1.0429999999999999</v>
      </c>
      <c r="J327" s="146">
        <f t="shared" ref="J327:J333" si="127">H327*I327</f>
        <v>70461</v>
      </c>
      <c r="K327" s="146">
        <f t="shared" ref="K327:K333" si="128">H327+(J327-H327)*(1-30/100)</f>
        <v>69590</v>
      </c>
      <c r="L327" s="147"/>
      <c r="M327" s="147"/>
      <c r="N327" s="147"/>
    </row>
    <row r="328" spans="1:14" s="148" customFormat="1" ht="15.75" hidden="1" outlineLevel="3" x14ac:dyDescent="0.2">
      <c r="A328" s="95" t="s">
        <v>1960</v>
      </c>
      <c r="B328" s="42" t="s">
        <v>1169</v>
      </c>
      <c r="C328" s="42" t="s">
        <v>1121</v>
      </c>
      <c r="D328" s="100" t="s">
        <v>408</v>
      </c>
      <c r="E328" s="149">
        <v>87</v>
      </c>
      <c r="F328" s="149">
        <f>(4648)*(1.023*1.005-2.3%*15%)*6.99+0*4.09</f>
        <v>33291</v>
      </c>
      <c r="G328" s="145">
        <f t="shared" si="125"/>
        <v>1.123</v>
      </c>
      <c r="H328" s="146">
        <f t="shared" si="126"/>
        <v>37386</v>
      </c>
      <c r="I328" s="145">
        <f>'[2]Расчет прогнозных дефляторов'!$D$75</f>
        <v>1.0429999999999999</v>
      </c>
      <c r="J328" s="146">
        <f t="shared" si="127"/>
        <v>38994</v>
      </c>
      <c r="K328" s="146">
        <f t="shared" si="128"/>
        <v>38512</v>
      </c>
      <c r="L328" s="147"/>
      <c r="M328" s="147"/>
      <c r="N328" s="147"/>
    </row>
    <row r="329" spans="1:14" s="148" customFormat="1" ht="15.75" hidden="1" outlineLevel="3" x14ac:dyDescent="0.2">
      <c r="A329" s="95" t="s">
        <v>1961</v>
      </c>
      <c r="B329" s="42" t="s">
        <v>1170</v>
      </c>
      <c r="C329" s="42" t="s">
        <v>1123</v>
      </c>
      <c r="D329" s="100" t="s">
        <v>408</v>
      </c>
      <c r="E329" s="149">
        <v>611</v>
      </c>
      <c r="F329" s="149">
        <f>(16661)*(1.023*1.005-2.3%*15%)*6.99+0*4.09</f>
        <v>119333</v>
      </c>
      <c r="G329" s="145">
        <f t="shared" si="125"/>
        <v>1.123</v>
      </c>
      <c r="H329" s="146">
        <f t="shared" si="126"/>
        <v>134011</v>
      </c>
      <c r="I329" s="145">
        <f>'[2]Расчет прогнозных дефляторов'!$D$75</f>
        <v>1.0429999999999999</v>
      </c>
      <c r="J329" s="146">
        <f t="shared" si="127"/>
        <v>139773</v>
      </c>
      <c r="K329" s="146">
        <f t="shared" si="128"/>
        <v>138044</v>
      </c>
      <c r="L329" s="147"/>
      <c r="M329" s="147"/>
      <c r="N329" s="147"/>
    </row>
    <row r="330" spans="1:14" s="148" customFormat="1" ht="15.75" hidden="1" outlineLevel="3" x14ac:dyDescent="0.2">
      <c r="A330" s="95" t="s">
        <v>1962</v>
      </c>
      <c r="B330" s="42" t="s">
        <v>1171</v>
      </c>
      <c r="C330" s="42" t="s">
        <v>1124</v>
      </c>
      <c r="D330" s="100" t="s">
        <v>408</v>
      </c>
      <c r="E330" s="149">
        <v>9</v>
      </c>
      <c r="F330" s="149">
        <f>(201)*(1.023*1.005-2.3%*15%)*6.99+0*4.09</f>
        <v>1440</v>
      </c>
      <c r="G330" s="145">
        <f t="shared" si="125"/>
        <v>1.123</v>
      </c>
      <c r="H330" s="146">
        <f t="shared" si="126"/>
        <v>1617</v>
      </c>
      <c r="I330" s="145">
        <f>'[2]Расчет прогнозных дефляторов'!$D$75</f>
        <v>1.0429999999999999</v>
      </c>
      <c r="J330" s="146">
        <f t="shared" si="127"/>
        <v>1687</v>
      </c>
      <c r="K330" s="146">
        <f t="shared" si="128"/>
        <v>1666</v>
      </c>
      <c r="L330" s="147"/>
      <c r="M330" s="147"/>
      <c r="N330" s="147"/>
    </row>
    <row r="331" spans="1:14" s="148" customFormat="1" ht="15.75" hidden="1" outlineLevel="3" x14ac:dyDescent="0.2">
      <c r="A331" s="95" t="s">
        <v>1963</v>
      </c>
      <c r="B331" s="42" t="s">
        <v>1172</v>
      </c>
      <c r="C331" s="42" t="s">
        <v>1125</v>
      </c>
      <c r="D331" s="100" t="s">
        <v>408</v>
      </c>
      <c r="E331" s="149">
        <v>38</v>
      </c>
      <c r="F331" s="149">
        <f>(2795)*(1.023*1.005-2.3%*15%)*6.99+0*4.09</f>
        <v>20019</v>
      </c>
      <c r="G331" s="145">
        <f t="shared" si="125"/>
        <v>1.123</v>
      </c>
      <c r="H331" s="146">
        <f t="shared" si="126"/>
        <v>22481</v>
      </c>
      <c r="I331" s="145">
        <f>'[2]Расчет прогнозных дефляторов'!$D$75</f>
        <v>1.0429999999999999</v>
      </c>
      <c r="J331" s="146">
        <f t="shared" si="127"/>
        <v>23448</v>
      </c>
      <c r="K331" s="146">
        <f t="shared" si="128"/>
        <v>23158</v>
      </c>
      <c r="L331" s="147"/>
      <c r="M331" s="147"/>
      <c r="N331" s="147"/>
    </row>
    <row r="332" spans="1:14" s="148" customFormat="1" ht="15.75" hidden="1" outlineLevel="3" x14ac:dyDescent="0.2">
      <c r="A332" s="95" t="s">
        <v>1964</v>
      </c>
      <c r="B332" s="42" t="s">
        <v>1173</v>
      </c>
      <c r="C332" s="42" t="s">
        <v>1126</v>
      </c>
      <c r="D332" s="100" t="s">
        <v>408</v>
      </c>
      <c r="E332" s="149">
        <v>40</v>
      </c>
      <c r="F332" s="149">
        <f>(892)*(1.023*1.005-2.3%*15%)*6.99+0*4.09</f>
        <v>6389</v>
      </c>
      <c r="G332" s="145">
        <f t="shared" si="125"/>
        <v>1.123</v>
      </c>
      <c r="H332" s="146">
        <f t="shared" si="126"/>
        <v>7175</v>
      </c>
      <c r="I332" s="145">
        <f>'[2]Расчет прогнозных дефляторов'!$D$75</f>
        <v>1.0429999999999999</v>
      </c>
      <c r="J332" s="146">
        <f t="shared" si="127"/>
        <v>7484</v>
      </c>
      <c r="K332" s="146">
        <f t="shared" si="128"/>
        <v>7391</v>
      </c>
      <c r="L332" s="147"/>
      <c r="M332" s="147"/>
      <c r="N332" s="147"/>
    </row>
    <row r="333" spans="1:14" s="148" customFormat="1" ht="15.75" hidden="1" outlineLevel="3" x14ac:dyDescent="0.2">
      <c r="A333" s="95" t="s">
        <v>1965</v>
      </c>
      <c r="B333" s="42" t="s">
        <v>1174</v>
      </c>
      <c r="C333" s="42" t="s">
        <v>1127</v>
      </c>
      <c r="D333" s="100" t="s">
        <v>408</v>
      </c>
      <c r="E333" s="149">
        <v>10</v>
      </c>
      <c r="F333" s="149">
        <f>(534)*(1.023*1.005-2.3%*15%)*6.99+0*4.09</f>
        <v>3825</v>
      </c>
      <c r="G333" s="145">
        <f t="shared" si="125"/>
        <v>1.123</v>
      </c>
      <c r="H333" s="146">
        <f t="shared" si="126"/>
        <v>4295</v>
      </c>
      <c r="I333" s="145">
        <f>'[2]Расчет прогнозных дефляторов'!$D$75</f>
        <v>1.0429999999999999</v>
      </c>
      <c r="J333" s="146">
        <f t="shared" si="127"/>
        <v>4480</v>
      </c>
      <c r="K333" s="146">
        <f t="shared" si="128"/>
        <v>4425</v>
      </c>
      <c r="L333" s="147"/>
      <c r="M333" s="147"/>
      <c r="N333" s="147"/>
    </row>
    <row r="334" spans="1:14" s="148" customFormat="1" ht="15.75" hidden="1" outlineLevel="3" x14ac:dyDescent="0.2">
      <c r="A334" s="95"/>
      <c r="B334" s="42"/>
      <c r="C334" s="157" t="s">
        <v>1128</v>
      </c>
      <c r="D334" s="100"/>
      <c r="E334" s="149"/>
      <c r="F334" s="149"/>
      <c r="G334" s="145"/>
      <c r="H334" s="146"/>
      <c r="I334" s="145"/>
      <c r="J334" s="146"/>
      <c r="K334" s="146"/>
      <c r="L334" s="147"/>
      <c r="M334" s="147"/>
      <c r="N334" s="147"/>
    </row>
    <row r="335" spans="1:14" s="148" customFormat="1" ht="204" hidden="1" outlineLevel="3" x14ac:dyDescent="0.2">
      <c r="A335" s="95" t="s">
        <v>1966</v>
      </c>
      <c r="B335" s="42" t="s">
        <v>1175</v>
      </c>
      <c r="C335" s="42" t="s">
        <v>1129</v>
      </c>
      <c r="D335" s="100" t="s">
        <v>408</v>
      </c>
      <c r="E335" s="149">
        <v>1</v>
      </c>
      <c r="F335" s="149">
        <f>(521)*(1.023*1.005-2.3%*15%)*6.99+3409444*4.09-32</f>
        <v>13948326</v>
      </c>
      <c r="G335" s="145">
        <f>$G$766</f>
        <v>1.123</v>
      </c>
      <c r="H335" s="146">
        <f t="shared" ref="H335:H336" si="129">F335*G335</f>
        <v>15663970</v>
      </c>
      <c r="I335" s="145">
        <f>'[2]Расчет прогнозных дефляторов'!$D$75</f>
        <v>1.0429999999999999</v>
      </c>
      <c r="J335" s="146">
        <f t="shared" ref="J335:J336" si="130">H335*I335</f>
        <v>16337521</v>
      </c>
      <c r="K335" s="146">
        <f t="shared" ref="K335:K336" si="131">H335+(J335-H335)*(1-30/100)</f>
        <v>16135456</v>
      </c>
      <c r="L335" s="172" t="s">
        <v>1198</v>
      </c>
      <c r="M335" s="147"/>
      <c r="N335" s="147"/>
    </row>
    <row r="336" spans="1:14" s="148" customFormat="1" ht="127.5" hidden="1" outlineLevel="3" x14ac:dyDescent="0.2">
      <c r="A336" s="95" t="s">
        <v>1967</v>
      </c>
      <c r="B336" s="42" t="s">
        <v>1176</v>
      </c>
      <c r="C336" s="42" t="s">
        <v>1130</v>
      </c>
      <c r="D336" s="100" t="s">
        <v>408</v>
      </c>
      <c r="E336" s="149">
        <v>1</v>
      </c>
      <c r="F336" s="149">
        <f>(521)*(1.023*1.005-2.3%*15%)*6.99+274384*4.09</f>
        <v>1125962</v>
      </c>
      <c r="G336" s="145">
        <f>$G$766</f>
        <v>1.123</v>
      </c>
      <c r="H336" s="146">
        <f t="shared" si="129"/>
        <v>1264455</v>
      </c>
      <c r="I336" s="145">
        <f>'[2]Расчет прогнозных дефляторов'!$D$75</f>
        <v>1.0429999999999999</v>
      </c>
      <c r="J336" s="146">
        <f t="shared" si="130"/>
        <v>1318827</v>
      </c>
      <c r="K336" s="146">
        <f t="shared" si="131"/>
        <v>1302515</v>
      </c>
      <c r="L336" s="147"/>
      <c r="M336" s="147"/>
      <c r="N336" s="147"/>
    </row>
    <row r="337" spans="1:14" s="148" customFormat="1" ht="15.75" hidden="1" outlineLevel="3" x14ac:dyDescent="0.2">
      <c r="A337" s="95"/>
      <c r="B337" s="42"/>
      <c r="C337" s="157" t="s">
        <v>1131</v>
      </c>
      <c r="D337" s="100"/>
      <c r="E337" s="149"/>
      <c r="F337" s="149"/>
      <c r="G337" s="145"/>
      <c r="H337" s="146"/>
      <c r="I337" s="145"/>
      <c r="J337" s="146"/>
      <c r="K337" s="146"/>
      <c r="L337" s="147"/>
      <c r="M337" s="147"/>
      <c r="N337" s="147"/>
    </row>
    <row r="338" spans="1:14" s="148" customFormat="1" ht="25.5" hidden="1" outlineLevel="3" x14ac:dyDescent="0.2">
      <c r="A338" s="95" t="s">
        <v>1968</v>
      </c>
      <c r="B338" s="42" t="s">
        <v>1177</v>
      </c>
      <c r="C338" s="42" t="s">
        <v>1132</v>
      </c>
      <c r="D338" s="100" t="s">
        <v>408</v>
      </c>
      <c r="E338" s="149">
        <v>176</v>
      </c>
      <c r="F338" s="149">
        <f>(214096)*(1.023*1.005-2.3%*15%)*6.99+0*4.09</f>
        <v>1533443</v>
      </c>
      <c r="G338" s="145">
        <f t="shared" ref="G338:G348" si="132">$G$766</f>
        <v>1.123</v>
      </c>
      <c r="H338" s="146">
        <f t="shared" ref="H338:H358" si="133">F338*G338</f>
        <v>1722056</v>
      </c>
      <c r="I338" s="145">
        <f>'[2]Расчет прогнозных дефляторов'!$D$75</f>
        <v>1.0429999999999999</v>
      </c>
      <c r="J338" s="146">
        <f t="shared" ref="J338:J358" si="134">H338*I338</f>
        <v>1796104</v>
      </c>
      <c r="K338" s="146">
        <f t="shared" ref="K338:K358" si="135">H338+(J338-H338)*(1-30/100)</f>
        <v>1773890</v>
      </c>
      <c r="L338" s="147"/>
      <c r="M338" s="147"/>
      <c r="N338" s="147"/>
    </row>
    <row r="339" spans="1:14" s="148" customFormat="1" ht="25.5" hidden="1" outlineLevel="3" x14ac:dyDescent="0.2">
      <c r="A339" s="95" t="s">
        <v>1969</v>
      </c>
      <c r="B339" s="42" t="s">
        <v>1178</v>
      </c>
      <c r="C339" s="42" t="s">
        <v>1133</v>
      </c>
      <c r="D339" s="100" t="s">
        <v>408</v>
      </c>
      <c r="E339" s="149">
        <v>87</v>
      </c>
      <c r="F339" s="149">
        <f>(70788)*(1.023*1.005-2.3%*15%)*6.99+0*4.09</f>
        <v>507013</v>
      </c>
      <c r="G339" s="145">
        <f t="shared" si="132"/>
        <v>1.123</v>
      </c>
      <c r="H339" s="146">
        <f t="shared" si="133"/>
        <v>569376</v>
      </c>
      <c r="I339" s="145">
        <f>'[2]Расчет прогнозных дефляторов'!$D$75</f>
        <v>1.0429999999999999</v>
      </c>
      <c r="J339" s="146">
        <f t="shared" si="134"/>
        <v>593859</v>
      </c>
      <c r="K339" s="146">
        <f t="shared" si="135"/>
        <v>586514</v>
      </c>
      <c r="L339" s="147"/>
      <c r="M339" s="147"/>
      <c r="N339" s="147"/>
    </row>
    <row r="340" spans="1:14" s="148" customFormat="1" ht="25.5" hidden="1" outlineLevel="3" x14ac:dyDescent="0.2">
      <c r="A340" s="95" t="s">
        <v>1970</v>
      </c>
      <c r="B340" s="42" t="s">
        <v>1179</v>
      </c>
      <c r="C340" s="42" t="s">
        <v>1134</v>
      </c>
      <c r="D340" s="100" t="s">
        <v>408</v>
      </c>
      <c r="E340" s="149">
        <v>8</v>
      </c>
      <c r="F340" s="149">
        <f>(43185)*(1.023*1.005-2.3%*15%)*6.99+0*4.09</f>
        <v>309309</v>
      </c>
      <c r="G340" s="145">
        <f t="shared" si="132"/>
        <v>1.123</v>
      </c>
      <c r="H340" s="146">
        <f t="shared" si="133"/>
        <v>347354</v>
      </c>
      <c r="I340" s="145">
        <f>'[2]Расчет прогнозных дефляторов'!$D$75</f>
        <v>1.0429999999999999</v>
      </c>
      <c r="J340" s="146">
        <f t="shared" si="134"/>
        <v>362290</v>
      </c>
      <c r="K340" s="146">
        <f t="shared" si="135"/>
        <v>357809</v>
      </c>
      <c r="L340" s="147"/>
      <c r="M340" s="147"/>
      <c r="N340" s="147"/>
    </row>
    <row r="341" spans="1:14" s="148" customFormat="1" ht="15.75" hidden="1" outlineLevel="3" x14ac:dyDescent="0.2">
      <c r="A341" s="95" t="s">
        <v>1971</v>
      </c>
      <c r="B341" s="42" t="s">
        <v>1180</v>
      </c>
      <c r="C341" s="42" t="s">
        <v>1135</v>
      </c>
      <c r="D341" s="100" t="s">
        <v>408</v>
      </c>
      <c r="E341" s="149">
        <v>11</v>
      </c>
      <c r="F341" s="149">
        <f>(96817)*(1.023*1.005-2.3%*15%)*6.99+0*4.09</f>
        <v>693443</v>
      </c>
      <c r="G341" s="145">
        <f t="shared" si="132"/>
        <v>1.123</v>
      </c>
      <c r="H341" s="146">
        <f t="shared" si="133"/>
        <v>778736</v>
      </c>
      <c r="I341" s="145">
        <f>'[2]Расчет прогнозных дефляторов'!$D$75</f>
        <v>1.0429999999999999</v>
      </c>
      <c r="J341" s="146">
        <f t="shared" si="134"/>
        <v>812222</v>
      </c>
      <c r="K341" s="146">
        <f t="shared" si="135"/>
        <v>802176</v>
      </c>
      <c r="L341" s="147"/>
      <c r="M341" s="147"/>
      <c r="N341" s="147"/>
    </row>
    <row r="342" spans="1:14" s="148" customFormat="1" ht="15.75" hidden="1" outlineLevel="3" x14ac:dyDescent="0.2">
      <c r="A342" s="95" t="s">
        <v>1972</v>
      </c>
      <c r="B342" s="42" t="s">
        <v>1181</v>
      </c>
      <c r="C342" s="42" t="s">
        <v>1136</v>
      </c>
      <c r="D342" s="100" t="s">
        <v>408</v>
      </c>
      <c r="E342" s="149">
        <v>11</v>
      </c>
      <c r="F342" s="149">
        <f>(19929)*(1.023*1.005-2.3%*15%)*6.99+0*4.09</f>
        <v>142740</v>
      </c>
      <c r="G342" s="145">
        <f t="shared" si="132"/>
        <v>1.123</v>
      </c>
      <c r="H342" s="146">
        <f t="shared" si="133"/>
        <v>160297</v>
      </c>
      <c r="I342" s="145">
        <f>'[2]Расчет прогнозных дефляторов'!$D$75</f>
        <v>1.0429999999999999</v>
      </c>
      <c r="J342" s="146">
        <f t="shared" si="134"/>
        <v>167190</v>
      </c>
      <c r="K342" s="146">
        <f t="shared" si="135"/>
        <v>165122</v>
      </c>
      <c r="L342" s="147"/>
      <c r="M342" s="147"/>
      <c r="N342" s="147"/>
    </row>
    <row r="343" spans="1:14" s="148" customFormat="1" ht="15.75" hidden="1" outlineLevel="3" x14ac:dyDescent="0.2">
      <c r="A343" s="95" t="s">
        <v>1973</v>
      </c>
      <c r="B343" s="42" t="s">
        <v>1182</v>
      </c>
      <c r="C343" s="42" t="s">
        <v>1137</v>
      </c>
      <c r="D343" s="100" t="s">
        <v>408</v>
      </c>
      <c r="E343" s="149">
        <v>13</v>
      </c>
      <c r="F343" s="149">
        <f>(10184)*(1.023*1.005-2.3%*15%)*6.99+0*4.09</f>
        <v>72942</v>
      </c>
      <c r="G343" s="145">
        <f t="shared" si="132"/>
        <v>1.123</v>
      </c>
      <c r="H343" s="146">
        <f t="shared" si="133"/>
        <v>81914</v>
      </c>
      <c r="I343" s="145">
        <f>'[2]Расчет прогнозных дефляторов'!$D$75</f>
        <v>1.0429999999999999</v>
      </c>
      <c r="J343" s="146">
        <f t="shared" si="134"/>
        <v>85436</v>
      </c>
      <c r="K343" s="146">
        <f t="shared" si="135"/>
        <v>84379</v>
      </c>
      <c r="L343" s="147"/>
      <c r="M343" s="147"/>
      <c r="N343" s="147"/>
    </row>
    <row r="344" spans="1:14" s="148" customFormat="1" ht="15.75" hidden="1" outlineLevel="3" x14ac:dyDescent="0.2">
      <c r="A344" s="95" t="s">
        <v>1974</v>
      </c>
      <c r="B344" s="42" t="s">
        <v>1183</v>
      </c>
      <c r="C344" s="42" t="s">
        <v>1138</v>
      </c>
      <c r="D344" s="100" t="s">
        <v>408</v>
      </c>
      <c r="E344" s="149">
        <v>3</v>
      </c>
      <c r="F344" s="149">
        <f>(1583)*(1.023*1.005-2.3%*15%)*6.99+0*4.09</f>
        <v>11338</v>
      </c>
      <c r="G344" s="145">
        <f t="shared" si="132"/>
        <v>1.123</v>
      </c>
      <c r="H344" s="146">
        <f t="shared" si="133"/>
        <v>12733</v>
      </c>
      <c r="I344" s="145">
        <f>'[2]Расчет прогнозных дефляторов'!$D$75</f>
        <v>1.0429999999999999</v>
      </c>
      <c r="J344" s="146">
        <f t="shared" si="134"/>
        <v>13281</v>
      </c>
      <c r="K344" s="146">
        <f t="shared" si="135"/>
        <v>13117</v>
      </c>
      <c r="L344" s="147"/>
      <c r="M344" s="147"/>
      <c r="N344" s="147"/>
    </row>
    <row r="345" spans="1:14" s="148" customFormat="1" ht="15.75" hidden="1" outlineLevel="3" x14ac:dyDescent="0.2">
      <c r="A345" s="95" t="s">
        <v>1975</v>
      </c>
      <c r="B345" s="42" t="s">
        <v>1184</v>
      </c>
      <c r="C345" s="42" t="s">
        <v>1139</v>
      </c>
      <c r="D345" s="100" t="s">
        <v>408</v>
      </c>
      <c r="E345" s="149">
        <v>76</v>
      </c>
      <c r="F345" s="149">
        <f>(54493)*(1.023*1.005-2.3%*15%)*6.99+0*4.09</f>
        <v>390301</v>
      </c>
      <c r="G345" s="145">
        <f t="shared" si="132"/>
        <v>1.123</v>
      </c>
      <c r="H345" s="146">
        <f t="shared" si="133"/>
        <v>438308</v>
      </c>
      <c r="I345" s="145">
        <f>'[2]Расчет прогнозных дефляторов'!$D$75</f>
        <v>1.0429999999999999</v>
      </c>
      <c r="J345" s="146">
        <f t="shared" si="134"/>
        <v>457155</v>
      </c>
      <c r="K345" s="146">
        <f t="shared" si="135"/>
        <v>451501</v>
      </c>
      <c r="L345" s="147"/>
      <c r="M345" s="147"/>
      <c r="N345" s="147"/>
    </row>
    <row r="346" spans="1:14" s="148" customFormat="1" ht="15.75" hidden="1" outlineLevel="3" x14ac:dyDescent="0.2">
      <c r="A346" s="95" t="s">
        <v>1976</v>
      </c>
      <c r="B346" s="42" t="s">
        <v>1185</v>
      </c>
      <c r="C346" s="42" t="s">
        <v>1140</v>
      </c>
      <c r="D346" s="100" t="s">
        <v>408</v>
      </c>
      <c r="E346" s="149">
        <v>125</v>
      </c>
      <c r="F346" s="149">
        <f>(63271)*(1.023*1.005-2.3%*15%)*6.99+0*4.09</f>
        <v>453173</v>
      </c>
      <c r="G346" s="145">
        <f t="shared" si="132"/>
        <v>1.123</v>
      </c>
      <c r="H346" s="146">
        <f t="shared" si="133"/>
        <v>508913</v>
      </c>
      <c r="I346" s="145">
        <f>'[2]Расчет прогнозных дефляторов'!$D$75</f>
        <v>1.0429999999999999</v>
      </c>
      <c r="J346" s="146">
        <f t="shared" si="134"/>
        <v>530796</v>
      </c>
      <c r="K346" s="146">
        <f t="shared" si="135"/>
        <v>524231</v>
      </c>
      <c r="L346" s="147"/>
      <c r="M346" s="147"/>
      <c r="N346" s="147"/>
    </row>
    <row r="347" spans="1:14" s="148" customFormat="1" ht="15.75" hidden="1" outlineLevel="3" x14ac:dyDescent="0.2">
      <c r="A347" s="95" t="s">
        <v>1977</v>
      </c>
      <c r="B347" s="42" t="s">
        <v>1186</v>
      </c>
      <c r="C347" s="42" t="s">
        <v>1141</v>
      </c>
      <c r="D347" s="100" t="s">
        <v>408</v>
      </c>
      <c r="E347" s="149">
        <v>27</v>
      </c>
      <c r="F347" s="149">
        <f>(33002)*(1.023*1.005-2.3%*15%)*6.99+0*4.09</f>
        <v>236374</v>
      </c>
      <c r="G347" s="145">
        <f t="shared" si="132"/>
        <v>1.123</v>
      </c>
      <c r="H347" s="146">
        <f t="shared" si="133"/>
        <v>265448</v>
      </c>
      <c r="I347" s="145">
        <f>'[2]Расчет прогнозных дефляторов'!$D$75</f>
        <v>1.0429999999999999</v>
      </c>
      <c r="J347" s="146">
        <f t="shared" si="134"/>
        <v>276862</v>
      </c>
      <c r="K347" s="146">
        <f t="shared" si="135"/>
        <v>273438</v>
      </c>
      <c r="L347" s="147"/>
      <c r="M347" s="147"/>
      <c r="N347" s="147"/>
    </row>
    <row r="348" spans="1:14" s="148" customFormat="1" ht="25.5" hidden="1" outlineLevel="3" x14ac:dyDescent="0.2">
      <c r="A348" s="95" t="s">
        <v>1978</v>
      </c>
      <c r="B348" s="42" t="s">
        <v>1187</v>
      </c>
      <c r="C348" s="42" t="s">
        <v>1142</v>
      </c>
      <c r="D348" s="100" t="s">
        <v>408</v>
      </c>
      <c r="E348" s="149">
        <v>8</v>
      </c>
      <c r="F348" s="149">
        <f>(11428)*(1.023*1.005-2.3%*15%)*6.99+0*4.09</f>
        <v>81852</v>
      </c>
      <c r="G348" s="145">
        <f t="shared" si="132"/>
        <v>1.123</v>
      </c>
      <c r="H348" s="146">
        <f t="shared" si="133"/>
        <v>91920</v>
      </c>
      <c r="I348" s="145">
        <f>'[2]Расчет прогнозных дефляторов'!$D$75</f>
        <v>1.0429999999999999</v>
      </c>
      <c r="J348" s="146">
        <f t="shared" si="134"/>
        <v>95873</v>
      </c>
      <c r="K348" s="146">
        <f t="shared" si="135"/>
        <v>94687</v>
      </c>
      <c r="L348" s="147"/>
      <c r="M348" s="147"/>
      <c r="N348" s="147"/>
    </row>
    <row r="349" spans="1:14" s="148" customFormat="1" ht="15.75" hidden="1" outlineLevel="3" x14ac:dyDescent="0.2">
      <c r="A349" s="95"/>
      <c r="B349" s="42"/>
      <c r="C349" s="157" t="s">
        <v>1143</v>
      </c>
      <c r="D349" s="100"/>
      <c r="E349" s="149"/>
      <c r="F349" s="149"/>
      <c r="G349" s="145"/>
      <c r="H349" s="146"/>
      <c r="I349" s="145"/>
      <c r="J349" s="146"/>
      <c r="K349" s="146"/>
      <c r="L349" s="147"/>
      <c r="M349" s="147"/>
      <c r="N349" s="147"/>
    </row>
    <row r="350" spans="1:14" s="148" customFormat="1" ht="15.75" hidden="1" outlineLevel="3" x14ac:dyDescent="0.2">
      <c r="A350" s="95" t="s">
        <v>1979</v>
      </c>
      <c r="B350" s="42" t="s">
        <v>1188</v>
      </c>
      <c r="C350" s="42" t="s">
        <v>1144</v>
      </c>
      <c r="D350" s="100" t="s">
        <v>377</v>
      </c>
      <c r="E350" s="149">
        <v>155</v>
      </c>
      <c r="F350" s="149">
        <f>(20693)*(1.023*1.005-2.3%*15%)*6.99+0*4.09</f>
        <v>148212</v>
      </c>
      <c r="G350" s="145">
        <f t="shared" ref="G350:G359" si="136">$G$766</f>
        <v>1.123</v>
      </c>
      <c r="H350" s="146">
        <f t="shared" si="133"/>
        <v>166442</v>
      </c>
      <c r="I350" s="145">
        <f>'[2]Расчет прогнозных дефляторов'!$D$75</f>
        <v>1.0429999999999999</v>
      </c>
      <c r="J350" s="146">
        <f t="shared" si="134"/>
        <v>173599</v>
      </c>
      <c r="K350" s="146">
        <f t="shared" si="135"/>
        <v>171452</v>
      </c>
      <c r="L350" s="147"/>
      <c r="M350" s="147"/>
      <c r="N350" s="147"/>
    </row>
    <row r="351" spans="1:14" s="148" customFormat="1" ht="25.5" hidden="1" outlineLevel="3" x14ac:dyDescent="0.2">
      <c r="A351" s="95" t="s">
        <v>1980</v>
      </c>
      <c r="B351" s="42" t="s">
        <v>1189</v>
      </c>
      <c r="C351" s="42" t="s">
        <v>1146</v>
      </c>
      <c r="D351" s="100" t="s">
        <v>377</v>
      </c>
      <c r="E351" s="100">
        <f>3862.1/1.08</f>
        <v>3576.02</v>
      </c>
      <c r="F351" s="149">
        <f>(20575)*(1.023*1.005-2.3%*15%)*6.99+0*4.09</f>
        <v>147367</v>
      </c>
      <c r="G351" s="145">
        <f t="shared" si="136"/>
        <v>1.123</v>
      </c>
      <c r="H351" s="146">
        <f t="shared" si="133"/>
        <v>165493</v>
      </c>
      <c r="I351" s="145">
        <f>'[2]Расчет прогнозных дефляторов'!$D$75</f>
        <v>1.0429999999999999</v>
      </c>
      <c r="J351" s="146">
        <f t="shared" si="134"/>
        <v>172609</v>
      </c>
      <c r="K351" s="146">
        <f t="shared" si="135"/>
        <v>170474</v>
      </c>
      <c r="L351" s="172" t="s">
        <v>1150</v>
      </c>
      <c r="M351" s="147"/>
      <c r="N351" s="147"/>
    </row>
    <row r="352" spans="1:14" s="148" customFormat="1" ht="25.5" hidden="1" outlineLevel="3" x14ac:dyDescent="0.2">
      <c r="A352" s="95" t="s">
        <v>1981</v>
      </c>
      <c r="B352" s="42" t="s">
        <v>1190</v>
      </c>
      <c r="C352" s="42" t="s">
        <v>1145</v>
      </c>
      <c r="D352" s="100" t="s">
        <v>377</v>
      </c>
      <c r="E352" s="100">
        <f>428.8/1.08</f>
        <v>397.04</v>
      </c>
      <c r="F352" s="149">
        <f>(5159)*(1.023*1.005-2.3%*15%)*6.99+0*4.09</f>
        <v>36951</v>
      </c>
      <c r="G352" s="145">
        <f t="shared" si="136"/>
        <v>1.123</v>
      </c>
      <c r="H352" s="146">
        <f t="shared" si="133"/>
        <v>41496</v>
      </c>
      <c r="I352" s="145">
        <f>'[2]Расчет прогнозных дефляторов'!$D$75</f>
        <v>1.0429999999999999</v>
      </c>
      <c r="J352" s="146">
        <f t="shared" si="134"/>
        <v>43280</v>
      </c>
      <c r="K352" s="146">
        <f t="shared" si="135"/>
        <v>42745</v>
      </c>
      <c r="L352" s="172" t="s">
        <v>1150</v>
      </c>
      <c r="M352" s="147"/>
      <c r="N352" s="147"/>
    </row>
    <row r="353" spans="1:14" s="148" customFormat="1" ht="25.5" hidden="1" outlineLevel="3" x14ac:dyDescent="0.2">
      <c r="A353" s="95" t="s">
        <v>1982</v>
      </c>
      <c r="B353" s="42" t="s">
        <v>1191</v>
      </c>
      <c r="C353" s="42" t="s">
        <v>1147</v>
      </c>
      <c r="D353" s="100" t="s">
        <v>377</v>
      </c>
      <c r="E353" s="100">
        <f>3160.1/1.08-0.01</f>
        <v>2926.01</v>
      </c>
      <c r="F353" s="149">
        <f>(24658)*(1.023*1.005-2.3%*15%)*6.99+0*4.09</f>
        <v>176611</v>
      </c>
      <c r="G353" s="145">
        <f t="shared" si="136"/>
        <v>1.123</v>
      </c>
      <c r="H353" s="146">
        <f t="shared" si="133"/>
        <v>198334</v>
      </c>
      <c r="I353" s="145">
        <f>'[2]Расчет прогнозных дефляторов'!$D$75</f>
        <v>1.0429999999999999</v>
      </c>
      <c r="J353" s="146">
        <f t="shared" si="134"/>
        <v>206862</v>
      </c>
      <c r="K353" s="146">
        <f t="shared" si="135"/>
        <v>204304</v>
      </c>
      <c r="L353" s="172" t="s">
        <v>1150</v>
      </c>
      <c r="M353" s="147"/>
      <c r="N353" s="147"/>
    </row>
    <row r="354" spans="1:14" s="148" customFormat="1" ht="25.5" hidden="1" outlineLevel="3" x14ac:dyDescent="0.2">
      <c r="A354" s="95" t="s">
        <v>1983</v>
      </c>
      <c r="B354" s="42" t="s">
        <v>1192</v>
      </c>
      <c r="C354" s="42" t="s">
        <v>1148</v>
      </c>
      <c r="D354" s="100" t="s">
        <v>377</v>
      </c>
      <c r="E354" s="100">
        <f>351/1.08</f>
        <v>325</v>
      </c>
      <c r="F354" s="149">
        <f>(5518)*(1.023*1.005-2.3%*15%)*6.99+0*4.09</f>
        <v>39522</v>
      </c>
      <c r="G354" s="145">
        <f t="shared" si="136"/>
        <v>1.123</v>
      </c>
      <c r="H354" s="146">
        <f t="shared" si="133"/>
        <v>44383</v>
      </c>
      <c r="I354" s="145">
        <f>'[2]Расчет прогнозных дефляторов'!$D$75</f>
        <v>1.0429999999999999</v>
      </c>
      <c r="J354" s="146">
        <f t="shared" si="134"/>
        <v>46291</v>
      </c>
      <c r="K354" s="146">
        <f t="shared" si="135"/>
        <v>45719</v>
      </c>
      <c r="L354" s="172" t="s">
        <v>1150</v>
      </c>
      <c r="M354" s="147"/>
      <c r="N354" s="147"/>
    </row>
    <row r="355" spans="1:14" s="148" customFormat="1" ht="25.5" hidden="1" outlineLevel="3" x14ac:dyDescent="0.2">
      <c r="A355" s="95" t="s">
        <v>1984</v>
      </c>
      <c r="B355" s="42" t="s">
        <v>1193</v>
      </c>
      <c r="C355" s="42" t="s">
        <v>1149</v>
      </c>
      <c r="D355" s="100" t="s">
        <v>377</v>
      </c>
      <c r="E355" s="100">
        <f>216/1.08</f>
        <v>200</v>
      </c>
      <c r="F355" s="149">
        <f>(2748)*(1.023*1.005-2.3%*15%)*6.99+0*4.09</f>
        <v>19682</v>
      </c>
      <c r="G355" s="145">
        <f t="shared" si="136"/>
        <v>1.123</v>
      </c>
      <c r="H355" s="146">
        <f t="shared" si="133"/>
        <v>22103</v>
      </c>
      <c r="I355" s="145">
        <f>'[2]Расчет прогнозных дефляторов'!$D$75</f>
        <v>1.0429999999999999</v>
      </c>
      <c r="J355" s="146">
        <f t="shared" si="134"/>
        <v>23053</v>
      </c>
      <c r="K355" s="146">
        <f t="shared" si="135"/>
        <v>22768</v>
      </c>
      <c r="L355" s="172" t="s">
        <v>1150</v>
      </c>
      <c r="M355" s="147"/>
      <c r="N355" s="147"/>
    </row>
    <row r="356" spans="1:14" s="148" customFormat="1" ht="25.5" hidden="1" outlineLevel="3" x14ac:dyDescent="0.2">
      <c r="A356" s="95" t="s">
        <v>1985</v>
      </c>
      <c r="B356" s="42" t="s">
        <v>1194</v>
      </c>
      <c r="C356" s="42" t="s">
        <v>1151</v>
      </c>
      <c r="D356" s="100" t="s">
        <v>377</v>
      </c>
      <c r="E356" s="100">
        <v>200</v>
      </c>
      <c r="F356" s="149">
        <f>(24320)*(1.023*1.005-2.3%*15%)*6.99+0*4.09</f>
        <v>174190</v>
      </c>
      <c r="G356" s="145">
        <f t="shared" si="136"/>
        <v>1.123</v>
      </c>
      <c r="H356" s="146">
        <f t="shared" si="133"/>
        <v>195615</v>
      </c>
      <c r="I356" s="145">
        <f>'[2]Расчет прогнозных дефляторов'!$D$75</f>
        <v>1.0429999999999999</v>
      </c>
      <c r="J356" s="146">
        <f t="shared" si="134"/>
        <v>204026</v>
      </c>
      <c r="K356" s="146">
        <f t="shared" si="135"/>
        <v>201503</v>
      </c>
      <c r="L356" s="172" t="s">
        <v>1150</v>
      </c>
      <c r="M356" s="147"/>
      <c r="N356" s="147"/>
    </row>
    <row r="357" spans="1:14" s="148" customFormat="1" ht="25.5" hidden="1" outlineLevel="3" x14ac:dyDescent="0.2">
      <c r="A357" s="95" t="s">
        <v>1986</v>
      </c>
      <c r="B357" s="42" t="s">
        <v>1195</v>
      </c>
      <c r="C357" s="42" t="s">
        <v>1152</v>
      </c>
      <c r="D357" s="100" t="s">
        <v>377</v>
      </c>
      <c r="E357" s="100">
        <f>540/1.08</f>
        <v>500</v>
      </c>
      <c r="F357" s="149">
        <f>(238837)*(1.023*1.005-2.3%*15%)*6.99+0*4.09</f>
        <v>1710648</v>
      </c>
      <c r="G357" s="145">
        <f t="shared" si="136"/>
        <v>1.123</v>
      </c>
      <c r="H357" s="146">
        <f t="shared" si="133"/>
        <v>1921058</v>
      </c>
      <c r="I357" s="145">
        <f>'[2]Расчет прогнозных дефляторов'!$D$75</f>
        <v>1.0429999999999999</v>
      </c>
      <c r="J357" s="146">
        <f t="shared" si="134"/>
        <v>2003663</v>
      </c>
      <c r="K357" s="146">
        <f t="shared" si="135"/>
        <v>1978882</v>
      </c>
      <c r="L357" s="172" t="s">
        <v>1150</v>
      </c>
      <c r="M357" s="147"/>
      <c r="N357" s="147"/>
    </row>
    <row r="358" spans="1:14" s="148" customFormat="1" ht="25.5" hidden="1" outlineLevel="3" x14ac:dyDescent="0.2">
      <c r="A358" s="95" t="s">
        <v>1987</v>
      </c>
      <c r="B358" s="42" t="s">
        <v>1196</v>
      </c>
      <c r="C358" s="42" t="s">
        <v>1153</v>
      </c>
      <c r="D358" s="100" t="s">
        <v>377</v>
      </c>
      <c r="E358" s="100">
        <f>54/1.08</f>
        <v>50</v>
      </c>
      <c r="F358" s="149">
        <f>(26542)*(1.023*1.005-2.3%*15%)*6.99+0*4.09</f>
        <v>190105</v>
      </c>
      <c r="G358" s="145">
        <f t="shared" si="136"/>
        <v>1.123</v>
      </c>
      <c r="H358" s="146">
        <f t="shared" si="133"/>
        <v>213488</v>
      </c>
      <c r="I358" s="145">
        <f>'[2]Расчет прогнозных дефляторов'!$D$75</f>
        <v>1.0429999999999999</v>
      </c>
      <c r="J358" s="146">
        <f t="shared" si="134"/>
        <v>222668</v>
      </c>
      <c r="K358" s="146">
        <f t="shared" si="135"/>
        <v>219914</v>
      </c>
      <c r="L358" s="172" t="s">
        <v>1150</v>
      </c>
      <c r="M358" s="147"/>
      <c r="N358" s="147"/>
    </row>
    <row r="359" spans="1:14" s="237" customFormat="1" ht="15.75" outlineLevel="2" collapsed="1" x14ac:dyDescent="0.2">
      <c r="A359" s="238" t="s">
        <v>445</v>
      </c>
      <c r="B359" s="229" t="s">
        <v>172</v>
      </c>
      <c r="C359" s="229" t="s">
        <v>1921</v>
      </c>
      <c r="D359" s="239" t="s">
        <v>292</v>
      </c>
      <c r="E359" s="240">
        <v>1</v>
      </c>
      <c r="F359" s="240">
        <f>SUM(F360:F364)</f>
        <v>705784</v>
      </c>
      <c r="G359" s="241">
        <f t="shared" si="136"/>
        <v>1.123</v>
      </c>
      <c r="H359" s="240">
        <f>SUM(H360:H364)</f>
        <v>792596</v>
      </c>
      <c r="I359" s="241">
        <f>'[2]Расчет прогнозных дефляторов'!$D$75</f>
        <v>1.0429999999999999</v>
      </c>
      <c r="J359" s="240">
        <f>SUM(J360:J364)</f>
        <v>826678</v>
      </c>
      <c r="K359" s="240">
        <f>SUM(K360:K364)</f>
        <v>816453</v>
      </c>
      <c r="L359" s="256"/>
      <c r="M359" s="256"/>
      <c r="N359" s="256"/>
    </row>
    <row r="360" spans="1:14" s="148" customFormat="1" ht="15.75" hidden="1" outlineLevel="3" x14ac:dyDescent="0.2">
      <c r="A360" s="95"/>
      <c r="B360" s="42"/>
      <c r="C360" s="157" t="s">
        <v>367</v>
      </c>
      <c r="D360" s="100"/>
      <c r="E360" s="100"/>
      <c r="F360" s="149"/>
      <c r="G360" s="145"/>
      <c r="H360" s="146"/>
      <c r="I360" s="145"/>
      <c r="J360" s="146"/>
      <c r="K360" s="146"/>
      <c r="L360" s="147"/>
      <c r="M360" s="147"/>
      <c r="N360" s="147"/>
    </row>
    <row r="361" spans="1:14" s="148" customFormat="1" ht="25.5" hidden="1" outlineLevel="3" x14ac:dyDescent="0.2">
      <c r="A361" s="95" t="s">
        <v>446</v>
      </c>
      <c r="B361" s="42" t="s">
        <v>1200</v>
      </c>
      <c r="C361" s="42" t="s">
        <v>356</v>
      </c>
      <c r="D361" s="100" t="s">
        <v>300</v>
      </c>
      <c r="E361" s="100">
        <f>225.74</f>
        <v>225.74</v>
      </c>
      <c r="F361" s="149">
        <f>(45014)*(1.023*1.005-2.3%*15%)*6.99+0*4.09+14</f>
        <v>322423</v>
      </c>
      <c r="G361" s="145">
        <f t="shared" ref="G361:G392" si="137">$G$766</f>
        <v>1.123</v>
      </c>
      <c r="H361" s="146">
        <f t="shared" ref="H361:H364" si="138">F361*G361</f>
        <v>362081</v>
      </c>
      <c r="I361" s="145">
        <f>'[2]Расчет прогнозных дефляторов'!$D$75</f>
        <v>1.0429999999999999</v>
      </c>
      <c r="J361" s="146">
        <f t="shared" ref="J361:J364" si="139">H361*I361</f>
        <v>377650</v>
      </c>
      <c r="K361" s="146">
        <f t="shared" ref="K361:K364" si="140">H361+(J361-H361)*(1-30/100)</f>
        <v>372979</v>
      </c>
      <c r="L361" s="147"/>
      <c r="M361" s="147"/>
      <c r="N361" s="147"/>
    </row>
    <row r="362" spans="1:14" s="148" customFormat="1" ht="15.75" hidden="1" outlineLevel="3" x14ac:dyDescent="0.2">
      <c r="A362" s="95" t="s">
        <v>447</v>
      </c>
      <c r="B362" s="42" t="s">
        <v>1201</v>
      </c>
      <c r="C362" s="42" t="s">
        <v>373</v>
      </c>
      <c r="D362" s="100" t="s">
        <v>300</v>
      </c>
      <c r="E362" s="100">
        <f>225.74</f>
        <v>225.74</v>
      </c>
      <c r="F362" s="149">
        <f>(19753)*(1.023*1.005-2.3%*15%)*6.99+0*4.09</f>
        <v>141479</v>
      </c>
      <c r="G362" s="145">
        <f t="shared" si="137"/>
        <v>1.123</v>
      </c>
      <c r="H362" s="146">
        <f t="shared" si="138"/>
        <v>158881</v>
      </c>
      <c r="I362" s="145">
        <f>'[2]Расчет прогнозных дефляторов'!$D$75</f>
        <v>1.0429999999999999</v>
      </c>
      <c r="J362" s="146">
        <f t="shared" si="139"/>
        <v>165713</v>
      </c>
      <c r="K362" s="146">
        <f t="shared" si="140"/>
        <v>163663</v>
      </c>
      <c r="L362" s="147"/>
      <c r="M362" s="147"/>
      <c r="N362" s="147"/>
    </row>
    <row r="363" spans="1:14" s="148" customFormat="1" ht="25.5" hidden="1" outlineLevel="3" x14ac:dyDescent="0.2">
      <c r="A363" s="95" t="s">
        <v>448</v>
      </c>
      <c r="B363" s="42" t="s">
        <v>1202</v>
      </c>
      <c r="C363" s="42" t="s">
        <v>750</v>
      </c>
      <c r="D363" s="100" t="s">
        <v>300</v>
      </c>
      <c r="E363" s="100">
        <f>225.74</f>
        <v>225.74</v>
      </c>
      <c r="F363" s="149">
        <f>(3052)*(1.023*1.005-2.3%*15%)*6.99+0*4.09</f>
        <v>21860</v>
      </c>
      <c r="G363" s="145">
        <f t="shared" si="137"/>
        <v>1.123</v>
      </c>
      <c r="H363" s="146">
        <f t="shared" si="138"/>
        <v>24549</v>
      </c>
      <c r="I363" s="145">
        <f>'[2]Расчет прогнозных дефляторов'!$D$75</f>
        <v>1.0429999999999999</v>
      </c>
      <c r="J363" s="146">
        <f t="shared" si="139"/>
        <v>25605</v>
      </c>
      <c r="K363" s="146">
        <f t="shared" si="140"/>
        <v>25288</v>
      </c>
      <c r="L363" s="147"/>
      <c r="M363" s="147"/>
      <c r="N363" s="147"/>
    </row>
    <row r="364" spans="1:14" s="148" customFormat="1" ht="15.75" hidden="1" outlineLevel="3" x14ac:dyDescent="0.2">
      <c r="A364" s="95" t="s">
        <v>1988</v>
      </c>
      <c r="B364" s="42" t="s">
        <v>1203</v>
      </c>
      <c r="C364" s="42" t="s">
        <v>379</v>
      </c>
      <c r="D364" s="100" t="s">
        <v>292</v>
      </c>
      <c r="E364" s="100">
        <v>1</v>
      </c>
      <c r="F364" s="149">
        <f>(30719)*(1.023*1.005-2.3%*15%)*6.99+0*4.09</f>
        <v>220022</v>
      </c>
      <c r="G364" s="145">
        <f t="shared" si="137"/>
        <v>1.123</v>
      </c>
      <c r="H364" s="146">
        <f t="shared" si="138"/>
        <v>247085</v>
      </c>
      <c r="I364" s="145">
        <f>'[2]Расчет прогнозных дефляторов'!$D$75</f>
        <v>1.0429999999999999</v>
      </c>
      <c r="J364" s="146">
        <f t="shared" si="139"/>
        <v>257710</v>
      </c>
      <c r="K364" s="146">
        <f t="shared" si="140"/>
        <v>254523</v>
      </c>
      <c r="L364" s="147"/>
      <c r="M364" s="147"/>
      <c r="N364" s="147"/>
    </row>
    <row r="365" spans="1:14" s="237" customFormat="1" ht="15.75" outlineLevel="2" collapsed="1" x14ac:dyDescent="0.2">
      <c r="A365" s="238" t="s">
        <v>449</v>
      </c>
      <c r="B365" s="229" t="s">
        <v>174</v>
      </c>
      <c r="C365" s="229" t="s">
        <v>1922</v>
      </c>
      <c r="D365" s="239" t="s">
        <v>292</v>
      </c>
      <c r="E365" s="240">
        <v>1</v>
      </c>
      <c r="F365" s="240">
        <f>SUM(F366:F370)</f>
        <v>21389313</v>
      </c>
      <c r="G365" s="241">
        <f t="shared" si="137"/>
        <v>1.123</v>
      </c>
      <c r="H365" s="240">
        <f>SUM(H366:H370)</f>
        <v>24020198</v>
      </c>
      <c r="I365" s="241">
        <f>'[2]Расчет прогнозных дефляторов'!$D$75</f>
        <v>1.0429999999999999</v>
      </c>
      <c r="J365" s="240">
        <f>SUM(J366:J370)</f>
        <v>25053067</v>
      </c>
      <c r="K365" s="240">
        <f>SUM(K366:K370)</f>
        <v>24743207</v>
      </c>
      <c r="L365" s="256"/>
      <c r="M365" s="256"/>
      <c r="N365" s="256"/>
    </row>
    <row r="366" spans="1:14" s="148" customFormat="1" ht="25.5" hidden="1" outlineLevel="3" x14ac:dyDescent="0.2">
      <c r="A366" s="95" t="s">
        <v>450</v>
      </c>
      <c r="B366" s="42" t="s">
        <v>1205</v>
      </c>
      <c r="C366" s="42" t="s">
        <v>1204</v>
      </c>
      <c r="D366" s="100" t="s">
        <v>408</v>
      </c>
      <c r="E366" s="149">
        <v>1</v>
      </c>
      <c r="F366" s="149">
        <f>(33890)*(1.023*1.005-2.3%*15%)*6.99+0*4.09</f>
        <v>242734</v>
      </c>
      <c r="G366" s="145">
        <f t="shared" si="137"/>
        <v>1.123</v>
      </c>
      <c r="H366" s="146">
        <f t="shared" ref="H366:H370" si="141">F366*G366</f>
        <v>272590</v>
      </c>
      <c r="I366" s="145">
        <f>'[2]Расчет прогнозных дефляторов'!$D$75</f>
        <v>1.0429999999999999</v>
      </c>
      <c r="J366" s="146">
        <f t="shared" ref="J366:J370" si="142">H366*I366</f>
        <v>284311</v>
      </c>
      <c r="K366" s="146">
        <f t="shared" ref="K366:K370" si="143">H366+(J366-H366)*(1-30/100)</f>
        <v>280795</v>
      </c>
      <c r="L366" s="147"/>
      <c r="M366" s="147"/>
      <c r="N366" s="147"/>
    </row>
    <row r="367" spans="1:14" s="148" customFormat="1" ht="25.5" hidden="1" outlineLevel="3" x14ac:dyDescent="0.2">
      <c r="A367" s="95" t="s">
        <v>451</v>
      </c>
      <c r="B367" s="42" t="s">
        <v>1207</v>
      </c>
      <c r="C367" s="42" t="s">
        <v>1206</v>
      </c>
      <c r="D367" s="100" t="s">
        <v>408</v>
      </c>
      <c r="E367" s="149">
        <v>1</v>
      </c>
      <c r="F367" s="149">
        <f>(2821+27187)*(1.023*1.005-2.3%*15%)*6.99+4768776*4.09+24</f>
        <v>19719247</v>
      </c>
      <c r="G367" s="145">
        <f t="shared" si="137"/>
        <v>1.123</v>
      </c>
      <c r="H367" s="146">
        <f t="shared" si="141"/>
        <v>22144714</v>
      </c>
      <c r="I367" s="145">
        <f>'[2]Расчет прогнозных дефляторов'!$D$75</f>
        <v>1.0429999999999999</v>
      </c>
      <c r="J367" s="146">
        <f t="shared" si="142"/>
        <v>23096937</v>
      </c>
      <c r="K367" s="146">
        <f t="shared" si="143"/>
        <v>22811270</v>
      </c>
      <c r="L367" s="147"/>
      <c r="M367" s="147"/>
      <c r="N367" s="147"/>
    </row>
    <row r="368" spans="1:14" s="148" customFormat="1" ht="15.75" hidden="1" outlineLevel="3" x14ac:dyDescent="0.2">
      <c r="A368" s="95" t="s">
        <v>1989</v>
      </c>
      <c r="B368" s="42" t="s">
        <v>1209</v>
      </c>
      <c r="C368" s="42" t="s">
        <v>1208</v>
      </c>
      <c r="D368" s="100" t="s">
        <v>292</v>
      </c>
      <c r="E368" s="149">
        <v>1</v>
      </c>
      <c r="F368" s="149">
        <f>(93585)*(1.023*1.005-2.3%*15%)*6.99+0*4.09</f>
        <v>670294</v>
      </c>
      <c r="G368" s="145">
        <f t="shared" si="137"/>
        <v>1.123</v>
      </c>
      <c r="H368" s="146">
        <f t="shared" si="141"/>
        <v>752740</v>
      </c>
      <c r="I368" s="145">
        <f>'[2]Расчет прогнозных дефляторов'!$D$75</f>
        <v>1.0429999999999999</v>
      </c>
      <c r="J368" s="146">
        <f t="shared" si="142"/>
        <v>785108</v>
      </c>
      <c r="K368" s="146">
        <f t="shared" si="143"/>
        <v>775398</v>
      </c>
      <c r="L368" s="147"/>
      <c r="M368" s="147"/>
      <c r="N368" s="147"/>
    </row>
    <row r="369" spans="1:14" s="148" customFormat="1" ht="15.75" hidden="1" outlineLevel="3" x14ac:dyDescent="0.2">
      <c r="A369" s="95" t="s">
        <v>1990</v>
      </c>
      <c r="B369" s="42" t="s">
        <v>1211</v>
      </c>
      <c r="C369" s="42" t="s">
        <v>1210</v>
      </c>
      <c r="D369" s="100" t="s">
        <v>292</v>
      </c>
      <c r="E369" s="149">
        <v>1</v>
      </c>
      <c r="F369" s="149">
        <f>(52820)*(1.023*1.005-2.3%*15%)*6.99+0*4.09</f>
        <v>378318</v>
      </c>
      <c r="G369" s="145">
        <f t="shared" si="137"/>
        <v>1.123</v>
      </c>
      <c r="H369" s="146">
        <f t="shared" si="141"/>
        <v>424851</v>
      </c>
      <c r="I369" s="145">
        <f>'[2]Расчет прогнозных дефляторов'!$D$75</f>
        <v>1.0429999999999999</v>
      </c>
      <c r="J369" s="146">
        <f t="shared" si="142"/>
        <v>443120</v>
      </c>
      <c r="K369" s="146">
        <f t="shared" si="143"/>
        <v>437639</v>
      </c>
      <c r="L369" s="147"/>
      <c r="M369" s="147"/>
      <c r="N369" s="147"/>
    </row>
    <row r="370" spans="1:14" s="148" customFormat="1" ht="15.75" hidden="1" outlineLevel="3" x14ac:dyDescent="0.2">
      <c r="A370" s="95" t="s">
        <v>1991</v>
      </c>
      <c r="B370" s="42" t="s">
        <v>1213</v>
      </c>
      <c r="C370" s="42" t="s">
        <v>1212</v>
      </c>
      <c r="D370" s="100" t="s">
        <v>292</v>
      </c>
      <c r="E370" s="149">
        <v>1</v>
      </c>
      <c r="F370" s="149">
        <f>(52876)*(1.023*1.005-2.3%*15%)*6.99+0*4.09</f>
        <v>378720</v>
      </c>
      <c r="G370" s="145">
        <f t="shared" si="137"/>
        <v>1.123</v>
      </c>
      <c r="H370" s="146">
        <f t="shared" si="141"/>
        <v>425303</v>
      </c>
      <c r="I370" s="145">
        <f>'[2]Расчет прогнозных дефляторов'!$D$75</f>
        <v>1.0429999999999999</v>
      </c>
      <c r="J370" s="146">
        <f t="shared" si="142"/>
        <v>443591</v>
      </c>
      <c r="K370" s="146">
        <f t="shared" si="143"/>
        <v>438105</v>
      </c>
      <c r="L370" s="147"/>
      <c r="M370" s="147"/>
      <c r="N370" s="147"/>
    </row>
    <row r="371" spans="1:14" s="237" customFormat="1" ht="15.75" outlineLevel="2" collapsed="1" x14ac:dyDescent="0.2">
      <c r="A371" s="238" t="s">
        <v>578</v>
      </c>
      <c r="B371" s="229" t="s">
        <v>176</v>
      </c>
      <c r="C371" s="229" t="s">
        <v>1923</v>
      </c>
      <c r="D371" s="239" t="s">
        <v>292</v>
      </c>
      <c r="E371" s="240">
        <v>1</v>
      </c>
      <c r="F371" s="240">
        <f>F372</f>
        <v>1394201</v>
      </c>
      <c r="G371" s="241">
        <f t="shared" si="137"/>
        <v>1.123</v>
      </c>
      <c r="H371" s="240">
        <f>H372</f>
        <v>1565688</v>
      </c>
      <c r="I371" s="241">
        <f>'[2]Расчет прогнозных дефляторов'!$D$75</f>
        <v>1.0429999999999999</v>
      </c>
      <c r="J371" s="240">
        <f>J372</f>
        <v>1633013</v>
      </c>
      <c r="K371" s="240">
        <f>K372</f>
        <v>1612816</v>
      </c>
      <c r="L371" s="256"/>
      <c r="M371" s="256"/>
      <c r="N371" s="256"/>
    </row>
    <row r="372" spans="1:14" s="148" customFormat="1" ht="15.75" hidden="1" outlineLevel="3" x14ac:dyDescent="0.2">
      <c r="A372" s="95" t="s">
        <v>1992</v>
      </c>
      <c r="B372" s="42" t="s">
        <v>1215</v>
      </c>
      <c r="C372" s="42" t="s">
        <v>1214</v>
      </c>
      <c r="D372" s="100" t="s">
        <v>292</v>
      </c>
      <c r="E372" s="149">
        <v>1</v>
      </c>
      <c r="F372" s="149">
        <f>(13201+80806)*(1.023*1.005-2.3%*15%)*6.99+176249*4.09+26</f>
        <v>1394201</v>
      </c>
      <c r="G372" s="145">
        <f t="shared" si="137"/>
        <v>1.123</v>
      </c>
      <c r="H372" s="146">
        <f t="shared" ref="H372" si="144">F372*G372</f>
        <v>1565688</v>
      </c>
      <c r="I372" s="145">
        <f>'[2]Расчет прогнозных дефляторов'!$D$75</f>
        <v>1.0429999999999999</v>
      </c>
      <c r="J372" s="146">
        <f t="shared" ref="J372" si="145">H372*I372</f>
        <v>1633013</v>
      </c>
      <c r="K372" s="146">
        <f t="shared" ref="K372" si="146">H372+(J372-H372)*(1-30/100)</f>
        <v>1612816</v>
      </c>
      <c r="L372" s="147"/>
      <c r="M372" s="147"/>
      <c r="N372" s="147"/>
    </row>
    <row r="373" spans="1:14" s="237" customFormat="1" ht="15.75" outlineLevel="2" collapsed="1" x14ac:dyDescent="0.2">
      <c r="A373" s="238" t="s">
        <v>579</v>
      </c>
      <c r="B373" s="229" t="s">
        <v>178</v>
      </c>
      <c r="C373" s="229" t="s">
        <v>1924</v>
      </c>
      <c r="D373" s="239" t="s">
        <v>292</v>
      </c>
      <c r="E373" s="240">
        <v>1</v>
      </c>
      <c r="F373" s="240">
        <f>SUM(F374:F375)</f>
        <v>721922</v>
      </c>
      <c r="G373" s="241">
        <f t="shared" si="137"/>
        <v>1.123</v>
      </c>
      <c r="H373" s="240">
        <f>SUM(H374:H375)</f>
        <v>810719</v>
      </c>
      <c r="I373" s="241">
        <f>'[2]Расчет прогнозных дефляторов'!$D$75</f>
        <v>1.0429999999999999</v>
      </c>
      <c r="J373" s="240">
        <f>SUM(J374:J375)</f>
        <v>845579</v>
      </c>
      <c r="K373" s="240">
        <f>SUM(K374:K375)</f>
        <v>835121</v>
      </c>
      <c r="L373" s="256"/>
      <c r="M373" s="256"/>
      <c r="N373" s="256"/>
    </row>
    <row r="374" spans="1:14" s="148" customFormat="1" ht="15.75" hidden="1" outlineLevel="3" x14ac:dyDescent="0.2">
      <c r="A374" s="95" t="s">
        <v>1993</v>
      </c>
      <c r="B374" s="42" t="s">
        <v>1217</v>
      </c>
      <c r="C374" s="42" t="s">
        <v>1216</v>
      </c>
      <c r="D374" s="100" t="s">
        <v>292</v>
      </c>
      <c r="E374" s="149">
        <v>1</v>
      </c>
      <c r="F374" s="149">
        <f>(72088)*(1.023*1.005-2.3%*15%)*6.99+13967*4.09+4</f>
        <v>573453</v>
      </c>
      <c r="G374" s="145">
        <f t="shared" si="137"/>
        <v>1.123</v>
      </c>
      <c r="H374" s="146">
        <f t="shared" ref="H374:H375" si="147">F374*G374</f>
        <v>643988</v>
      </c>
      <c r="I374" s="145">
        <f>'[2]Расчет прогнозных дефляторов'!$D$75</f>
        <v>1.0429999999999999</v>
      </c>
      <c r="J374" s="146">
        <f t="shared" ref="J374:J375" si="148">H374*I374</f>
        <v>671679</v>
      </c>
      <c r="K374" s="146">
        <f t="shared" ref="K374:K375" si="149">H374+(J374-H374)*(1-30/100)</f>
        <v>663372</v>
      </c>
      <c r="L374" s="147"/>
      <c r="M374" s="147"/>
      <c r="N374" s="147"/>
    </row>
    <row r="375" spans="1:14" s="148" customFormat="1" ht="15.75" hidden="1" outlineLevel="3" x14ac:dyDescent="0.2">
      <c r="A375" s="95" t="s">
        <v>1994</v>
      </c>
      <c r="B375" s="42" t="s">
        <v>1219</v>
      </c>
      <c r="C375" s="42" t="s">
        <v>1218</v>
      </c>
      <c r="D375" s="100" t="s">
        <v>292</v>
      </c>
      <c r="E375" s="149">
        <v>1</v>
      </c>
      <c r="F375" s="149">
        <f>(18832)*(1.023*1.005-2.3%*15%)*6.99+3322*4.09</f>
        <v>148469</v>
      </c>
      <c r="G375" s="145">
        <f t="shared" si="137"/>
        <v>1.123</v>
      </c>
      <c r="H375" s="146">
        <f t="shared" si="147"/>
        <v>166731</v>
      </c>
      <c r="I375" s="145">
        <f>'[2]Расчет прогнозных дефляторов'!$D$75</f>
        <v>1.0429999999999999</v>
      </c>
      <c r="J375" s="146">
        <f t="shared" si="148"/>
        <v>173900</v>
      </c>
      <c r="K375" s="146">
        <f t="shared" si="149"/>
        <v>171749</v>
      </c>
      <c r="L375" s="147"/>
      <c r="M375" s="147"/>
      <c r="N375" s="147"/>
    </row>
    <row r="376" spans="1:14" s="237" customFormat="1" ht="25.5" outlineLevel="2" collapsed="1" x14ac:dyDescent="0.2">
      <c r="A376" s="238" t="s">
        <v>581</v>
      </c>
      <c r="B376" s="229" t="s">
        <v>180</v>
      </c>
      <c r="C376" s="229" t="s">
        <v>1925</v>
      </c>
      <c r="D376" s="239" t="s">
        <v>292</v>
      </c>
      <c r="E376" s="240">
        <v>1</v>
      </c>
      <c r="F376" s="240">
        <f>SUM(F377:F412)</f>
        <v>32930043</v>
      </c>
      <c r="G376" s="241">
        <f t="shared" si="137"/>
        <v>1.123</v>
      </c>
      <c r="H376" s="240">
        <f>SUM(H377:H412)</f>
        <v>36980438</v>
      </c>
      <c r="I376" s="241">
        <f>'[2]Расчет прогнозных дефляторов'!$D$75</f>
        <v>1.0429999999999999</v>
      </c>
      <c r="J376" s="240">
        <f>SUM(J377:J412)</f>
        <v>38570598</v>
      </c>
      <c r="K376" s="240">
        <f>SUM(K377:K412)</f>
        <v>38093551</v>
      </c>
      <c r="L376" s="256"/>
      <c r="M376" s="256"/>
      <c r="N376" s="256"/>
    </row>
    <row r="377" spans="1:14" s="148" customFormat="1" ht="15.75" hidden="1" outlineLevel="3" x14ac:dyDescent="0.2">
      <c r="A377" s="95" t="s">
        <v>1995</v>
      </c>
      <c r="B377" s="42" t="s">
        <v>1221</v>
      </c>
      <c r="C377" s="42" t="s">
        <v>1220</v>
      </c>
      <c r="D377" s="100" t="s">
        <v>292</v>
      </c>
      <c r="E377" s="100">
        <v>1</v>
      </c>
      <c r="F377" s="149">
        <f>(129237+258)*(1.023*1.005-2.3%*15%)*6.99+8526*4.09</f>
        <v>962367</v>
      </c>
      <c r="G377" s="145">
        <f t="shared" si="137"/>
        <v>1.123</v>
      </c>
      <c r="H377" s="146">
        <f t="shared" ref="H377:H413" si="150">F377*G377</f>
        <v>1080738</v>
      </c>
      <c r="I377" s="145">
        <f>'[2]Расчет прогнозных дефляторов'!$D$75</f>
        <v>1.0429999999999999</v>
      </c>
      <c r="J377" s="146">
        <f t="shared" ref="J377:J413" si="151">H377*I377</f>
        <v>1127210</v>
      </c>
      <c r="K377" s="146">
        <f t="shared" ref="K377:K413" si="152">H377+(J377-H377)*(1-30/100)</f>
        <v>1113268</v>
      </c>
      <c r="L377" s="147"/>
      <c r="M377" s="147"/>
      <c r="N377" s="147"/>
    </row>
    <row r="378" spans="1:14" s="148" customFormat="1" ht="15.75" hidden="1" outlineLevel="3" x14ac:dyDescent="0.2">
      <c r="A378" s="95" t="s">
        <v>1996</v>
      </c>
      <c r="B378" s="42" t="s">
        <v>1223</v>
      </c>
      <c r="C378" s="42" t="s">
        <v>1222</v>
      </c>
      <c r="D378" s="100" t="s">
        <v>292</v>
      </c>
      <c r="E378" s="100">
        <v>1</v>
      </c>
      <c r="F378" s="149">
        <f>(125968)*(1.023*1.005-2.3%*15%)*6.99+0*4.09</f>
        <v>902234</v>
      </c>
      <c r="G378" s="145">
        <f t="shared" si="137"/>
        <v>1.123</v>
      </c>
      <c r="H378" s="146">
        <f t="shared" si="150"/>
        <v>1013209</v>
      </c>
      <c r="I378" s="145">
        <f>'[2]Расчет прогнозных дефляторов'!$D$75</f>
        <v>1.0429999999999999</v>
      </c>
      <c r="J378" s="146">
        <f t="shared" si="151"/>
        <v>1056777</v>
      </c>
      <c r="K378" s="146">
        <f t="shared" si="152"/>
        <v>1043707</v>
      </c>
      <c r="L378" s="147"/>
      <c r="M378" s="147"/>
      <c r="N378" s="147"/>
    </row>
    <row r="379" spans="1:14" s="148" customFormat="1" ht="15.75" hidden="1" outlineLevel="3" x14ac:dyDescent="0.2">
      <c r="A379" s="95" t="s">
        <v>1997</v>
      </c>
      <c r="B379" s="42" t="s">
        <v>1224</v>
      </c>
      <c r="C379" s="42" t="s">
        <v>1225</v>
      </c>
      <c r="D379" s="100" t="s">
        <v>292</v>
      </c>
      <c r="E379" s="100">
        <v>1</v>
      </c>
      <c r="F379" s="149">
        <f>(5434)*(1.023*1.005-2.3%*15%)*6.99+0*4.09</f>
        <v>38921</v>
      </c>
      <c r="G379" s="145">
        <f t="shared" si="137"/>
        <v>1.123</v>
      </c>
      <c r="H379" s="146">
        <f t="shared" si="150"/>
        <v>43708</v>
      </c>
      <c r="I379" s="145">
        <f>'[2]Расчет прогнозных дефляторов'!$D$75</f>
        <v>1.0429999999999999</v>
      </c>
      <c r="J379" s="146">
        <f t="shared" si="151"/>
        <v>45587</v>
      </c>
      <c r="K379" s="146">
        <f t="shared" si="152"/>
        <v>45023</v>
      </c>
      <c r="L379" s="147"/>
      <c r="M379" s="147"/>
      <c r="N379" s="147"/>
    </row>
    <row r="380" spans="1:14" s="148" customFormat="1" ht="15.75" hidden="1" outlineLevel="3" x14ac:dyDescent="0.2">
      <c r="A380" s="95" t="s">
        <v>1998</v>
      </c>
      <c r="B380" s="42" t="s">
        <v>1227</v>
      </c>
      <c r="C380" s="42" t="s">
        <v>1226</v>
      </c>
      <c r="D380" s="100" t="s">
        <v>292</v>
      </c>
      <c r="E380" s="100">
        <v>1</v>
      </c>
      <c r="F380" s="149">
        <f>(108172)*(1.023*1.005-2.3%*15%)*6.99+763629*4.09</f>
        <v>3898015</v>
      </c>
      <c r="G380" s="145">
        <f t="shared" si="137"/>
        <v>1.123</v>
      </c>
      <c r="H380" s="146">
        <f t="shared" si="150"/>
        <v>4377471</v>
      </c>
      <c r="I380" s="145">
        <f>'[2]Расчет прогнозных дефляторов'!$D$75</f>
        <v>1.0429999999999999</v>
      </c>
      <c r="J380" s="146">
        <f t="shared" si="151"/>
        <v>4565702</v>
      </c>
      <c r="K380" s="146">
        <f t="shared" si="152"/>
        <v>4509233</v>
      </c>
      <c r="L380" s="147"/>
      <c r="M380" s="147"/>
      <c r="N380" s="147"/>
    </row>
    <row r="381" spans="1:14" s="148" customFormat="1" ht="15.75" hidden="1" outlineLevel="3" x14ac:dyDescent="0.2">
      <c r="A381" s="95" t="s">
        <v>1999</v>
      </c>
      <c r="B381" s="42" t="s">
        <v>1229</v>
      </c>
      <c r="C381" s="42" t="s">
        <v>1228</v>
      </c>
      <c r="D381" s="100" t="s">
        <v>292</v>
      </c>
      <c r="E381" s="100">
        <v>1</v>
      </c>
      <c r="F381" s="149">
        <f>(39501)*(1.023*1.005-2.3%*15%)*6.99+227393*4.09</f>
        <v>1212960</v>
      </c>
      <c r="G381" s="145">
        <f t="shared" si="137"/>
        <v>1.123</v>
      </c>
      <c r="H381" s="146">
        <f t="shared" si="150"/>
        <v>1362154</v>
      </c>
      <c r="I381" s="145">
        <f>'[2]Расчет прогнозных дефляторов'!$D$75</f>
        <v>1.0429999999999999</v>
      </c>
      <c r="J381" s="146">
        <f t="shared" si="151"/>
        <v>1420727</v>
      </c>
      <c r="K381" s="146">
        <f t="shared" si="152"/>
        <v>1403155</v>
      </c>
      <c r="L381" s="147"/>
      <c r="M381" s="147"/>
      <c r="N381" s="147"/>
    </row>
    <row r="382" spans="1:14" s="148" customFormat="1" ht="15.75" hidden="1" outlineLevel="3" x14ac:dyDescent="0.2">
      <c r="A382" s="95" t="s">
        <v>2000</v>
      </c>
      <c r="B382" s="42" t="s">
        <v>1231</v>
      </c>
      <c r="C382" s="42" t="s">
        <v>1230</v>
      </c>
      <c r="D382" s="100" t="s">
        <v>292</v>
      </c>
      <c r="E382" s="100">
        <v>1</v>
      </c>
      <c r="F382" s="149">
        <f>(5563)*(1.023*1.005-2.3%*15%)*6.99+175892*4.09</f>
        <v>759243</v>
      </c>
      <c r="G382" s="145">
        <f t="shared" si="137"/>
        <v>1.123</v>
      </c>
      <c r="H382" s="146">
        <f t="shared" si="150"/>
        <v>852630</v>
      </c>
      <c r="I382" s="145">
        <f>'[2]Расчет прогнозных дефляторов'!$D$75</f>
        <v>1.0429999999999999</v>
      </c>
      <c r="J382" s="146">
        <f t="shared" si="151"/>
        <v>889293</v>
      </c>
      <c r="K382" s="146">
        <f t="shared" si="152"/>
        <v>878294</v>
      </c>
      <c r="L382" s="147"/>
      <c r="M382" s="147"/>
      <c r="N382" s="147"/>
    </row>
    <row r="383" spans="1:14" s="148" customFormat="1" ht="15.75" hidden="1" outlineLevel="3" x14ac:dyDescent="0.2">
      <c r="A383" s="95" t="s">
        <v>2001</v>
      </c>
      <c r="B383" s="42" t="s">
        <v>1233</v>
      </c>
      <c r="C383" s="42" t="s">
        <v>1232</v>
      </c>
      <c r="D383" s="100" t="s">
        <v>292</v>
      </c>
      <c r="E383" s="100">
        <v>1</v>
      </c>
      <c r="F383" s="149">
        <f>(71382)*(1.023*1.005-2.3%*15%)*6.99+227879*4.09</f>
        <v>1443292</v>
      </c>
      <c r="G383" s="145">
        <f t="shared" si="137"/>
        <v>1.123</v>
      </c>
      <c r="H383" s="146">
        <f t="shared" si="150"/>
        <v>1620817</v>
      </c>
      <c r="I383" s="145">
        <f>'[2]Расчет прогнозных дефляторов'!$D$75</f>
        <v>1.0429999999999999</v>
      </c>
      <c r="J383" s="146">
        <f t="shared" si="151"/>
        <v>1690512</v>
      </c>
      <c r="K383" s="146">
        <f t="shared" si="152"/>
        <v>1669604</v>
      </c>
      <c r="L383" s="147"/>
      <c r="M383" s="147"/>
      <c r="N383" s="147"/>
    </row>
    <row r="384" spans="1:14" s="148" customFormat="1" ht="15.75" hidden="1" outlineLevel="3" x14ac:dyDescent="0.2">
      <c r="A384" s="95" t="s">
        <v>2002</v>
      </c>
      <c r="B384" s="42" t="s">
        <v>1235</v>
      </c>
      <c r="C384" s="42" t="s">
        <v>1234</v>
      </c>
      <c r="D384" s="100" t="s">
        <v>292</v>
      </c>
      <c r="E384" s="100">
        <v>1</v>
      </c>
      <c r="F384" s="149">
        <f>(66619)*(1.023*1.005-2.3%*15%)*6.99+309513*4.09</f>
        <v>1743061</v>
      </c>
      <c r="G384" s="145">
        <f t="shared" si="137"/>
        <v>1.123</v>
      </c>
      <c r="H384" s="146">
        <f t="shared" si="150"/>
        <v>1957458</v>
      </c>
      <c r="I384" s="145">
        <f>'[2]Расчет прогнозных дефляторов'!$D$75</f>
        <v>1.0429999999999999</v>
      </c>
      <c r="J384" s="146">
        <f t="shared" si="151"/>
        <v>2041629</v>
      </c>
      <c r="K384" s="146">
        <f t="shared" si="152"/>
        <v>2016378</v>
      </c>
      <c r="L384" s="147"/>
      <c r="M384" s="147"/>
      <c r="N384" s="147"/>
    </row>
    <row r="385" spans="1:14" s="148" customFormat="1" ht="15.75" hidden="1" outlineLevel="3" x14ac:dyDescent="0.2">
      <c r="A385" s="95" t="s">
        <v>2003</v>
      </c>
      <c r="B385" s="42" t="s">
        <v>1237</v>
      </c>
      <c r="C385" s="42" t="s">
        <v>1236</v>
      </c>
      <c r="D385" s="100" t="s">
        <v>292</v>
      </c>
      <c r="E385" s="100">
        <v>1</v>
      </c>
      <c r="F385" s="149">
        <f>(21222)*(1.023*1.005-2.3%*15%)*6.99+236503*4.09</f>
        <v>1119298</v>
      </c>
      <c r="G385" s="145">
        <f t="shared" si="137"/>
        <v>1.123</v>
      </c>
      <c r="H385" s="146">
        <f t="shared" si="150"/>
        <v>1256972</v>
      </c>
      <c r="I385" s="145">
        <f>'[2]Расчет прогнозных дефляторов'!$D$75</f>
        <v>1.0429999999999999</v>
      </c>
      <c r="J385" s="146">
        <f t="shared" si="151"/>
        <v>1311022</v>
      </c>
      <c r="K385" s="146">
        <f t="shared" si="152"/>
        <v>1294807</v>
      </c>
      <c r="L385" s="147"/>
      <c r="M385" s="147"/>
      <c r="N385" s="147"/>
    </row>
    <row r="386" spans="1:14" s="148" customFormat="1" ht="15.75" hidden="1" outlineLevel="3" x14ac:dyDescent="0.2">
      <c r="A386" s="95" t="s">
        <v>2004</v>
      </c>
      <c r="B386" s="42" t="s">
        <v>1239</v>
      </c>
      <c r="C386" s="42" t="s">
        <v>1238</v>
      </c>
      <c r="D386" s="100" t="s">
        <v>292</v>
      </c>
      <c r="E386" s="100">
        <v>1</v>
      </c>
      <c r="F386" s="149">
        <f>(10293+20)*(1.023*1.005-2.3%*15%)*6.99+4550*4.09</f>
        <v>92475</v>
      </c>
      <c r="G386" s="145">
        <f t="shared" si="137"/>
        <v>1.123</v>
      </c>
      <c r="H386" s="146">
        <f t="shared" si="150"/>
        <v>103849</v>
      </c>
      <c r="I386" s="145">
        <f>'[2]Расчет прогнозных дефляторов'!$D$75</f>
        <v>1.0429999999999999</v>
      </c>
      <c r="J386" s="146">
        <f t="shared" si="151"/>
        <v>108315</v>
      </c>
      <c r="K386" s="146">
        <f t="shared" si="152"/>
        <v>106975</v>
      </c>
      <c r="L386" s="147"/>
      <c r="M386" s="147"/>
      <c r="N386" s="147"/>
    </row>
    <row r="387" spans="1:14" s="148" customFormat="1" ht="15.75" hidden="1" outlineLevel="3" x14ac:dyDescent="0.2">
      <c r="A387" s="95" t="s">
        <v>2005</v>
      </c>
      <c r="B387" s="42" t="s">
        <v>1241</v>
      </c>
      <c r="C387" s="42" t="s">
        <v>1240</v>
      </c>
      <c r="D387" s="100" t="s">
        <v>292</v>
      </c>
      <c r="E387" s="100">
        <v>1</v>
      </c>
      <c r="F387" s="149">
        <f>(19131)*(1.023*1.005-2.3%*15%)*6.99+254462*4.09</f>
        <v>1177774</v>
      </c>
      <c r="G387" s="145">
        <f t="shared" si="137"/>
        <v>1.123</v>
      </c>
      <c r="H387" s="146">
        <f t="shared" si="150"/>
        <v>1322640</v>
      </c>
      <c r="I387" s="145">
        <f>'[2]Расчет прогнозных дефляторов'!$D$75</f>
        <v>1.0429999999999999</v>
      </c>
      <c r="J387" s="146">
        <f t="shared" si="151"/>
        <v>1379514</v>
      </c>
      <c r="K387" s="146">
        <f t="shared" si="152"/>
        <v>1362452</v>
      </c>
      <c r="L387" s="147"/>
      <c r="M387" s="147"/>
      <c r="N387" s="147"/>
    </row>
    <row r="388" spans="1:14" s="148" customFormat="1" ht="15.75" hidden="1" outlineLevel="3" x14ac:dyDescent="0.2">
      <c r="A388" s="95" t="s">
        <v>2006</v>
      </c>
      <c r="B388" s="42" t="s">
        <v>1243</v>
      </c>
      <c r="C388" s="42" t="s">
        <v>1242</v>
      </c>
      <c r="D388" s="100" t="s">
        <v>292</v>
      </c>
      <c r="E388" s="100">
        <v>1</v>
      </c>
      <c r="F388" s="149">
        <f>(23875)*(1.023*1.005-2.3%*15%)*6.99+251235*4.09</f>
        <v>1198554</v>
      </c>
      <c r="G388" s="145">
        <f t="shared" si="137"/>
        <v>1.123</v>
      </c>
      <c r="H388" s="146">
        <f t="shared" si="150"/>
        <v>1345976</v>
      </c>
      <c r="I388" s="145">
        <f>'[2]Расчет прогнозных дефляторов'!$D$75</f>
        <v>1.0429999999999999</v>
      </c>
      <c r="J388" s="146">
        <f t="shared" si="151"/>
        <v>1403853</v>
      </c>
      <c r="K388" s="146">
        <f t="shared" si="152"/>
        <v>1386490</v>
      </c>
      <c r="L388" s="147"/>
      <c r="M388" s="147"/>
      <c r="N388" s="147"/>
    </row>
    <row r="389" spans="1:14" s="148" customFormat="1" ht="15.75" hidden="1" outlineLevel="3" x14ac:dyDescent="0.2">
      <c r="A389" s="95" t="s">
        <v>2007</v>
      </c>
      <c r="B389" s="42" t="s">
        <v>1245</v>
      </c>
      <c r="C389" s="42" t="s">
        <v>1244</v>
      </c>
      <c r="D389" s="100" t="s">
        <v>292</v>
      </c>
      <c r="E389" s="100">
        <v>1</v>
      </c>
      <c r="F389" s="149">
        <f>(6649)*(1.023*1.005-2.3%*15%)*6.99+34968*4.09</f>
        <v>190642</v>
      </c>
      <c r="G389" s="145">
        <f t="shared" si="137"/>
        <v>1.123</v>
      </c>
      <c r="H389" s="146">
        <f t="shared" si="150"/>
        <v>214091</v>
      </c>
      <c r="I389" s="145">
        <f>'[2]Расчет прогнозных дефляторов'!$D$75</f>
        <v>1.0429999999999999</v>
      </c>
      <c r="J389" s="146">
        <f t="shared" si="151"/>
        <v>223297</v>
      </c>
      <c r="K389" s="146">
        <f t="shared" si="152"/>
        <v>220535</v>
      </c>
      <c r="L389" s="147"/>
      <c r="M389" s="147"/>
      <c r="N389" s="147"/>
    </row>
    <row r="390" spans="1:14" s="148" customFormat="1" ht="15.75" hidden="1" outlineLevel="3" x14ac:dyDescent="0.2">
      <c r="A390" s="95" t="s">
        <v>2008</v>
      </c>
      <c r="B390" s="42" t="s">
        <v>1247</v>
      </c>
      <c r="C390" s="42" t="s">
        <v>1246</v>
      </c>
      <c r="D390" s="100" t="s">
        <v>292</v>
      </c>
      <c r="E390" s="100">
        <v>1</v>
      </c>
      <c r="F390" s="149">
        <f>(14561)*(1.023*1.005-2.3%*15%)*6.99+48321*4.09</f>
        <v>301925</v>
      </c>
      <c r="G390" s="145">
        <f t="shared" si="137"/>
        <v>1.123</v>
      </c>
      <c r="H390" s="146">
        <f t="shared" si="150"/>
        <v>339062</v>
      </c>
      <c r="I390" s="145">
        <f>'[2]Расчет прогнозных дефляторов'!$D$75</f>
        <v>1.0429999999999999</v>
      </c>
      <c r="J390" s="146">
        <f t="shared" si="151"/>
        <v>353642</v>
      </c>
      <c r="K390" s="146">
        <f t="shared" si="152"/>
        <v>349268</v>
      </c>
      <c r="L390" s="147"/>
      <c r="M390" s="147"/>
      <c r="N390" s="147"/>
    </row>
    <row r="391" spans="1:14" s="148" customFormat="1" ht="15.75" hidden="1" outlineLevel="3" x14ac:dyDescent="0.2">
      <c r="A391" s="95" t="s">
        <v>2009</v>
      </c>
      <c r="B391" s="42" t="s">
        <v>1249</v>
      </c>
      <c r="C391" s="42" t="s">
        <v>1248</v>
      </c>
      <c r="D391" s="100" t="s">
        <v>292</v>
      </c>
      <c r="E391" s="100">
        <v>1</v>
      </c>
      <c r="F391" s="149">
        <f>(12266)*(1.023*1.005-2.3%*15%)*6.99+38070*4.09</f>
        <v>243560</v>
      </c>
      <c r="G391" s="145">
        <f t="shared" si="137"/>
        <v>1.123</v>
      </c>
      <c r="H391" s="146">
        <f t="shared" si="150"/>
        <v>273518</v>
      </c>
      <c r="I391" s="145">
        <f>'[2]Расчет прогнозных дефляторов'!$D$75</f>
        <v>1.0429999999999999</v>
      </c>
      <c r="J391" s="146">
        <f t="shared" si="151"/>
        <v>285279</v>
      </c>
      <c r="K391" s="146">
        <f t="shared" si="152"/>
        <v>281751</v>
      </c>
      <c r="L391" s="147"/>
      <c r="M391" s="147"/>
      <c r="N391" s="147"/>
    </row>
    <row r="392" spans="1:14" s="148" customFormat="1" ht="15.75" hidden="1" outlineLevel="3" x14ac:dyDescent="0.2">
      <c r="A392" s="95" t="s">
        <v>2010</v>
      </c>
      <c r="B392" s="42" t="s">
        <v>1251</v>
      </c>
      <c r="C392" s="42" t="s">
        <v>1250</v>
      </c>
      <c r="D392" s="100" t="s">
        <v>292</v>
      </c>
      <c r="E392" s="100">
        <v>1</v>
      </c>
      <c r="F392" s="149">
        <f>(9687)*(1.023*1.005-2.3%*15%)*6.99+31777*4.09</f>
        <v>199350</v>
      </c>
      <c r="G392" s="145">
        <f t="shared" si="137"/>
        <v>1.123</v>
      </c>
      <c r="H392" s="146">
        <f t="shared" si="150"/>
        <v>223870</v>
      </c>
      <c r="I392" s="145">
        <f>'[2]Расчет прогнозных дефляторов'!$D$75</f>
        <v>1.0429999999999999</v>
      </c>
      <c r="J392" s="146">
        <f t="shared" si="151"/>
        <v>233496</v>
      </c>
      <c r="K392" s="146">
        <f t="shared" si="152"/>
        <v>230608</v>
      </c>
      <c r="L392" s="147"/>
      <c r="M392" s="147"/>
      <c r="N392" s="147"/>
    </row>
    <row r="393" spans="1:14" s="148" customFormat="1" ht="15.75" hidden="1" outlineLevel="3" x14ac:dyDescent="0.2">
      <c r="A393" s="95" t="s">
        <v>2011</v>
      </c>
      <c r="B393" s="42" t="s">
        <v>1253</v>
      </c>
      <c r="C393" s="42" t="s">
        <v>1252</v>
      </c>
      <c r="D393" s="100" t="s">
        <v>292</v>
      </c>
      <c r="E393" s="100">
        <v>1</v>
      </c>
      <c r="F393" s="149">
        <f>(11652)*(1.023*1.005-2.3%*15%)*6.99+31777*4.09</f>
        <v>213424</v>
      </c>
      <c r="G393" s="145">
        <f t="shared" ref="G393:G414" si="153">$G$766</f>
        <v>1.123</v>
      </c>
      <c r="H393" s="146">
        <f t="shared" si="150"/>
        <v>239675</v>
      </c>
      <c r="I393" s="145">
        <f>'[2]Расчет прогнозных дефляторов'!$D$75</f>
        <v>1.0429999999999999</v>
      </c>
      <c r="J393" s="146">
        <f t="shared" si="151"/>
        <v>249981</v>
      </c>
      <c r="K393" s="146">
        <f t="shared" si="152"/>
        <v>246889</v>
      </c>
      <c r="L393" s="147"/>
      <c r="M393" s="147"/>
      <c r="N393" s="147"/>
    </row>
    <row r="394" spans="1:14" s="148" customFormat="1" ht="15.75" hidden="1" outlineLevel="3" x14ac:dyDescent="0.2">
      <c r="A394" s="95" t="s">
        <v>2012</v>
      </c>
      <c r="B394" s="42" t="s">
        <v>1255</v>
      </c>
      <c r="C394" s="42" t="s">
        <v>1254</v>
      </c>
      <c r="D394" s="100" t="s">
        <v>292</v>
      </c>
      <c r="E394" s="100">
        <v>1</v>
      </c>
      <c r="F394" s="149">
        <f>(13011)*(1.023*1.005-2.3%*15%)*6.99+29931*4.09</f>
        <v>215608</v>
      </c>
      <c r="G394" s="145">
        <f t="shared" si="153"/>
        <v>1.123</v>
      </c>
      <c r="H394" s="146">
        <f t="shared" si="150"/>
        <v>242128</v>
      </c>
      <c r="I394" s="145">
        <f>'[2]Расчет прогнозных дефляторов'!$D$75</f>
        <v>1.0429999999999999</v>
      </c>
      <c r="J394" s="146">
        <f t="shared" si="151"/>
        <v>252540</v>
      </c>
      <c r="K394" s="146">
        <f t="shared" si="152"/>
        <v>249416</v>
      </c>
      <c r="L394" s="147"/>
      <c r="M394" s="147"/>
      <c r="N394" s="147"/>
    </row>
    <row r="395" spans="1:14" s="148" customFormat="1" ht="15.75" hidden="1" outlineLevel="3" x14ac:dyDescent="0.2">
      <c r="A395" s="95" t="s">
        <v>2013</v>
      </c>
      <c r="B395" s="42" t="s">
        <v>1257</v>
      </c>
      <c r="C395" s="42" t="s">
        <v>1256</v>
      </c>
      <c r="D395" s="100" t="s">
        <v>292</v>
      </c>
      <c r="E395" s="100">
        <v>1</v>
      </c>
      <c r="F395" s="149">
        <f>(6755)*(1.023*1.005-2.3%*15%)*6.99+11309*4.09</f>
        <v>94636</v>
      </c>
      <c r="G395" s="145">
        <f t="shared" si="153"/>
        <v>1.123</v>
      </c>
      <c r="H395" s="146">
        <f t="shared" si="150"/>
        <v>106276</v>
      </c>
      <c r="I395" s="145">
        <f>'[2]Расчет прогнозных дефляторов'!$D$75</f>
        <v>1.0429999999999999</v>
      </c>
      <c r="J395" s="146">
        <f t="shared" si="151"/>
        <v>110846</v>
      </c>
      <c r="K395" s="146">
        <f t="shared" si="152"/>
        <v>109475</v>
      </c>
      <c r="L395" s="147"/>
      <c r="M395" s="147"/>
      <c r="N395" s="147"/>
    </row>
    <row r="396" spans="1:14" s="148" customFormat="1" ht="15.75" hidden="1" outlineLevel="3" x14ac:dyDescent="0.2">
      <c r="A396" s="95" t="s">
        <v>2014</v>
      </c>
      <c r="B396" s="42" t="s">
        <v>1259</v>
      </c>
      <c r="C396" s="42" t="s">
        <v>1258</v>
      </c>
      <c r="D396" s="100" t="s">
        <v>292</v>
      </c>
      <c r="E396" s="100">
        <v>1</v>
      </c>
      <c r="F396" s="149">
        <f>(51105)*(1.023*1.005-2.3%*15%)*6.99+59976*4.09</f>
        <v>611337</v>
      </c>
      <c r="G396" s="145">
        <f t="shared" si="153"/>
        <v>1.123</v>
      </c>
      <c r="H396" s="146">
        <f t="shared" si="150"/>
        <v>686531</v>
      </c>
      <c r="I396" s="145">
        <f>'[2]Расчет прогнозных дефляторов'!$D$75</f>
        <v>1.0429999999999999</v>
      </c>
      <c r="J396" s="146">
        <f t="shared" si="151"/>
        <v>716052</v>
      </c>
      <c r="K396" s="146">
        <f t="shared" si="152"/>
        <v>707196</v>
      </c>
      <c r="L396" s="147"/>
      <c r="M396" s="147"/>
      <c r="N396" s="147"/>
    </row>
    <row r="397" spans="1:14" s="148" customFormat="1" ht="15.75" hidden="1" outlineLevel="3" x14ac:dyDescent="0.2">
      <c r="A397" s="95" t="s">
        <v>2015</v>
      </c>
      <c r="B397" s="42" t="s">
        <v>1261</v>
      </c>
      <c r="C397" s="42" t="s">
        <v>1260</v>
      </c>
      <c r="D397" s="100" t="s">
        <v>292</v>
      </c>
      <c r="E397" s="100">
        <v>1</v>
      </c>
      <c r="F397" s="149">
        <f>(19466)*(1.023*1.005-2.3%*15%)*6.99+59976*4.09</f>
        <v>384725</v>
      </c>
      <c r="G397" s="145">
        <f t="shared" si="153"/>
        <v>1.123</v>
      </c>
      <c r="H397" s="146">
        <f t="shared" si="150"/>
        <v>432046</v>
      </c>
      <c r="I397" s="145">
        <f>'[2]Расчет прогнозных дефляторов'!$D$75</f>
        <v>1.0429999999999999</v>
      </c>
      <c r="J397" s="146">
        <f t="shared" si="151"/>
        <v>450624</v>
      </c>
      <c r="K397" s="146">
        <f t="shared" si="152"/>
        <v>445051</v>
      </c>
      <c r="L397" s="147"/>
      <c r="M397" s="147"/>
      <c r="N397" s="147"/>
    </row>
    <row r="398" spans="1:14" s="148" customFormat="1" ht="15.75" hidden="1" outlineLevel="3" x14ac:dyDescent="0.2">
      <c r="A398" s="95" t="s">
        <v>2016</v>
      </c>
      <c r="B398" s="42" t="s">
        <v>1263</v>
      </c>
      <c r="C398" s="42" t="s">
        <v>1262</v>
      </c>
      <c r="D398" s="100" t="s">
        <v>292</v>
      </c>
      <c r="E398" s="100">
        <v>1</v>
      </c>
      <c r="F398" s="149">
        <f>(17402)*(1.023*1.005-2.3%*15%)*6.99+60934*4.09</f>
        <v>373860</v>
      </c>
      <c r="G398" s="145">
        <f t="shared" si="153"/>
        <v>1.123</v>
      </c>
      <c r="H398" s="146">
        <f t="shared" si="150"/>
        <v>419845</v>
      </c>
      <c r="I398" s="145">
        <f>'[2]Расчет прогнозных дефляторов'!$D$75</f>
        <v>1.0429999999999999</v>
      </c>
      <c r="J398" s="146">
        <f t="shared" si="151"/>
        <v>437898</v>
      </c>
      <c r="K398" s="146">
        <f t="shared" si="152"/>
        <v>432482</v>
      </c>
      <c r="L398" s="147"/>
      <c r="M398" s="147"/>
      <c r="N398" s="147"/>
    </row>
    <row r="399" spans="1:14" s="148" customFormat="1" ht="15.75" hidden="1" outlineLevel="3" x14ac:dyDescent="0.2">
      <c r="A399" s="95" t="s">
        <v>2017</v>
      </c>
      <c r="B399" s="42" t="s">
        <v>1265</v>
      </c>
      <c r="C399" s="42" t="s">
        <v>1264</v>
      </c>
      <c r="D399" s="100" t="s">
        <v>292</v>
      </c>
      <c r="E399" s="100">
        <v>1</v>
      </c>
      <c r="F399" s="149">
        <f>(38158)*(1.023*1.005-2.3%*15%)*6.99+72562*4.09</f>
        <v>570082</v>
      </c>
      <c r="G399" s="145">
        <f t="shared" si="153"/>
        <v>1.123</v>
      </c>
      <c r="H399" s="146">
        <f t="shared" si="150"/>
        <v>640202</v>
      </c>
      <c r="I399" s="145">
        <f>'[2]Расчет прогнозных дефляторов'!$D$75</f>
        <v>1.0429999999999999</v>
      </c>
      <c r="J399" s="146">
        <f t="shared" si="151"/>
        <v>667731</v>
      </c>
      <c r="K399" s="146">
        <f t="shared" si="152"/>
        <v>659472</v>
      </c>
      <c r="L399" s="147"/>
      <c r="M399" s="147"/>
      <c r="N399" s="147"/>
    </row>
    <row r="400" spans="1:14" s="148" customFormat="1" ht="15.75" hidden="1" outlineLevel="3" x14ac:dyDescent="0.2">
      <c r="A400" s="95" t="s">
        <v>2018</v>
      </c>
      <c r="B400" s="42" t="s">
        <v>1267</v>
      </c>
      <c r="C400" s="42" t="s">
        <v>1266</v>
      </c>
      <c r="D400" s="100" t="s">
        <v>292</v>
      </c>
      <c r="E400" s="100">
        <v>1</v>
      </c>
      <c r="F400" s="149">
        <f>(5694+20)*(1.023*1.005-2.3%*15%)*6.99+5910*4.09</f>
        <v>65098</v>
      </c>
      <c r="G400" s="145">
        <f t="shared" si="153"/>
        <v>1.123</v>
      </c>
      <c r="H400" s="146">
        <f t="shared" si="150"/>
        <v>73105</v>
      </c>
      <c r="I400" s="145">
        <f>'[2]Расчет прогнозных дефляторов'!$D$75</f>
        <v>1.0429999999999999</v>
      </c>
      <c r="J400" s="146">
        <f t="shared" si="151"/>
        <v>76249</v>
      </c>
      <c r="K400" s="146">
        <f t="shared" si="152"/>
        <v>75306</v>
      </c>
      <c r="L400" s="147"/>
      <c r="M400" s="147"/>
      <c r="N400" s="147"/>
    </row>
    <row r="401" spans="1:14" s="148" customFormat="1" ht="15.75" hidden="1" outlineLevel="3" x14ac:dyDescent="0.2">
      <c r="A401" s="95" t="s">
        <v>2019</v>
      </c>
      <c r="B401" s="42" t="s">
        <v>1269</v>
      </c>
      <c r="C401" s="42" t="s">
        <v>1268</v>
      </c>
      <c r="D401" s="100" t="s">
        <v>292</v>
      </c>
      <c r="E401" s="100">
        <v>1</v>
      </c>
      <c r="F401" s="149">
        <f>(15852)*(1.023*1.005-2.3%*15%)*6.99+60028*4.09</f>
        <v>359053</v>
      </c>
      <c r="G401" s="145">
        <f t="shared" si="153"/>
        <v>1.123</v>
      </c>
      <c r="H401" s="146">
        <f t="shared" si="150"/>
        <v>403217</v>
      </c>
      <c r="I401" s="145">
        <f>'[2]Расчет прогнозных дефляторов'!$D$75</f>
        <v>1.0429999999999999</v>
      </c>
      <c r="J401" s="146">
        <f t="shared" si="151"/>
        <v>420555</v>
      </c>
      <c r="K401" s="146">
        <f t="shared" si="152"/>
        <v>415354</v>
      </c>
      <c r="L401" s="147"/>
      <c r="M401" s="147"/>
      <c r="N401" s="147"/>
    </row>
    <row r="402" spans="1:14" s="148" customFormat="1" ht="15.75" hidden="1" outlineLevel="3" x14ac:dyDescent="0.2">
      <c r="A402" s="95" t="s">
        <v>2020</v>
      </c>
      <c r="B402" s="42" t="s">
        <v>1271</v>
      </c>
      <c r="C402" s="42" t="s">
        <v>1270</v>
      </c>
      <c r="D402" s="100" t="s">
        <v>292</v>
      </c>
      <c r="E402" s="100">
        <v>1</v>
      </c>
      <c r="F402" s="149">
        <f>(19794)*(1.023*1.005-2.3%*15%)*6.99+71259*4.09</f>
        <v>433222</v>
      </c>
      <c r="G402" s="145">
        <f t="shared" si="153"/>
        <v>1.123</v>
      </c>
      <c r="H402" s="146">
        <f t="shared" si="150"/>
        <v>486508</v>
      </c>
      <c r="I402" s="145">
        <f>'[2]Расчет прогнозных дефляторов'!$D$75</f>
        <v>1.0429999999999999</v>
      </c>
      <c r="J402" s="146">
        <f t="shared" si="151"/>
        <v>507428</v>
      </c>
      <c r="K402" s="146">
        <f t="shared" si="152"/>
        <v>501152</v>
      </c>
      <c r="L402" s="147"/>
      <c r="M402" s="147"/>
      <c r="N402" s="147"/>
    </row>
    <row r="403" spans="1:14" s="148" customFormat="1" ht="15.75" hidden="1" outlineLevel="3" x14ac:dyDescent="0.2">
      <c r="A403" s="95" t="s">
        <v>2021</v>
      </c>
      <c r="B403" s="42" t="s">
        <v>1273</v>
      </c>
      <c r="C403" s="42" t="s">
        <v>1272</v>
      </c>
      <c r="D403" s="100" t="s">
        <v>292</v>
      </c>
      <c r="E403" s="100">
        <v>1</v>
      </c>
      <c r="F403" s="149">
        <f>(74612)*(1.023*1.005-2.3%*15%)*6.99+171769*4.09</f>
        <v>1236937</v>
      </c>
      <c r="G403" s="145">
        <f t="shared" si="153"/>
        <v>1.123</v>
      </c>
      <c r="H403" s="146">
        <f t="shared" si="150"/>
        <v>1389080</v>
      </c>
      <c r="I403" s="145">
        <f>'[2]Расчет прогнозных дефляторов'!$D$75</f>
        <v>1.0429999999999999</v>
      </c>
      <c r="J403" s="146">
        <f t="shared" si="151"/>
        <v>1448810</v>
      </c>
      <c r="K403" s="146">
        <f t="shared" si="152"/>
        <v>1430891</v>
      </c>
      <c r="L403" s="147"/>
      <c r="M403" s="147"/>
      <c r="N403" s="147"/>
    </row>
    <row r="404" spans="1:14" s="148" customFormat="1" ht="15.75" hidden="1" outlineLevel="3" x14ac:dyDescent="0.2">
      <c r="A404" s="95" t="s">
        <v>2022</v>
      </c>
      <c r="B404" s="42" t="s">
        <v>1275</v>
      </c>
      <c r="C404" s="42" t="s">
        <v>1274</v>
      </c>
      <c r="D404" s="100" t="s">
        <v>292</v>
      </c>
      <c r="E404" s="100">
        <v>1</v>
      </c>
      <c r="F404" s="149">
        <f>(78918)*(1.023*1.005-2.3%*15%)*6.99+181201*4.09</f>
        <v>1306355</v>
      </c>
      <c r="G404" s="145">
        <f t="shared" si="153"/>
        <v>1.123</v>
      </c>
      <c r="H404" s="146">
        <f t="shared" si="150"/>
        <v>1467037</v>
      </c>
      <c r="I404" s="145">
        <f>'[2]Расчет прогнозных дефляторов'!$D$75</f>
        <v>1.0429999999999999</v>
      </c>
      <c r="J404" s="146">
        <f t="shared" si="151"/>
        <v>1530120</v>
      </c>
      <c r="K404" s="146">
        <f t="shared" si="152"/>
        <v>1511195</v>
      </c>
      <c r="L404" s="147"/>
      <c r="M404" s="147"/>
      <c r="N404" s="147"/>
    </row>
    <row r="405" spans="1:14" s="148" customFormat="1" ht="15.75" hidden="1" outlineLevel="3" x14ac:dyDescent="0.2">
      <c r="A405" s="95" t="s">
        <v>2023</v>
      </c>
      <c r="B405" s="42" t="s">
        <v>1277</v>
      </c>
      <c r="C405" s="42" t="s">
        <v>1276</v>
      </c>
      <c r="D405" s="100" t="s">
        <v>292</v>
      </c>
      <c r="E405" s="100">
        <v>1</v>
      </c>
      <c r="F405" s="149">
        <f>(78674)*(1.023*1.005-2.3%*15%)*6.99+176485*4.09</f>
        <v>1285319</v>
      </c>
      <c r="G405" s="145">
        <f t="shared" si="153"/>
        <v>1.123</v>
      </c>
      <c r="H405" s="146">
        <f t="shared" si="150"/>
        <v>1443413</v>
      </c>
      <c r="I405" s="145">
        <f>'[2]Расчет прогнозных дефляторов'!$D$75</f>
        <v>1.0429999999999999</v>
      </c>
      <c r="J405" s="146">
        <f t="shared" si="151"/>
        <v>1505480</v>
      </c>
      <c r="K405" s="146">
        <f t="shared" si="152"/>
        <v>1486860</v>
      </c>
      <c r="L405" s="147"/>
      <c r="M405" s="147"/>
      <c r="N405" s="147"/>
    </row>
    <row r="406" spans="1:14" s="148" customFormat="1" ht="15.75" hidden="1" outlineLevel="3" x14ac:dyDescent="0.2">
      <c r="A406" s="95" t="s">
        <v>2024</v>
      </c>
      <c r="B406" s="42" t="s">
        <v>1279</v>
      </c>
      <c r="C406" s="42" t="s">
        <v>1278</v>
      </c>
      <c r="D406" s="100" t="s">
        <v>292</v>
      </c>
      <c r="E406" s="100">
        <v>1</v>
      </c>
      <c r="F406" s="149">
        <f>(78918)*(1.023*1.005-2.3%*15%)*6.99+225699*4.09</f>
        <v>1488352</v>
      </c>
      <c r="G406" s="145">
        <f t="shared" si="153"/>
        <v>1.123</v>
      </c>
      <c r="H406" s="146">
        <f t="shared" si="150"/>
        <v>1671419</v>
      </c>
      <c r="I406" s="145">
        <f>'[2]Расчет прогнозных дефляторов'!$D$75</f>
        <v>1.0429999999999999</v>
      </c>
      <c r="J406" s="146">
        <f t="shared" si="151"/>
        <v>1743290</v>
      </c>
      <c r="K406" s="146">
        <f t="shared" si="152"/>
        <v>1721729</v>
      </c>
      <c r="L406" s="147"/>
      <c r="M406" s="147"/>
      <c r="N406" s="147"/>
    </row>
    <row r="407" spans="1:14" s="148" customFormat="1" ht="15.75" hidden="1" outlineLevel="3" x14ac:dyDescent="0.2">
      <c r="A407" s="95" t="s">
        <v>2025</v>
      </c>
      <c r="B407" s="42" t="s">
        <v>1281</v>
      </c>
      <c r="C407" s="42" t="s">
        <v>1280</v>
      </c>
      <c r="D407" s="100" t="s">
        <v>292</v>
      </c>
      <c r="E407" s="100">
        <v>1</v>
      </c>
      <c r="F407" s="149">
        <f>(43424)*(1.023*1.005-2.3%*15%)*6.99+43454*4.09</f>
        <v>488747</v>
      </c>
      <c r="G407" s="145">
        <f t="shared" si="153"/>
        <v>1.123</v>
      </c>
      <c r="H407" s="146">
        <f t="shared" si="150"/>
        <v>548863</v>
      </c>
      <c r="I407" s="145">
        <f>'[2]Расчет прогнозных дефляторов'!$D$75</f>
        <v>1.0429999999999999</v>
      </c>
      <c r="J407" s="146">
        <f t="shared" si="151"/>
        <v>572464</v>
      </c>
      <c r="K407" s="146">
        <f t="shared" si="152"/>
        <v>565384</v>
      </c>
      <c r="L407" s="147"/>
      <c r="M407" s="147"/>
      <c r="N407" s="147"/>
    </row>
    <row r="408" spans="1:14" s="148" customFormat="1" ht="15.75" hidden="1" outlineLevel="3" x14ac:dyDescent="0.2">
      <c r="A408" s="95" t="s">
        <v>2026</v>
      </c>
      <c r="B408" s="42" t="s">
        <v>1283</v>
      </c>
      <c r="C408" s="42" t="s">
        <v>1282</v>
      </c>
      <c r="D408" s="100" t="s">
        <v>292</v>
      </c>
      <c r="E408" s="100">
        <v>1</v>
      </c>
      <c r="F408" s="149">
        <f>(38583)*(1.023*1.005-2.3%*15%)*6.99+39278*4.09</f>
        <v>436994</v>
      </c>
      <c r="G408" s="145">
        <f t="shared" si="153"/>
        <v>1.123</v>
      </c>
      <c r="H408" s="146">
        <f t="shared" si="150"/>
        <v>490744</v>
      </c>
      <c r="I408" s="145">
        <f>'[2]Расчет прогнозных дефляторов'!$D$75</f>
        <v>1.0429999999999999</v>
      </c>
      <c r="J408" s="146">
        <f t="shared" si="151"/>
        <v>511846</v>
      </c>
      <c r="K408" s="146">
        <f t="shared" si="152"/>
        <v>505515</v>
      </c>
      <c r="L408" s="147"/>
      <c r="M408" s="147"/>
      <c r="N408" s="147"/>
    </row>
    <row r="409" spans="1:14" s="148" customFormat="1" ht="15.75" hidden="1" outlineLevel="3" x14ac:dyDescent="0.2">
      <c r="A409" s="95" t="s">
        <v>2027</v>
      </c>
      <c r="B409" s="42" t="s">
        <v>1285</v>
      </c>
      <c r="C409" s="42" t="s">
        <v>1284</v>
      </c>
      <c r="D409" s="100" t="s">
        <v>292</v>
      </c>
      <c r="E409" s="100">
        <v>1</v>
      </c>
      <c r="F409" s="149">
        <f>(48691)*(1.023*1.005-2.3%*15%)*6.99+38827*4.09</f>
        <v>507547</v>
      </c>
      <c r="G409" s="145">
        <f t="shared" si="153"/>
        <v>1.123</v>
      </c>
      <c r="H409" s="146">
        <f t="shared" si="150"/>
        <v>569975</v>
      </c>
      <c r="I409" s="145">
        <f>'[2]Расчет прогнозных дефляторов'!$D$75</f>
        <v>1.0429999999999999</v>
      </c>
      <c r="J409" s="146">
        <f t="shared" si="151"/>
        <v>594484</v>
      </c>
      <c r="K409" s="146">
        <f t="shared" si="152"/>
        <v>587131</v>
      </c>
      <c r="L409" s="147"/>
      <c r="M409" s="147"/>
      <c r="N409" s="147"/>
    </row>
    <row r="410" spans="1:14" s="148" customFormat="1" ht="15.75" hidden="1" outlineLevel="3" x14ac:dyDescent="0.2">
      <c r="A410" s="95" t="s">
        <v>2028</v>
      </c>
      <c r="B410" s="42" t="s">
        <v>1287</v>
      </c>
      <c r="C410" s="42" t="s">
        <v>1286</v>
      </c>
      <c r="D410" s="100" t="s">
        <v>292</v>
      </c>
      <c r="E410" s="100">
        <v>1</v>
      </c>
      <c r="F410" s="149">
        <f>(48936)*(1.023*1.005-2.3%*15%)*6.99+51874*4.09</f>
        <v>562664</v>
      </c>
      <c r="G410" s="145">
        <f t="shared" si="153"/>
        <v>1.123</v>
      </c>
      <c r="H410" s="146">
        <f t="shared" si="150"/>
        <v>631872</v>
      </c>
      <c r="I410" s="145">
        <f>'[2]Расчет прогнозных дефляторов'!$D$75</f>
        <v>1.0429999999999999</v>
      </c>
      <c r="J410" s="146">
        <f t="shared" si="151"/>
        <v>659042</v>
      </c>
      <c r="K410" s="146">
        <f t="shared" si="152"/>
        <v>650891</v>
      </c>
      <c r="L410" s="147"/>
      <c r="M410" s="147"/>
      <c r="N410" s="147"/>
    </row>
    <row r="411" spans="1:14" s="148" customFormat="1" ht="15.75" hidden="1" outlineLevel="3" x14ac:dyDescent="0.2">
      <c r="A411" s="95" t="s">
        <v>2029</v>
      </c>
      <c r="B411" s="42" t="s">
        <v>1289</v>
      </c>
      <c r="C411" s="42" t="s">
        <v>1288</v>
      </c>
      <c r="D411" s="100" t="s">
        <v>292</v>
      </c>
      <c r="E411" s="100">
        <v>1</v>
      </c>
      <c r="F411" s="149">
        <f>(4123+303)*(1.023*1.005-2.3%*15%)*6.99+217631*4.09</f>
        <v>921812</v>
      </c>
      <c r="G411" s="145">
        <f t="shared" si="153"/>
        <v>1.123</v>
      </c>
      <c r="H411" s="146">
        <f t="shared" si="150"/>
        <v>1035195</v>
      </c>
      <c r="I411" s="145">
        <f>'[2]Расчет прогнозных дефляторов'!$D$75</f>
        <v>1.0429999999999999</v>
      </c>
      <c r="J411" s="146">
        <f t="shared" si="151"/>
        <v>1079708</v>
      </c>
      <c r="K411" s="146">
        <f t="shared" si="152"/>
        <v>1066354</v>
      </c>
      <c r="L411" s="147"/>
      <c r="M411" s="147"/>
      <c r="N411" s="147"/>
    </row>
    <row r="412" spans="1:14" s="148" customFormat="1" ht="15.75" hidden="1" outlineLevel="3" x14ac:dyDescent="0.2">
      <c r="A412" s="95" t="s">
        <v>2030</v>
      </c>
      <c r="B412" s="42" t="s">
        <v>1291</v>
      </c>
      <c r="C412" s="42" t="s">
        <v>1290</v>
      </c>
      <c r="D412" s="100" t="s">
        <v>292</v>
      </c>
      <c r="E412" s="100">
        <v>1</v>
      </c>
      <c r="F412" s="149">
        <f>(196130+8851)*(1.023*1.005-2.3%*15%)*6.99+1081277*4.09+19</f>
        <v>5890600</v>
      </c>
      <c r="G412" s="145">
        <f t="shared" si="153"/>
        <v>1.123</v>
      </c>
      <c r="H412" s="146">
        <f t="shared" si="150"/>
        <v>6615144</v>
      </c>
      <c r="I412" s="145">
        <f>'[2]Расчет прогнозных дефляторов'!$D$75</f>
        <v>1.0429999999999999</v>
      </c>
      <c r="J412" s="146">
        <f t="shared" si="151"/>
        <v>6899595</v>
      </c>
      <c r="K412" s="146">
        <f t="shared" si="152"/>
        <v>6814260</v>
      </c>
      <c r="L412" s="147"/>
      <c r="M412" s="147"/>
      <c r="N412" s="147"/>
    </row>
    <row r="413" spans="1:14" s="237" customFormat="1" ht="15.75" outlineLevel="2" x14ac:dyDescent="0.2">
      <c r="A413" s="238" t="s">
        <v>2031</v>
      </c>
      <c r="B413" s="229" t="s">
        <v>182</v>
      </c>
      <c r="C413" s="229" t="s">
        <v>1926</v>
      </c>
      <c r="D413" s="239" t="s">
        <v>292</v>
      </c>
      <c r="E413" s="240">
        <v>1</v>
      </c>
      <c r="F413" s="240">
        <f>(68309)*(1.023*1.005-2.3%*15%)*6.99+810635*4.09+28</f>
        <v>3804782</v>
      </c>
      <c r="G413" s="241">
        <f t="shared" si="153"/>
        <v>1.123</v>
      </c>
      <c r="H413" s="242">
        <f t="shared" si="150"/>
        <v>4272770</v>
      </c>
      <c r="I413" s="241">
        <f>'[2]Расчет прогнозных дефляторов'!$D$75</f>
        <v>1.0429999999999999</v>
      </c>
      <c r="J413" s="242">
        <f t="shared" si="151"/>
        <v>4456499</v>
      </c>
      <c r="K413" s="242">
        <f t="shared" si="152"/>
        <v>4401380</v>
      </c>
      <c r="L413" s="256"/>
      <c r="M413" s="256"/>
      <c r="N413" s="256"/>
    </row>
    <row r="414" spans="1:14" s="237" customFormat="1" ht="25.5" outlineLevel="2" collapsed="1" x14ac:dyDescent="0.2">
      <c r="A414" s="238" t="s">
        <v>2032</v>
      </c>
      <c r="B414" s="229" t="s">
        <v>184</v>
      </c>
      <c r="C414" s="229" t="s">
        <v>185</v>
      </c>
      <c r="D414" s="239" t="s">
        <v>292</v>
      </c>
      <c r="E414" s="240">
        <v>1</v>
      </c>
      <c r="F414" s="240">
        <f>SUM(F415:F418)</f>
        <v>40826</v>
      </c>
      <c r="G414" s="241">
        <f t="shared" si="153"/>
        <v>1.123</v>
      </c>
      <c r="H414" s="240">
        <f>SUM(H415:H418)</f>
        <v>45847</v>
      </c>
      <c r="I414" s="241">
        <f>'[2]Расчет прогнозных дефляторов'!$D$75</f>
        <v>1.0429999999999999</v>
      </c>
      <c r="J414" s="240">
        <f>SUM(J415:J418)</f>
        <v>47818</v>
      </c>
      <c r="K414" s="240">
        <f>SUM(K415:K418)</f>
        <v>47227</v>
      </c>
      <c r="L414" s="256"/>
      <c r="M414" s="256"/>
      <c r="N414" s="256"/>
    </row>
    <row r="415" spans="1:14" s="148" customFormat="1" ht="15.75" hidden="1" outlineLevel="3" x14ac:dyDescent="0.2">
      <c r="A415" s="95"/>
      <c r="B415" s="42"/>
      <c r="C415" s="42" t="s">
        <v>1292</v>
      </c>
      <c r="D415" s="100"/>
      <c r="E415" s="100"/>
      <c r="F415" s="149"/>
      <c r="G415" s="145"/>
      <c r="H415" s="146"/>
      <c r="I415" s="145"/>
      <c r="J415" s="146"/>
      <c r="K415" s="146"/>
      <c r="L415" s="147"/>
      <c r="M415" s="147"/>
      <c r="N415" s="147"/>
    </row>
    <row r="416" spans="1:14" s="148" customFormat="1" ht="51" hidden="1" outlineLevel="3" x14ac:dyDescent="0.2">
      <c r="A416" s="95" t="s">
        <v>2033</v>
      </c>
      <c r="B416" s="42" t="s">
        <v>1293</v>
      </c>
      <c r="C416" s="42" t="s">
        <v>435</v>
      </c>
      <c r="D416" s="100" t="s">
        <v>408</v>
      </c>
      <c r="E416" s="149">
        <v>1</v>
      </c>
      <c r="F416" s="149">
        <f>(3680)*(1.023*1.005-2.3%*15%)*6.99+0*4.09+14</f>
        <v>26372</v>
      </c>
      <c r="G416" s="145">
        <f t="shared" ref="G416:G426" si="154">$G$766</f>
        <v>1.123</v>
      </c>
      <c r="H416" s="146">
        <f t="shared" ref="H416:H418" si="155">F416*G416</f>
        <v>29616</v>
      </c>
      <c r="I416" s="145">
        <f>'[2]Расчет прогнозных дефляторов'!$D$75</f>
        <v>1.0429999999999999</v>
      </c>
      <c r="J416" s="146">
        <f t="shared" ref="J416:J418" si="156">H416*I416</f>
        <v>30889</v>
      </c>
      <c r="K416" s="146">
        <f t="shared" ref="K416:K418" si="157">H416+(J416-H416)*(1-30/100)</f>
        <v>30507</v>
      </c>
      <c r="L416" s="172" t="s">
        <v>1296</v>
      </c>
      <c r="M416" s="147"/>
      <c r="N416" s="147"/>
    </row>
    <row r="417" spans="1:14" s="148" customFormat="1" ht="51" hidden="1" outlineLevel="3" x14ac:dyDescent="0.2">
      <c r="A417" s="95" t="s">
        <v>2034</v>
      </c>
      <c r="B417" s="42" t="s">
        <v>1294</v>
      </c>
      <c r="C417" s="42" t="s">
        <v>437</v>
      </c>
      <c r="D417" s="100" t="s">
        <v>408</v>
      </c>
      <c r="E417" s="149">
        <v>1</v>
      </c>
      <c r="F417" s="149">
        <f>(1064)*(1.023*1.005-2.3%*15%)*6.99+0*4.09</f>
        <v>7621</v>
      </c>
      <c r="G417" s="145">
        <f t="shared" si="154"/>
        <v>1.123</v>
      </c>
      <c r="H417" s="146">
        <f t="shared" si="155"/>
        <v>8558</v>
      </c>
      <c r="I417" s="145">
        <f>'[2]Расчет прогнозных дефляторов'!$D$75</f>
        <v>1.0429999999999999</v>
      </c>
      <c r="J417" s="146">
        <f t="shared" si="156"/>
        <v>8926</v>
      </c>
      <c r="K417" s="146">
        <f t="shared" si="157"/>
        <v>8816</v>
      </c>
      <c r="L417" s="172" t="s">
        <v>1296</v>
      </c>
      <c r="M417" s="147"/>
      <c r="N417" s="147"/>
    </row>
    <row r="418" spans="1:14" s="148" customFormat="1" ht="63.75" hidden="1" outlineLevel="3" x14ac:dyDescent="0.2">
      <c r="A418" s="95" t="s">
        <v>2035</v>
      </c>
      <c r="B418" s="42" t="s">
        <v>1295</v>
      </c>
      <c r="C418" s="42" t="s">
        <v>439</v>
      </c>
      <c r="D418" s="100" t="s">
        <v>408</v>
      </c>
      <c r="E418" s="149">
        <v>1</v>
      </c>
      <c r="F418" s="149">
        <f>(954)*(1.023*1.005-2.3%*15%)*6.99+0*4.09</f>
        <v>6833</v>
      </c>
      <c r="G418" s="145">
        <f t="shared" si="154"/>
        <v>1.123</v>
      </c>
      <c r="H418" s="146">
        <f t="shared" si="155"/>
        <v>7673</v>
      </c>
      <c r="I418" s="145">
        <f>'[2]Расчет прогнозных дефляторов'!$D$75</f>
        <v>1.0429999999999999</v>
      </c>
      <c r="J418" s="146">
        <f t="shared" si="156"/>
        <v>8003</v>
      </c>
      <c r="K418" s="146">
        <f t="shared" si="157"/>
        <v>7904</v>
      </c>
      <c r="L418" s="172" t="s">
        <v>1296</v>
      </c>
      <c r="M418" s="147"/>
      <c r="N418" s="147"/>
    </row>
    <row r="419" spans="1:14" s="237" customFormat="1" ht="25.5" outlineLevel="2" collapsed="1" x14ac:dyDescent="0.2">
      <c r="A419" s="238" t="s">
        <v>2036</v>
      </c>
      <c r="B419" s="229" t="s">
        <v>186</v>
      </c>
      <c r="C419" s="229" t="s">
        <v>1927</v>
      </c>
      <c r="D419" s="239" t="s">
        <v>292</v>
      </c>
      <c r="E419" s="240">
        <v>1</v>
      </c>
      <c r="F419" s="240">
        <f>SUM(F420:F423)</f>
        <v>2640270</v>
      </c>
      <c r="G419" s="241">
        <f t="shared" si="154"/>
        <v>1.123</v>
      </c>
      <c r="H419" s="240">
        <f>SUM(H420:H423)</f>
        <v>2965023</v>
      </c>
      <c r="I419" s="241">
        <f>'[2]Расчет прогнозных дефляторов'!$D$75</f>
        <v>1.0429999999999999</v>
      </c>
      <c r="J419" s="240">
        <f>SUM(J420:J423)</f>
        <v>3092520</v>
      </c>
      <c r="K419" s="240">
        <f>SUM(K420:K423)</f>
        <v>3054271</v>
      </c>
      <c r="L419" s="256"/>
      <c r="M419" s="256"/>
      <c r="N419" s="256"/>
    </row>
    <row r="420" spans="1:14" s="148" customFormat="1" ht="15.75" hidden="1" outlineLevel="3" x14ac:dyDescent="0.2">
      <c r="A420" s="95" t="s">
        <v>2037</v>
      </c>
      <c r="B420" s="42" t="s">
        <v>1298</v>
      </c>
      <c r="C420" s="42" t="s">
        <v>1297</v>
      </c>
      <c r="D420" s="100" t="s">
        <v>292</v>
      </c>
      <c r="E420" s="149">
        <v>1</v>
      </c>
      <c r="F420" s="149">
        <f>(76200)*(1.023*1.005-2.3%*15%)*6.99+32980*4.09</f>
        <v>680664</v>
      </c>
      <c r="G420" s="145">
        <f t="shared" si="154"/>
        <v>1.123</v>
      </c>
      <c r="H420" s="146">
        <f t="shared" ref="H420:H423" si="158">F420*G420</f>
        <v>764386</v>
      </c>
      <c r="I420" s="145">
        <f>'[2]Расчет прогнозных дефляторов'!$D$75</f>
        <v>1.0429999999999999</v>
      </c>
      <c r="J420" s="146">
        <f t="shared" ref="J420:J423" si="159">H420*I420</f>
        <v>797255</v>
      </c>
      <c r="K420" s="146">
        <f t="shared" ref="K420:K423" si="160">H420+(J420-H420)*(1-30/100)</f>
        <v>787394</v>
      </c>
      <c r="L420" s="147"/>
      <c r="M420" s="147"/>
      <c r="N420" s="147"/>
    </row>
    <row r="421" spans="1:14" s="148" customFormat="1" ht="15.75" hidden="1" outlineLevel="3" x14ac:dyDescent="0.2">
      <c r="A421" s="95" t="s">
        <v>2038</v>
      </c>
      <c r="B421" s="42" t="s">
        <v>1300</v>
      </c>
      <c r="C421" s="42" t="s">
        <v>1299</v>
      </c>
      <c r="D421" s="100" t="s">
        <v>292</v>
      </c>
      <c r="E421" s="149">
        <v>1</v>
      </c>
      <c r="F421" s="149">
        <f>(68555)*(1.023*1.005-2.3%*15%)*6.99+132456*4.09+2</f>
        <v>1032766</v>
      </c>
      <c r="G421" s="145">
        <f t="shared" si="154"/>
        <v>1.123</v>
      </c>
      <c r="H421" s="146">
        <f t="shared" si="158"/>
        <v>1159796</v>
      </c>
      <c r="I421" s="145">
        <f>'[2]Расчет прогнозных дефляторов'!$D$75</f>
        <v>1.0429999999999999</v>
      </c>
      <c r="J421" s="146">
        <f t="shared" si="159"/>
        <v>1209667</v>
      </c>
      <c r="K421" s="146">
        <f t="shared" si="160"/>
        <v>1194706</v>
      </c>
      <c r="L421" s="147"/>
      <c r="M421" s="147"/>
      <c r="N421" s="147"/>
    </row>
    <row r="422" spans="1:14" s="148" customFormat="1" ht="15.75" hidden="1" outlineLevel="3" x14ac:dyDescent="0.2">
      <c r="A422" s="95" t="s">
        <v>2039</v>
      </c>
      <c r="B422" s="42" t="s">
        <v>1302</v>
      </c>
      <c r="C422" s="42" t="s">
        <v>1301</v>
      </c>
      <c r="D422" s="100" t="s">
        <v>292</v>
      </c>
      <c r="E422" s="149">
        <v>1</v>
      </c>
      <c r="F422" s="149">
        <f>(46853)*(1.023*1.005-2.3%*15%)*6.99+1695*4.09</f>
        <v>342513</v>
      </c>
      <c r="G422" s="145">
        <f t="shared" si="154"/>
        <v>1.123</v>
      </c>
      <c r="H422" s="146">
        <f t="shared" si="158"/>
        <v>384642</v>
      </c>
      <c r="I422" s="145">
        <f>'[2]Расчет прогнозных дефляторов'!$D$75</f>
        <v>1.0429999999999999</v>
      </c>
      <c r="J422" s="146">
        <f t="shared" si="159"/>
        <v>401182</v>
      </c>
      <c r="K422" s="146">
        <f t="shared" si="160"/>
        <v>396220</v>
      </c>
      <c r="L422" s="147"/>
      <c r="M422" s="147"/>
      <c r="N422" s="147"/>
    </row>
    <row r="423" spans="1:14" s="148" customFormat="1" ht="15.75" hidden="1" outlineLevel="3" x14ac:dyDescent="0.2">
      <c r="A423" s="95" t="s">
        <v>2040</v>
      </c>
      <c r="B423" s="42" t="s">
        <v>1304</v>
      </c>
      <c r="C423" s="42" t="s">
        <v>1303</v>
      </c>
      <c r="D423" s="100" t="s">
        <v>292</v>
      </c>
      <c r="E423" s="149">
        <v>1</v>
      </c>
      <c r="F423" s="149">
        <f>(62881)*(1.023*1.005-2.3%*15%)*6.99+32750*4.09</f>
        <v>584327</v>
      </c>
      <c r="G423" s="145">
        <f t="shared" si="154"/>
        <v>1.123</v>
      </c>
      <c r="H423" s="146">
        <f t="shared" si="158"/>
        <v>656199</v>
      </c>
      <c r="I423" s="145">
        <f>'[2]Расчет прогнозных дефляторов'!$D$75</f>
        <v>1.0429999999999999</v>
      </c>
      <c r="J423" s="146">
        <f t="shared" si="159"/>
        <v>684416</v>
      </c>
      <c r="K423" s="146">
        <f t="shared" si="160"/>
        <v>675951</v>
      </c>
      <c r="L423" s="147"/>
      <c r="M423" s="147"/>
      <c r="N423" s="147"/>
    </row>
    <row r="424" spans="1:14" s="237" customFormat="1" ht="25.5" outlineLevel="2" collapsed="1" x14ac:dyDescent="0.2">
      <c r="A424" s="238" t="s">
        <v>2041</v>
      </c>
      <c r="B424" s="229" t="s">
        <v>188</v>
      </c>
      <c r="C424" s="229" t="s">
        <v>189</v>
      </c>
      <c r="D424" s="239" t="s">
        <v>292</v>
      </c>
      <c r="E424" s="240">
        <v>1</v>
      </c>
      <c r="F424" s="240">
        <f>SUM(F425:F426)</f>
        <v>178588</v>
      </c>
      <c r="G424" s="241">
        <f t="shared" si="154"/>
        <v>1.123</v>
      </c>
      <c r="H424" s="240">
        <f>SUM(H425:H426)</f>
        <v>200554</v>
      </c>
      <c r="I424" s="241">
        <f>'[2]Расчет прогнозных дефляторов'!$D$75</f>
        <v>1.0429999999999999</v>
      </c>
      <c r="J424" s="240">
        <f>SUM(J425:J426)</f>
        <v>209178</v>
      </c>
      <c r="K424" s="240">
        <f>SUM(K425:K426)</f>
        <v>206591</v>
      </c>
      <c r="L424" s="256"/>
      <c r="M424" s="256"/>
      <c r="N424" s="256"/>
    </row>
    <row r="425" spans="1:14" s="148" customFormat="1" ht="25.5" hidden="1" outlineLevel="3" x14ac:dyDescent="0.2">
      <c r="A425" s="95" t="s">
        <v>2042</v>
      </c>
      <c r="B425" s="42" t="s">
        <v>1306</v>
      </c>
      <c r="C425" s="42" t="s">
        <v>1305</v>
      </c>
      <c r="D425" s="100" t="s">
        <v>292</v>
      </c>
      <c r="E425" s="149">
        <v>1</v>
      </c>
      <c r="F425" s="149">
        <f>(19479)*(1.023*1.005-2.3%*15%)*6.99+4043*4.09+47</f>
        <v>156099</v>
      </c>
      <c r="G425" s="145">
        <f t="shared" si="154"/>
        <v>1.123</v>
      </c>
      <c r="H425" s="146">
        <f t="shared" ref="H425:H426" si="161">F425*G425</f>
        <v>175299</v>
      </c>
      <c r="I425" s="145">
        <f>'[2]Расчет прогнозных дефляторов'!$D$75</f>
        <v>1.0429999999999999</v>
      </c>
      <c r="J425" s="146">
        <f t="shared" ref="J425:J426" si="162">H425*I425</f>
        <v>182837</v>
      </c>
      <c r="K425" s="146">
        <f t="shared" ref="K425:K426" si="163">H425+(J425-H425)*(1-30/100)</f>
        <v>180576</v>
      </c>
      <c r="L425" s="147"/>
      <c r="M425" s="147"/>
      <c r="N425" s="147"/>
    </row>
    <row r="426" spans="1:14" s="148" customFormat="1" ht="25.5" hidden="1" outlineLevel="3" x14ac:dyDescent="0.2">
      <c r="A426" s="95" t="s">
        <v>2043</v>
      </c>
      <c r="B426" s="42" t="s">
        <v>1308</v>
      </c>
      <c r="C426" s="42" t="s">
        <v>1307</v>
      </c>
      <c r="D426" s="100" t="s">
        <v>292</v>
      </c>
      <c r="E426" s="149">
        <v>1</v>
      </c>
      <c r="F426" s="149">
        <f>(3044)*(1.023*1.005-2.3%*15%)*6.99+168*4.09</f>
        <v>22489</v>
      </c>
      <c r="G426" s="145">
        <f t="shared" si="154"/>
        <v>1.123</v>
      </c>
      <c r="H426" s="146">
        <f t="shared" si="161"/>
        <v>25255</v>
      </c>
      <c r="I426" s="145">
        <f>'[2]Расчет прогнозных дефляторов'!$D$75</f>
        <v>1.0429999999999999</v>
      </c>
      <c r="J426" s="146">
        <f t="shared" si="162"/>
        <v>26341</v>
      </c>
      <c r="K426" s="146">
        <f t="shared" si="163"/>
        <v>26015</v>
      </c>
      <c r="L426" s="147"/>
      <c r="M426" s="147"/>
      <c r="N426" s="147"/>
    </row>
    <row r="427" spans="1:14" s="243" customFormat="1" ht="25.5" outlineLevel="1" x14ac:dyDescent="0.2">
      <c r="A427" s="244" t="s">
        <v>452</v>
      </c>
      <c r="B427" s="245" t="s">
        <v>31</v>
      </c>
      <c r="C427" s="245" t="s">
        <v>32</v>
      </c>
      <c r="D427" s="246" t="s">
        <v>292</v>
      </c>
      <c r="E427" s="247">
        <v>1</v>
      </c>
      <c r="F427" s="247">
        <f>F428+F449+F466+F473</f>
        <v>38549400</v>
      </c>
      <c r="G427" s="248"/>
      <c r="H427" s="247">
        <f>H428+H449+H466+H473</f>
        <v>43290972</v>
      </c>
      <c r="I427" s="248"/>
      <c r="J427" s="247">
        <f>J428+J449+J466+J473</f>
        <v>45152481</v>
      </c>
      <c r="K427" s="247">
        <f>K428+K449+K466+K473</f>
        <v>44594031</v>
      </c>
      <c r="L427" s="269"/>
      <c r="M427" s="269"/>
      <c r="N427" s="269"/>
    </row>
    <row r="428" spans="1:14" s="237" customFormat="1" ht="25.5" outlineLevel="2" collapsed="1" x14ac:dyDescent="0.2">
      <c r="A428" s="238" t="s">
        <v>453</v>
      </c>
      <c r="B428" s="229" t="s">
        <v>215</v>
      </c>
      <c r="C428" s="229" t="s">
        <v>216</v>
      </c>
      <c r="D428" s="239" t="s">
        <v>292</v>
      </c>
      <c r="E428" s="240">
        <v>1</v>
      </c>
      <c r="F428" s="240">
        <f>SUM(F429:F448)</f>
        <v>14517844</v>
      </c>
      <c r="G428" s="241">
        <f>$G$766</f>
        <v>1.123</v>
      </c>
      <c r="H428" s="240">
        <f>SUM(H429:H448)</f>
        <v>16303540</v>
      </c>
      <c r="I428" s="241">
        <f>'[2]Расчет прогнозных дефляторов'!$D$75</f>
        <v>1.0429999999999999</v>
      </c>
      <c r="J428" s="240">
        <f>SUM(J429:J448)</f>
        <v>17004590</v>
      </c>
      <c r="K428" s="240">
        <f>SUM(K429:K448)</f>
        <v>16794277</v>
      </c>
      <c r="L428" s="256"/>
      <c r="M428" s="256"/>
      <c r="N428" s="256"/>
    </row>
    <row r="429" spans="1:14" s="148" customFormat="1" ht="15.75" hidden="1" outlineLevel="3" x14ac:dyDescent="0.2">
      <c r="A429" s="95" t="s">
        <v>454</v>
      </c>
      <c r="B429" s="42" t="s">
        <v>1338</v>
      </c>
      <c r="C429" s="42" t="s">
        <v>1309</v>
      </c>
      <c r="D429" s="100" t="s">
        <v>292</v>
      </c>
      <c r="E429" s="149">
        <v>1</v>
      </c>
      <c r="F429" s="149">
        <f>(197847)*(1.023*1.005-2.3%*15%)*6.99+0*4.09</f>
        <v>1417061</v>
      </c>
      <c r="G429" s="145">
        <f>$G$766</f>
        <v>1.123</v>
      </c>
      <c r="H429" s="146">
        <f t="shared" ref="H429:H430" si="164">F429*G429</f>
        <v>1591360</v>
      </c>
      <c r="I429" s="145">
        <f>'[2]Расчет прогнозных дефляторов'!$D$75</f>
        <v>1.0429999999999999</v>
      </c>
      <c r="J429" s="146">
        <f t="shared" ref="J429:J430" si="165">H429*I429</f>
        <v>1659788</v>
      </c>
      <c r="K429" s="146">
        <f t="shared" ref="K429:K430" si="166">H429+(J429-H429)*(1-30/100)</f>
        <v>1639260</v>
      </c>
      <c r="L429" s="147"/>
      <c r="M429" s="147"/>
      <c r="N429" s="147"/>
    </row>
    <row r="430" spans="1:14" s="148" customFormat="1" ht="15.75" hidden="1" outlineLevel="3" x14ac:dyDescent="0.2">
      <c r="A430" s="95" t="s">
        <v>2044</v>
      </c>
      <c r="B430" s="42" t="s">
        <v>1337</v>
      </c>
      <c r="C430" s="42" t="s">
        <v>1310</v>
      </c>
      <c r="D430" s="100" t="s">
        <v>292</v>
      </c>
      <c r="E430" s="149">
        <v>1</v>
      </c>
      <c r="F430" s="149">
        <f>(14269)*(1.023*1.005-2.3%*15%)*6.99+0*4.09</f>
        <v>102200</v>
      </c>
      <c r="G430" s="145">
        <f>$G$766</f>
        <v>1.123</v>
      </c>
      <c r="H430" s="146">
        <f t="shared" si="164"/>
        <v>114771</v>
      </c>
      <c r="I430" s="145">
        <f>'[2]Расчет прогнозных дефляторов'!$D$75</f>
        <v>1.0429999999999999</v>
      </c>
      <c r="J430" s="146">
        <f t="shared" si="165"/>
        <v>119706</v>
      </c>
      <c r="K430" s="146">
        <f t="shared" si="166"/>
        <v>118226</v>
      </c>
      <c r="L430" s="147"/>
      <c r="M430" s="147"/>
      <c r="N430" s="147"/>
    </row>
    <row r="431" spans="1:14" s="148" customFormat="1" ht="15.75" hidden="1" outlineLevel="3" x14ac:dyDescent="0.2">
      <c r="A431" s="95"/>
      <c r="B431" s="42"/>
      <c r="C431" s="42" t="s">
        <v>1311</v>
      </c>
      <c r="D431" s="100"/>
      <c r="E431" s="100"/>
      <c r="F431" s="149"/>
      <c r="G431" s="145"/>
      <c r="H431" s="146"/>
      <c r="I431" s="145"/>
      <c r="J431" s="146"/>
      <c r="K431" s="146"/>
      <c r="L431" s="147"/>
      <c r="M431" s="147"/>
      <c r="N431" s="147"/>
    </row>
    <row r="432" spans="1:14" s="148" customFormat="1" ht="25.5" hidden="1" outlineLevel="3" x14ac:dyDescent="0.2">
      <c r="A432" s="95" t="s">
        <v>2045</v>
      </c>
      <c r="B432" s="42" t="s">
        <v>1336</v>
      </c>
      <c r="C432" s="42" t="s">
        <v>1312</v>
      </c>
      <c r="D432" s="100" t="s">
        <v>404</v>
      </c>
      <c r="E432" s="100">
        <f>424.6</f>
        <v>424.6</v>
      </c>
      <c r="F432" s="149">
        <f>(142090)*(1.023*1.005-2.3%*15%)*6.99+0*4.09</f>
        <v>1017707</v>
      </c>
      <c r="G432" s="145">
        <f t="shared" ref="G432:G444" si="167">$G$766</f>
        <v>1.123</v>
      </c>
      <c r="H432" s="146">
        <f t="shared" ref="H432:H444" si="168">F432*G432</f>
        <v>1142885</v>
      </c>
      <c r="I432" s="145">
        <f>'[2]Расчет прогнозных дефляторов'!$D$75</f>
        <v>1.0429999999999999</v>
      </c>
      <c r="J432" s="146">
        <f t="shared" ref="J432:J444" si="169">H432*I432</f>
        <v>1192029</v>
      </c>
      <c r="K432" s="146">
        <f t="shared" ref="K432:K444" si="170">H432+(J432-H432)*(1-30/100)</f>
        <v>1177286</v>
      </c>
      <c r="L432" s="147"/>
      <c r="M432" s="147"/>
      <c r="N432" s="147"/>
    </row>
    <row r="433" spans="1:14" s="148" customFormat="1" ht="15.75" hidden="1" outlineLevel="3" x14ac:dyDescent="0.2">
      <c r="A433" s="95" t="s">
        <v>2046</v>
      </c>
      <c r="B433" s="42" t="s">
        <v>1335</v>
      </c>
      <c r="C433" s="42" t="s">
        <v>1313</v>
      </c>
      <c r="D433" s="100" t="s">
        <v>404</v>
      </c>
      <c r="E433" s="100">
        <f>248.82</f>
        <v>248.82</v>
      </c>
      <c r="F433" s="149">
        <f>(70136)*(1.023*1.005-2.3%*15%)*6.99+0*4.09</f>
        <v>502343</v>
      </c>
      <c r="G433" s="145">
        <f t="shared" si="167"/>
        <v>1.123</v>
      </c>
      <c r="H433" s="146">
        <f t="shared" si="168"/>
        <v>564131</v>
      </c>
      <c r="I433" s="145">
        <f>'[2]Расчет прогнозных дефляторов'!$D$75</f>
        <v>1.0429999999999999</v>
      </c>
      <c r="J433" s="146">
        <f t="shared" si="169"/>
        <v>588389</v>
      </c>
      <c r="K433" s="146">
        <f t="shared" si="170"/>
        <v>581112</v>
      </c>
      <c r="L433" s="147"/>
      <c r="M433" s="147"/>
      <c r="N433" s="147"/>
    </row>
    <row r="434" spans="1:14" s="148" customFormat="1" ht="38.25" hidden="1" outlineLevel="3" x14ac:dyDescent="0.2">
      <c r="A434" s="95" t="s">
        <v>2047</v>
      </c>
      <c r="B434" s="42" t="s">
        <v>1334</v>
      </c>
      <c r="C434" s="230" t="s">
        <v>1315</v>
      </c>
      <c r="D434" s="100" t="s">
        <v>404</v>
      </c>
      <c r="E434" s="100">
        <f>547</f>
        <v>547</v>
      </c>
      <c r="F434" s="149">
        <f>(156865)*(1.023*1.005-2.3%*15%)*6.99+0*4.09</f>
        <v>1123531</v>
      </c>
      <c r="G434" s="145">
        <f t="shared" si="167"/>
        <v>1.123</v>
      </c>
      <c r="H434" s="146">
        <f t="shared" si="168"/>
        <v>1261725</v>
      </c>
      <c r="I434" s="145">
        <f>'[2]Расчет прогнозных дефляторов'!$D$75</f>
        <v>1.0429999999999999</v>
      </c>
      <c r="J434" s="146">
        <f t="shared" si="169"/>
        <v>1315979</v>
      </c>
      <c r="K434" s="146">
        <f t="shared" si="170"/>
        <v>1299703</v>
      </c>
      <c r="L434" s="147"/>
      <c r="M434" s="147"/>
      <c r="N434" s="147"/>
    </row>
    <row r="435" spans="1:14" s="148" customFormat="1" ht="15.75" hidden="1" outlineLevel="3" x14ac:dyDescent="0.2">
      <c r="A435" s="95" t="s">
        <v>2048</v>
      </c>
      <c r="B435" s="42" t="s">
        <v>1333</v>
      </c>
      <c r="C435" s="42" t="s">
        <v>1314</v>
      </c>
      <c r="D435" s="100" t="s">
        <v>404</v>
      </c>
      <c r="E435" s="100">
        <f>116</f>
        <v>116</v>
      </c>
      <c r="F435" s="149">
        <f>(15935)*(1.023*1.005-2.3%*15%)*6.99+0*4.09</f>
        <v>114133</v>
      </c>
      <c r="G435" s="145">
        <f t="shared" si="167"/>
        <v>1.123</v>
      </c>
      <c r="H435" s="146">
        <f t="shared" si="168"/>
        <v>128171</v>
      </c>
      <c r="I435" s="145">
        <f>'[2]Расчет прогнозных дефляторов'!$D$75</f>
        <v>1.0429999999999999</v>
      </c>
      <c r="J435" s="146">
        <f t="shared" si="169"/>
        <v>133682</v>
      </c>
      <c r="K435" s="146">
        <f t="shared" si="170"/>
        <v>132029</v>
      </c>
      <c r="L435" s="147"/>
      <c r="M435" s="147"/>
      <c r="N435" s="147"/>
    </row>
    <row r="436" spans="1:14" s="148" customFormat="1" ht="15.75" hidden="1" outlineLevel="3" x14ac:dyDescent="0.2">
      <c r="A436" s="95" t="s">
        <v>2049</v>
      </c>
      <c r="B436" s="42" t="s">
        <v>1332</v>
      </c>
      <c r="C436" s="42" t="s">
        <v>1317</v>
      </c>
      <c r="D436" s="100" t="s">
        <v>404</v>
      </c>
      <c r="E436" s="100">
        <f>126.9</f>
        <v>126.9</v>
      </c>
      <c r="F436" s="149">
        <f>(35004)*(1.023*1.005-2.3%*15%)*6.99+0*4.09</f>
        <v>250713</v>
      </c>
      <c r="G436" s="145">
        <f t="shared" si="167"/>
        <v>1.123</v>
      </c>
      <c r="H436" s="146">
        <f t="shared" si="168"/>
        <v>281551</v>
      </c>
      <c r="I436" s="145">
        <f>'[2]Расчет прогнозных дефляторов'!$D$75</f>
        <v>1.0429999999999999</v>
      </c>
      <c r="J436" s="146">
        <f t="shared" si="169"/>
        <v>293658</v>
      </c>
      <c r="K436" s="146">
        <f t="shared" si="170"/>
        <v>290026</v>
      </c>
      <c r="L436" s="147"/>
      <c r="M436" s="147"/>
      <c r="N436" s="147"/>
    </row>
    <row r="437" spans="1:14" s="148" customFormat="1" ht="15.75" hidden="1" outlineLevel="3" x14ac:dyDescent="0.2">
      <c r="A437" s="95" t="s">
        <v>2050</v>
      </c>
      <c r="B437" s="42" t="s">
        <v>1331</v>
      </c>
      <c r="C437" s="42" t="s">
        <v>1316</v>
      </c>
      <c r="D437" s="100" t="s">
        <v>404</v>
      </c>
      <c r="E437" s="100">
        <f>364.9</f>
        <v>364.9</v>
      </c>
      <c r="F437" s="149">
        <f>(122117)*(1.023*1.005-2.3%*15%)*6.99+0*4.09</f>
        <v>874652</v>
      </c>
      <c r="G437" s="145">
        <f t="shared" si="167"/>
        <v>1.123</v>
      </c>
      <c r="H437" s="146">
        <f t="shared" si="168"/>
        <v>982234</v>
      </c>
      <c r="I437" s="145">
        <f>'[2]Расчет прогнозных дефляторов'!$D$75</f>
        <v>1.0429999999999999</v>
      </c>
      <c r="J437" s="146">
        <f t="shared" si="169"/>
        <v>1024470</v>
      </c>
      <c r="K437" s="146">
        <f t="shared" si="170"/>
        <v>1011799</v>
      </c>
      <c r="L437" s="147"/>
      <c r="M437" s="147"/>
      <c r="N437" s="147"/>
    </row>
    <row r="438" spans="1:14" s="148" customFormat="1" ht="15.75" hidden="1" outlineLevel="3" x14ac:dyDescent="0.2">
      <c r="A438" s="95" t="s">
        <v>2051</v>
      </c>
      <c r="B438" s="42" t="s">
        <v>1330</v>
      </c>
      <c r="C438" s="42" t="s">
        <v>864</v>
      </c>
      <c r="D438" s="100" t="s">
        <v>404</v>
      </c>
      <c r="E438" s="161">
        <v>7640</v>
      </c>
      <c r="F438" s="149">
        <f>(348367)*(1.023*1.005-2.3%*15%)*6.99+0*4.09-24</f>
        <v>2495123</v>
      </c>
      <c r="G438" s="145">
        <f t="shared" si="167"/>
        <v>1.123</v>
      </c>
      <c r="H438" s="146">
        <f t="shared" si="168"/>
        <v>2802023</v>
      </c>
      <c r="I438" s="145">
        <f>'[2]Расчет прогнозных дефляторов'!$D$75</f>
        <v>1.0429999999999999</v>
      </c>
      <c r="J438" s="146">
        <f t="shared" si="169"/>
        <v>2922510</v>
      </c>
      <c r="K438" s="146">
        <f t="shared" si="170"/>
        <v>2886364</v>
      </c>
      <c r="L438" s="147" t="s">
        <v>1318</v>
      </c>
      <c r="M438" s="147"/>
      <c r="N438" s="147"/>
    </row>
    <row r="439" spans="1:14" s="148" customFormat="1" ht="15.75" hidden="1" outlineLevel="3" x14ac:dyDescent="0.2">
      <c r="A439" s="95" t="s">
        <v>2052</v>
      </c>
      <c r="B439" s="42" t="s">
        <v>1329</v>
      </c>
      <c r="C439" s="42" t="s">
        <v>1319</v>
      </c>
      <c r="D439" s="100" t="s">
        <v>404</v>
      </c>
      <c r="E439" s="100">
        <f>52.6</f>
        <v>52.6</v>
      </c>
      <c r="F439" s="149">
        <f>(18293)*(1.023*1.005-2.3%*15%)*6.99+0*4.09</f>
        <v>131022</v>
      </c>
      <c r="G439" s="145">
        <f t="shared" si="167"/>
        <v>1.123</v>
      </c>
      <c r="H439" s="146">
        <f t="shared" si="168"/>
        <v>147138</v>
      </c>
      <c r="I439" s="145">
        <f>'[2]Расчет прогнозных дефляторов'!$D$75</f>
        <v>1.0429999999999999</v>
      </c>
      <c r="J439" s="146">
        <f t="shared" si="169"/>
        <v>153465</v>
      </c>
      <c r="K439" s="146">
        <f t="shared" si="170"/>
        <v>151567</v>
      </c>
      <c r="L439" s="147"/>
      <c r="M439" s="147"/>
      <c r="N439" s="147"/>
    </row>
    <row r="440" spans="1:14" s="148" customFormat="1" ht="15.75" hidden="1" outlineLevel="3" x14ac:dyDescent="0.2">
      <c r="A440" s="95" t="s">
        <v>2053</v>
      </c>
      <c r="B440" s="42" t="s">
        <v>1328</v>
      </c>
      <c r="C440" s="42" t="s">
        <v>1320</v>
      </c>
      <c r="D440" s="100" t="s">
        <v>292</v>
      </c>
      <c r="E440" s="100">
        <v>1</v>
      </c>
      <c r="F440" s="149">
        <f>(83681)*(1.023*1.005-2.3%*15%)*6.99+0*4.09</f>
        <v>599357</v>
      </c>
      <c r="G440" s="145">
        <f t="shared" si="167"/>
        <v>1.123</v>
      </c>
      <c r="H440" s="146">
        <f t="shared" si="168"/>
        <v>673078</v>
      </c>
      <c r="I440" s="145">
        <f>'[2]Расчет прогнозных дефляторов'!$D$75</f>
        <v>1.0429999999999999</v>
      </c>
      <c r="J440" s="146">
        <f t="shared" si="169"/>
        <v>702020</v>
      </c>
      <c r="K440" s="146">
        <f t="shared" si="170"/>
        <v>693337</v>
      </c>
      <c r="L440" s="147"/>
      <c r="M440" s="147"/>
      <c r="N440" s="147"/>
    </row>
    <row r="441" spans="1:14" s="148" customFormat="1" ht="25.5" hidden="1" outlineLevel="3" x14ac:dyDescent="0.2">
      <c r="A441" s="95" t="s">
        <v>2054</v>
      </c>
      <c r="B441" s="42" t="s">
        <v>1323</v>
      </c>
      <c r="C441" s="42" t="s">
        <v>1321</v>
      </c>
      <c r="D441" s="100" t="s">
        <v>404</v>
      </c>
      <c r="E441" s="100">
        <f>320.8</f>
        <v>320.8</v>
      </c>
      <c r="F441" s="149">
        <f>(343570)*(1.023*1.005-2.3%*15%)*6.99+0*4.09</f>
        <v>2460789</v>
      </c>
      <c r="G441" s="145">
        <f t="shared" si="167"/>
        <v>1.123</v>
      </c>
      <c r="H441" s="146">
        <f t="shared" si="168"/>
        <v>2763466</v>
      </c>
      <c r="I441" s="145">
        <f>'[2]Расчет прогнозных дефляторов'!$D$75</f>
        <v>1.0429999999999999</v>
      </c>
      <c r="J441" s="146">
        <f t="shared" si="169"/>
        <v>2882295</v>
      </c>
      <c r="K441" s="146">
        <f t="shared" si="170"/>
        <v>2846646</v>
      </c>
      <c r="L441" s="231" t="s">
        <v>1322</v>
      </c>
      <c r="M441" s="147"/>
      <c r="N441" s="147"/>
    </row>
    <row r="442" spans="1:14" s="148" customFormat="1" ht="15.75" hidden="1" outlineLevel="3" x14ac:dyDescent="0.2">
      <c r="A442" s="95" t="s">
        <v>2055</v>
      </c>
      <c r="B442" s="42" t="s">
        <v>1325</v>
      </c>
      <c r="C442" s="42" t="s">
        <v>1324</v>
      </c>
      <c r="D442" s="100" t="s">
        <v>292</v>
      </c>
      <c r="E442" s="100">
        <v>1</v>
      </c>
      <c r="F442" s="149">
        <f>(61878)*(1.023*1.005-2.3%*15%)*6.99+0*4.09</f>
        <v>443196</v>
      </c>
      <c r="G442" s="145">
        <f t="shared" si="167"/>
        <v>1.123</v>
      </c>
      <c r="H442" s="146">
        <f t="shared" si="168"/>
        <v>497709</v>
      </c>
      <c r="I442" s="145">
        <f>'[2]Расчет прогнозных дефляторов'!$D$75</f>
        <v>1.0429999999999999</v>
      </c>
      <c r="J442" s="146">
        <f t="shared" si="169"/>
        <v>519110</v>
      </c>
      <c r="K442" s="146">
        <f t="shared" si="170"/>
        <v>512690</v>
      </c>
      <c r="L442" s="147"/>
      <c r="M442" s="147"/>
      <c r="N442" s="147"/>
    </row>
    <row r="443" spans="1:14" s="148" customFormat="1" ht="15.75" hidden="1" outlineLevel="3" x14ac:dyDescent="0.2">
      <c r="A443" s="95" t="s">
        <v>2056</v>
      </c>
      <c r="B443" s="42" t="s">
        <v>1327</v>
      </c>
      <c r="C443" s="42" t="s">
        <v>1326</v>
      </c>
      <c r="D443" s="100" t="s">
        <v>377</v>
      </c>
      <c r="E443" s="100">
        <f>30.1+68.1</f>
        <v>98.2</v>
      </c>
      <c r="F443" s="149">
        <f>(18427)*(1.023*1.005-2.3%*15%)*6.99+0*4.09</f>
        <v>131982</v>
      </c>
      <c r="G443" s="145">
        <f t="shared" si="167"/>
        <v>1.123</v>
      </c>
      <c r="H443" s="146">
        <f t="shared" si="168"/>
        <v>148216</v>
      </c>
      <c r="I443" s="145">
        <f>'[2]Расчет прогнозных дефляторов'!$D$75</f>
        <v>1.0429999999999999</v>
      </c>
      <c r="J443" s="146">
        <f t="shared" si="169"/>
        <v>154589</v>
      </c>
      <c r="K443" s="146">
        <f t="shared" si="170"/>
        <v>152677</v>
      </c>
      <c r="L443" s="147"/>
      <c r="M443" s="147"/>
      <c r="N443" s="147"/>
    </row>
    <row r="444" spans="1:14" s="148" customFormat="1" ht="25.5" hidden="1" outlineLevel="3" x14ac:dyDescent="0.2">
      <c r="A444" s="95" t="s">
        <v>2057</v>
      </c>
      <c r="B444" s="42" t="s">
        <v>1340</v>
      </c>
      <c r="C444" s="42" t="s">
        <v>1339</v>
      </c>
      <c r="D444" s="100" t="s">
        <v>404</v>
      </c>
      <c r="E444" s="100">
        <f>592.4</f>
        <v>592.4</v>
      </c>
      <c r="F444" s="149">
        <f>(2244)*(1.023*1.005-2.3%*15%)*6.99+0*4.09</f>
        <v>16072</v>
      </c>
      <c r="G444" s="145">
        <f t="shared" si="167"/>
        <v>1.123</v>
      </c>
      <c r="H444" s="146">
        <f t="shared" si="168"/>
        <v>18049</v>
      </c>
      <c r="I444" s="145">
        <f>'[2]Расчет прогнозных дефляторов'!$D$75</f>
        <v>1.0429999999999999</v>
      </c>
      <c r="J444" s="146">
        <f t="shared" si="169"/>
        <v>18825</v>
      </c>
      <c r="K444" s="146">
        <f t="shared" si="170"/>
        <v>18592</v>
      </c>
      <c r="L444" s="147"/>
      <c r="M444" s="147"/>
      <c r="N444" s="147"/>
    </row>
    <row r="445" spans="1:14" s="148" customFormat="1" ht="15.75" hidden="1" outlineLevel="3" x14ac:dyDescent="0.2">
      <c r="A445" s="95"/>
      <c r="B445" s="42"/>
      <c r="C445" s="157" t="s">
        <v>1341</v>
      </c>
      <c r="D445" s="100"/>
      <c r="E445" s="100"/>
      <c r="F445" s="149"/>
      <c r="G445" s="145"/>
      <c r="H445" s="146"/>
      <c r="I445" s="145"/>
      <c r="J445" s="146"/>
      <c r="K445" s="146"/>
      <c r="L445" s="147"/>
      <c r="M445" s="147"/>
      <c r="N445" s="147"/>
    </row>
    <row r="446" spans="1:14" s="148" customFormat="1" ht="15.75" hidden="1" outlineLevel="3" x14ac:dyDescent="0.2">
      <c r="A446" s="95" t="s">
        <v>2058</v>
      </c>
      <c r="B446" s="42" t="s">
        <v>1345</v>
      </c>
      <c r="C446" s="42" t="s">
        <v>1342</v>
      </c>
      <c r="D446" s="100" t="s">
        <v>408</v>
      </c>
      <c r="E446" s="149">
        <v>1</v>
      </c>
      <c r="F446" s="149">
        <f>(1089)*(1.023*1.005-2.3%*15%)*6.99+256110*4.09</f>
        <v>1055290</v>
      </c>
      <c r="G446" s="145">
        <f>$G$766</f>
        <v>1.123</v>
      </c>
      <c r="H446" s="146">
        <f t="shared" ref="H446:H448" si="171">F446*G446</f>
        <v>1185091</v>
      </c>
      <c r="I446" s="145">
        <f>'[2]Расчет прогнозных дефляторов'!$D$75</f>
        <v>1.0429999999999999</v>
      </c>
      <c r="J446" s="146">
        <f t="shared" ref="J446:J448" si="172">H446*I446</f>
        <v>1236050</v>
      </c>
      <c r="K446" s="146">
        <f t="shared" ref="K446:K448" si="173">H446+(J446-H446)*(1-30/100)</f>
        <v>1220762</v>
      </c>
      <c r="L446" s="147"/>
      <c r="M446" s="147"/>
      <c r="N446" s="147"/>
    </row>
    <row r="447" spans="1:14" s="148" customFormat="1" ht="15.75" hidden="1" outlineLevel="3" x14ac:dyDescent="0.2">
      <c r="A447" s="95" t="s">
        <v>2059</v>
      </c>
      <c r="B447" s="42" t="s">
        <v>1346</v>
      </c>
      <c r="C447" s="42" t="s">
        <v>1343</v>
      </c>
      <c r="D447" s="100" t="s">
        <v>408</v>
      </c>
      <c r="E447" s="149">
        <v>1</v>
      </c>
      <c r="F447" s="149">
        <f>(1089)*(1.023*1.005-2.3%*15%)*6.99+244005*4.09</f>
        <v>1005780</v>
      </c>
      <c r="G447" s="145">
        <f>$G$766</f>
        <v>1.123</v>
      </c>
      <c r="H447" s="146">
        <f t="shared" si="171"/>
        <v>1129491</v>
      </c>
      <c r="I447" s="145">
        <f>'[2]Расчет прогнозных дефляторов'!$D$75</f>
        <v>1.0429999999999999</v>
      </c>
      <c r="J447" s="146">
        <f t="shared" si="172"/>
        <v>1178059</v>
      </c>
      <c r="K447" s="146">
        <f t="shared" si="173"/>
        <v>1163489</v>
      </c>
      <c r="L447" s="147"/>
      <c r="M447" s="147"/>
      <c r="N447" s="147"/>
    </row>
    <row r="448" spans="1:14" s="148" customFormat="1" ht="15.75" hidden="1" outlineLevel="3" x14ac:dyDescent="0.2">
      <c r="A448" s="270" t="s">
        <v>2060</v>
      </c>
      <c r="B448" s="271" t="s">
        <v>1347</v>
      </c>
      <c r="C448" s="271" t="s">
        <v>1344</v>
      </c>
      <c r="D448" s="272" t="s">
        <v>408</v>
      </c>
      <c r="E448" s="273">
        <v>1</v>
      </c>
      <c r="F448" s="273">
        <f>(240)*(1.023*1.005-2.3%*15%)*6.99+189529*4.09</f>
        <v>776893</v>
      </c>
      <c r="G448" s="274">
        <f>$G$766</f>
        <v>1.123</v>
      </c>
      <c r="H448" s="275">
        <f t="shared" si="171"/>
        <v>872451</v>
      </c>
      <c r="I448" s="274">
        <f>'[2]Расчет прогнозных дефляторов'!$D$75</f>
        <v>1.0429999999999999</v>
      </c>
      <c r="J448" s="275">
        <f t="shared" si="172"/>
        <v>909966</v>
      </c>
      <c r="K448" s="275">
        <f t="shared" si="173"/>
        <v>898712</v>
      </c>
      <c r="L448" s="276"/>
      <c r="M448" s="276"/>
      <c r="N448" s="276"/>
    </row>
    <row r="449" spans="1:14" s="237" customFormat="1" ht="38.25" outlineLevel="2" collapsed="1" x14ac:dyDescent="0.2">
      <c r="A449" s="238" t="s">
        <v>456</v>
      </c>
      <c r="B449" s="229" t="s">
        <v>217</v>
      </c>
      <c r="C449" s="229" t="s">
        <v>218</v>
      </c>
      <c r="D449" s="239" t="s">
        <v>292</v>
      </c>
      <c r="E449" s="240">
        <v>1</v>
      </c>
      <c r="F449" s="240">
        <f>SUM(F450:F465)</f>
        <v>22495477</v>
      </c>
      <c r="G449" s="241">
        <f>$G$766</f>
        <v>1.123</v>
      </c>
      <c r="H449" s="240">
        <f>SUM(H450:H465)</f>
        <v>25262419</v>
      </c>
      <c r="I449" s="241">
        <f>'[2]Расчет прогнозных дефляторов'!$D$75</f>
        <v>1.0429999999999999</v>
      </c>
      <c r="J449" s="240">
        <f>SUM(J450:J465)</f>
        <v>26348703</v>
      </c>
      <c r="K449" s="240">
        <f>SUM(K450:K465)</f>
        <v>26022819</v>
      </c>
      <c r="L449" s="256"/>
      <c r="M449" s="256"/>
      <c r="N449" s="256"/>
    </row>
    <row r="450" spans="1:14" s="148" customFormat="1" ht="15.75" hidden="1" outlineLevel="3" x14ac:dyDescent="0.2">
      <c r="A450" s="95"/>
      <c r="B450" s="42"/>
      <c r="C450" s="42" t="s">
        <v>367</v>
      </c>
      <c r="D450" s="100"/>
      <c r="E450" s="100"/>
      <c r="F450" s="149"/>
      <c r="G450" s="145"/>
      <c r="H450" s="146"/>
      <c r="I450" s="145"/>
      <c r="J450" s="146"/>
      <c r="K450" s="146"/>
      <c r="L450" s="147"/>
      <c r="M450" s="147"/>
      <c r="N450" s="147"/>
    </row>
    <row r="451" spans="1:14" s="148" customFormat="1" ht="15.75" hidden="1" outlineLevel="3" x14ac:dyDescent="0.2">
      <c r="A451" s="95" t="s">
        <v>457</v>
      </c>
      <c r="B451" s="42" t="s">
        <v>458</v>
      </c>
      <c r="C451" s="42" t="s">
        <v>1348</v>
      </c>
      <c r="D451" s="100" t="s">
        <v>300</v>
      </c>
      <c r="E451" s="100">
        <v>25</v>
      </c>
      <c r="F451" s="149">
        <f>(4176)*(1.023*1.005-2.3%*15%)*6.99+0*4.09</f>
        <v>29910</v>
      </c>
      <c r="G451" s="145">
        <f t="shared" ref="G451:G458" si="174">$G$766</f>
        <v>1.123</v>
      </c>
      <c r="H451" s="146">
        <f t="shared" ref="H451:H458" si="175">F451*G451</f>
        <v>33589</v>
      </c>
      <c r="I451" s="145">
        <f>'[2]Расчет прогнозных дефляторов'!$D$75</f>
        <v>1.0429999999999999</v>
      </c>
      <c r="J451" s="146">
        <f t="shared" ref="J451:J458" si="176">H451*I451</f>
        <v>35033</v>
      </c>
      <c r="K451" s="146">
        <f t="shared" ref="K451:K458" si="177">H451+(J451-H451)*(1-30/100)</f>
        <v>34600</v>
      </c>
      <c r="L451" s="147" t="s">
        <v>1349</v>
      </c>
      <c r="M451" s="147"/>
      <c r="N451" s="147"/>
    </row>
    <row r="452" spans="1:14" s="148" customFormat="1" ht="15.75" hidden="1" outlineLevel="3" x14ac:dyDescent="0.2">
      <c r="A452" s="95" t="s">
        <v>459</v>
      </c>
      <c r="B452" s="42" t="s">
        <v>1350</v>
      </c>
      <c r="C452" s="42" t="s">
        <v>1010</v>
      </c>
      <c r="D452" s="100" t="s">
        <v>300</v>
      </c>
      <c r="E452" s="100">
        <f>151.9</f>
        <v>151.9</v>
      </c>
      <c r="F452" s="149">
        <f>(275464)*(1.023*1.005-2.3%*15%)*6.99+0*4.09</f>
        <v>1972986</v>
      </c>
      <c r="G452" s="145">
        <f t="shared" si="174"/>
        <v>1.123</v>
      </c>
      <c r="H452" s="146">
        <f t="shared" si="175"/>
        <v>2215663</v>
      </c>
      <c r="I452" s="145">
        <f>'[2]Расчет прогнозных дефляторов'!$D$75</f>
        <v>1.0429999999999999</v>
      </c>
      <c r="J452" s="146">
        <f t="shared" si="176"/>
        <v>2310937</v>
      </c>
      <c r="K452" s="146">
        <f t="shared" si="177"/>
        <v>2282355</v>
      </c>
      <c r="L452" s="147"/>
      <c r="M452" s="147"/>
      <c r="N452" s="147"/>
    </row>
    <row r="453" spans="1:14" s="148" customFormat="1" ht="15.75" hidden="1" outlineLevel="3" x14ac:dyDescent="0.2">
      <c r="A453" s="95" t="s">
        <v>461</v>
      </c>
      <c r="B453" s="42" t="s">
        <v>1352</v>
      </c>
      <c r="C453" s="42" t="s">
        <v>1351</v>
      </c>
      <c r="D453" s="100" t="s">
        <v>300</v>
      </c>
      <c r="E453" s="100">
        <f>63.7</f>
        <v>63.7</v>
      </c>
      <c r="F453" s="149">
        <f>(96782)*(1.023*1.005-2.3%*15%)*6.99+0*4.09</f>
        <v>693192</v>
      </c>
      <c r="G453" s="145">
        <f t="shared" si="174"/>
        <v>1.123</v>
      </c>
      <c r="H453" s="146">
        <f t="shared" si="175"/>
        <v>778455</v>
      </c>
      <c r="I453" s="145">
        <f>'[2]Расчет прогнозных дефляторов'!$D$75</f>
        <v>1.0429999999999999</v>
      </c>
      <c r="J453" s="146">
        <f t="shared" si="176"/>
        <v>811929</v>
      </c>
      <c r="K453" s="146">
        <f t="shared" si="177"/>
        <v>801887</v>
      </c>
      <c r="L453" s="147"/>
      <c r="M453" s="147"/>
      <c r="N453" s="147"/>
    </row>
    <row r="454" spans="1:14" s="148" customFormat="1" ht="15.75" hidden="1" outlineLevel="3" x14ac:dyDescent="0.2">
      <c r="A454" s="95" t="s">
        <v>462</v>
      </c>
      <c r="B454" s="42" t="s">
        <v>1354</v>
      </c>
      <c r="C454" s="42" t="s">
        <v>1353</v>
      </c>
      <c r="D454" s="100" t="s">
        <v>300</v>
      </c>
      <c r="E454" s="100">
        <f>10.3</f>
        <v>10.3</v>
      </c>
      <c r="F454" s="149">
        <f>(16135)*(1.023*1.005-2.3%*15%)*6.99+0*4.09</f>
        <v>115565</v>
      </c>
      <c r="G454" s="145">
        <f t="shared" si="174"/>
        <v>1.123</v>
      </c>
      <c r="H454" s="146">
        <f t="shared" si="175"/>
        <v>129779</v>
      </c>
      <c r="I454" s="145">
        <f>'[2]Расчет прогнозных дефляторов'!$D$75</f>
        <v>1.0429999999999999</v>
      </c>
      <c r="J454" s="146">
        <f t="shared" si="176"/>
        <v>135359</v>
      </c>
      <c r="K454" s="146">
        <f t="shared" si="177"/>
        <v>133685</v>
      </c>
      <c r="L454" s="147"/>
      <c r="M454" s="147"/>
      <c r="N454" s="147"/>
    </row>
    <row r="455" spans="1:14" s="148" customFormat="1" ht="15.75" hidden="1" outlineLevel="3" x14ac:dyDescent="0.2">
      <c r="A455" s="95" t="s">
        <v>463</v>
      </c>
      <c r="B455" s="42" t="s">
        <v>1356</v>
      </c>
      <c r="C455" s="42" t="s">
        <v>1355</v>
      </c>
      <c r="D455" s="100" t="s">
        <v>300</v>
      </c>
      <c r="E455" s="100">
        <f>39</f>
        <v>39</v>
      </c>
      <c r="F455" s="149">
        <f>(133405)*(1.023*1.005-2.3%*15%)*6.99+0*4.09</f>
        <v>955501</v>
      </c>
      <c r="G455" s="145">
        <f t="shared" si="174"/>
        <v>1.123</v>
      </c>
      <c r="H455" s="146">
        <f t="shared" si="175"/>
        <v>1073028</v>
      </c>
      <c r="I455" s="145">
        <f>'[2]Расчет прогнозных дефляторов'!$D$75</f>
        <v>1.0429999999999999</v>
      </c>
      <c r="J455" s="146">
        <f t="shared" si="176"/>
        <v>1119168</v>
      </c>
      <c r="K455" s="146">
        <f t="shared" si="177"/>
        <v>1105326</v>
      </c>
      <c r="L455" s="147"/>
      <c r="M455" s="147"/>
      <c r="N455" s="147"/>
    </row>
    <row r="456" spans="1:14" s="148" customFormat="1" ht="15.75" hidden="1" outlineLevel="3" x14ac:dyDescent="0.2">
      <c r="A456" s="95" t="s">
        <v>464</v>
      </c>
      <c r="B456" s="42" t="s">
        <v>1358</v>
      </c>
      <c r="C456" s="42" t="s">
        <v>1357</v>
      </c>
      <c r="D456" s="100" t="s">
        <v>300</v>
      </c>
      <c r="E456" s="100">
        <f>134</f>
        <v>134</v>
      </c>
      <c r="F456" s="149">
        <f>(259297)*(1.023*1.005-2.3%*15%)*6.99+0*4.09</f>
        <v>1857191</v>
      </c>
      <c r="G456" s="145">
        <f t="shared" si="174"/>
        <v>1.123</v>
      </c>
      <c r="H456" s="146">
        <f t="shared" si="175"/>
        <v>2085625</v>
      </c>
      <c r="I456" s="145">
        <f>'[2]Расчет прогнозных дефляторов'!$D$75</f>
        <v>1.0429999999999999</v>
      </c>
      <c r="J456" s="146">
        <f t="shared" si="176"/>
        <v>2175307</v>
      </c>
      <c r="K456" s="146">
        <f t="shared" si="177"/>
        <v>2148402</v>
      </c>
      <c r="L456" s="147"/>
      <c r="M456" s="147"/>
      <c r="N456" s="147"/>
    </row>
    <row r="457" spans="1:14" s="148" customFormat="1" ht="15.75" hidden="1" outlineLevel="3" x14ac:dyDescent="0.2">
      <c r="A457" s="95" t="s">
        <v>466</v>
      </c>
      <c r="B457" s="42" t="s">
        <v>1360</v>
      </c>
      <c r="C457" s="42" t="s">
        <v>1359</v>
      </c>
      <c r="D457" s="100" t="s">
        <v>300</v>
      </c>
      <c r="E457" s="100">
        <v>16.7</v>
      </c>
      <c r="F457" s="149">
        <f>(29512)*(1.023*1.005-2.3%*15%)*6.99+0*4.09</f>
        <v>211377</v>
      </c>
      <c r="G457" s="145">
        <f t="shared" si="174"/>
        <v>1.123</v>
      </c>
      <c r="H457" s="146">
        <f t="shared" si="175"/>
        <v>237376</v>
      </c>
      <c r="I457" s="145">
        <f>'[2]Расчет прогнозных дефляторов'!$D$75</f>
        <v>1.0429999999999999</v>
      </c>
      <c r="J457" s="146">
        <f t="shared" si="176"/>
        <v>247583</v>
      </c>
      <c r="K457" s="146">
        <f t="shared" si="177"/>
        <v>244521</v>
      </c>
      <c r="L457" s="147"/>
      <c r="M457" s="147"/>
      <c r="N457" s="147"/>
    </row>
    <row r="458" spans="1:14" s="148" customFormat="1" ht="25.5" hidden="1" outlineLevel="3" x14ac:dyDescent="0.2">
      <c r="A458" s="95" t="s">
        <v>467</v>
      </c>
      <c r="B458" s="42" t="s">
        <v>1361</v>
      </c>
      <c r="C458" s="42" t="s">
        <v>1019</v>
      </c>
      <c r="D458" s="100" t="s">
        <v>292</v>
      </c>
      <c r="E458" s="100">
        <v>1</v>
      </c>
      <c r="F458" s="149">
        <f>(80274)*(1.023*1.005-2.3%*15%)*6.99+0*4.09</f>
        <v>574955</v>
      </c>
      <c r="G458" s="145">
        <f t="shared" si="174"/>
        <v>1.123</v>
      </c>
      <c r="H458" s="146">
        <f t="shared" si="175"/>
        <v>645674</v>
      </c>
      <c r="I458" s="145">
        <f>'[2]Расчет прогнозных дефляторов'!$D$75</f>
        <v>1.0429999999999999</v>
      </c>
      <c r="J458" s="146">
        <f t="shared" si="176"/>
        <v>673438</v>
      </c>
      <c r="K458" s="146">
        <f t="shared" si="177"/>
        <v>665109</v>
      </c>
      <c r="L458" s="147"/>
      <c r="M458" s="147"/>
      <c r="N458" s="147"/>
    </row>
    <row r="459" spans="1:14" s="148" customFormat="1" ht="15.75" hidden="1" outlineLevel="3" x14ac:dyDescent="0.2">
      <c r="A459" s="95"/>
      <c r="B459" s="42"/>
      <c r="C459" s="42" t="s">
        <v>1026</v>
      </c>
      <c r="D459" s="100"/>
      <c r="E459" s="100"/>
      <c r="F459" s="149"/>
      <c r="G459" s="145"/>
      <c r="H459" s="146"/>
      <c r="I459" s="145"/>
      <c r="J459" s="146"/>
      <c r="K459" s="146"/>
      <c r="L459" s="147"/>
      <c r="M459" s="147"/>
      <c r="N459" s="147"/>
    </row>
    <row r="460" spans="1:14" s="148" customFormat="1" ht="15.75" hidden="1" outlineLevel="3" x14ac:dyDescent="0.2">
      <c r="A460" s="95" t="s">
        <v>468</v>
      </c>
      <c r="B460" s="42" t="s">
        <v>1362</v>
      </c>
      <c r="C460" s="42" t="s">
        <v>1027</v>
      </c>
      <c r="D460" s="100" t="s">
        <v>292</v>
      </c>
      <c r="E460" s="100">
        <v>1</v>
      </c>
      <c r="F460" s="149">
        <f>(100140)*(1.023*1.005-2.3%*15%)*6.99+0*4.09</f>
        <v>717244</v>
      </c>
      <c r="G460" s="145">
        <f>$G$766</f>
        <v>1.123</v>
      </c>
      <c r="H460" s="146">
        <f t="shared" ref="H460:H462" si="178">F460*G460</f>
        <v>805465</v>
      </c>
      <c r="I460" s="145">
        <f>'[2]Расчет прогнозных дефляторов'!$D$75</f>
        <v>1.0429999999999999</v>
      </c>
      <c r="J460" s="146">
        <f t="shared" ref="J460:J462" si="179">H460*I460</f>
        <v>840100</v>
      </c>
      <c r="K460" s="146">
        <f t="shared" ref="K460:K462" si="180">H460+(J460-H460)*(1-30/100)</f>
        <v>829710</v>
      </c>
      <c r="L460" s="147" t="s">
        <v>1363</v>
      </c>
      <c r="M460" s="147"/>
      <c r="N460" s="147"/>
    </row>
    <row r="461" spans="1:14" s="148" customFormat="1" ht="15.75" hidden="1" outlineLevel="3" x14ac:dyDescent="0.2">
      <c r="A461" s="95" t="s">
        <v>469</v>
      </c>
      <c r="B461" s="42" t="s">
        <v>1364</v>
      </c>
      <c r="C461" s="42" t="s">
        <v>1031</v>
      </c>
      <c r="D461" s="100" t="s">
        <v>292</v>
      </c>
      <c r="E461" s="100">
        <v>1</v>
      </c>
      <c r="F461" s="149">
        <f>(1459391)*(1.023*1.005-2.3%*15%)*6.99+0*4.09+15</f>
        <v>10452769</v>
      </c>
      <c r="G461" s="145">
        <f>$G$766</f>
        <v>1.123</v>
      </c>
      <c r="H461" s="146">
        <f t="shared" si="178"/>
        <v>11738460</v>
      </c>
      <c r="I461" s="145">
        <f>'[2]Расчет прогнозных дефляторов'!$D$75</f>
        <v>1.0429999999999999</v>
      </c>
      <c r="J461" s="146">
        <f t="shared" si="179"/>
        <v>12243214</v>
      </c>
      <c r="K461" s="146">
        <f t="shared" si="180"/>
        <v>12091788</v>
      </c>
      <c r="L461" s="147"/>
      <c r="M461" s="147"/>
      <c r="N461" s="147"/>
    </row>
    <row r="462" spans="1:14" s="148" customFormat="1" ht="15.75" hidden="1" outlineLevel="3" x14ac:dyDescent="0.2">
      <c r="A462" s="95" t="s">
        <v>2061</v>
      </c>
      <c r="B462" s="42" t="s">
        <v>1365</v>
      </c>
      <c r="C462" s="42" t="s">
        <v>1036</v>
      </c>
      <c r="D462" s="100" t="s">
        <v>637</v>
      </c>
      <c r="E462" s="100">
        <v>1.5</v>
      </c>
      <c r="F462" s="149">
        <f>(21691)*(1.023*1.005-2.3%*15%)*6.99+0*4.09</f>
        <v>155360</v>
      </c>
      <c r="G462" s="145">
        <f>$G$766</f>
        <v>1.123</v>
      </c>
      <c r="H462" s="146">
        <f t="shared" si="178"/>
        <v>174469</v>
      </c>
      <c r="I462" s="145">
        <f>'[2]Расчет прогнозных дефляторов'!$D$75</f>
        <v>1.0429999999999999</v>
      </c>
      <c r="J462" s="146">
        <f t="shared" si="179"/>
        <v>181971</v>
      </c>
      <c r="K462" s="146">
        <f t="shared" si="180"/>
        <v>179720</v>
      </c>
      <c r="L462" s="147"/>
      <c r="M462" s="147"/>
      <c r="N462" s="147"/>
    </row>
    <row r="463" spans="1:14" s="148" customFormat="1" ht="15.75" hidden="1" outlineLevel="3" x14ac:dyDescent="0.2">
      <c r="A463" s="95"/>
      <c r="B463" s="42"/>
      <c r="C463" s="42" t="s">
        <v>1366</v>
      </c>
      <c r="D463" s="100"/>
      <c r="E463" s="100"/>
      <c r="F463" s="149"/>
      <c r="G463" s="145"/>
      <c r="H463" s="146"/>
      <c r="I463" s="145"/>
      <c r="J463" s="146"/>
      <c r="K463" s="146"/>
      <c r="L463" s="147"/>
      <c r="M463" s="147"/>
      <c r="N463" s="147"/>
    </row>
    <row r="464" spans="1:14" s="148" customFormat="1" ht="25.5" hidden="1" outlineLevel="3" x14ac:dyDescent="0.2">
      <c r="A464" s="95" t="s">
        <v>2062</v>
      </c>
      <c r="B464" s="42" t="s">
        <v>1368</v>
      </c>
      <c r="C464" s="42" t="s">
        <v>1367</v>
      </c>
      <c r="D464" s="100" t="s">
        <v>404</v>
      </c>
      <c r="E464" s="100">
        <f>4010</f>
        <v>4010</v>
      </c>
      <c r="F464" s="149">
        <f>(526355)*(1.023*1.005-2.3%*15%)*6.99+0*4.09</f>
        <v>3769969</v>
      </c>
      <c r="G464" s="145">
        <f>$G$766</f>
        <v>1.123</v>
      </c>
      <c r="H464" s="146">
        <f t="shared" ref="H464:H465" si="181">F464*G464</f>
        <v>4233675</v>
      </c>
      <c r="I464" s="145">
        <f>'[2]Расчет прогнозных дефляторов'!$D$75</f>
        <v>1.0429999999999999</v>
      </c>
      <c r="J464" s="146">
        <f t="shared" ref="J464:J465" si="182">H464*I464</f>
        <v>4415723</v>
      </c>
      <c r="K464" s="146">
        <f t="shared" ref="K464:K465" si="183">H464+(J464-H464)*(1-30/100)</f>
        <v>4361109</v>
      </c>
      <c r="L464" s="147"/>
      <c r="M464" s="147"/>
      <c r="N464" s="147"/>
    </row>
    <row r="465" spans="1:14" s="148" customFormat="1" ht="38.25" hidden="1" outlineLevel="3" x14ac:dyDescent="0.2">
      <c r="A465" s="95" t="s">
        <v>2063</v>
      </c>
      <c r="B465" s="42" t="s">
        <v>1371</v>
      </c>
      <c r="C465" s="42" t="s">
        <v>1369</v>
      </c>
      <c r="D465" s="100" t="s">
        <v>404</v>
      </c>
      <c r="E465" s="100">
        <f>198</f>
        <v>198</v>
      </c>
      <c r="F465" s="149">
        <f>(138146)*(1.023*1.005-2.3%*15%)*6.99+0*4.09</f>
        <v>989458</v>
      </c>
      <c r="G465" s="145">
        <f>$G$766</f>
        <v>1.123</v>
      </c>
      <c r="H465" s="146">
        <f t="shared" si="181"/>
        <v>1111161</v>
      </c>
      <c r="I465" s="145">
        <f>'[2]Расчет прогнозных дефляторов'!$D$75</f>
        <v>1.0429999999999999</v>
      </c>
      <c r="J465" s="146">
        <f t="shared" si="182"/>
        <v>1158941</v>
      </c>
      <c r="K465" s="146">
        <f t="shared" si="183"/>
        <v>1144607</v>
      </c>
      <c r="L465" s="172" t="s">
        <v>1370</v>
      </c>
      <c r="M465" s="147"/>
      <c r="N465" s="147"/>
    </row>
    <row r="466" spans="1:14" s="237" customFormat="1" ht="38.25" outlineLevel="2" collapsed="1" x14ac:dyDescent="0.2">
      <c r="A466" s="238" t="s">
        <v>470</v>
      </c>
      <c r="B466" s="229" t="s">
        <v>219</v>
      </c>
      <c r="C466" s="229" t="s">
        <v>1372</v>
      </c>
      <c r="D466" s="239" t="s">
        <v>292</v>
      </c>
      <c r="E466" s="240">
        <v>1</v>
      </c>
      <c r="F466" s="240">
        <f>SUM(F467:F472)</f>
        <v>853430</v>
      </c>
      <c r="G466" s="241">
        <f>$G$766</f>
        <v>1.123</v>
      </c>
      <c r="H466" s="240">
        <f>SUM(H467:H472)</f>
        <v>958401</v>
      </c>
      <c r="I466" s="241">
        <f>'[2]Расчет прогнозных дефляторов'!$D$75</f>
        <v>1.0429999999999999</v>
      </c>
      <c r="J466" s="240">
        <f>SUM(J467:J472)</f>
        <v>999612</v>
      </c>
      <c r="K466" s="240">
        <f>SUM(K467:K472)</f>
        <v>987248</v>
      </c>
      <c r="L466" s="256"/>
      <c r="M466" s="256"/>
      <c r="N466" s="256"/>
    </row>
    <row r="467" spans="1:14" s="148" customFormat="1" ht="15.75" hidden="1" outlineLevel="3" x14ac:dyDescent="0.2">
      <c r="A467" s="95"/>
      <c r="B467" s="42"/>
      <c r="C467" s="42" t="s">
        <v>1098</v>
      </c>
      <c r="D467" s="100"/>
      <c r="E467" s="149"/>
      <c r="F467" s="149"/>
      <c r="G467" s="145"/>
      <c r="H467" s="146"/>
      <c r="I467" s="145"/>
      <c r="J467" s="146"/>
      <c r="K467" s="146"/>
      <c r="L467" s="147"/>
      <c r="M467" s="147"/>
      <c r="N467" s="147"/>
    </row>
    <row r="468" spans="1:14" s="148" customFormat="1" ht="25.5" hidden="1" outlineLevel="3" x14ac:dyDescent="0.2">
      <c r="A468" s="95" t="s">
        <v>471</v>
      </c>
      <c r="B468" s="42" t="s">
        <v>1373</v>
      </c>
      <c r="C468" s="42" t="s">
        <v>427</v>
      </c>
      <c r="D468" s="100" t="s">
        <v>408</v>
      </c>
      <c r="E468" s="149">
        <v>1</v>
      </c>
      <c r="F468" s="149">
        <f>(1724)*(1.023*1.005-2.3%*15%)*6.99+23912*4.09</f>
        <v>110148</v>
      </c>
      <c r="G468" s="145">
        <f t="shared" ref="G468:G473" si="184">$G$766</f>
        <v>1.123</v>
      </c>
      <c r="H468" s="146">
        <f t="shared" ref="H468:H472" si="185">F468*G468</f>
        <v>123696</v>
      </c>
      <c r="I468" s="145">
        <f>'[2]Расчет прогнозных дефляторов'!$D$75</f>
        <v>1.0429999999999999</v>
      </c>
      <c r="J468" s="146">
        <f t="shared" ref="J468:J472" si="186">H468*I468</f>
        <v>129015</v>
      </c>
      <c r="K468" s="146">
        <f t="shared" ref="K468:K472" si="187">H468+(J468-H468)*(1-30/100)</f>
        <v>127419</v>
      </c>
      <c r="L468" s="147"/>
      <c r="M468" s="147"/>
      <c r="N468" s="147"/>
    </row>
    <row r="469" spans="1:14" s="148" customFormat="1" ht="25.5" hidden="1" outlineLevel="3" x14ac:dyDescent="0.2">
      <c r="A469" s="95" t="s">
        <v>472</v>
      </c>
      <c r="B469" s="42" t="s">
        <v>1374</v>
      </c>
      <c r="C469" s="42" t="s">
        <v>429</v>
      </c>
      <c r="D469" s="100" t="s">
        <v>408</v>
      </c>
      <c r="E469" s="149">
        <v>1</v>
      </c>
      <c r="F469" s="149">
        <f>(309)*(1.023*1.005-2.3%*15%)*6.99+42376*4.09</f>
        <v>175531</v>
      </c>
      <c r="G469" s="145">
        <f t="shared" si="184"/>
        <v>1.123</v>
      </c>
      <c r="H469" s="146">
        <f t="shared" si="185"/>
        <v>197121</v>
      </c>
      <c r="I469" s="145">
        <f>'[2]Расчет прогнозных дефляторов'!$D$75</f>
        <v>1.0429999999999999</v>
      </c>
      <c r="J469" s="146">
        <f t="shared" si="186"/>
        <v>205597</v>
      </c>
      <c r="K469" s="146">
        <f t="shared" si="187"/>
        <v>203054</v>
      </c>
      <c r="L469" s="147"/>
      <c r="M469" s="147"/>
      <c r="N469" s="147"/>
    </row>
    <row r="470" spans="1:14" s="148" customFormat="1" ht="15.75" hidden="1" outlineLevel="3" x14ac:dyDescent="0.2">
      <c r="A470" s="95" t="s">
        <v>473</v>
      </c>
      <c r="B470" s="42" t="s">
        <v>1375</v>
      </c>
      <c r="C470" s="42" t="s">
        <v>379</v>
      </c>
      <c r="D470" s="100" t="s">
        <v>292</v>
      </c>
      <c r="E470" s="149">
        <v>1</v>
      </c>
      <c r="F470" s="149">
        <f>(52744)*(1.023*1.005-2.3%*15%)*6.99+0*4.09+22</f>
        <v>377796</v>
      </c>
      <c r="G470" s="145">
        <f t="shared" si="184"/>
        <v>1.123</v>
      </c>
      <c r="H470" s="146">
        <f t="shared" si="185"/>
        <v>424265</v>
      </c>
      <c r="I470" s="145">
        <f>'[2]Расчет прогнозных дефляторов'!$D$75</f>
        <v>1.0429999999999999</v>
      </c>
      <c r="J470" s="146">
        <f t="shared" si="186"/>
        <v>442508</v>
      </c>
      <c r="K470" s="146">
        <f t="shared" si="187"/>
        <v>437035</v>
      </c>
      <c r="L470" s="147"/>
      <c r="M470" s="147"/>
      <c r="N470" s="147"/>
    </row>
    <row r="471" spans="1:14" s="148" customFormat="1" ht="15.75" hidden="1" outlineLevel="3" x14ac:dyDescent="0.2">
      <c r="A471" s="95" t="s">
        <v>474</v>
      </c>
      <c r="B471" s="42" t="s">
        <v>1376</v>
      </c>
      <c r="C471" s="42" t="s">
        <v>1102</v>
      </c>
      <c r="D471" s="100" t="s">
        <v>292</v>
      </c>
      <c r="E471" s="149">
        <v>1</v>
      </c>
      <c r="F471" s="149">
        <f>(26320)*(1.023*1.005-2.3%*15%)*6.99+0*4.09</f>
        <v>188515</v>
      </c>
      <c r="G471" s="145">
        <f t="shared" si="184"/>
        <v>1.123</v>
      </c>
      <c r="H471" s="146">
        <f t="shared" si="185"/>
        <v>211702</v>
      </c>
      <c r="I471" s="145">
        <f>'[2]Расчет прогнозных дефляторов'!$D$75</f>
        <v>1.0429999999999999</v>
      </c>
      <c r="J471" s="146">
        <f t="shared" si="186"/>
        <v>220805</v>
      </c>
      <c r="K471" s="146">
        <f t="shared" si="187"/>
        <v>218074</v>
      </c>
      <c r="L471" s="147"/>
      <c r="M471" s="147"/>
      <c r="N471" s="147"/>
    </row>
    <row r="472" spans="1:14" s="148" customFormat="1" ht="25.5" hidden="1" outlineLevel="3" x14ac:dyDescent="0.2">
      <c r="A472" s="95" t="s">
        <v>475</v>
      </c>
      <c r="B472" s="42" t="s">
        <v>1377</v>
      </c>
      <c r="C472" s="42" t="s">
        <v>1105</v>
      </c>
      <c r="D472" s="100" t="s">
        <v>408</v>
      </c>
      <c r="E472" s="100">
        <v>10</v>
      </c>
      <c r="F472" s="149">
        <f>(201)*(1.023*1.005-2.3%*15%)*6.99+0*4.09</f>
        <v>1440</v>
      </c>
      <c r="G472" s="145">
        <f t="shared" si="184"/>
        <v>1.123</v>
      </c>
      <c r="H472" s="146">
        <f t="shared" si="185"/>
        <v>1617</v>
      </c>
      <c r="I472" s="145">
        <f>'[2]Расчет прогнозных дефляторов'!$D$75</f>
        <v>1.0429999999999999</v>
      </c>
      <c r="J472" s="146">
        <f t="shared" si="186"/>
        <v>1687</v>
      </c>
      <c r="K472" s="146">
        <f t="shared" si="187"/>
        <v>1666</v>
      </c>
      <c r="L472" s="147"/>
      <c r="M472" s="147"/>
      <c r="N472" s="147"/>
    </row>
    <row r="473" spans="1:14" s="256" customFormat="1" ht="25.5" outlineLevel="2" collapsed="1" x14ac:dyDescent="0.2">
      <c r="A473" s="238" t="s">
        <v>476</v>
      </c>
      <c r="B473" s="229" t="s">
        <v>221</v>
      </c>
      <c r="C473" s="229" t="s">
        <v>222</v>
      </c>
      <c r="D473" s="239" t="s">
        <v>292</v>
      </c>
      <c r="E473" s="240">
        <v>1</v>
      </c>
      <c r="F473" s="240">
        <f>SUM(F474:F488)</f>
        <v>682649</v>
      </c>
      <c r="G473" s="241">
        <f t="shared" si="184"/>
        <v>1.123</v>
      </c>
      <c r="H473" s="240">
        <f>SUM(H474:H488)</f>
        <v>766612</v>
      </c>
      <c r="I473" s="241">
        <f>'[2]Расчет прогнозных дефляторов'!$D$75</f>
        <v>1.0429999999999999</v>
      </c>
      <c r="J473" s="240">
        <f>SUM(J474:J488)</f>
        <v>799576</v>
      </c>
      <c r="K473" s="240">
        <f>SUM(K474:K488)</f>
        <v>789687</v>
      </c>
    </row>
    <row r="474" spans="1:14" s="148" customFormat="1" ht="15.75" hidden="1" outlineLevel="3" x14ac:dyDescent="0.2">
      <c r="A474" s="277"/>
      <c r="B474" s="278"/>
      <c r="C474" s="279" t="s">
        <v>1378</v>
      </c>
      <c r="D474" s="280"/>
      <c r="E474" s="280"/>
      <c r="F474" s="281"/>
      <c r="G474" s="282"/>
      <c r="H474" s="283"/>
      <c r="I474" s="282"/>
      <c r="J474" s="283"/>
      <c r="K474" s="283"/>
      <c r="L474" s="284"/>
      <c r="M474" s="284"/>
      <c r="N474" s="284"/>
    </row>
    <row r="475" spans="1:14" s="148" customFormat="1" ht="38.25" hidden="1" outlineLevel="3" x14ac:dyDescent="0.2">
      <c r="A475" s="95" t="s">
        <v>478</v>
      </c>
      <c r="B475" s="42" t="s">
        <v>1388</v>
      </c>
      <c r="C475" s="42" t="s">
        <v>1379</v>
      </c>
      <c r="D475" s="100" t="s">
        <v>408</v>
      </c>
      <c r="E475" s="149">
        <v>1</v>
      </c>
      <c r="F475" s="149">
        <f>(821)*(1.023*1.005-2.3%*15%)*6.99+0*4.09</f>
        <v>5880</v>
      </c>
      <c r="G475" s="145">
        <f t="shared" ref="G475:G480" si="188">$G$766</f>
        <v>1.123</v>
      </c>
      <c r="H475" s="146">
        <f t="shared" ref="H475:H480" si="189">F475*G475</f>
        <v>6603</v>
      </c>
      <c r="I475" s="145">
        <f>'[2]Расчет прогнозных дефляторов'!$D$75</f>
        <v>1.0429999999999999</v>
      </c>
      <c r="J475" s="146">
        <f t="shared" ref="J475:J480" si="190">H475*I475</f>
        <v>6887</v>
      </c>
      <c r="K475" s="146">
        <f t="shared" ref="K475:K480" si="191">H475+(J475-H475)*(1-30/100)</f>
        <v>6802</v>
      </c>
      <c r="L475" s="172" t="s">
        <v>1399</v>
      </c>
      <c r="M475" s="147"/>
      <c r="N475" s="147"/>
    </row>
    <row r="476" spans="1:14" s="148" customFormat="1" ht="63.75" hidden="1" outlineLevel="3" x14ac:dyDescent="0.2">
      <c r="A476" s="95" t="s">
        <v>479</v>
      </c>
      <c r="B476" s="42" t="s">
        <v>1387</v>
      </c>
      <c r="C476" s="42" t="s">
        <v>1380</v>
      </c>
      <c r="D476" s="100" t="s">
        <v>408</v>
      </c>
      <c r="E476" s="149">
        <v>1</v>
      </c>
      <c r="F476" s="149">
        <f>(1484)*(1.023*1.005-2.3%*15%)*6.99+0*4.09</f>
        <v>10629</v>
      </c>
      <c r="G476" s="145">
        <f t="shared" si="188"/>
        <v>1.123</v>
      </c>
      <c r="H476" s="146">
        <f t="shared" si="189"/>
        <v>11936</v>
      </c>
      <c r="I476" s="145">
        <f>'[2]Расчет прогнозных дефляторов'!$D$75</f>
        <v>1.0429999999999999</v>
      </c>
      <c r="J476" s="146">
        <f t="shared" si="190"/>
        <v>12449</v>
      </c>
      <c r="K476" s="146">
        <f t="shared" si="191"/>
        <v>12295</v>
      </c>
      <c r="L476" s="172" t="s">
        <v>1399</v>
      </c>
      <c r="M476" s="147"/>
      <c r="N476" s="147"/>
    </row>
    <row r="477" spans="1:14" s="148" customFormat="1" ht="38.25" hidden="1" outlineLevel="3" x14ac:dyDescent="0.2">
      <c r="A477" s="95" t="s">
        <v>480</v>
      </c>
      <c r="B477" s="42" t="s">
        <v>1389</v>
      </c>
      <c r="C477" s="42" t="s">
        <v>1381</v>
      </c>
      <c r="D477" s="100" t="s">
        <v>408</v>
      </c>
      <c r="E477" s="149">
        <v>1</v>
      </c>
      <c r="F477" s="149">
        <f>(925)*(1.023*1.005-2.3%*15%)*6.99+0*4.09</f>
        <v>6625</v>
      </c>
      <c r="G477" s="145">
        <f t="shared" si="188"/>
        <v>1.123</v>
      </c>
      <c r="H477" s="146">
        <f t="shared" si="189"/>
        <v>7440</v>
      </c>
      <c r="I477" s="145">
        <f>'[2]Расчет прогнозных дефляторов'!$D$75</f>
        <v>1.0429999999999999</v>
      </c>
      <c r="J477" s="146">
        <f t="shared" si="190"/>
        <v>7760</v>
      </c>
      <c r="K477" s="146">
        <f t="shared" si="191"/>
        <v>7664</v>
      </c>
      <c r="L477" s="172" t="s">
        <v>1399</v>
      </c>
      <c r="M477" s="147"/>
      <c r="N477" s="147"/>
    </row>
    <row r="478" spans="1:14" s="148" customFormat="1" ht="38.25" hidden="1" outlineLevel="3" x14ac:dyDescent="0.2">
      <c r="A478" s="95" t="s">
        <v>481</v>
      </c>
      <c r="B478" s="42" t="s">
        <v>1390</v>
      </c>
      <c r="C478" s="42" t="s">
        <v>1382</v>
      </c>
      <c r="D478" s="100" t="s">
        <v>408</v>
      </c>
      <c r="E478" s="149">
        <v>1</v>
      </c>
      <c r="F478" s="149">
        <f>(1198)*(1.023*1.005-2.3%*15%)*6.99+0*4.09</f>
        <v>8581</v>
      </c>
      <c r="G478" s="145">
        <f t="shared" si="188"/>
        <v>1.123</v>
      </c>
      <c r="H478" s="146">
        <f t="shared" si="189"/>
        <v>9636</v>
      </c>
      <c r="I478" s="145">
        <f>'[2]Расчет прогнозных дефляторов'!$D$75</f>
        <v>1.0429999999999999</v>
      </c>
      <c r="J478" s="146">
        <f t="shared" si="190"/>
        <v>10050</v>
      </c>
      <c r="K478" s="146">
        <f t="shared" si="191"/>
        <v>9926</v>
      </c>
      <c r="L478" s="172" t="s">
        <v>1399</v>
      </c>
      <c r="M478" s="147"/>
      <c r="N478" s="147"/>
    </row>
    <row r="479" spans="1:14" s="148" customFormat="1" ht="63.75" hidden="1" outlineLevel="3" x14ac:dyDescent="0.2">
      <c r="A479" s="95" t="s">
        <v>2064</v>
      </c>
      <c r="B479" s="42" t="s">
        <v>1391</v>
      </c>
      <c r="C479" s="42" t="s">
        <v>439</v>
      </c>
      <c r="D479" s="100" t="s">
        <v>408</v>
      </c>
      <c r="E479" s="149">
        <v>1</v>
      </c>
      <c r="F479" s="149">
        <f>(954)*(1.023*1.005-2.3%*15%)*6.99+0*4.09</f>
        <v>6833</v>
      </c>
      <c r="G479" s="145">
        <f t="shared" si="188"/>
        <v>1.123</v>
      </c>
      <c r="H479" s="146">
        <f t="shared" si="189"/>
        <v>7673</v>
      </c>
      <c r="I479" s="145">
        <f>'[2]Расчет прогнозных дефляторов'!$D$75</f>
        <v>1.0429999999999999</v>
      </c>
      <c r="J479" s="146">
        <f t="shared" si="190"/>
        <v>8003</v>
      </c>
      <c r="K479" s="146">
        <f t="shared" si="191"/>
        <v>7904</v>
      </c>
      <c r="L479" s="172" t="s">
        <v>1399</v>
      </c>
      <c r="M479" s="147"/>
      <c r="N479" s="147"/>
    </row>
    <row r="480" spans="1:14" s="148" customFormat="1" ht="25.5" hidden="1" outlineLevel="3" x14ac:dyDescent="0.2">
      <c r="A480" s="95" t="s">
        <v>2065</v>
      </c>
      <c r="B480" s="42" t="s">
        <v>1392</v>
      </c>
      <c r="C480" s="42" t="s">
        <v>1383</v>
      </c>
      <c r="D480" s="100" t="s">
        <v>408</v>
      </c>
      <c r="E480" s="149">
        <v>1</v>
      </c>
      <c r="F480" s="149">
        <f>(77576)*(1.023*1.005-2.3%*15%)*6.99+0*4.09</f>
        <v>555631</v>
      </c>
      <c r="G480" s="145">
        <f t="shared" si="188"/>
        <v>1.123</v>
      </c>
      <c r="H480" s="146">
        <f t="shared" si="189"/>
        <v>623974</v>
      </c>
      <c r="I480" s="145">
        <f>'[2]Расчет прогнозных дефляторов'!$D$75</f>
        <v>1.0429999999999999</v>
      </c>
      <c r="J480" s="146">
        <f t="shared" si="190"/>
        <v>650805</v>
      </c>
      <c r="K480" s="146">
        <f t="shared" si="191"/>
        <v>642756</v>
      </c>
      <c r="L480" s="172" t="s">
        <v>1399</v>
      </c>
      <c r="M480" s="147"/>
      <c r="N480" s="147"/>
    </row>
    <row r="481" spans="1:14" s="148" customFormat="1" ht="15.75" hidden="1" outlineLevel="3" x14ac:dyDescent="0.2">
      <c r="A481" s="95"/>
      <c r="B481" s="42"/>
      <c r="C481" s="157" t="s">
        <v>1292</v>
      </c>
      <c r="D481" s="100"/>
      <c r="E481" s="149"/>
      <c r="F481" s="149"/>
      <c r="G481" s="145"/>
      <c r="H481" s="146"/>
      <c r="I481" s="145"/>
      <c r="J481" s="146"/>
      <c r="K481" s="146"/>
      <c r="L481" s="147"/>
      <c r="M481" s="147"/>
      <c r="N481" s="147"/>
    </row>
    <row r="482" spans="1:14" s="148" customFormat="1" ht="51" hidden="1" outlineLevel="3" x14ac:dyDescent="0.2">
      <c r="A482" s="95" t="s">
        <v>2066</v>
      </c>
      <c r="B482" s="42" t="s">
        <v>1393</v>
      </c>
      <c r="C482" s="42" t="s">
        <v>435</v>
      </c>
      <c r="D482" s="100" t="s">
        <v>408</v>
      </c>
      <c r="E482" s="149">
        <v>1</v>
      </c>
      <c r="F482" s="149">
        <f>(3680)*(1.023*1.005-2.3%*15%)*6.99+0*4.09</f>
        <v>26358</v>
      </c>
      <c r="G482" s="145">
        <f>$G$766</f>
        <v>1.123</v>
      </c>
      <c r="H482" s="146">
        <f t="shared" ref="H482:H484" si="192">F482*G482</f>
        <v>29600</v>
      </c>
      <c r="I482" s="145">
        <f>'[2]Расчет прогнозных дефляторов'!$D$75</f>
        <v>1.0429999999999999</v>
      </c>
      <c r="J482" s="146">
        <f t="shared" ref="J482:J484" si="193">H482*I482</f>
        <v>30873</v>
      </c>
      <c r="K482" s="146">
        <f t="shared" ref="K482:K484" si="194">H482+(J482-H482)*(1-30/100)</f>
        <v>30491</v>
      </c>
      <c r="L482" s="172" t="s">
        <v>1399</v>
      </c>
      <c r="M482" s="147"/>
      <c r="N482" s="147"/>
    </row>
    <row r="483" spans="1:14" s="148" customFormat="1" ht="51" hidden="1" outlineLevel="3" x14ac:dyDescent="0.2">
      <c r="A483" s="95" t="s">
        <v>2067</v>
      </c>
      <c r="B483" s="42" t="s">
        <v>1394</v>
      </c>
      <c r="C483" s="42" t="s">
        <v>437</v>
      </c>
      <c r="D483" s="100" t="s">
        <v>408</v>
      </c>
      <c r="E483" s="149">
        <v>1</v>
      </c>
      <c r="F483" s="149">
        <f>(1064)*(1.023*1.005-2.3%*15%)*6.99+0*4.09</f>
        <v>7621</v>
      </c>
      <c r="G483" s="145">
        <f>$G$766</f>
        <v>1.123</v>
      </c>
      <c r="H483" s="146">
        <f t="shared" si="192"/>
        <v>8558</v>
      </c>
      <c r="I483" s="145">
        <f>'[2]Расчет прогнозных дефляторов'!$D$75</f>
        <v>1.0429999999999999</v>
      </c>
      <c r="J483" s="146">
        <f t="shared" si="193"/>
        <v>8926</v>
      </c>
      <c r="K483" s="146">
        <f t="shared" si="194"/>
        <v>8816</v>
      </c>
      <c r="L483" s="172" t="s">
        <v>1399</v>
      </c>
      <c r="M483" s="147"/>
      <c r="N483" s="147"/>
    </row>
    <row r="484" spans="1:14" s="148" customFormat="1" ht="63.75" hidden="1" outlineLevel="3" x14ac:dyDescent="0.2">
      <c r="A484" s="95" t="s">
        <v>2068</v>
      </c>
      <c r="B484" s="42" t="s">
        <v>1395</v>
      </c>
      <c r="C484" s="42" t="s">
        <v>439</v>
      </c>
      <c r="D484" s="100" t="s">
        <v>408</v>
      </c>
      <c r="E484" s="149">
        <v>1</v>
      </c>
      <c r="F484" s="149">
        <f>(954)*(1.023*1.005-2.3%*15%)*6.99+0*4.09</f>
        <v>6833</v>
      </c>
      <c r="G484" s="145">
        <f>$G$766</f>
        <v>1.123</v>
      </c>
      <c r="H484" s="146">
        <f t="shared" si="192"/>
        <v>7673</v>
      </c>
      <c r="I484" s="145">
        <f>'[2]Расчет прогнозных дефляторов'!$D$75</f>
        <v>1.0429999999999999</v>
      </c>
      <c r="J484" s="146">
        <f t="shared" si="193"/>
        <v>8003</v>
      </c>
      <c r="K484" s="146">
        <f t="shared" si="194"/>
        <v>7904</v>
      </c>
      <c r="L484" s="172" t="s">
        <v>1399</v>
      </c>
      <c r="M484" s="147"/>
      <c r="N484" s="147"/>
    </row>
    <row r="485" spans="1:14" s="148" customFormat="1" ht="15.75" hidden="1" outlineLevel="3" x14ac:dyDescent="0.2">
      <c r="A485" s="95"/>
      <c r="B485" s="42"/>
      <c r="C485" s="157" t="s">
        <v>1384</v>
      </c>
      <c r="D485" s="100"/>
      <c r="E485" s="149"/>
      <c r="F485" s="149"/>
      <c r="G485" s="145"/>
      <c r="H485" s="146"/>
      <c r="I485" s="145"/>
      <c r="J485" s="146"/>
      <c r="K485" s="146"/>
      <c r="L485" s="147"/>
      <c r="M485" s="147"/>
      <c r="N485" s="147"/>
    </row>
    <row r="486" spans="1:14" s="148" customFormat="1" ht="51" hidden="1" outlineLevel="3" x14ac:dyDescent="0.2">
      <c r="A486" s="95" t="s">
        <v>2069</v>
      </c>
      <c r="B486" s="42" t="s">
        <v>1396</v>
      </c>
      <c r="C486" s="42" t="s">
        <v>1385</v>
      </c>
      <c r="D486" s="100" t="s">
        <v>408</v>
      </c>
      <c r="E486" s="149">
        <v>2</v>
      </c>
      <c r="F486" s="149">
        <f>(4392)*(1.023*1.005-2.3%*15%)*6.99+0*4.09</f>
        <v>31457</v>
      </c>
      <c r="G486" s="145">
        <f>$G$766</f>
        <v>1.123</v>
      </c>
      <c r="H486" s="146">
        <f t="shared" ref="H486:H488" si="195">F486*G486</f>
        <v>35326</v>
      </c>
      <c r="I486" s="145">
        <f>'[2]Расчет прогнозных дефляторов'!$D$75</f>
        <v>1.0429999999999999</v>
      </c>
      <c r="J486" s="146">
        <f t="shared" ref="J486:J488" si="196">H486*I486</f>
        <v>36845</v>
      </c>
      <c r="K486" s="146">
        <f t="shared" ref="K486:K488" si="197">H486+(J486-H486)*(1-30/100)</f>
        <v>36389</v>
      </c>
      <c r="L486" s="147"/>
      <c r="M486" s="147"/>
      <c r="N486" s="147"/>
    </row>
    <row r="487" spans="1:14" s="148" customFormat="1" ht="63.75" hidden="1" outlineLevel="3" x14ac:dyDescent="0.2">
      <c r="A487" s="95" t="s">
        <v>2070</v>
      </c>
      <c r="B487" s="42" t="s">
        <v>1397</v>
      </c>
      <c r="C487" s="42" t="s">
        <v>1380</v>
      </c>
      <c r="D487" s="100" t="s">
        <v>408</v>
      </c>
      <c r="E487" s="149">
        <v>1</v>
      </c>
      <c r="F487" s="149">
        <f>(1484)*(1.023*1.005-2.3%*15%)*6.99+0*4.09</f>
        <v>10629</v>
      </c>
      <c r="G487" s="145">
        <f>$G$766</f>
        <v>1.123</v>
      </c>
      <c r="H487" s="146">
        <f t="shared" si="195"/>
        <v>11936</v>
      </c>
      <c r="I487" s="145">
        <f>'[2]Расчет прогнозных дефляторов'!$D$75</f>
        <v>1.0429999999999999</v>
      </c>
      <c r="J487" s="146">
        <f t="shared" si="196"/>
        <v>12449</v>
      </c>
      <c r="K487" s="146">
        <f t="shared" si="197"/>
        <v>12295</v>
      </c>
      <c r="L487" s="172" t="s">
        <v>1399</v>
      </c>
      <c r="M487" s="147"/>
      <c r="N487" s="147"/>
    </row>
    <row r="488" spans="1:14" s="148" customFormat="1" ht="76.5" hidden="1" outlineLevel="3" x14ac:dyDescent="0.2">
      <c r="A488" s="95" t="s">
        <v>2071</v>
      </c>
      <c r="B488" s="42" t="s">
        <v>1398</v>
      </c>
      <c r="C488" s="42" t="s">
        <v>1386</v>
      </c>
      <c r="D488" s="100" t="s">
        <v>408</v>
      </c>
      <c r="E488" s="149">
        <v>1</v>
      </c>
      <c r="F488" s="149">
        <f>(778)*(1.023*1.005-2.3%*15%)*6.99+0*4.09</f>
        <v>5572</v>
      </c>
      <c r="G488" s="145">
        <f>$G$766</f>
        <v>1.123</v>
      </c>
      <c r="H488" s="146">
        <f t="shared" si="195"/>
        <v>6257</v>
      </c>
      <c r="I488" s="145">
        <f>'[2]Расчет прогнозных дефляторов'!$D$75</f>
        <v>1.0429999999999999</v>
      </c>
      <c r="J488" s="146">
        <f t="shared" si="196"/>
        <v>6526</v>
      </c>
      <c r="K488" s="146">
        <f t="shared" si="197"/>
        <v>6445</v>
      </c>
      <c r="L488" s="172" t="s">
        <v>1399</v>
      </c>
      <c r="M488" s="147"/>
      <c r="N488" s="147"/>
    </row>
    <row r="489" spans="1:14" s="237" customFormat="1" ht="25.5" outlineLevel="1" collapsed="1" x14ac:dyDescent="0.2">
      <c r="A489" s="238" t="s">
        <v>490</v>
      </c>
      <c r="B489" s="229" t="s">
        <v>35</v>
      </c>
      <c r="C489" s="229" t="s">
        <v>36</v>
      </c>
      <c r="D489" s="239" t="s">
        <v>292</v>
      </c>
      <c r="E489" s="240">
        <v>1</v>
      </c>
      <c r="F489" s="240">
        <f>SUM(F491:F503)</f>
        <v>13919782</v>
      </c>
      <c r="G489" s="241"/>
      <c r="H489" s="240">
        <f>SUM(H491:H503)</f>
        <v>15631913</v>
      </c>
      <c r="I489" s="241"/>
      <c r="J489" s="240">
        <f>SUM(J491:J503)</f>
        <v>16304087</v>
      </c>
      <c r="K489" s="240">
        <f>SUM(K491:K503)</f>
        <v>16102436</v>
      </c>
      <c r="L489" s="256"/>
      <c r="M489" s="256"/>
      <c r="N489" s="256"/>
    </row>
    <row r="490" spans="1:14" s="148" customFormat="1" ht="15.75" hidden="1" outlineLevel="2" x14ac:dyDescent="0.2">
      <c r="A490" s="95"/>
      <c r="B490" s="42"/>
      <c r="C490" s="42" t="s">
        <v>367</v>
      </c>
      <c r="D490" s="100"/>
      <c r="E490" s="100"/>
      <c r="F490" s="149"/>
      <c r="G490" s="145"/>
      <c r="H490" s="146"/>
      <c r="I490" s="145"/>
      <c r="J490" s="146"/>
      <c r="K490" s="146"/>
      <c r="L490" s="147"/>
      <c r="M490" s="147"/>
      <c r="N490" s="147"/>
    </row>
    <row r="491" spans="1:14" s="148" customFormat="1" ht="25.5" hidden="1" outlineLevel="2" x14ac:dyDescent="0.2">
      <c r="A491" s="95" t="s">
        <v>491</v>
      </c>
      <c r="B491" s="42" t="s">
        <v>1400</v>
      </c>
      <c r="C491" s="42" t="s">
        <v>356</v>
      </c>
      <c r="D491" s="100" t="s">
        <v>300</v>
      </c>
      <c r="E491" s="100">
        <f>773.01</f>
        <v>773.01</v>
      </c>
      <c r="F491" s="149">
        <f>(154145)*(1.023*1.005-2.3%*15%)*6.99+0*4.09-13</f>
        <v>1104036</v>
      </c>
      <c r="G491" s="145">
        <f t="shared" ref="G491:G497" si="198">$G$766</f>
        <v>1.123</v>
      </c>
      <c r="H491" s="146">
        <f t="shared" ref="H491:H497" si="199">F491*G491</f>
        <v>1239832</v>
      </c>
      <c r="I491" s="145">
        <f>'[2]Расчет прогнозных дефляторов'!$D$75</f>
        <v>1.0429999999999999</v>
      </c>
      <c r="J491" s="146">
        <f t="shared" ref="J491:J497" si="200">H491*I491</f>
        <v>1293145</v>
      </c>
      <c r="K491" s="146">
        <f t="shared" ref="K491:K497" si="201">H491+(J491-H491)*(1-30/100)</f>
        <v>1277151</v>
      </c>
      <c r="L491" s="147"/>
      <c r="M491" s="147"/>
      <c r="N491" s="147"/>
    </row>
    <row r="492" spans="1:14" s="148" customFormat="1" ht="15.75" hidden="1" outlineLevel="2" x14ac:dyDescent="0.2">
      <c r="A492" s="95" t="s">
        <v>495</v>
      </c>
      <c r="B492" s="42" t="s">
        <v>1401</v>
      </c>
      <c r="C492" s="42" t="s">
        <v>398</v>
      </c>
      <c r="D492" s="100" t="s">
        <v>300</v>
      </c>
      <c r="E492" s="100">
        <f>287.91</f>
        <v>287.91000000000003</v>
      </c>
      <c r="F492" s="149">
        <f>(4995)*(1.023*1.005-2.3%*15%)*6.99+0*4.09</f>
        <v>35776</v>
      </c>
      <c r="G492" s="145">
        <f t="shared" si="198"/>
        <v>1.123</v>
      </c>
      <c r="H492" s="146">
        <f t="shared" si="199"/>
        <v>40176</v>
      </c>
      <c r="I492" s="145">
        <f>'[2]Расчет прогнозных дефляторов'!$D$75</f>
        <v>1.0429999999999999</v>
      </c>
      <c r="J492" s="146">
        <f t="shared" si="200"/>
        <v>41904</v>
      </c>
      <c r="K492" s="146">
        <f t="shared" si="201"/>
        <v>41386</v>
      </c>
      <c r="L492" s="147"/>
      <c r="M492" s="147"/>
      <c r="N492" s="147"/>
    </row>
    <row r="493" spans="1:14" s="148" customFormat="1" ht="25.5" hidden="1" outlineLevel="2" x14ac:dyDescent="0.2">
      <c r="A493" s="95" t="s">
        <v>586</v>
      </c>
      <c r="B493" s="42" t="s">
        <v>1403</v>
      </c>
      <c r="C493" s="42" t="s">
        <v>1402</v>
      </c>
      <c r="D493" s="100" t="s">
        <v>300</v>
      </c>
      <c r="E493" s="100">
        <f>253.2</f>
        <v>253.2</v>
      </c>
      <c r="F493" s="149">
        <f>(9182)*(1.023*1.005-2.3%*15%)*6.99+0*4.09</f>
        <v>65765</v>
      </c>
      <c r="G493" s="145">
        <f t="shared" si="198"/>
        <v>1.123</v>
      </c>
      <c r="H493" s="146">
        <f t="shared" si="199"/>
        <v>73854</v>
      </c>
      <c r="I493" s="145">
        <f>'[2]Расчет прогнозных дефляторов'!$D$75</f>
        <v>1.0429999999999999</v>
      </c>
      <c r="J493" s="146">
        <f t="shared" si="200"/>
        <v>77030</v>
      </c>
      <c r="K493" s="146">
        <f t="shared" si="201"/>
        <v>76077</v>
      </c>
      <c r="L493" s="147"/>
      <c r="M493" s="147"/>
      <c r="N493" s="147"/>
    </row>
    <row r="494" spans="1:14" s="148" customFormat="1" ht="25.5" hidden="1" outlineLevel="2" x14ac:dyDescent="0.2">
      <c r="A494" s="95" t="s">
        <v>588</v>
      </c>
      <c r="B494" s="42" t="s">
        <v>1404</v>
      </c>
      <c r="C494" s="42" t="s">
        <v>1405</v>
      </c>
      <c r="D494" s="100" t="s">
        <v>300</v>
      </c>
      <c r="E494" s="100">
        <f>154.6</f>
        <v>154.6</v>
      </c>
      <c r="F494" s="149">
        <f>(20599)*(1.023*1.005-2.3%*15%)*6.99+0*4.09</f>
        <v>147538</v>
      </c>
      <c r="G494" s="145">
        <f t="shared" si="198"/>
        <v>1.123</v>
      </c>
      <c r="H494" s="146">
        <f t="shared" si="199"/>
        <v>165685</v>
      </c>
      <c r="I494" s="145">
        <f>'[2]Расчет прогнозных дефляторов'!$D$75</f>
        <v>1.0429999999999999</v>
      </c>
      <c r="J494" s="146">
        <f t="shared" si="200"/>
        <v>172809</v>
      </c>
      <c r="K494" s="146">
        <f t="shared" si="201"/>
        <v>170672</v>
      </c>
      <c r="L494" s="147"/>
      <c r="M494" s="147"/>
      <c r="N494" s="147"/>
    </row>
    <row r="495" spans="1:14" s="148" customFormat="1" ht="15.75" hidden="1" outlineLevel="2" x14ac:dyDescent="0.2">
      <c r="A495" s="95" t="s">
        <v>590</v>
      </c>
      <c r="B495" s="42" t="s">
        <v>1407</v>
      </c>
      <c r="C495" s="42" t="s">
        <v>1406</v>
      </c>
      <c r="D495" s="100" t="s">
        <v>300</v>
      </c>
      <c r="E495" s="100">
        <f>77.3</f>
        <v>77.3</v>
      </c>
      <c r="F495" s="149">
        <f>(9506)*(1.023*1.005-2.3%*15%)*6.99+0*4.09</f>
        <v>68086</v>
      </c>
      <c r="G495" s="145">
        <f t="shared" si="198"/>
        <v>1.123</v>
      </c>
      <c r="H495" s="146">
        <f t="shared" si="199"/>
        <v>76461</v>
      </c>
      <c r="I495" s="145">
        <f>'[2]Расчет прогнозных дефляторов'!$D$75</f>
        <v>1.0429999999999999</v>
      </c>
      <c r="J495" s="146">
        <f t="shared" si="200"/>
        <v>79749</v>
      </c>
      <c r="K495" s="146">
        <f t="shared" si="201"/>
        <v>78763</v>
      </c>
      <c r="L495" s="147"/>
      <c r="M495" s="147"/>
      <c r="N495" s="147"/>
    </row>
    <row r="496" spans="1:14" s="148" customFormat="1" ht="25.5" hidden="1" outlineLevel="2" x14ac:dyDescent="0.2">
      <c r="A496" s="95" t="s">
        <v>593</v>
      </c>
      <c r="B496" s="42" t="s">
        <v>1408</v>
      </c>
      <c r="C496" s="42" t="s">
        <v>750</v>
      </c>
      <c r="D496" s="100" t="s">
        <v>300</v>
      </c>
      <c r="E496" s="100">
        <f>519.81</f>
        <v>519.80999999999995</v>
      </c>
      <c r="F496" s="149">
        <f>(7030)*(1.023*1.005-2.3%*15%)*6.99+0*4.09</f>
        <v>50352</v>
      </c>
      <c r="G496" s="145">
        <f t="shared" si="198"/>
        <v>1.123</v>
      </c>
      <c r="H496" s="146">
        <f t="shared" si="199"/>
        <v>56545</v>
      </c>
      <c r="I496" s="145">
        <f>'[2]Расчет прогнозных дефляторов'!$D$75</f>
        <v>1.0429999999999999</v>
      </c>
      <c r="J496" s="146">
        <f t="shared" si="200"/>
        <v>58976</v>
      </c>
      <c r="K496" s="146">
        <f t="shared" si="201"/>
        <v>58247</v>
      </c>
      <c r="L496" s="147"/>
      <c r="M496" s="147"/>
      <c r="N496" s="147"/>
    </row>
    <row r="497" spans="1:14" s="148" customFormat="1" ht="25.5" hidden="1" outlineLevel="2" x14ac:dyDescent="0.2">
      <c r="A497" s="95" t="s">
        <v>595</v>
      </c>
      <c r="B497" s="42" t="s">
        <v>1410</v>
      </c>
      <c r="C497" s="42" t="s">
        <v>1409</v>
      </c>
      <c r="D497" s="100" t="s">
        <v>377</v>
      </c>
      <c r="E497" s="100">
        <v>2110</v>
      </c>
      <c r="F497" s="149">
        <f>(1043596)*(1.023*1.005-2.3%*15%)*6.99+0*4.09</f>
        <v>7474661</v>
      </c>
      <c r="G497" s="145">
        <f t="shared" si="198"/>
        <v>1.123</v>
      </c>
      <c r="H497" s="146">
        <f t="shared" si="199"/>
        <v>8394044</v>
      </c>
      <c r="I497" s="145">
        <f>'[2]Расчет прогнозных дефляторов'!$D$75</f>
        <v>1.0429999999999999</v>
      </c>
      <c r="J497" s="146">
        <f t="shared" si="200"/>
        <v>8754988</v>
      </c>
      <c r="K497" s="146">
        <f t="shared" si="201"/>
        <v>8646705</v>
      </c>
      <c r="L497" s="172" t="s">
        <v>1411</v>
      </c>
      <c r="M497" s="147"/>
      <c r="N497" s="147"/>
    </row>
    <row r="498" spans="1:14" s="148" customFormat="1" ht="15.75" hidden="1" outlineLevel="2" x14ac:dyDescent="0.2">
      <c r="A498" s="95"/>
      <c r="B498" s="42"/>
      <c r="C498" s="42" t="s">
        <v>379</v>
      </c>
      <c r="D498" s="100"/>
      <c r="E498" s="100"/>
      <c r="F498" s="149"/>
      <c r="G498" s="145"/>
      <c r="H498" s="146"/>
      <c r="I498" s="145"/>
      <c r="J498" s="146"/>
      <c r="K498" s="146"/>
      <c r="L498" s="147"/>
      <c r="M498" s="147"/>
      <c r="N498" s="147"/>
    </row>
    <row r="499" spans="1:14" s="148" customFormat="1" ht="25.5" hidden="1" outlineLevel="2" x14ac:dyDescent="0.2">
      <c r="A499" s="95" t="s">
        <v>597</v>
      </c>
      <c r="B499" s="42" t="s">
        <v>1413</v>
      </c>
      <c r="C499" s="42" t="s">
        <v>1412</v>
      </c>
      <c r="D499" s="100" t="s">
        <v>377</v>
      </c>
      <c r="E499" s="100">
        <f>6330</f>
        <v>6330</v>
      </c>
      <c r="F499" s="149">
        <f>(640959)*(1.023*1.005-2.3%*15%)*6.99+0*4.09</f>
        <v>4590810</v>
      </c>
      <c r="G499" s="145">
        <f>$G$766</f>
        <v>1.123</v>
      </c>
      <c r="H499" s="146">
        <f t="shared" ref="H499:H503" si="202">F499*G499</f>
        <v>5155480</v>
      </c>
      <c r="I499" s="145">
        <f>'[2]Расчет прогнозных дефляторов'!$D$75</f>
        <v>1.0429999999999999</v>
      </c>
      <c r="J499" s="146">
        <f t="shared" ref="J499:J503" si="203">H499*I499</f>
        <v>5377166</v>
      </c>
      <c r="K499" s="146">
        <f t="shared" ref="K499:K503" si="204">H499+(J499-H499)*(1-30/100)</f>
        <v>5310660</v>
      </c>
      <c r="L499" s="147"/>
      <c r="M499" s="147"/>
      <c r="N499" s="147"/>
    </row>
    <row r="500" spans="1:14" s="148" customFormat="1" ht="38.25" hidden="1" outlineLevel="2" x14ac:dyDescent="0.2">
      <c r="A500" s="95" t="s">
        <v>600</v>
      </c>
      <c r="B500" s="42" t="s">
        <v>1415</v>
      </c>
      <c r="C500" s="42" t="s">
        <v>1414</v>
      </c>
      <c r="D500" s="100" t="s">
        <v>377</v>
      </c>
      <c r="E500" s="100">
        <v>240</v>
      </c>
      <c r="F500" s="149">
        <f>(24546)*(1.023*1.005-2.3%*15%)*6.99+0*4.09</f>
        <v>175808</v>
      </c>
      <c r="G500" s="145">
        <f>$G$766</f>
        <v>1.123</v>
      </c>
      <c r="H500" s="146">
        <f t="shared" si="202"/>
        <v>197432</v>
      </c>
      <c r="I500" s="145">
        <f>'[2]Расчет прогнозных дефляторов'!$D$75</f>
        <v>1.0429999999999999</v>
      </c>
      <c r="J500" s="146">
        <f t="shared" si="203"/>
        <v>205922</v>
      </c>
      <c r="K500" s="146">
        <f t="shared" si="204"/>
        <v>203375</v>
      </c>
      <c r="L500" s="147"/>
      <c r="M500" s="147"/>
      <c r="N500" s="147"/>
    </row>
    <row r="501" spans="1:14" s="148" customFormat="1" ht="15.75" hidden="1" outlineLevel="2" x14ac:dyDescent="0.2">
      <c r="A501" s="95" t="s">
        <v>602</v>
      </c>
      <c r="B501" s="42" t="s">
        <v>1417</v>
      </c>
      <c r="C501" s="42" t="s">
        <v>1416</v>
      </c>
      <c r="D501" s="100" t="s">
        <v>408</v>
      </c>
      <c r="E501" s="100">
        <v>8</v>
      </c>
      <c r="F501" s="149">
        <f>(13535)*(1.023*1.005-2.3%*15%)*6.99+0*4.09</f>
        <v>96943</v>
      </c>
      <c r="G501" s="145">
        <f>$G$766</f>
        <v>1.123</v>
      </c>
      <c r="H501" s="146">
        <f t="shared" si="202"/>
        <v>108867</v>
      </c>
      <c r="I501" s="145">
        <f>'[2]Расчет прогнозных дефляторов'!$D$75</f>
        <v>1.0429999999999999</v>
      </c>
      <c r="J501" s="146">
        <f t="shared" si="203"/>
        <v>113548</v>
      </c>
      <c r="K501" s="146">
        <f t="shared" si="204"/>
        <v>112144</v>
      </c>
      <c r="L501" s="147"/>
      <c r="M501" s="147"/>
      <c r="N501" s="147"/>
    </row>
    <row r="502" spans="1:14" s="148" customFormat="1" ht="25.5" hidden="1" outlineLevel="2" x14ac:dyDescent="0.2">
      <c r="A502" s="95" t="s">
        <v>604</v>
      </c>
      <c r="B502" s="42" t="s">
        <v>1419</v>
      </c>
      <c r="C502" s="42" t="s">
        <v>1418</v>
      </c>
      <c r="D502" s="100" t="s">
        <v>408</v>
      </c>
      <c r="E502" s="100">
        <v>8</v>
      </c>
      <c r="F502" s="149">
        <f>(13238)*(1.023*1.005-2.3%*15%)*6.99+0*4.09</f>
        <v>94816</v>
      </c>
      <c r="G502" s="145">
        <f>$G$766</f>
        <v>1.123</v>
      </c>
      <c r="H502" s="146">
        <f t="shared" si="202"/>
        <v>106478</v>
      </c>
      <c r="I502" s="145">
        <f>'[2]Расчет прогнозных дефляторов'!$D$75</f>
        <v>1.0429999999999999</v>
      </c>
      <c r="J502" s="146">
        <f t="shared" si="203"/>
        <v>111057</v>
      </c>
      <c r="K502" s="146">
        <f t="shared" si="204"/>
        <v>109683</v>
      </c>
      <c r="L502" s="147"/>
      <c r="M502" s="147"/>
      <c r="N502" s="147"/>
    </row>
    <row r="503" spans="1:14" s="148" customFormat="1" ht="25.5" hidden="1" outlineLevel="2" x14ac:dyDescent="0.2">
      <c r="A503" s="95" t="s">
        <v>605</v>
      </c>
      <c r="B503" s="42" t="s">
        <v>1421</v>
      </c>
      <c r="C503" s="42" t="s">
        <v>1420</v>
      </c>
      <c r="D503" s="100" t="s">
        <v>404</v>
      </c>
      <c r="E503" s="100">
        <f>28.64</f>
        <v>28.64</v>
      </c>
      <c r="F503" s="149">
        <f>(2121)*(1.023*1.005-2.3%*15%)*6.99+0*4.09</f>
        <v>15191</v>
      </c>
      <c r="G503" s="145">
        <f>$G$766</f>
        <v>1.123</v>
      </c>
      <c r="H503" s="146">
        <f t="shared" si="202"/>
        <v>17059</v>
      </c>
      <c r="I503" s="145">
        <f>'[2]Расчет прогнозных дефляторов'!$D$75</f>
        <v>1.0429999999999999</v>
      </c>
      <c r="J503" s="146">
        <f t="shared" si="203"/>
        <v>17793</v>
      </c>
      <c r="K503" s="146">
        <f t="shared" si="204"/>
        <v>17573</v>
      </c>
      <c r="L503" s="147"/>
      <c r="M503" s="147"/>
      <c r="N503" s="147"/>
    </row>
    <row r="504" spans="1:14" s="237" customFormat="1" ht="25.5" outlineLevel="1" collapsed="1" x14ac:dyDescent="0.2">
      <c r="A504" s="238" t="s">
        <v>497</v>
      </c>
      <c r="B504" s="229" t="s">
        <v>37</v>
      </c>
      <c r="C504" s="229" t="s">
        <v>38</v>
      </c>
      <c r="D504" s="239" t="s">
        <v>292</v>
      </c>
      <c r="E504" s="240">
        <v>1</v>
      </c>
      <c r="F504" s="240">
        <f>SUM(F505:F543)</f>
        <v>21302976</v>
      </c>
      <c r="G504" s="241"/>
      <c r="H504" s="240">
        <f>SUM(H505:H543)</f>
        <v>23923241</v>
      </c>
      <c r="I504" s="241"/>
      <c r="J504" s="240">
        <f>SUM(J505:J543)</f>
        <v>24951942</v>
      </c>
      <c r="K504" s="240">
        <f>SUM(K505:K543)</f>
        <v>24643335</v>
      </c>
      <c r="L504" s="256"/>
      <c r="M504" s="256"/>
      <c r="N504" s="256"/>
    </row>
    <row r="505" spans="1:14" s="148" customFormat="1" ht="15.75" hidden="1" outlineLevel="2" x14ac:dyDescent="0.2">
      <c r="A505" s="95"/>
      <c r="B505" s="42"/>
      <c r="C505" s="42" t="s">
        <v>367</v>
      </c>
      <c r="D505" s="100"/>
      <c r="E505" s="100"/>
      <c r="F505" s="149"/>
      <c r="G505" s="145"/>
      <c r="H505" s="146"/>
      <c r="I505" s="145"/>
      <c r="J505" s="146"/>
      <c r="K505" s="146"/>
      <c r="L505" s="147"/>
      <c r="M505" s="147"/>
      <c r="N505" s="147"/>
    </row>
    <row r="506" spans="1:14" s="148" customFormat="1" ht="25.5" hidden="1" outlineLevel="2" x14ac:dyDescent="0.2">
      <c r="A506" s="95" t="s">
        <v>498</v>
      </c>
      <c r="B506" s="42" t="s">
        <v>499</v>
      </c>
      <c r="C506" s="42" t="s">
        <v>356</v>
      </c>
      <c r="D506" s="100" t="s">
        <v>300</v>
      </c>
      <c r="E506" s="100">
        <f>844.67</f>
        <v>844.67</v>
      </c>
      <c r="F506" s="149">
        <f>(168436)*(1.023*1.005-2.3%*15%)*6.99+0*4.09-67</f>
        <v>1206340</v>
      </c>
      <c r="G506" s="145">
        <f t="shared" ref="G506:G512" si="205">$G$766</f>
        <v>1.123</v>
      </c>
      <c r="H506" s="146">
        <f t="shared" ref="H506:H512" si="206">F506*G506</f>
        <v>1354720</v>
      </c>
      <c r="I506" s="145">
        <f>'[2]Расчет прогнозных дефляторов'!$D$75</f>
        <v>1.0429999999999999</v>
      </c>
      <c r="J506" s="146">
        <f t="shared" ref="J506:J512" si="207">H506*I506</f>
        <v>1412973</v>
      </c>
      <c r="K506" s="146">
        <f t="shared" ref="K506:K512" si="208">H506+(J506-H506)*(1-30/100)</f>
        <v>1395497</v>
      </c>
      <c r="L506" s="147"/>
      <c r="M506" s="147"/>
      <c r="N506" s="147"/>
    </row>
    <row r="507" spans="1:14" s="148" customFormat="1" ht="15.75" hidden="1" outlineLevel="2" x14ac:dyDescent="0.2">
      <c r="A507" s="95" t="s">
        <v>500</v>
      </c>
      <c r="B507" s="42" t="s">
        <v>1422</v>
      </c>
      <c r="C507" s="42" t="s">
        <v>398</v>
      </c>
      <c r="D507" s="100" t="s">
        <v>300</v>
      </c>
      <c r="E507" s="100">
        <f>312.69</f>
        <v>312.69</v>
      </c>
      <c r="F507" s="149">
        <f>(5425)*(1.023*1.005-2.3%*15%)*6.99+0*4.09</f>
        <v>38856</v>
      </c>
      <c r="G507" s="145">
        <f t="shared" si="205"/>
        <v>1.123</v>
      </c>
      <c r="H507" s="146">
        <f t="shared" si="206"/>
        <v>43635</v>
      </c>
      <c r="I507" s="145">
        <f>'[2]Расчет прогнозных дефляторов'!$D$75</f>
        <v>1.0429999999999999</v>
      </c>
      <c r="J507" s="146">
        <f t="shared" si="207"/>
        <v>45511</v>
      </c>
      <c r="K507" s="146">
        <f t="shared" si="208"/>
        <v>44948</v>
      </c>
      <c r="L507" s="147"/>
      <c r="M507" s="147"/>
      <c r="N507" s="147"/>
    </row>
    <row r="508" spans="1:14" s="148" customFormat="1" ht="25.5" hidden="1" outlineLevel="2" x14ac:dyDescent="0.2">
      <c r="A508" s="95" t="s">
        <v>501</v>
      </c>
      <c r="B508" s="42" t="s">
        <v>1423</v>
      </c>
      <c r="C508" s="42" t="s">
        <v>1402</v>
      </c>
      <c r="D508" s="100" t="s">
        <v>300</v>
      </c>
      <c r="E508" s="100">
        <f>278.58</f>
        <v>278.58</v>
      </c>
      <c r="F508" s="149">
        <f>(10103)*(1.023*1.005-2.3%*15%)*6.99+0*4.09</f>
        <v>72362</v>
      </c>
      <c r="G508" s="145">
        <f t="shared" si="205"/>
        <v>1.123</v>
      </c>
      <c r="H508" s="146">
        <f t="shared" si="206"/>
        <v>81263</v>
      </c>
      <c r="I508" s="145">
        <f>'[2]Расчет прогнозных дефляторов'!$D$75</f>
        <v>1.0429999999999999</v>
      </c>
      <c r="J508" s="146">
        <f t="shared" si="207"/>
        <v>84757</v>
      </c>
      <c r="K508" s="146">
        <f t="shared" si="208"/>
        <v>83709</v>
      </c>
      <c r="L508" s="147"/>
      <c r="M508" s="147"/>
      <c r="N508" s="147"/>
    </row>
    <row r="509" spans="1:14" s="148" customFormat="1" ht="25.5" hidden="1" outlineLevel="2" x14ac:dyDescent="0.2">
      <c r="A509" s="95" t="s">
        <v>502</v>
      </c>
      <c r="B509" s="42" t="s">
        <v>1424</v>
      </c>
      <c r="C509" s="42" t="s">
        <v>1405</v>
      </c>
      <c r="D509" s="100" t="s">
        <v>300</v>
      </c>
      <c r="E509" s="100">
        <f>168.93</f>
        <v>168.93</v>
      </c>
      <c r="F509" s="149">
        <f>(22506)*(1.023*1.005-2.3%*15%)*6.99+0*4.09</f>
        <v>161197</v>
      </c>
      <c r="G509" s="145">
        <f t="shared" si="205"/>
        <v>1.123</v>
      </c>
      <c r="H509" s="146">
        <f t="shared" si="206"/>
        <v>181024</v>
      </c>
      <c r="I509" s="145">
        <f>'[2]Расчет прогнозных дефляторов'!$D$75</f>
        <v>1.0429999999999999</v>
      </c>
      <c r="J509" s="146">
        <f t="shared" si="207"/>
        <v>188808</v>
      </c>
      <c r="K509" s="146">
        <f t="shared" si="208"/>
        <v>186473</v>
      </c>
      <c r="L509" s="147"/>
      <c r="M509" s="147"/>
      <c r="N509" s="147"/>
    </row>
    <row r="510" spans="1:14" s="148" customFormat="1" ht="15.75" hidden="1" outlineLevel="2" x14ac:dyDescent="0.2">
      <c r="A510" s="95" t="s">
        <v>503</v>
      </c>
      <c r="B510" s="42" t="s">
        <v>1425</v>
      </c>
      <c r="C510" s="42" t="s">
        <v>1406</v>
      </c>
      <c r="D510" s="100" t="s">
        <v>300</v>
      </c>
      <c r="E510" s="100">
        <f>84.47</f>
        <v>84.47</v>
      </c>
      <c r="F510" s="149">
        <f>(10389)*(1.023*1.005-2.3%*15%)*6.99+0*4.09</f>
        <v>74410</v>
      </c>
      <c r="G510" s="145">
        <f t="shared" si="205"/>
        <v>1.123</v>
      </c>
      <c r="H510" s="146">
        <f t="shared" si="206"/>
        <v>83562</v>
      </c>
      <c r="I510" s="145">
        <f>'[2]Расчет прогнозных дефляторов'!$D$75</f>
        <v>1.0429999999999999</v>
      </c>
      <c r="J510" s="146">
        <f t="shared" si="207"/>
        <v>87155</v>
      </c>
      <c r="K510" s="146">
        <f t="shared" si="208"/>
        <v>86077</v>
      </c>
      <c r="L510" s="147"/>
      <c r="M510" s="147"/>
      <c r="N510" s="147"/>
    </row>
    <row r="511" spans="1:14" s="148" customFormat="1" ht="25.5" hidden="1" outlineLevel="2" x14ac:dyDescent="0.2">
      <c r="A511" s="95" t="s">
        <v>615</v>
      </c>
      <c r="B511" s="42" t="s">
        <v>1426</v>
      </c>
      <c r="C511" s="42" t="s">
        <v>750</v>
      </c>
      <c r="D511" s="100" t="s">
        <v>300</v>
      </c>
      <c r="E511" s="100">
        <f>566.09</f>
        <v>566.09</v>
      </c>
      <c r="F511" s="149">
        <f>(7654)*(1.023*1.005-2.3%*15%)*6.99+0*4.09</f>
        <v>54821</v>
      </c>
      <c r="G511" s="145">
        <f t="shared" si="205"/>
        <v>1.123</v>
      </c>
      <c r="H511" s="146">
        <f t="shared" si="206"/>
        <v>61564</v>
      </c>
      <c r="I511" s="145">
        <f>'[2]Расчет прогнозных дефляторов'!$D$75</f>
        <v>1.0429999999999999</v>
      </c>
      <c r="J511" s="146">
        <f t="shared" si="207"/>
        <v>64211</v>
      </c>
      <c r="K511" s="146">
        <f t="shared" si="208"/>
        <v>63417</v>
      </c>
      <c r="L511" s="147"/>
      <c r="M511" s="147"/>
      <c r="N511" s="147"/>
    </row>
    <row r="512" spans="1:14" s="148" customFormat="1" ht="25.5" hidden="1" outlineLevel="2" x14ac:dyDescent="0.2">
      <c r="A512" s="95" t="s">
        <v>616</v>
      </c>
      <c r="B512" s="42" t="s">
        <v>1428</v>
      </c>
      <c r="C512" s="42" t="s">
        <v>1427</v>
      </c>
      <c r="D512" s="100" t="s">
        <v>377</v>
      </c>
      <c r="E512" s="100">
        <v>2396</v>
      </c>
      <c r="F512" s="149">
        <f>(571892)*(1.023*1.005-2.3%*15%)*6.99+0*4.09</f>
        <v>4096124</v>
      </c>
      <c r="G512" s="145">
        <f t="shared" si="205"/>
        <v>1.123</v>
      </c>
      <c r="H512" s="146">
        <f t="shared" si="206"/>
        <v>4599947</v>
      </c>
      <c r="I512" s="145">
        <f>'[2]Расчет прогнозных дефляторов'!$D$75</f>
        <v>1.0429999999999999</v>
      </c>
      <c r="J512" s="146">
        <f t="shared" si="207"/>
        <v>4797745</v>
      </c>
      <c r="K512" s="146">
        <f t="shared" si="208"/>
        <v>4738406</v>
      </c>
      <c r="L512" s="172" t="s">
        <v>1411</v>
      </c>
      <c r="M512" s="147"/>
      <c r="N512" s="147"/>
    </row>
    <row r="513" spans="1:14" s="148" customFormat="1" ht="15.75" hidden="1" outlineLevel="2" x14ac:dyDescent="0.2">
      <c r="A513" s="95"/>
      <c r="B513" s="42"/>
      <c r="C513" s="42" t="s">
        <v>379</v>
      </c>
      <c r="D513" s="100"/>
      <c r="E513" s="100"/>
      <c r="F513" s="149"/>
      <c r="G513" s="145"/>
      <c r="H513" s="146"/>
      <c r="I513" s="145"/>
      <c r="J513" s="146"/>
      <c r="K513" s="146"/>
      <c r="L513" s="147"/>
      <c r="M513" s="147"/>
      <c r="N513" s="147"/>
    </row>
    <row r="514" spans="1:14" s="148" customFormat="1" ht="15.75" hidden="1" outlineLevel="2" x14ac:dyDescent="0.2">
      <c r="A514" s="95" t="s">
        <v>617</v>
      </c>
      <c r="B514" s="42" t="s">
        <v>1430</v>
      </c>
      <c r="C514" s="42" t="s">
        <v>1429</v>
      </c>
      <c r="D514" s="100" t="s">
        <v>377</v>
      </c>
      <c r="E514" s="100">
        <v>10</v>
      </c>
      <c r="F514" s="149">
        <f>(1067)*(1.023*1.005-2.3%*15%)*6.99+0*4.09</f>
        <v>7642</v>
      </c>
      <c r="G514" s="145">
        <f t="shared" ref="G514:G543" si="209">$G$766</f>
        <v>1.123</v>
      </c>
      <c r="H514" s="146">
        <f t="shared" ref="H514:H543" si="210">F514*G514</f>
        <v>8582</v>
      </c>
      <c r="I514" s="145">
        <f>'[2]Расчет прогнозных дефляторов'!$D$75</f>
        <v>1.0429999999999999</v>
      </c>
      <c r="J514" s="146">
        <f t="shared" ref="J514:J543" si="211">H514*I514</f>
        <v>8951</v>
      </c>
      <c r="K514" s="146">
        <f t="shared" ref="K514:K543" si="212">H514+(J514-H514)*(1-30/100)</f>
        <v>8840</v>
      </c>
      <c r="L514" s="147"/>
      <c r="M514" s="147"/>
      <c r="N514" s="147"/>
    </row>
    <row r="515" spans="1:14" s="148" customFormat="1" ht="25.5" hidden="1" outlineLevel="2" x14ac:dyDescent="0.2">
      <c r="A515" s="95" t="s">
        <v>618</v>
      </c>
      <c r="B515" s="42" t="s">
        <v>1432</v>
      </c>
      <c r="C515" s="42" t="s">
        <v>1431</v>
      </c>
      <c r="D515" s="100" t="s">
        <v>377</v>
      </c>
      <c r="E515" s="100">
        <v>180</v>
      </c>
      <c r="F515" s="149">
        <f>(45395)*(1.023*1.005-2.3%*15%)*6.99+0*4.09</f>
        <v>325138</v>
      </c>
      <c r="G515" s="145">
        <f t="shared" si="209"/>
        <v>1.123</v>
      </c>
      <c r="H515" s="146">
        <f t="shared" si="210"/>
        <v>365130</v>
      </c>
      <c r="I515" s="145">
        <f>'[2]Расчет прогнозных дефляторов'!$D$75</f>
        <v>1.0429999999999999</v>
      </c>
      <c r="J515" s="146">
        <f t="shared" si="211"/>
        <v>380831</v>
      </c>
      <c r="K515" s="146">
        <f t="shared" si="212"/>
        <v>376121</v>
      </c>
      <c r="L515" s="147"/>
      <c r="M515" s="147"/>
      <c r="N515" s="147"/>
    </row>
    <row r="516" spans="1:14" s="148" customFormat="1" ht="15.75" hidden="1" outlineLevel="2" x14ac:dyDescent="0.2">
      <c r="A516" s="95" t="s">
        <v>619</v>
      </c>
      <c r="B516" s="42" t="s">
        <v>1435</v>
      </c>
      <c r="C516" s="42" t="s">
        <v>1433</v>
      </c>
      <c r="D516" s="100" t="s">
        <v>377</v>
      </c>
      <c r="E516" s="100">
        <v>7</v>
      </c>
      <c r="F516" s="149">
        <f>(4510)*(1.023*1.005-2.3%*15%)*6.99+0*4.09</f>
        <v>32302</v>
      </c>
      <c r="G516" s="145">
        <f t="shared" si="209"/>
        <v>1.123</v>
      </c>
      <c r="H516" s="146">
        <f t="shared" si="210"/>
        <v>36275</v>
      </c>
      <c r="I516" s="145">
        <f>'[2]Расчет прогнозных дефляторов'!$D$75</f>
        <v>1.0429999999999999</v>
      </c>
      <c r="J516" s="146">
        <f t="shared" si="211"/>
        <v>37835</v>
      </c>
      <c r="K516" s="146">
        <f t="shared" si="212"/>
        <v>37367</v>
      </c>
      <c r="L516" s="147"/>
      <c r="M516" s="147"/>
      <c r="N516" s="147"/>
    </row>
    <row r="517" spans="1:14" s="148" customFormat="1" ht="15.75" hidden="1" outlineLevel="2" x14ac:dyDescent="0.2">
      <c r="A517" s="95" t="s">
        <v>620</v>
      </c>
      <c r="B517" s="42" t="s">
        <v>1436</v>
      </c>
      <c r="C517" s="42" t="s">
        <v>1434</v>
      </c>
      <c r="D517" s="100" t="s">
        <v>377</v>
      </c>
      <c r="E517" s="100">
        <v>1955</v>
      </c>
      <c r="F517" s="149">
        <f>(1027302)*(1.023*1.005-2.3%*15%)*6.99+0*4.09</f>
        <v>7357956</v>
      </c>
      <c r="G517" s="145">
        <f t="shared" si="209"/>
        <v>1.123</v>
      </c>
      <c r="H517" s="146">
        <f t="shared" si="210"/>
        <v>8262985</v>
      </c>
      <c r="I517" s="145">
        <f>'[2]Расчет прогнозных дефляторов'!$D$75</f>
        <v>1.0429999999999999</v>
      </c>
      <c r="J517" s="146">
        <f t="shared" si="211"/>
        <v>8618293</v>
      </c>
      <c r="K517" s="146">
        <f t="shared" si="212"/>
        <v>8511701</v>
      </c>
      <c r="L517" s="147"/>
      <c r="M517" s="147"/>
      <c r="N517" s="147"/>
    </row>
    <row r="518" spans="1:14" s="148" customFormat="1" ht="15.75" hidden="1" outlineLevel="2" x14ac:dyDescent="0.2">
      <c r="A518" s="95" t="s">
        <v>621</v>
      </c>
      <c r="B518" s="42" t="s">
        <v>1437</v>
      </c>
      <c r="C518" s="42" t="s">
        <v>1438</v>
      </c>
      <c r="D518" s="100" t="s">
        <v>377</v>
      </c>
      <c r="E518" s="100">
        <v>412</v>
      </c>
      <c r="F518" s="149">
        <f>(412559)*(1.023*1.005-2.3%*15%)*6.99+0*4.09</f>
        <v>2954916</v>
      </c>
      <c r="G518" s="145">
        <f t="shared" si="209"/>
        <v>1.123</v>
      </c>
      <c r="H518" s="146">
        <f t="shared" si="210"/>
        <v>3318371</v>
      </c>
      <c r="I518" s="145">
        <f>'[2]Расчет прогнозных дефляторов'!$D$75</f>
        <v>1.0429999999999999</v>
      </c>
      <c r="J518" s="146">
        <f t="shared" si="211"/>
        <v>3461061</v>
      </c>
      <c r="K518" s="146">
        <f t="shared" si="212"/>
        <v>3418254</v>
      </c>
      <c r="L518" s="147"/>
      <c r="M518" s="147"/>
      <c r="N518" s="147"/>
    </row>
    <row r="519" spans="1:14" s="148" customFormat="1" ht="25.5" hidden="1" outlineLevel="2" x14ac:dyDescent="0.2">
      <c r="A519" s="95" t="s">
        <v>622</v>
      </c>
      <c r="B519" s="42" t="s">
        <v>1439</v>
      </c>
      <c r="C519" s="42" t="s">
        <v>1440</v>
      </c>
      <c r="D519" s="100" t="s">
        <v>377</v>
      </c>
      <c r="E519" s="100">
        <v>7</v>
      </c>
      <c r="F519" s="149">
        <f>(742)*(1.023*1.005-2.3%*15%)*6.99+0*4.09</f>
        <v>5315</v>
      </c>
      <c r="G519" s="145">
        <f t="shared" si="209"/>
        <v>1.123</v>
      </c>
      <c r="H519" s="146">
        <f t="shared" si="210"/>
        <v>5969</v>
      </c>
      <c r="I519" s="145">
        <f>'[2]Расчет прогнозных дефляторов'!$D$75</f>
        <v>1.0429999999999999</v>
      </c>
      <c r="J519" s="146">
        <f t="shared" si="211"/>
        <v>6226</v>
      </c>
      <c r="K519" s="146">
        <f t="shared" si="212"/>
        <v>6149</v>
      </c>
      <c r="L519" s="147"/>
      <c r="M519" s="147"/>
      <c r="N519" s="147"/>
    </row>
    <row r="520" spans="1:14" s="148" customFormat="1" ht="25.5" hidden="1" outlineLevel="2" x14ac:dyDescent="0.2">
      <c r="A520" s="95" t="s">
        <v>623</v>
      </c>
      <c r="B520" s="42" t="s">
        <v>1442</v>
      </c>
      <c r="C520" s="42" t="s">
        <v>1441</v>
      </c>
      <c r="D520" s="100" t="s">
        <v>377</v>
      </c>
      <c r="E520" s="100">
        <f>50</f>
        <v>50</v>
      </c>
      <c r="F520" s="149">
        <f>(5622)*(1.023*1.005-2.3%*15%)*6.99+0*4.09</f>
        <v>40267</v>
      </c>
      <c r="G520" s="145">
        <f t="shared" si="209"/>
        <v>1.123</v>
      </c>
      <c r="H520" s="146">
        <f t="shared" si="210"/>
        <v>45220</v>
      </c>
      <c r="I520" s="145">
        <f>'[2]Расчет прогнозных дефляторов'!$D$75</f>
        <v>1.0429999999999999</v>
      </c>
      <c r="J520" s="146">
        <f t="shared" si="211"/>
        <v>47164</v>
      </c>
      <c r="K520" s="146">
        <f t="shared" si="212"/>
        <v>46581</v>
      </c>
      <c r="L520" s="147"/>
      <c r="M520" s="147"/>
      <c r="N520" s="147"/>
    </row>
    <row r="521" spans="1:14" s="148" customFormat="1" ht="25.5" hidden="1" outlineLevel="2" x14ac:dyDescent="0.2">
      <c r="A521" s="95" t="s">
        <v>624</v>
      </c>
      <c r="B521" s="42" t="s">
        <v>1444</v>
      </c>
      <c r="C521" s="42" t="s">
        <v>1443</v>
      </c>
      <c r="D521" s="100" t="s">
        <v>377</v>
      </c>
      <c r="E521" s="100">
        <v>100</v>
      </c>
      <c r="F521" s="149">
        <f>(31596)*(1.023*1.005-2.3%*15%)*6.99+0*4.09</f>
        <v>226303</v>
      </c>
      <c r="G521" s="145">
        <f t="shared" si="209"/>
        <v>1.123</v>
      </c>
      <c r="H521" s="146">
        <f t="shared" si="210"/>
        <v>254138</v>
      </c>
      <c r="I521" s="145">
        <f>'[2]Расчет прогнозных дефляторов'!$D$75</f>
        <v>1.0429999999999999</v>
      </c>
      <c r="J521" s="146">
        <f t="shared" si="211"/>
        <v>265066</v>
      </c>
      <c r="K521" s="146">
        <f t="shared" si="212"/>
        <v>261788</v>
      </c>
      <c r="L521" s="147"/>
      <c r="M521" s="147"/>
      <c r="N521" s="147"/>
    </row>
    <row r="522" spans="1:14" s="148" customFormat="1" ht="38.25" hidden="1" outlineLevel="2" x14ac:dyDescent="0.2">
      <c r="A522" s="95" t="s">
        <v>625</v>
      </c>
      <c r="B522" s="42" t="s">
        <v>1446</v>
      </c>
      <c r="C522" s="42" t="s">
        <v>1445</v>
      </c>
      <c r="D522" s="100" t="s">
        <v>377</v>
      </c>
      <c r="E522" s="100">
        <v>100</v>
      </c>
      <c r="F522" s="149">
        <f>(25026)*(1.023*1.005-2.3%*15%)*6.99+0*4.09</f>
        <v>179246</v>
      </c>
      <c r="G522" s="145">
        <f t="shared" si="209"/>
        <v>1.123</v>
      </c>
      <c r="H522" s="146">
        <f t="shared" si="210"/>
        <v>201293</v>
      </c>
      <c r="I522" s="145">
        <f>'[2]Расчет прогнозных дефляторов'!$D$75</f>
        <v>1.0429999999999999</v>
      </c>
      <c r="J522" s="146">
        <f t="shared" si="211"/>
        <v>209949</v>
      </c>
      <c r="K522" s="146">
        <f t="shared" si="212"/>
        <v>207352</v>
      </c>
      <c r="L522" s="147"/>
      <c r="M522" s="147"/>
      <c r="N522" s="147"/>
    </row>
    <row r="523" spans="1:14" s="148" customFormat="1" ht="38.25" hidden="1" outlineLevel="2" x14ac:dyDescent="0.2">
      <c r="A523" s="95" t="s">
        <v>626</v>
      </c>
      <c r="B523" s="42" t="s">
        <v>1447</v>
      </c>
      <c r="C523" s="42" t="s">
        <v>1449</v>
      </c>
      <c r="D523" s="100" t="s">
        <v>377</v>
      </c>
      <c r="E523" s="100">
        <v>12</v>
      </c>
      <c r="F523" s="149">
        <f>(7708)*(1.023*1.005-2.3%*15%)*6.99+0*4.09</f>
        <v>55208</v>
      </c>
      <c r="G523" s="145">
        <f t="shared" si="209"/>
        <v>1.123</v>
      </c>
      <c r="H523" s="146">
        <f t="shared" si="210"/>
        <v>61999</v>
      </c>
      <c r="I523" s="145">
        <f>'[2]Расчет прогнозных дефляторов'!$D$75</f>
        <v>1.0429999999999999</v>
      </c>
      <c r="J523" s="146">
        <f t="shared" si="211"/>
        <v>64665</v>
      </c>
      <c r="K523" s="146">
        <f t="shared" si="212"/>
        <v>63865</v>
      </c>
      <c r="L523" s="147"/>
      <c r="M523" s="147"/>
      <c r="N523" s="147"/>
    </row>
    <row r="524" spans="1:14" s="148" customFormat="1" ht="38.25" hidden="1" outlineLevel="2" x14ac:dyDescent="0.2">
      <c r="A524" s="95" t="s">
        <v>627</v>
      </c>
      <c r="B524" s="42" t="s">
        <v>1448</v>
      </c>
      <c r="C524" s="42" t="s">
        <v>1450</v>
      </c>
      <c r="D524" s="100" t="s">
        <v>377</v>
      </c>
      <c r="E524" s="100">
        <v>40</v>
      </c>
      <c r="F524" s="149">
        <f>(20941)*(1.023*1.005-2.3%*15%)*6.99+0*4.09</f>
        <v>149988</v>
      </c>
      <c r="G524" s="145">
        <f t="shared" si="209"/>
        <v>1.123</v>
      </c>
      <c r="H524" s="146">
        <f t="shared" si="210"/>
        <v>168437</v>
      </c>
      <c r="I524" s="145">
        <f>'[2]Расчет прогнозных дефляторов'!$D$75</f>
        <v>1.0429999999999999</v>
      </c>
      <c r="J524" s="146">
        <f t="shared" si="211"/>
        <v>175680</v>
      </c>
      <c r="K524" s="146">
        <f t="shared" si="212"/>
        <v>173507</v>
      </c>
      <c r="L524" s="147"/>
      <c r="M524" s="147"/>
      <c r="N524" s="147"/>
    </row>
    <row r="525" spans="1:14" s="148" customFormat="1" ht="38.25" hidden="1" outlineLevel="2" x14ac:dyDescent="0.2">
      <c r="A525" s="95" t="s">
        <v>628</v>
      </c>
      <c r="B525" s="42" t="s">
        <v>1451</v>
      </c>
      <c r="C525" s="42" t="s">
        <v>1453</v>
      </c>
      <c r="D525" s="100" t="s">
        <v>377</v>
      </c>
      <c r="E525" s="100">
        <v>62</v>
      </c>
      <c r="F525" s="149">
        <f>(61954)*(1.023*1.005-2.3%*15%)*6.99+0*4.09</f>
        <v>443740</v>
      </c>
      <c r="G525" s="145">
        <f t="shared" si="209"/>
        <v>1.123</v>
      </c>
      <c r="H525" s="146">
        <f t="shared" si="210"/>
        <v>498320</v>
      </c>
      <c r="I525" s="145">
        <f>'[2]Расчет прогнозных дефляторов'!$D$75</f>
        <v>1.0429999999999999</v>
      </c>
      <c r="J525" s="146">
        <f t="shared" si="211"/>
        <v>519748</v>
      </c>
      <c r="K525" s="146">
        <f t="shared" si="212"/>
        <v>513320</v>
      </c>
      <c r="L525" s="147"/>
      <c r="M525" s="147"/>
      <c r="N525" s="147"/>
    </row>
    <row r="526" spans="1:14" s="148" customFormat="1" ht="38.25" hidden="1" outlineLevel="2" x14ac:dyDescent="0.2">
      <c r="A526" s="95" t="s">
        <v>629</v>
      </c>
      <c r="B526" s="42" t="s">
        <v>1452</v>
      </c>
      <c r="C526" s="42" t="s">
        <v>1454</v>
      </c>
      <c r="D526" s="100" t="s">
        <v>377</v>
      </c>
      <c r="E526" s="100">
        <v>120</v>
      </c>
      <c r="F526" s="149">
        <f>(128300)*(1.023*1.005-2.3%*15%)*6.99+0*4.09</f>
        <v>918937</v>
      </c>
      <c r="G526" s="145">
        <f t="shared" si="209"/>
        <v>1.123</v>
      </c>
      <c r="H526" s="146">
        <f t="shared" si="210"/>
        <v>1031966</v>
      </c>
      <c r="I526" s="145">
        <f>'[2]Расчет прогнозных дефляторов'!$D$75</f>
        <v>1.0429999999999999</v>
      </c>
      <c r="J526" s="146">
        <f t="shared" si="211"/>
        <v>1076341</v>
      </c>
      <c r="K526" s="146">
        <f t="shared" si="212"/>
        <v>1063029</v>
      </c>
      <c r="L526" s="147"/>
      <c r="M526" s="147"/>
      <c r="N526" s="147"/>
    </row>
    <row r="527" spans="1:14" s="148" customFormat="1" ht="15.75" hidden="1" outlineLevel="2" x14ac:dyDescent="0.2">
      <c r="A527" s="95" t="s">
        <v>630</v>
      </c>
      <c r="B527" s="42" t="s">
        <v>1456</v>
      </c>
      <c r="C527" s="42" t="s">
        <v>1455</v>
      </c>
      <c r="D527" s="100" t="s">
        <v>300</v>
      </c>
      <c r="E527" s="100">
        <v>7.2</v>
      </c>
      <c r="F527" s="149">
        <f>(1295)*(1.023*1.005-2.3%*15%)*6.99+0*4.09</f>
        <v>9275</v>
      </c>
      <c r="G527" s="145">
        <f t="shared" si="209"/>
        <v>1.123</v>
      </c>
      <c r="H527" s="146">
        <f t="shared" si="210"/>
        <v>10416</v>
      </c>
      <c r="I527" s="145">
        <f>'[2]Расчет прогнозных дефляторов'!$D$75</f>
        <v>1.0429999999999999</v>
      </c>
      <c r="J527" s="146">
        <f t="shared" si="211"/>
        <v>10864</v>
      </c>
      <c r="K527" s="146">
        <f t="shared" si="212"/>
        <v>10730</v>
      </c>
      <c r="L527" s="147"/>
      <c r="M527" s="147"/>
      <c r="N527" s="147"/>
    </row>
    <row r="528" spans="1:14" s="148" customFormat="1" ht="15.75" hidden="1" outlineLevel="2" x14ac:dyDescent="0.2">
      <c r="A528" s="95" t="s">
        <v>631</v>
      </c>
      <c r="B528" s="42" t="s">
        <v>1463</v>
      </c>
      <c r="C528" s="42" t="s">
        <v>1457</v>
      </c>
      <c r="D528" s="100" t="s">
        <v>377</v>
      </c>
      <c r="E528" s="100">
        <v>33</v>
      </c>
      <c r="F528" s="149">
        <f>(21303)*(1.023*1.005-2.3%*15%)*6.99+0*4.09</f>
        <v>152581</v>
      </c>
      <c r="G528" s="145">
        <f t="shared" si="209"/>
        <v>1.123</v>
      </c>
      <c r="H528" s="146">
        <f t="shared" si="210"/>
        <v>171348</v>
      </c>
      <c r="I528" s="145">
        <f>'[2]Расчет прогнозных дефляторов'!$D$75</f>
        <v>1.0429999999999999</v>
      </c>
      <c r="J528" s="146">
        <f t="shared" si="211"/>
        <v>178716</v>
      </c>
      <c r="K528" s="146">
        <f t="shared" si="212"/>
        <v>176506</v>
      </c>
      <c r="L528" s="147"/>
      <c r="M528" s="147"/>
      <c r="N528" s="147"/>
    </row>
    <row r="529" spans="1:14" s="148" customFormat="1" ht="15.75" hidden="1" outlineLevel="2" x14ac:dyDescent="0.2">
      <c r="A529" s="95" t="s">
        <v>632</v>
      </c>
      <c r="B529" s="42" t="s">
        <v>1462</v>
      </c>
      <c r="C529" s="42" t="s">
        <v>1461</v>
      </c>
      <c r="D529" s="100" t="s">
        <v>377</v>
      </c>
      <c r="E529" s="100">
        <v>120</v>
      </c>
      <c r="F529" s="149">
        <f>(63211)*(1.023*1.005-2.3%*15%)*6.99+0*4.09</f>
        <v>452743</v>
      </c>
      <c r="G529" s="145">
        <f t="shared" si="209"/>
        <v>1.123</v>
      </c>
      <c r="H529" s="146">
        <f t="shared" si="210"/>
        <v>508430</v>
      </c>
      <c r="I529" s="145">
        <f>'[2]Расчет прогнозных дефляторов'!$D$75</f>
        <v>1.0429999999999999</v>
      </c>
      <c r="J529" s="146">
        <f t="shared" si="211"/>
        <v>530292</v>
      </c>
      <c r="K529" s="146">
        <f t="shared" si="212"/>
        <v>523733</v>
      </c>
      <c r="L529" s="147"/>
      <c r="M529" s="147"/>
      <c r="N529" s="147"/>
    </row>
    <row r="530" spans="1:14" s="148" customFormat="1" ht="25.5" hidden="1" outlineLevel="2" x14ac:dyDescent="0.2">
      <c r="A530" s="95" t="s">
        <v>633</v>
      </c>
      <c r="B530" s="42" t="s">
        <v>1468</v>
      </c>
      <c r="C530" s="42" t="s">
        <v>1464</v>
      </c>
      <c r="D530" s="100" t="s">
        <v>408</v>
      </c>
      <c r="E530" s="100">
        <v>80</v>
      </c>
      <c r="F530" s="149">
        <f>(366)*(1.023*1.005-2.3%*15%)*6.99+0*4.09</f>
        <v>2621</v>
      </c>
      <c r="G530" s="145">
        <f t="shared" si="209"/>
        <v>1.123</v>
      </c>
      <c r="H530" s="146">
        <f t="shared" si="210"/>
        <v>2943</v>
      </c>
      <c r="I530" s="145">
        <f>'[2]Расчет прогнозных дефляторов'!$D$75</f>
        <v>1.0429999999999999</v>
      </c>
      <c r="J530" s="146">
        <f t="shared" si="211"/>
        <v>3070</v>
      </c>
      <c r="K530" s="146">
        <f t="shared" si="212"/>
        <v>3032</v>
      </c>
      <c r="L530" s="147"/>
      <c r="M530" s="147"/>
      <c r="N530" s="147"/>
    </row>
    <row r="531" spans="1:14" s="148" customFormat="1" ht="25.5" hidden="1" outlineLevel="2" x14ac:dyDescent="0.2">
      <c r="A531" s="95" t="s">
        <v>2072</v>
      </c>
      <c r="B531" s="42" t="s">
        <v>1469</v>
      </c>
      <c r="C531" s="42" t="s">
        <v>1465</v>
      </c>
      <c r="D531" s="100" t="s">
        <v>408</v>
      </c>
      <c r="E531" s="100">
        <v>80</v>
      </c>
      <c r="F531" s="149">
        <f>(457)*(1.023*1.005-2.3%*15%)*6.99+0*4.09</f>
        <v>3273</v>
      </c>
      <c r="G531" s="145">
        <f t="shared" si="209"/>
        <v>1.123</v>
      </c>
      <c r="H531" s="146">
        <f t="shared" si="210"/>
        <v>3676</v>
      </c>
      <c r="I531" s="145">
        <f>'[2]Расчет прогнозных дефляторов'!$D$75</f>
        <v>1.0429999999999999</v>
      </c>
      <c r="J531" s="146">
        <f t="shared" si="211"/>
        <v>3834</v>
      </c>
      <c r="K531" s="146">
        <f t="shared" si="212"/>
        <v>3787</v>
      </c>
      <c r="L531" s="147"/>
      <c r="M531" s="147"/>
      <c r="N531" s="147"/>
    </row>
    <row r="532" spans="1:14" s="148" customFormat="1" ht="25.5" hidden="1" outlineLevel="2" x14ac:dyDescent="0.2">
      <c r="A532" s="95" t="s">
        <v>2073</v>
      </c>
      <c r="B532" s="42" t="s">
        <v>1470</v>
      </c>
      <c r="C532" s="42" t="s">
        <v>1466</v>
      </c>
      <c r="D532" s="100" t="s">
        <v>408</v>
      </c>
      <c r="E532" s="100">
        <v>88</v>
      </c>
      <c r="F532" s="149">
        <f>(755)*(1.023*1.005-2.3%*15%)*6.99+0*4.09</f>
        <v>5408</v>
      </c>
      <c r="G532" s="145">
        <f t="shared" si="209"/>
        <v>1.123</v>
      </c>
      <c r="H532" s="146">
        <f t="shared" si="210"/>
        <v>6073</v>
      </c>
      <c r="I532" s="145">
        <f>'[2]Расчет прогнозных дефляторов'!$D$75</f>
        <v>1.0429999999999999</v>
      </c>
      <c r="J532" s="146">
        <f t="shared" si="211"/>
        <v>6334</v>
      </c>
      <c r="K532" s="146">
        <f t="shared" si="212"/>
        <v>6256</v>
      </c>
      <c r="L532" s="147"/>
      <c r="M532" s="147"/>
      <c r="N532" s="147"/>
    </row>
    <row r="533" spans="1:14" s="148" customFormat="1" ht="25.5" hidden="1" outlineLevel="2" x14ac:dyDescent="0.2">
      <c r="A533" s="95" t="s">
        <v>2074</v>
      </c>
      <c r="B533" s="42" t="s">
        <v>1471</v>
      </c>
      <c r="C533" s="42" t="s">
        <v>1467</v>
      </c>
      <c r="D533" s="100" t="s">
        <v>408</v>
      </c>
      <c r="E533" s="100">
        <v>96</v>
      </c>
      <c r="F533" s="149">
        <f>(1101)*(1.023*1.005-2.3%*15%)*6.99+0*4.09</f>
        <v>7886</v>
      </c>
      <c r="G533" s="145">
        <f t="shared" si="209"/>
        <v>1.123</v>
      </c>
      <c r="H533" s="146">
        <f t="shared" si="210"/>
        <v>8856</v>
      </c>
      <c r="I533" s="145">
        <f>'[2]Расчет прогнозных дефляторов'!$D$75</f>
        <v>1.0429999999999999</v>
      </c>
      <c r="J533" s="146">
        <f t="shared" si="211"/>
        <v>9237</v>
      </c>
      <c r="K533" s="146">
        <f t="shared" si="212"/>
        <v>9123</v>
      </c>
      <c r="L533" s="147"/>
      <c r="M533" s="147"/>
      <c r="N533" s="147"/>
    </row>
    <row r="534" spans="1:14" s="148" customFormat="1" ht="15.75" hidden="1" outlineLevel="2" x14ac:dyDescent="0.2">
      <c r="A534" s="95" t="s">
        <v>2075</v>
      </c>
      <c r="B534" s="42" t="s">
        <v>1474</v>
      </c>
      <c r="C534" s="42" t="s">
        <v>1472</v>
      </c>
      <c r="D534" s="100" t="s">
        <v>408</v>
      </c>
      <c r="E534" s="100">
        <v>16</v>
      </c>
      <c r="F534" s="149">
        <f>(107116)*(1.023*1.005-2.3%*15%)*6.99+0*4.09</f>
        <v>767209</v>
      </c>
      <c r="G534" s="145">
        <f t="shared" si="209"/>
        <v>1.123</v>
      </c>
      <c r="H534" s="146">
        <f t="shared" si="210"/>
        <v>861576</v>
      </c>
      <c r="I534" s="145">
        <f>'[2]Расчет прогнозных дефляторов'!$D$75</f>
        <v>1.0429999999999999</v>
      </c>
      <c r="J534" s="146">
        <f t="shared" si="211"/>
        <v>898624</v>
      </c>
      <c r="K534" s="146">
        <f t="shared" si="212"/>
        <v>887510</v>
      </c>
      <c r="L534" s="147"/>
      <c r="M534" s="147"/>
      <c r="N534" s="147"/>
    </row>
    <row r="535" spans="1:14" s="148" customFormat="1" ht="15.75" hidden="1" outlineLevel="2" x14ac:dyDescent="0.2">
      <c r="A535" s="95" t="s">
        <v>2076</v>
      </c>
      <c r="B535" s="42" t="s">
        <v>1475</v>
      </c>
      <c r="C535" s="42" t="s">
        <v>1473</v>
      </c>
      <c r="D535" s="100" t="s">
        <v>408</v>
      </c>
      <c r="E535" s="100">
        <v>8</v>
      </c>
      <c r="F535" s="149">
        <f>(20026)*(1.023*1.005-2.3%*15%)*6.99+0*4.09</f>
        <v>143434</v>
      </c>
      <c r="G535" s="145">
        <f t="shared" si="209"/>
        <v>1.123</v>
      </c>
      <c r="H535" s="146">
        <f t="shared" si="210"/>
        <v>161076</v>
      </c>
      <c r="I535" s="145">
        <f>'[2]Расчет прогнозных дефляторов'!$D$75</f>
        <v>1.0429999999999999</v>
      </c>
      <c r="J535" s="146">
        <f t="shared" si="211"/>
        <v>168002</v>
      </c>
      <c r="K535" s="146">
        <f t="shared" si="212"/>
        <v>165924</v>
      </c>
      <c r="L535" s="147"/>
      <c r="M535" s="147"/>
      <c r="N535" s="147"/>
    </row>
    <row r="536" spans="1:14" s="148" customFormat="1" ht="15.75" hidden="1" outlineLevel="2" x14ac:dyDescent="0.2">
      <c r="A536" s="95" t="s">
        <v>2077</v>
      </c>
      <c r="B536" s="42" t="s">
        <v>1478</v>
      </c>
      <c r="C536" s="42" t="s">
        <v>1476</v>
      </c>
      <c r="D536" s="100" t="s">
        <v>408</v>
      </c>
      <c r="E536" s="100">
        <v>4</v>
      </c>
      <c r="F536" s="149">
        <f>(24765)*(1.023*1.005-2.3%*15%)*6.99+0*4.09</f>
        <v>177377</v>
      </c>
      <c r="G536" s="145">
        <f t="shared" si="209"/>
        <v>1.123</v>
      </c>
      <c r="H536" s="146">
        <f t="shared" si="210"/>
        <v>199194</v>
      </c>
      <c r="I536" s="145">
        <f>'[2]Расчет прогнозных дефляторов'!$D$75</f>
        <v>1.0429999999999999</v>
      </c>
      <c r="J536" s="146">
        <f t="shared" si="211"/>
        <v>207759</v>
      </c>
      <c r="K536" s="146">
        <f t="shared" si="212"/>
        <v>205190</v>
      </c>
      <c r="L536" s="147"/>
      <c r="M536" s="147"/>
      <c r="N536" s="147"/>
    </row>
    <row r="537" spans="1:14" s="148" customFormat="1" ht="15.75" hidden="1" outlineLevel="2" x14ac:dyDescent="0.2">
      <c r="A537" s="95" t="s">
        <v>2078</v>
      </c>
      <c r="B537" s="42" t="s">
        <v>1479</v>
      </c>
      <c r="C537" s="42" t="s">
        <v>1477</v>
      </c>
      <c r="D537" s="100" t="s">
        <v>408</v>
      </c>
      <c r="E537" s="100">
        <v>16</v>
      </c>
      <c r="F537" s="149">
        <f>(102811)*(1.023*1.005-2.3%*15%)*6.99+0*4.09</f>
        <v>736374</v>
      </c>
      <c r="G537" s="145">
        <f t="shared" si="209"/>
        <v>1.123</v>
      </c>
      <c r="H537" s="146">
        <f t="shared" si="210"/>
        <v>826948</v>
      </c>
      <c r="I537" s="145">
        <f>'[2]Расчет прогнозных дефляторов'!$D$75</f>
        <v>1.0429999999999999</v>
      </c>
      <c r="J537" s="146">
        <f t="shared" si="211"/>
        <v>862507</v>
      </c>
      <c r="K537" s="146">
        <f t="shared" si="212"/>
        <v>851839</v>
      </c>
      <c r="L537" s="147"/>
      <c r="M537" s="147"/>
      <c r="N537" s="147"/>
    </row>
    <row r="538" spans="1:14" s="148" customFormat="1" ht="25.5" hidden="1" outlineLevel="2" x14ac:dyDescent="0.2">
      <c r="A538" s="95" t="s">
        <v>2079</v>
      </c>
      <c r="B538" s="42" t="s">
        <v>1481</v>
      </c>
      <c r="C538" s="42" t="s">
        <v>1480</v>
      </c>
      <c r="D538" s="100" t="s">
        <v>408</v>
      </c>
      <c r="E538" s="100">
        <v>8</v>
      </c>
      <c r="F538" s="149">
        <f>(11275)*(1.023*1.005-2.3%*15%)*6.99+0*4.09</f>
        <v>80756</v>
      </c>
      <c r="G538" s="145">
        <f t="shared" si="209"/>
        <v>1.123</v>
      </c>
      <c r="H538" s="146">
        <f t="shared" si="210"/>
        <v>90689</v>
      </c>
      <c r="I538" s="145">
        <f>'[2]Расчет прогнозных дефляторов'!$D$75</f>
        <v>1.0429999999999999</v>
      </c>
      <c r="J538" s="146">
        <f t="shared" si="211"/>
        <v>94589</v>
      </c>
      <c r="K538" s="146">
        <f t="shared" si="212"/>
        <v>93419</v>
      </c>
      <c r="L538" s="147"/>
      <c r="M538" s="147"/>
      <c r="N538" s="147"/>
    </row>
    <row r="539" spans="1:14" s="148" customFormat="1" ht="15.75" hidden="1" outlineLevel="2" x14ac:dyDescent="0.2">
      <c r="A539" s="95" t="s">
        <v>2080</v>
      </c>
      <c r="B539" s="42" t="s">
        <v>1483</v>
      </c>
      <c r="C539" s="42" t="s">
        <v>1482</v>
      </c>
      <c r="D539" s="100" t="s">
        <v>408</v>
      </c>
      <c r="E539" s="100">
        <v>4</v>
      </c>
      <c r="F539" s="149">
        <f>(19239)*(1.023*1.005-2.3%*15%)*6.99+0*4.09</f>
        <v>137798</v>
      </c>
      <c r="G539" s="145">
        <f t="shared" si="209"/>
        <v>1.123</v>
      </c>
      <c r="H539" s="146">
        <f t="shared" si="210"/>
        <v>154747</v>
      </c>
      <c r="I539" s="145">
        <f>'[2]Расчет прогнозных дефляторов'!$D$75</f>
        <v>1.0429999999999999</v>
      </c>
      <c r="J539" s="146">
        <f t="shared" si="211"/>
        <v>161401</v>
      </c>
      <c r="K539" s="146">
        <f t="shared" si="212"/>
        <v>159405</v>
      </c>
      <c r="L539" s="147"/>
      <c r="M539" s="147"/>
      <c r="N539" s="147"/>
    </row>
    <row r="540" spans="1:14" s="148" customFormat="1" ht="25.5" hidden="1" outlineLevel="2" x14ac:dyDescent="0.2">
      <c r="A540" s="95" t="s">
        <v>2081</v>
      </c>
      <c r="B540" s="42" t="s">
        <v>1485</v>
      </c>
      <c r="C540" s="42" t="s">
        <v>1484</v>
      </c>
      <c r="D540" s="100" t="s">
        <v>408</v>
      </c>
      <c r="E540" s="100">
        <v>2</v>
      </c>
      <c r="F540" s="149">
        <f>(15735)*(1.023*1.005-2.3%*15%)*6.99+0*4.09</f>
        <v>112700</v>
      </c>
      <c r="G540" s="145">
        <f t="shared" si="209"/>
        <v>1.123</v>
      </c>
      <c r="H540" s="146">
        <f t="shared" si="210"/>
        <v>126562</v>
      </c>
      <c r="I540" s="145">
        <f>'[2]Расчет прогнозных дефляторов'!$D$75</f>
        <v>1.0429999999999999</v>
      </c>
      <c r="J540" s="146">
        <f t="shared" si="211"/>
        <v>132004</v>
      </c>
      <c r="K540" s="146">
        <f t="shared" si="212"/>
        <v>130371</v>
      </c>
      <c r="L540" s="147"/>
      <c r="M540" s="147"/>
      <c r="N540" s="147"/>
    </row>
    <row r="541" spans="1:14" s="148" customFormat="1" ht="15.75" hidden="1" outlineLevel="2" x14ac:dyDescent="0.2">
      <c r="A541" s="95" t="s">
        <v>2082</v>
      </c>
      <c r="B541" s="42" t="s">
        <v>1486</v>
      </c>
      <c r="C541" s="42" t="s">
        <v>1487</v>
      </c>
      <c r="D541" s="100" t="s">
        <v>408</v>
      </c>
      <c r="E541" s="100">
        <v>6</v>
      </c>
      <c r="F541" s="149">
        <f>(699)*(1.023*1.005-2.3%*15%)*6.99+361*4.09</f>
        <v>6483</v>
      </c>
      <c r="G541" s="145">
        <f t="shared" si="209"/>
        <v>1.123</v>
      </c>
      <c r="H541" s="146">
        <f t="shared" si="210"/>
        <v>7280</v>
      </c>
      <c r="I541" s="145">
        <f>'[2]Расчет прогнозных дефляторов'!$D$75</f>
        <v>1.0429999999999999</v>
      </c>
      <c r="J541" s="146">
        <f t="shared" si="211"/>
        <v>7593</v>
      </c>
      <c r="K541" s="146">
        <f t="shared" si="212"/>
        <v>7499</v>
      </c>
      <c r="L541" s="147"/>
      <c r="M541" s="147"/>
      <c r="N541" s="147"/>
    </row>
    <row r="542" spans="1:14" s="148" customFormat="1" ht="38.25" hidden="1" outlineLevel="2" x14ac:dyDescent="0.2">
      <c r="A542" s="95" t="s">
        <v>2083</v>
      </c>
      <c r="B542" s="42" t="s">
        <v>1488</v>
      </c>
      <c r="C542" s="42" t="s">
        <v>1489</v>
      </c>
      <c r="D542" s="100" t="s">
        <v>408</v>
      </c>
      <c r="E542" s="100">
        <v>2</v>
      </c>
      <c r="F542" s="149">
        <f>(62+6500)*(1.023*1.005-2.3%*15%)*6.99+0*4.09</f>
        <v>47000</v>
      </c>
      <c r="G542" s="145">
        <f t="shared" si="209"/>
        <v>1.123</v>
      </c>
      <c r="H542" s="146">
        <f t="shared" si="210"/>
        <v>52781</v>
      </c>
      <c r="I542" s="145">
        <f>'[2]Расчет прогнозных дефляторов'!$D$75</f>
        <v>1.0429999999999999</v>
      </c>
      <c r="J542" s="146">
        <f t="shared" si="211"/>
        <v>55051</v>
      </c>
      <c r="K542" s="146">
        <f t="shared" si="212"/>
        <v>54370</v>
      </c>
      <c r="L542" s="147"/>
      <c r="M542" s="147"/>
      <c r="N542" s="147"/>
    </row>
    <row r="543" spans="1:14" s="148" customFormat="1" ht="25.5" hidden="1" outlineLevel="2" x14ac:dyDescent="0.2">
      <c r="A543" s="95" t="s">
        <v>2084</v>
      </c>
      <c r="B543" s="42" t="s">
        <v>1491</v>
      </c>
      <c r="C543" s="42" t="s">
        <v>1490</v>
      </c>
      <c r="D543" s="100" t="s">
        <v>404</v>
      </c>
      <c r="E543" s="100">
        <f>111.2</f>
        <v>111.2</v>
      </c>
      <c r="F543" s="149">
        <f>(8236)*(1.023*1.005-2.3%*15%)*6.99+0*4.09</f>
        <v>58990</v>
      </c>
      <c r="G543" s="145">
        <f t="shared" si="209"/>
        <v>1.123</v>
      </c>
      <c r="H543" s="146">
        <f t="shared" si="210"/>
        <v>66246</v>
      </c>
      <c r="I543" s="145">
        <f>'[2]Расчет прогнозных дефляторов'!$D$75</f>
        <v>1.0429999999999999</v>
      </c>
      <c r="J543" s="146">
        <f t="shared" si="211"/>
        <v>69095</v>
      </c>
      <c r="K543" s="146">
        <f t="shared" si="212"/>
        <v>68240</v>
      </c>
      <c r="L543" s="147"/>
      <c r="M543" s="147"/>
      <c r="N543" s="147"/>
    </row>
    <row r="544" spans="1:14" s="249" customFormat="1" ht="15.75" outlineLevel="1" x14ac:dyDescent="0.2">
      <c r="A544" s="244" t="s">
        <v>504</v>
      </c>
      <c r="B544" s="245" t="s">
        <v>39</v>
      </c>
      <c r="C544" s="245" t="s">
        <v>1795</v>
      </c>
      <c r="D544" s="246" t="s">
        <v>408</v>
      </c>
      <c r="E544" s="247">
        <v>1</v>
      </c>
      <c r="F544" s="247">
        <f>F545+F557</f>
        <v>25566042</v>
      </c>
      <c r="G544" s="248"/>
      <c r="H544" s="247">
        <f>H545+H557</f>
        <v>28710667</v>
      </c>
      <c r="I544" s="248"/>
      <c r="J544" s="247">
        <f>J545+J557</f>
        <v>29945226</v>
      </c>
      <c r="K544" s="247">
        <f>K545+K557</f>
        <v>29574859</v>
      </c>
      <c r="L544" s="268"/>
      <c r="M544" s="268"/>
      <c r="N544" s="268"/>
    </row>
    <row r="545" spans="1:14" s="237" customFormat="1" ht="15.75" outlineLevel="2" collapsed="1" x14ac:dyDescent="0.2">
      <c r="A545" s="238" t="s">
        <v>505</v>
      </c>
      <c r="B545" s="229" t="s">
        <v>227</v>
      </c>
      <c r="C545" s="229" t="s">
        <v>648</v>
      </c>
      <c r="D545" s="239" t="s">
        <v>292</v>
      </c>
      <c r="E545" s="240">
        <v>1</v>
      </c>
      <c r="F545" s="240">
        <f>SUM(F546:F556)</f>
        <v>735078</v>
      </c>
      <c r="G545" s="241">
        <f>$G$766</f>
        <v>1.123</v>
      </c>
      <c r="H545" s="240">
        <f>SUM(H546:H556)</f>
        <v>825494</v>
      </c>
      <c r="I545" s="241">
        <f>'[2]Расчет прогнозных дефляторов'!$D$75</f>
        <v>1.0429999999999999</v>
      </c>
      <c r="J545" s="240">
        <f>SUM(J546:J556)</f>
        <v>860991</v>
      </c>
      <c r="K545" s="240">
        <f>SUM(K546:K556)</f>
        <v>850343</v>
      </c>
      <c r="L545" s="256"/>
      <c r="M545" s="256"/>
      <c r="N545" s="256"/>
    </row>
    <row r="546" spans="1:14" s="148" customFormat="1" ht="15.75" hidden="1" outlineLevel="3" x14ac:dyDescent="0.2">
      <c r="A546" s="95"/>
      <c r="B546" s="42"/>
      <c r="C546" s="42" t="s">
        <v>367</v>
      </c>
      <c r="D546" s="100"/>
      <c r="E546" s="100"/>
      <c r="F546" s="149"/>
      <c r="G546" s="145"/>
      <c r="H546" s="146"/>
      <c r="I546" s="145"/>
      <c r="J546" s="146"/>
      <c r="K546" s="146"/>
      <c r="L546" s="147"/>
      <c r="M546" s="147"/>
      <c r="N546" s="147"/>
    </row>
    <row r="547" spans="1:14" s="148" customFormat="1" ht="25.5" hidden="1" outlineLevel="3" x14ac:dyDescent="0.2">
      <c r="A547" s="95" t="s">
        <v>2085</v>
      </c>
      <c r="B547" s="42" t="s">
        <v>506</v>
      </c>
      <c r="C547" s="42" t="s">
        <v>1492</v>
      </c>
      <c r="D547" s="100" t="s">
        <v>300</v>
      </c>
      <c r="E547" s="100">
        <f>176</f>
        <v>176</v>
      </c>
      <c r="F547" s="149">
        <f>(35096)*(1.023*1.005-2.3%*15%)*6.99+0*4.09+28</f>
        <v>251400</v>
      </c>
      <c r="G547" s="145">
        <f t="shared" ref="G547:G558" si="213">$G$766</f>
        <v>1.123</v>
      </c>
      <c r="H547" s="146">
        <f t="shared" ref="H547:H556" si="214">F547*G547</f>
        <v>282322</v>
      </c>
      <c r="I547" s="145">
        <f>'[2]Расчет прогнозных дефляторов'!$D$75</f>
        <v>1.0429999999999999</v>
      </c>
      <c r="J547" s="146">
        <f t="shared" ref="J547:J556" si="215">H547*I547</f>
        <v>294462</v>
      </c>
      <c r="K547" s="146">
        <f t="shared" ref="K547:K556" si="216">H547+(J547-H547)*(1-30/100)</f>
        <v>290820</v>
      </c>
      <c r="L547" s="147"/>
      <c r="M547" s="147"/>
      <c r="N547" s="147"/>
    </row>
    <row r="548" spans="1:14" s="148" customFormat="1" ht="15.75" hidden="1" outlineLevel="3" x14ac:dyDescent="0.2">
      <c r="A548" s="95" t="s">
        <v>2086</v>
      </c>
      <c r="B548" s="42" t="s">
        <v>1494</v>
      </c>
      <c r="C548" s="42" t="s">
        <v>656</v>
      </c>
      <c r="D548" s="100" t="s">
        <v>300</v>
      </c>
      <c r="E548" s="100">
        <f>76.32</f>
        <v>76.319999999999993</v>
      </c>
      <c r="F548" s="149">
        <f>(3577)*(1.023*1.005-2.3%*15%)*6.99+0*4.09</f>
        <v>25620</v>
      </c>
      <c r="G548" s="145">
        <f t="shared" si="213"/>
        <v>1.123</v>
      </c>
      <c r="H548" s="146">
        <f t="shared" si="214"/>
        <v>28771</v>
      </c>
      <c r="I548" s="145">
        <f>'[2]Расчет прогнозных дефляторов'!$D$75</f>
        <v>1.0429999999999999</v>
      </c>
      <c r="J548" s="146">
        <f t="shared" si="215"/>
        <v>30008</v>
      </c>
      <c r="K548" s="146">
        <f t="shared" si="216"/>
        <v>29637</v>
      </c>
      <c r="L548" s="147"/>
      <c r="M548" s="147"/>
      <c r="N548" s="147"/>
    </row>
    <row r="549" spans="1:14" s="148" customFormat="1" ht="15.75" hidden="1" outlineLevel="3" x14ac:dyDescent="0.2">
      <c r="A549" s="95" t="s">
        <v>2087</v>
      </c>
      <c r="B549" s="42" t="s">
        <v>1495</v>
      </c>
      <c r="C549" s="42" t="s">
        <v>1493</v>
      </c>
      <c r="D549" s="100" t="s">
        <v>300</v>
      </c>
      <c r="E549" s="100">
        <f>99.68</f>
        <v>99.68</v>
      </c>
      <c r="F549" s="149">
        <f>(1279)*(1.023*1.005-2.3%*15%)*6.99+0*4.09</f>
        <v>9161</v>
      </c>
      <c r="G549" s="145">
        <f t="shared" si="213"/>
        <v>1.123</v>
      </c>
      <c r="H549" s="146">
        <f t="shared" si="214"/>
        <v>10288</v>
      </c>
      <c r="I549" s="145">
        <f>'[2]Расчет прогнозных дефляторов'!$D$75</f>
        <v>1.0429999999999999</v>
      </c>
      <c r="J549" s="146">
        <f t="shared" si="215"/>
        <v>10730</v>
      </c>
      <c r="K549" s="146">
        <f t="shared" si="216"/>
        <v>10597</v>
      </c>
      <c r="L549" s="147"/>
      <c r="M549" s="147"/>
      <c r="N549" s="147"/>
    </row>
    <row r="550" spans="1:14" s="148" customFormat="1" ht="25.5" hidden="1" outlineLevel="3" x14ac:dyDescent="0.2">
      <c r="A550" s="95" t="s">
        <v>2088</v>
      </c>
      <c r="B550" s="42" t="s">
        <v>1496</v>
      </c>
      <c r="C550" s="42" t="s">
        <v>750</v>
      </c>
      <c r="D550" s="100" t="s">
        <v>300</v>
      </c>
      <c r="E550" s="100">
        <f>99.68</f>
        <v>99.68</v>
      </c>
      <c r="F550" s="149">
        <f>(1071)*(1.023*1.005-2.3%*15%)*6.99+0*4.09</f>
        <v>7671</v>
      </c>
      <c r="G550" s="145">
        <f t="shared" si="213"/>
        <v>1.123</v>
      </c>
      <c r="H550" s="146">
        <f t="shared" si="214"/>
        <v>8615</v>
      </c>
      <c r="I550" s="145">
        <f>'[2]Расчет прогнозных дефляторов'!$D$75</f>
        <v>1.0429999999999999</v>
      </c>
      <c r="J550" s="146">
        <f t="shared" si="215"/>
        <v>8985</v>
      </c>
      <c r="K550" s="146">
        <f t="shared" si="216"/>
        <v>8874</v>
      </c>
      <c r="L550" s="147"/>
      <c r="M550" s="147"/>
      <c r="N550" s="147"/>
    </row>
    <row r="551" spans="1:14" s="148" customFormat="1" ht="15.75" hidden="1" outlineLevel="3" x14ac:dyDescent="0.2">
      <c r="A551" s="95" t="s">
        <v>2089</v>
      </c>
      <c r="B551" s="42" t="s">
        <v>1497</v>
      </c>
      <c r="C551" s="42" t="s">
        <v>492</v>
      </c>
      <c r="D551" s="100" t="s">
        <v>300</v>
      </c>
      <c r="E551" s="100">
        <f>9.72</f>
        <v>9.7200000000000006</v>
      </c>
      <c r="F551" s="149">
        <f>(36328)*(1.023*1.005-2.3%*15%)*6.99+0*4.09</f>
        <v>260196</v>
      </c>
      <c r="G551" s="145">
        <f t="shared" si="213"/>
        <v>1.123</v>
      </c>
      <c r="H551" s="146">
        <f t="shared" si="214"/>
        <v>292200</v>
      </c>
      <c r="I551" s="145">
        <f>'[2]Расчет прогнозных дефляторов'!$D$75</f>
        <v>1.0429999999999999</v>
      </c>
      <c r="J551" s="146">
        <f t="shared" si="215"/>
        <v>304765</v>
      </c>
      <c r="K551" s="146">
        <f t="shared" si="216"/>
        <v>300996</v>
      </c>
      <c r="L551" s="147"/>
      <c r="M551" s="147"/>
      <c r="N551" s="147"/>
    </row>
    <row r="552" spans="1:14" s="148" customFormat="1" ht="15.75" hidden="1" outlineLevel="3" x14ac:dyDescent="0.2">
      <c r="A552" s="95" t="s">
        <v>2090</v>
      </c>
      <c r="B552" s="42" t="s">
        <v>1499</v>
      </c>
      <c r="C552" s="42" t="s">
        <v>1498</v>
      </c>
      <c r="D552" s="100" t="s">
        <v>292</v>
      </c>
      <c r="E552" s="100">
        <v>1</v>
      </c>
      <c r="F552" s="149">
        <f>(3101)*(1.023*1.005-2.3%*15%)*6.99+0*4.09</f>
        <v>22211</v>
      </c>
      <c r="G552" s="145">
        <f t="shared" si="213"/>
        <v>1.123</v>
      </c>
      <c r="H552" s="146">
        <f t="shared" si="214"/>
        <v>24943</v>
      </c>
      <c r="I552" s="145">
        <f>'[2]Расчет прогнозных дефляторов'!$D$75</f>
        <v>1.0429999999999999</v>
      </c>
      <c r="J552" s="146">
        <f t="shared" si="215"/>
        <v>26016</v>
      </c>
      <c r="K552" s="146">
        <f t="shared" si="216"/>
        <v>25694</v>
      </c>
      <c r="L552" s="147"/>
      <c r="M552" s="147"/>
      <c r="N552" s="147"/>
    </row>
    <row r="553" spans="1:14" s="148" customFormat="1" ht="15.75" hidden="1" outlineLevel="3" x14ac:dyDescent="0.2">
      <c r="A553" s="95" t="s">
        <v>2091</v>
      </c>
      <c r="B553" s="42" t="s">
        <v>1500</v>
      </c>
      <c r="C553" s="42" t="s">
        <v>414</v>
      </c>
      <c r="D553" s="100" t="s">
        <v>404</v>
      </c>
      <c r="E553" s="100">
        <v>28</v>
      </c>
      <c r="F553" s="149">
        <f>(4589)*(1.023*1.005-2.3%*15%)*6.99+0*4.09</f>
        <v>32868</v>
      </c>
      <c r="G553" s="145">
        <f t="shared" si="213"/>
        <v>1.123</v>
      </c>
      <c r="H553" s="146">
        <f t="shared" si="214"/>
        <v>36911</v>
      </c>
      <c r="I553" s="145">
        <f>'[2]Расчет прогнозных дефляторов'!$D$75</f>
        <v>1.0429999999999999</v>
      </c>
      <c r="J553" s="146">
        <f t="shared" si="215"/>
        <v>38498</v>
      </c>
      <c r="K553" s="146">
        <f t="shared" si="216"/>
        <v>38022</v>
      </c>
      <c r="L553" s="147"/>
      <c r="M553" s="147"/>
      <c r="N553" s="147"/>
    </row>
    <row r="554" spans="1:14" s="148" customFormat="1" ht="15.75" hidden="1" outlineLevel="3" x14ac:dyDescent="0.2">
      <c r="A554" s="95" t="s">
        <v>2092</v>
      </c>
      <c r="B554" s="42" t="s">
        <v>1502</v>
      </c>
      <c r="C554" s="42" t="s">
        <v>1501</v>
      </c>
      <c r="D554" s="100" t="s">
        <v>637</v>
      </c>
      <c r="E554" s="145">
        <f>0.144+0.152</f>
        <v>0.29599999999999999</v>
      </c>
      <c r="F554" s="149">
        <f>(3336)*(1.023*1.005-2.3%*15%)*6.99+0*4.09</f>
        <v>23894</v>
      </c>
      <c r="G554" s="145">
        <f t="shared" si="213"/>
        <v>1.123</v>
      </c>
      <c r="H554" s="146">
        <f t="shared" si="214"/>
        <v>26833</v>
      </c>
      <c r="I554" s="145">
        <f>'[2]Расчет прогнозных дефляторов'!$D$75</f>
        <v>1.0429999999999999</v>
      </c>
      <c r="J554" s="146">
        <f t="shared" si="215"/>
        <v>27987</v>
      </c>
      <c r="K554" s="146">
        <f t="shared" si="216"/>
        <v>27641</v>
      </c>
      <c r="L554" s="147"/>
      <c r="M554" s="147"/>
      <c r="N554" s="147"/>
    </row>
    <row r="555" spans="1:14" s="148" customFormat="1" ht="15.75" hidden="1" outlineLevel="3" x14ac:dyDescent="0.2">
      <c r="A555" s="95" t="s">
        <v>2093</v>
      </c>
      <c r="B555" s="42" t="s">
        <v>1503</v>
      </c>
      <c r="C555" s="42" t="s">
        <v>493</v>
      </c>
      <c r="D555" s="100" t="s">
        <v>292</v>
      </c>
      <c r="E555" s="100">
        <v>1</v>
      </c>
      <c r="F555" s="149">
        <f>(11876)*(1.023*1.005-2.3%*15%)*6.99+0*4.09</f>
        <v>85061</v>
      </c>
      <c r="G555" s="145">
        <f t="shared" si="213"/>
        <v>1.123</v>
      </c>
      <c r="H555" s="146">
        <f t="shared" si="214"/>
        <v>95524</v>
      </c>
      <c r="I555" s="145">
        <f>'[2]Расчет прогнозных дефляторов'!$D$75</f>
        <v>1.0429999999999999</v>
      </c>
      <c r="J555" s="146">
        <f t="shared" si="215"/>
        <v>99632</v>
      </c>
      <c r="K555" s="146">
        <f t="shared" si="216"/>
        <v>98400</v>
      </c>
      <c r="L555" s="147"/>
      <c r="M555" s="147"/>
      <c r="N555" s="147"/>
    </row>
    <row r="556" spans="1:14" s="148" customFormat="1" ht="15.75" hidden="1" outlineLevel="3" x14ac:dyDescent="0.2">
      <c r="A556" s="95" t="s">
        <v>2094</v>
      </c>
      <c r="B556" s="42" t="s">
        <v>1504</v>
      </c>
      <c r="C556" s="42" t="s">
        <v>494</v>
      </c>
      <c r="D556" s="100" t="s">
        <v>404</v>
      </c>
      <c r="E556" s="100">
        <f>21.2</f>
        <v>21.2</v>
      </c>
      <c r="F556" s="149">
        <f>(2373)*(1.023*1.005-2.3%*15%)*6.99+0*4.09</f>
        <v>16996</v>
      </c>
      <c r="G556" s="145">
        <f t="shared" si="213"/>
        <v>1.123</v>
      </c>
      <c r="H556" s="146">
        <f t="shared" si="214"/>
        <v>19087</v>
      </c>
      <c r="I556" s="145">
        <f>'[2]Расчет прогнозных дефляторов'!$D$75</f>
        <v>1.0429999999999999</v>
      </c>
      <c r="J556" s="146">
        <f t="shared" si="215"/>
        <v>19908</v>
      </c>
      <c r="K556" s="146">
        <f t="shared" si="216"/>
        <v>19662</v>
      </c>
      <c r="L556" s="147"/>
      <c r="M556" s="147"/>
      <c r="N556" s="147"/>
    </row>
    <row r="557" spans="1:14" s="237" customFormat="1" ht="15.75" outlineLevel="2" collapsed="1" x14ac:dyDescent="0.2">
      <c r="A557" s="238" t="s">
        <v>507</v>
      </c>
      <c r="B557" s="229" t="s">
        <v>229</v>
      </c>
      <c r="C557" s="229" t="s">
        <v>646</v>
      </c>
      <c r="D557" s="239" t="s">
        <v>292</v>
      </c>
      <c r="E557" s="240">
        <v>1</v>
      </c>
      <c r="F557" s="240">
        <f>F558</f>
        <v>24830964</v>
      </c>
      <c r="G557" s="241">
        <f t="shared" si="213"/>
        <v>1.123</v>
      </c>
      <c r="H557" s="240">
        <f>H558</f>
        <v>27885173</v>
      </c>
      <c r="I557" s="241">
        <f>'[2]Расчет прогнозных дефляторов'!$D$75</f>
        <v>1.0429999999999999</v>
      </c>
      <c r="J557" s="240">
        <f>J558</f>
        <v>29084235</v>
      </c>
      <c r="K557" s="240">
        <f>K558</f>
        <v>28724516</v>
      </c>
      <c r="L557" s="256"/>
      <c r="M557" s="256"/>
      <c r="N557" s="256"/>
    </row>
    <row r="558" spans="1:14" s="148" customFormat="1" ht="25.5" hidden="1" outlineLevel="3" x14ac:dyDescent="0.2">
      <c r="A558" s="95" t="s">
        <v>2095</v>
      </c>
      <c r="B558" s="42" t="s">
        <v>1505</v>
      </c>
      <c r="C558" s="42" t="s">
        <v>496</v>
      </c>
      <c r="D558" s="100" t="s">
        <v>408</v>
      </c>
      <c r="E558" s="100">
        <v>1</v>
      </c>
      <c r="F558" s="149">
        <f>(1059+70040)*(1.023*1.005-2.3%*15%)*6.99+5946634*4.09-9</f>
        <v>24830964</v>
      </c>
      <c r="G558" s="145">
        <f t="shared" si="213"/>
        <v>1.123</v>
      </c>
      <c r="H558" s="146">
        <f t="shared" ref="H558" si="217">F558*G558</f>
        <v>27885173</v>
      </c>
      <c r="I558" s="145">
        <f>'[2]Расчет прогнозных дефляторов'!$D$75</f>
        <v>1.0429999999999999</v>
      </c>
      <c r="J558" s="146">
        <f t="shared" ref="J558" si="218">H558*I558</f>
        <v>29084235</v>
      </c>
      <c r="K558" s="146">
        <f t="shared" ref="K558" si="219">H558+(J558-H558)*(1-30/100)</f>
        <v>28724516</v>
      </c>
      <c r="L558" s="147"/>
      <c r="M558" s="147"/>
      <c r="N558" s="147"/>
    </row>
    <row r="559" spans="1:14" s="243" customFormat="1" ht="15.75" outlineLevel="1" x14ac:dyDescent="0.2">
      <c r="A559" s="244" t="s">
        <v>508</v>
      </c>
      <c r="B559" s="245" t="s">
        <v>41</v>
      </c>
      <c r="C559" s="245" t="s">
        <v>2096</v>
      </c>
      <c r="D559" s="246" t="s">
        <v>408</v>
      </c>
      <c r="E559" s="247">
        <v>1</v>
      </c>
      <c r="F559" s="247">
        <f>F560+F571</f>
        <v>30784938</v>
      </c>
      <c r="G559" s="248"/>
      <c r="H559" s="247">
        <f>H560+H571</f>
        <v>34571486</v>
      </c>
      <c r="I559" s="248"/>
      <c r="J559" s="247">
        <f>J560+J571</f>
        <v>36058061</v>
      </c>
      <c r="K559" s="247">
        <f>K560+K571</f>
        <v>35612090</v>
      </c>
      <c r="L559" s="269"/>
      <c r="M559" s="269"/>
      <c r="N559" s="269"/>
    </row>
    <row r="560" spans="1:14" s="237" customFormat="1" ht="15.75" outlineLevel="2" collapsed="1" x14ac:dyDescent="0.2">
      <c r="A560" s="238" t="s">
        <v>634</v>
      </c>
      <c r="B560" s="229" t="s">
        <v>233</v>
      </c>
      <c r="C560" s="229" t="s">
        <v>648</v>
      </c>
      <c r="D560" s="239" t="s">
        <v>292</v>
      </c>
      <c r="E560" s="240">
        <v>1</v>
      </c>
      <c r="F560" s="240">
        <f>SUM(F561:F570)</f>
        <v>727343</v>
      </c>
      <c r="G560" s="241"/>
      <c r="H560" s="240">
        <f>SUM(H561:H570)</f>
        <v>816807</v>
      </c>
      <c r="I560" s="241"/>
      <c r="J560" s="240">
        <f>SUM(J561:J570)</f>
        <v>851931</v>
      </c>
      <c r="K560" s="240">
        <f>SUM(K561:K570)</f>
        <v>841395</v>
      </c>
      <c r="L560" s="256"/>
      <c r="M560" s="256"/>
      <c r="N560" s="256"/>
    </row>
    <row r="561" spans="1:14" s="148" customFormat="1" ht="15.75" hidden="1" outlineLevel="3" x14ac:dyDescent="0.2">
      <c r="A561" s="95"/>
      <c r="B561" s="42"/>
      <c r="C561" s="42" t="s">
        <v>367</v>
      </c>
      <c r="D561" s="100"/>
      <c r="E561" s="100"/>
      <c r="F561" s="149"/>
      <c r="G561" s="145"/>
      <c r="H561" s="146"/>
      <c r="I561" s="145"/>
      <c r="J561" s="146"/>
      <c r="K561" s="146"/>
      <c r="L561" s="147"/>
      <c r="M561" s="147"/>
      <c r="N561" s="147"/>
    </row>
    <row r="562" spans="1:14" s="148" customFormat="1" ht="25.5" hidden="1" outlineLevel="3" x14ac:dyDescent="0.2">
      <c r="A562" s="95" t="s">
        <v>635</v>
      </c>
      <c r="B562" s="42" t="s">
        <v>1507</v>
      </c>
      <c r="C562" s="42" t="s">
        <v>1506</v>
      </c>
      <c r="D562" s="100" t="s">
        <v>300</v>
      </c>
      <c r="E562" s="100">
        <f>176</f>
        <v>176</v>
      </c>
      <c r="F562" s="149">
        <f>(35096)*(1.023*1.005-2.3%*15%)*6.99+0*4.09-36</f>
        <v>251336</v>
      </c>
      <c r="G562" s="145">
        <f t="shared" ref="G562:G570" si="220">$G$766</f>
        <v>1.123</v>
      </c>
      <c r="H562" s="146">
        <f t="shared" ref="H562:H570" si="221">F562*G562</f>
        <v>282250</v>
      </c>
      <c r="I562" s="145">
        <f>'[2]Расчет прогнозных дефляторов'!$D$75</f>
        <v>1.0429999999999999</v>
      </c>
      <c r="J562" s="146">
        <f t="shared" ref="J562:J570" si="222">H562*I562</f>
        <v>294387</v>
      </c>
      <c r="K562" s="146">
        <f t="shared" ref="K562:K570" si="223">H562+(J562-H562)*(1-30/100)</f>
        <v>290746</v>
      </c>
      <c r="L562" s="147"/>
      <c r="M562" s="147"/>
      <c r="N562" s="147"/>
    </row>
    <row r="563" spans="1:14" s="148" customFormat="1" ht="15.75" hidden="1" outlineLevel="3" x14ac:dyDescent="0.2">
      <c r="A563" s="95" t="s">
        <v>636</v>
      </c>
      <c r="B563" s="42" t="s">
        <v>1508</v>
      </c>
      <c r="C563" s="42" t="s">
        <v>656</v>
      </c>
      <c r="D563" s="100" t="s">
        <v>300</v>
      </c>
      <c r="E563" s="100">
        <f>76.32</f>
        <v>76.319999999999993</v>
      </c>
      <c r="F563" s="149">
        <f>(3577)*(1.023*1.005-2.3%*15%)*6.99+0*4.09</f>
        <v>25620</v>
      </c>
      <c r="G563" s="145">
        <f t="shared" si="220"/>
        <v>1.123</v>
      </c>
      <c r="H563" s="146">
        <f t="shared" si="221"/>
        <v>28771</v>
      </c>
      <c r="I563" s="145">
        <f>'[2]Расчет прогнозных дефляторов'!$D$75</f>
        <v>1.0429999999999999</v>
      </c>
      <c r="J563" s="146">
        <f t="shared" si="222"/>
        <v>30008</v>
      </c>
      <c r="K563" s="146">
        <f t="shared" si="223"/>
        <v>29637</v>
      </c>
      <c r="L563" s="147"/>
      <c r="M563" s="147"/>
      <c r="N563" s="147"/>
    </row>
    <row r="564" spans="1:14" s="148" customFormat="1" ht="15.75" hidden="1" outlineLevel="3" x14ac:dyDescent="0.2">
      <c r="A564" s="95" t="s">
        <v>639</v>
      </c>
      <c r="B564" s="42" t="s">
        <v>1509</v>
      </c>
      <c r="C564" s="42" t="s">
        <v>1493</v>
      </c>
      <c r="D564" s="100" t="s">
        <v>300</v>
      </c>
      <c r="E564" s="100">
        <f>99.68</f>
        <v>99.68</v>
      </c>
      <c r="F564" s="149">
        <f>(1279)*(1.023*1.005-2.3%*15%)*6.99+0*4.09</f>
        <v>9161</v>
      </c>
      <c r="G564" s="145">
        <f t="shared" si="220"/>
        <v>1.123</v>
      </c>
      <c r="H564" s="146">
        <f t="shared" si="221"/>
        <v>10288</v>
      </c>
      <c r="I564" s="145">
        <f>'[2]Расчет прогнозных дефляторов'!$D$75</f>
        <v>1.0429999999999999</v>
      </c>
      <c r="J564" s="146">
        <f t="shared" si="222"/>
        <v>10730</v>
      </c>
      <c r="K564" s="146">
        <f t="shared" si="223"/>
        <v>10597</v>
      </c>
      <c r="L564" s="147"/>
      <c r="M564" s="147"/>
      <c r="N564" s="147"/>
    </row>
    <row r="565" spans="1:14" s="148" customFormat="1" ht="15.75" hidden="1" outlineLevel="3" x14ac:dyDescent="0.2">
      <c r="A565" s="95" t="s">
        <v>640</v>
      </c>
      <c r="B565" s="42" t="s">
        <v>1510</v>
      </c>
      <c r="C565" s="42" t="s">
        <v>492</v>
      </c>
      <c r="D565" s="100" t="s">
        <v>300</v>
      </c>
      <c r="E565" s="100">
        <f>9.72</f>
        <v>9.7200000000000006</v>
      </c>
      <c r="F565" s="149">
        <f>(36328)*(1.023*1.005-2.3%*15%)*6.99+0*4.09</f>
        <v>260196</v>
      </c>
      <c r="G565" s="145">
        <f t="shared" si="220"/>
        <v>1.123</v>
      </c>
      <c r="H565" s="146">
        <f t="shared" si="221"/>
        <v>292200</v>
      </c>
      <c r="I565" s="145">
        <f>'[2]Расчет прогнозных дефляторов'!$D$75</f>
        <v>1.0429999999999999</v>
      </c>
      <c r="J565" s="146">
        <f t="shared" si="222"/>
        <v>304765</v>
      </c>
      <c r="K565" s="146">
        <f t="shared" si="223"/>
        <v>300996</v>
      </c>
      <c r="L565" s="147"/>
      <c r="M565" s="147"/>
      <c r="N565" s="147"/>
    </row>
    <row r="566" spans="1:14" s="148" customFormat="1" ht="15.75" hidden="1" outlineLevel="3" x14ac:dyDescent="0.2">
      <c r="A566" s="95" t="s">
        <v>641</v>
      </c>
      <c r="B566" s="42" t="s">
        <v>1511</v>
      </c>
      <c r="C566" s="42" t="s">
        <v>1498</v>
      </c>
      <c r="D566" s="100" t="s">
        <v>292</v>
      </c>
      <c r="E566" s="100">
        <v>1</v>
      </c>
      <c r="F566" s="149">
        <f>(3101)*(1.023*1.005-2.3%*15%)*6.99+0*4.09</f>
        <v>22211</v>
      </c>
      <c r="G566" s="145">
        <f t="shared" si="220"/>
        <v>1.123</v>
      </c>
      <c r="H566" s="146">
        <f t="shared" si="221"/>
        <v>24943</v>
      </c>
      <c r="I566" s="145">
        <f>'[2]Расчет прогнозных дефляторов'!$D$75</f>
        <v>1.0429999999999999</v>
      </c>
      <c r="J566" s="146">
        <f t="shared" si="222"/>
        <v>26016</v>
      </c>
      <c r="K566" s="146">
        <f t="shared" si="223"/>
        <v>25694</v>
      </c>
      <c r="L566" s="147"/>
      <c r="M566" s="147"/>
      <c r="N566" s="147"/>
    </row>
    <row r="567" spans="1:14" s="148" customFormat="1" ht="15.75" hidden="1" outlineLevel="3" x14ac:dyDescent="0.2">
      <c r="A567" s="95" t="s">
        <v>642</v>
      </c>
      <c r="B567" s="42" t="s">
        <v>1512</v>
      </c>
      <c r="C567" s="42" t="s">
        <v>414</v>
      </c>
      <c r="D567" s="100" t="s">
        <v>404</v>
      </c>
      <c r="E567" s="100">
        <v>28</v>
      </c>
      <c r="F567" s="149">
        <f>(4589)*(1.023*1.005-2.3%*15%)*6.99+0*4.09</f>
        <v>32868</v>
      </c>
      <c r="G567" s="145">
        <f t="shared" si="220"/>
        <v>1.123</v>
      </c>
      <c r="H567" s="146">
        <f t="shared" si="221"/>
        <v>36911</v>
      </c>
      <c r="I567" s="145">
        <f>'[2]Расчет прогнозных дефляторов'!$D$75</f>
        <v>1.0429999999999999</v>
      </c>
      <c r="J567" s="146">
        <f t="shared" si="222"/>
        <v>38498</v>
      </c>
      <c r="K567" s="146">
        <f t="shared" si="223"/>
        <v>38022</v>
      </c>
      <c r="L567" s="147"/>
      <c r="M567" s="147"/>
      <c r="N567" s="147"/>
    </row>
    <row r="568" spans="1:14" s="148" customFormat="1" ht="15.75" hidden="1" outlineLevel="3" x14ac:dyDescent="0.2">
      <c r="A568" s="95" t="s">
        <v>643</v>
      </c>
      <c r="B568" s="42" t="s">
        <v>1513</v>
      </c>
      <c r="C568" s="42" t="s">
        <v>1514</v>
      </c>
      <c r="D568" s="100" t="s">
        <v>637</v>
      </c>
      <c r="E568" s="145">
        <f>0.144+0.152</f>
        <v>0.29599999999999999</v>
      </c>
      <c r="F568" s="149">
        <f>(3336)*(1.023*1.005-2.3%*15%)*6.99+0*4.09</f>
        <v>23894</v>
      </c>
      <c r="G568" s="145">
        <f t="shared" si="220"/>
        <v>1.123</v>
      </c>
      <c r="H568" s="146">
        <f t="shared" si="221"/>
        <v>26833</v>
      </c>
      <c r="I568" s="145">
        <f>'[2]Расчет прогнозных дефляторов'!$D$75</f>
        <v>1.0429999999999999</v>
      </c>
      <c r="J568" s="146">
        <f t="shared" si="222"/>
        <v>27987</v>
      </c>
      <c r="K568" s="146">
        <f t="shared" si="223"/>
        <v>27641</v>
      </c>
      <c r="L568" s="147"/>
      <c r="M568" s="147"/>
      <c r="N568" s="147"/>
    </row>
    <row r="569" spans="1:14" s="148" customFormat="1" ht="15.75" hidden="1" outlineLevel="3" x14ac:dyDescent="0.2">
      <c r="A569" s="95" t="s">
        <v>644</v>
      </c>
      <c r="B569" s="42" t="s">
        <v>1515</v>
      </c>
      <c r="C569" s="42" t="s">
        <v>493</v>
      </c>
      <c r="D569" s="100" t="s">
        <v>292</v>
      </c>
      <c r="E569" s="149">
        <v>1</v>
      </c>
      <c r="F569" s="149">
        <f>(11876)*(1.023*1.005-2.3%*15%)*6.99+0*4.09</f>
        <v>85061</v>
      </c>
      <c r="G569" s="145">
        <f t="shared" si="220"/>
        <v>1.123</v>
      </c>
      <c r="H569" s="146">
        <f t="shared" si="221"/>
        <v>95524</v>
      </c>
      <c r="I569" s="145">
        <f>'[2]Расчет прогнозных дефляторов'!$D$75</f>
        <v>1.0429999999999999</v>
      </c>
      <c r="J569" s="146">
        <f t="shared" si="222"/>
        <v>99632</v>
      </c>
      <c r="K569" s="146">
        <f t="shared" si="223"/>
        <v>98400</v>
      </c>
      <c r="L569" s="147"/>
      <c r="M569" s="147"/>
      <c r="N569" s="147"/>
    </row>
    <row r="570" spans="1:14" s="148" customFormat="1" ht="15.75" hidden="1" outlineLevel="3" x14ac:dyDescent="0.2">
      <c r="A570" s="95" t="s">
        <v>645</v>
      </c>
      <c r="B570" s="42" t="s">
        <v>1516</v>
      </c>
      <c r="C570" s="42" t="s">
        <v>494</v>
      </c>
      <c r="D570" s="100" t="s">
        <v>404</v>
      </c>
      <c r="E570" s="100">
        <f>21.2</f>
        <v>21.2</v>
      </c>
      <c r="F570" s="149">
        <f>(2373)*(1.023*1.005-2.3%*15%)*6.99+0*4.09</f>
        <v>16996</v>
      </c>
      <c r="G570" s="145">
        <f t="shared" si="220"/>
        <v>1.123</v>
      </c>
      <c r="H570" s="146">
        <f t="shared" si="221"/>
        <v>19087</v>
      </c>
      <c r="I570" s="145">
        <f>'[2]Расчет прогнозных дефляторов'!$D$75</f>
        <v>1.0429999999999999</v>
      </c>
      <c r="J570" s="146">
        <f t="shared" si="222"/>
        <v>19908</v>
      </c>
      <c r="K570" s="146">
        <f t="shared" si="223"/>
        <v>19662</v>
      </c>
      <c r="L570" s="147"/>
      <c r="M570" s="147"/>
      <c r="N570" s="147"/>
    </row>
    <row r="571" spans="1:14" s="237" customFormat="1" ht="15.75" outlineLevel="2" collapsed="1" x14ac:dyDescent="0.2">
      <c r="A571" s="238" t="s">
        <v>647</v>
      </c>
      <c r="B571" s="229" t="s">
        <v>235</v>
      </c>
      <c r="C571" s="229" t="s">
        <v>646</v>
      </c>
      <c r="D571" s="239" t="s">
        <v>292</v>
      </c>
      <c r="E571" s="240">
        <v>1</v>
      </c>
      <c r="F571" s="240">
        <f>F572</f>
        <v>30057595</v>
      </c>
      <c r="G571" s="241"/>
      <c r="H571" s="240">
        <f>H572</f>
        <v>33754679</v>
      </c>
      <c r="I571" s="241"/>
      <c r="J571" s="240">
        <f>J572</f>
        <v>35206130</v>
      </c>
      <c r="K571" s="240">
        <f>K572</f>
        <v>34770695</v>
      </c>
      <c r="L571" s="256"/>
      <c r="M571" s="256"/>
      <c r="N571" s="256"/>
    </row>
    <row r="572" spans="1:14" s="148" customFormat="1" ht="38.25" hidden="1" outlineLevel="3" x14ac:dyDescent="0.2">
      <c r="A572" s="95" t="s">
        <v>649</v>
      </c>
      <c r="B572" s="42" t="s">
        <v>1517</v>
      </c>
      <c r="C572" s="42" t="s">
        <v>1518</v>
      </c>
      <c r="D572" s="100" t="s">
        <v>408</v>
      </c>
      <c r="E572" s="149">
        <v>1</v>
      </c>
      <c r="F572" s="149">
        <f>(1059+72109)*(1.023*1.005-2.3%*15%)*6.99+7220913*4.09+2</f>
        <v>30057595</v>
      </c>
      <c r="G572" s="145">
        <f>$G$766</f>
        <v>1.123</v>
      </c>
      <c r="H572" s="146">
        <f t="shared" ref="H572:H573" si="224">F572*G572</f>
        <v>33754679</v>
      </c>
      <c r="I572" s="145">
        <f>'[2]Расчет прогнозных дефляторов'!$D$75</f>
        <v>1.0429999999999999</v>
      </c>
      <c r="J572" s="146">
        <f t="shared" ref="J572:J573" si="225">H572*I572</f>
        <v>35206130</v>
      </c>
      <c r="K572" s="146">
        <f t="shared" ref="K572:K573" si="226">H572+(J572-H572)*(1-30/100)</f>
        <v>34770695</v>
      </c>
      <c r="L572" s="147"/>
      <c r="M572" s="147"/>
      <c r="N572" s="147"/>
    </row>
    <row r="573" spans="1:14" s="148" customFormat="1" ht="15.75" outlineLevel="1" x14ac:dyDescent="0.2">
      <c r="A573" s="238" t="s">
        <v>509</v>
      </c>
      <c r="B573" s="229" t="s">
        <v>45</v>
      </c>
      <c r="C573" s="229" t="s">
        <v>46</v>
      </c>
      <c r="D573" s="239" t="s">
        <v>292</v>
      </c>
      <c r="E573" s="240">
        <v>1</v>
      </c>
      <c r="F573" s="240">
        <f>(18122+268877)*(1.023*1.005-2.3%*15%)*6.99+4903*4.09-5</f>
        <v>2075652</v>
      </c>
      <c r="G573" s="241">
        <f>$G$766</f>
        <v>1.123</v>
      </c>
      <c r="H573" s="242">
        <f t="shared" si="224"/>
        <v>2330957</v>
      </c>
      <c r="I573" s="241">
        <f>'[2]Расчет прогнозных дефляторов'!$D$75</f>
        <v>1.0429999999999999</v>
      </c>
      <c r="J573" s="242">
        <f t="shared" si="225"/>
        <v>2431188</v>
      </c>
      <c r="K573" s="242">
        <f t="shared" si="226"/>
        <v>2401119</v>
      </c>
      <c r="L573" s="147"/>
      <c r="M573" s="147"/>
      <c r="N573" s="147"/>
    </row>
    <row r="574" spans="1:14" s="249" customFormat="1" ht="15.75" outlineLevel="1" x14ac:dyDescent="0.2">
      <c r="A574" s="244" t="s">
        <v>512</v>
      </c>
      <c r="B574" s="245" t="s">
        <v>49</v>
      </c>
      <c r="C574" s="245" t="s">
        <v>50</v>
      </c>
      <c r="D574" s="246" t="s">
        <v>292</v>
      </c>
      <c r="E574" s="247">
        <v>1</v>
      </c>
      <c r="F574" s="247">
        <f>F575+F626+F632</f>
        <v>102030049</v>
      </c>
      <c r="G574" s="248"/>
      <c r="H574" s="247">
        <f>H575+H626+H632</f>
        <v>114579747</v>
      </c>
      <c r="I574" s="248"/>
      <c r="J574" s="247">
        <f>J575+J626+J632</f>
        <v>119506675</v>
      </c>
      <c r="K574" s="247">
        <f>K575+K626+K632</f>
        <v>118028596</v>
      </c>
      <c r="L574" s="268"/>
      <c r="M574" s="268"/>
      <c r="N574" s="268"/>
    </row>
    <row r="575" spans="1:14" s="148" customFormat="1" ht="15.75" outlineLevel="2" collapsed="1" x14ac:dyDescent="0.2">
      <c r="A575" s="238" t="s">
        <v>513</v>
      </c>
      <c r="B575" s="229" t="s">
        <v>239</v>
      </c>
      <c r="C575" s="229" t="s">
        <v>240</v>
      </c>
      <c r="D575" s="239" t="s">
        <v>292</v>
      </c>
      <c r="E575" s="240">
        <v>1</v>
      </c>
      <c r="F575" s="240">
        <f>SUM(F577:F625)</f>
        <v>71817612</v>
      </c>
      <c r="G575" s="241"/>
      <c r="H575" s="240">
        <f>SUM(H577:H625)</f>
        <v>80651179</v>
      </c>
      <c r="I575" s="241"/>
      <c r="J575" s="240">
        <f>SUM(J577:J625)</f>
        <v>84119179</v>
      </c>
      <c r="K575" s="240">
        <f>SUM(K577:K625)</f>
        <v>83078778</v>
      </c>
      <c r="L575" s="147"/>
      <c r="M575" s="147"/>
      <c r="N575" s="147"/>
    </row>
    <row r="576" spans="1:14" s="148" customFormat="1" ht="15.75" hidden="1" outlineLevel="3" x14ac:dyDescent="0.2">
      <c r="A576" s="95"/>
      <c r="B576" s="42"/>
      <c r="C576" s="42" t="s">
        <v>367</v>
      </c>
      <c r="D576" s="100"/>
      <c r="E576" s="100"/>
      <c r="F576" s="149"/>
      <c r="G576" s="145"/>
      <c r="H576" s="146"/>
      <c r="I576" s="145"/>
      <c r="J576" s="146"/>
      <c r="K576" s="146"/>
      <c r="L576" s="147"/>
      <c r="M576" s="147"/>
      <c r="N576" s="147"/>
    </row>
    <row r="577" spans="1:14" s="148" customFormat="1" ht="25.5" hidden="1" outlineLevel="3" x14ac:dyDescent="0.2">
      <c r="A577" s="95" t="s">
        <v>2097</v>
      </c>
      <c r="B577" s="42" t="s">
        <v>1520</v>
      </c>
      <c r="C577" s="42" t="s">
        <v>510</v>
      </c>
      <c r="D577" s="100" t="s">
        <v>300</v>
      </c>
      <c r="E577" s="100">
        <f>22435</f>
        <v>22435</v>
      </c>
      <c r="F577" s="149">
        <f>(4473740)*(1.023*1.005-2.3%*15%)*6.99+0*4.09-62</f>
        <v>32042691</v>
      </c>
      <c r="G577" s="145">
        <f t="shared" ref="G577:G600" si="227">$G$766</f>
        <v>1.123</v>
      </c>
      <c r="H577" s="146">
        <f t="shared" ref="H577:H600" si="228">F577*G577</f>
        <v>35983942</v>
      </c>
      <c r="I577" s="145">
        <f>'[2]Расчет прогнозных дефляторов'!$D$75</f>
        <v>1.0429999999999999</v>
      </c>
      <c r="J577" s="146">
        <f t="shared" ref="J577:J600" si="229">H577*I577</f>
        <v>37531252</v>
      </c>
      <c r="K577" s="146">
        <f t="shared" ref="K577:K600" si="230">H577+(J577-H577)*(1-30/100)</f>
        <v>37067059</v>
      </c>
      <c r="L577" s="147"/>
      <c r="M577" s="147"/>
      <c r="N577" s="147"/>
    </row>
    <row r="578" spans="1:14" s="148" customFormat="1" ht="38.25" hidden="1" outlineLevel="3" x14ac:dyDescent="0.2">
      <c r="A578" s="95" t="s">
        <v>2098</v>
      </c>
      <c r="B578" s="42" t="s">
        <v>1523</v>
      </c>
      <c r="C578" s="42" t="s">
        <v>1521</v>
      </c>
      <c r="D578" s="100" t="s">
        <v>300</v>
      </c>
      <c r="E578" s="100">
        <f>20191.5</f>
        <v>20191.5</v>
      </c>
      <c r="F578" s="149">
        <f>(331083)*(1.023*1.005-2.3%*15%)*6.99+0*4.09</f>
        <v>2371352</v>
      </c>
      <c r="G578" s="145">
        <f t="shared" si="227"/>
        <v>1.123</v>
      </c>
      <c r="H578" s="146">
        <f t="shared" si="228"/>
        <v>2663028</v>
      </c>
      <c r="I578" s="145">
        <f>'[2]Расчет прогнозных дефляторов'!$D$75</f>
        <v>1.0429999999999999</v>
      </c>
      <c r="J578" s="146">
        <f t="shared" si="229"/>
        <v>2777538</v>
      </c>
      <c r="K578" s="146">
        <f t="shared" si="230"/>
        <v>2743185</v>
      </c>
      <c r="L578" s="147"/>
      <c r="M578" s="147"/>
      <c r="N578" s="147"/>
    </row>
    <row r="579" spans="1:14" s="148" customFormat="1" ht="25.5" hidden="1" outlineLevel="3" x14ac:dyDescent="0.2">
      <c r="A579" s="95" t="s">
        <v>2099</v>
      </c>
      <c r="B579" s="42" t="s">
        <v>1524</v>
      </c>
      <c r="C579" s="42" t="s">
        <v>1522</v>
      </c>
      <c r="D579" s="100" t="s">
        <v>300</v>
      </c>
      <c r="E579" s="100">
        <f>2243.5</f>
        <v>2243.5</v>
      </c>
      <c r="F579" s="149">
        <f>(229932)*(1.023*1.005-2.3%*15%)*6.99+0*4.09</f>
        <v>1646867</v>
      </c>
      <c r="G579" s="145">
        <f t="shared" si="227"/>
        <v>1.123</v>
      </c>
      <c r="H579" s="146">
        <f t="shared" si="228"/>
        <v>1849432</v>
      </c>
      <c r="I579" s="145">
        <f>'[2]Расчет прогнозных дефляторов'!$D$75</f>
        <v>1.0429999999999999</v>
      </c>
      <c r="J579" s="146">
        <f t="shared" si="229"/>
        <v>1928958</v>
      </c>
      <c r="K579" s="146">
        <f t="shared" si="230"/>
        <v>1905100</v>
      </c>
      <c r="L579" s="147"/>
      <c r="M579" s="147"/>
      <c r="N579" s="147"/>
    </row>
    <row r="580" spans="1:14" s="148" customFormat="1" ht="15.75" hidden="1" outlineLevel="3" x14ac:dyDescent="0.2">
      <c r="A580" s="95" t="s">
        <v>2100</v>
      </c>
      <c r="B580" s="42" t="s">
        <v>1526</v>
      </c>
      <c r="C580" s="42" t="s">
        <v>1525</v>
      </c>
      <c r="D580" s="100" t="s">
        <v>300</v>
      </c>
      <c r="E580" s="100">
        <f>572.5</f>
        <v>572.5</v>
      </c>
      <c r="F580" s="149">
        <f>(114826)*(1.023*1.005-2.3%*15%)*6.99+0*4.09</f>
        <v>822431</v>
      </c>
      <c r="G580" s="145">
        <f t="shared" si="227"/>
        <v>1.123</v>
      </c>
      <c r="H580" s="146">
        <f t="shared" si="228"/>
        <v>923590</v>
      </c>
      <c r="I580" s="145">
        <f>'[2]Расчет прогнозных дефляторов'!$D$75</f>
        <v>1.0429999999999999</v>
      </c>
      <c r="J580" s="146">
        <f t="shared" si="229"/>
        <v>963304</v>
      </c>
      <c r="K580" s="146">
        <f t="shared" si="230"/>
        <v>951390</v>
      </c>
      <c r="L580" s="147"/>
      <c r="M580" s="147"/>
      <c r="N580" s="147"/>
    </row>
    <row r="581" spans="1:14" s="148" customFormat="1" ht="25.5" hidden="1" outlineLevel="3" x14ac:dyDescent="0.2">
      <c r="A581" s="95" t="s">
        <v>2101</v>
      </c>
      <c r="B581" s="42" t="s">
        <v>1528</v>
      </c>
      <c r="C581" s="42" t="s">
        <v>1529</v>
      </c>
      <c r="D581" s="100" t="s">
        <v>300</v>
      </c>
      <c r="E581" s="100">
        <f>2863.6</f>
        <v>2863.6</v>
      </c>
      <c r="F581" s="149">
        <f>(221455)*(1.023*1.005-2.3%*15%)*6.99+0*4.09</f>
        <v>1586151</v>
      </c>
      <c r="G581" s="145">
        <f t="shared" si="227"/>
        <v>1.123</v>
      </c>
      <c r="H581" s="146">
        <f t="shared" si="228"/>
        <v>1781248</v>
      </c>
      <c r="I581" s="145">
        <f>'[2]Расчет прогнозных дефляторов'!$D$75</f>
        <v>1.0429999999999999</v>
      </c>
      <c r="J581" s="146">
        <f t="shared" si="229"/>
        <v>1857842</v>
      </c>
      <c r="K581" s="146">
        <f t="shared" si="230"/>
        <v>1834864</v>
      </c>
      <c r="L581" s="147"/>
      <c r="M581" s="147"/>
      <c r="N581" s="147"/>
    </row>
    <row r="582" spans="1:14" s="148" customFormat="1" ht="25.5" hidden="1" outlineLevel="3" x14ac:dyDescent="0.2">
      <c r="A582" s="95" t="s">
        <v>2102</v>
      </c>
      <c r="B582" s="42" t="s">
        <v>1531</v>
      </c>
      <c r="C582" s="42" t="s">
        <v>1530</v>
      </c>
      <c r="D582" s="100" t="s">
        <v>300</v>
      </c>
      <c r="E582" s="100">
        <f>18444.7</f>
        <v>18444.7</v>
      </c>
      <c r="F582" s="149">
        <f>(277216)*(1.023*1.005-2.3%*15%)*6.99+0*4.09</f>
        <v>1985534</v>
      </c>
      <c r="G582" s="145">
        <f t="shared" si="227"/>
        <v>1.123</v>
      </c>
      <c r="H582" s="146">
        <f t="shared" si="228"/>
        <v>2229755</v>
      </c>
      <c r="I582" s="145">
        <f>'[2]Расчет прогнозных дефляторов'!$D$75</f>
        <v>1.0429999999999999</v>
      </c>
      <c r="J582" s="146">
        <f t="shared" si="229"/>
        <v>2325634</v>
      </c>
      <c r="K582" s="146">
        <f t="shared" si="230"/>
        <v>2296870</v>
      </c>
      <c r="L582" s="147"/>
      <c r="M582" s="147"/>
      <c r="N582" s="147"/>
    </row>
    <row r="583" spans="1:14" s="148" customFormat="1" ht="15.75" hidden="1" outlineLevel="3" x14ac:dyDescent="0.2">
      <c r="A583" s="95" t="s">
        <v>2103</v>
      </c>
      <c r="B583" s="42" t="s">
        <v>1533</v>
      </c>
      <c r="C583" s="42" t="s">
        <v>1532</v>
      </c>
      <c r="D583" s="100" t="s">
        <v>300</v>
      </c>
      <c r="E583" s="100">
        <f>3990.3</f>
        <v>3990.3</v>
      </c>
      <c r="F583" s="149">
        <f>(55031)*(1.023*1.005-2.3%*15%)*6.99+0*4.09</f>
        <v>394154</v>
      </c>
      <c r="G583" s="145">
        <f t="shared" si="227"/>
        <v>1.123</v>
      </c>
      <c r="H583" s="146">
        <f t="shared" si="228"/>
        <v>442635</v>
      </c>
      <c r="I583" s="145">
        <f>'[2]Расчет прогнозных дефляторов'!$D$75</f>
        <v>1.0429999999999999</v>
      </c>
      <c r="J583" s="146">
        <f t="shared" si="229"/>
        <v>461668</v>
      </c>
      <c r="K583" s="146">
        <f t="shared" si="230"/>
        <v>455958</v>
      </c>
      <c r="L583" s="147"/>
      <c r="M583" s="147"/>
      <c r="N583" s="147"/>
    </row>
    <row r="584" spans="1:14" s="148" customFormat="1" ht="25.5" hidden="1" outlineLevel="3" x14ac:dyDescent="0.2">
      <c r="A584" s="95" t="s">
        <v>2104</v>
      </c>
      <c r="B584" s="42" t="s">
        <v>1534</v>
      </c>
      <c r="C584" s="42" t="s">
        <v>1535</v>
      </c>
      <c r="D584" s="100" t="s">
        <v>404</v>
      </c>
      <c r="E584" s="100">
        <v>5370</v>
      </c>
      <c r="F584" s="149">
        <f>(109770)*(1.023*1.005-2.3%*15%)*6.99+0*4.09</f>
        <v>786218</v>
      </c>
      <c r="G584" s="145">
        <f t="shared" si="227"/>
        <v>1.123</v>
      </c>
      <c r="H584" s="146">
        <f t="shared" si="228"/>
        <v>882923</v>
      </c>
      <c r="I584" s="145">
        <f>'[2]Расчет прогнозных дефляторов'!$D$75</f>
        <v>1.0429999999999999</v>
      </c>
      <c r="J584" s="146">
        <f t="shared" si="229"/>
        <v>920889</v>
      </c>
      <c r="K584" s="146">
        <f t="shared" si="230"/>
        <v>909499</v>
      </c>
      <c r="L584" s="147"/>
      <c r="M584" s="147"/>
      <c r="N584" s="147"/>
    </row>
    <row r="585" spans="1:14" s="148" customFormat="1" ht="25.5" hidden="1" outlineLevel="3" x14ac:dyDescent="0.2">
      <c r="A585" s="95" t="s">
        <v>2105</v>
      </c>
      <c r="B585" s="42" t="s">
        <v>1537</v>
      </c>
      <c r="C585" s="42" t="s">
        <v>1536</v>
      </c>
      <c r="D585" s="100" t="s">
        <v>404</v>
      </c>
      <c r="E585" s="100">
        <f>3*2*20</f>
        <v>120</v>
      </c>
      <c r="F585" s="149">
        <f>(22613)*(1.023*1.005-2.3%*15%)*6.99+0*4.09</f>
        <v>161964</v>
      </c>
      <c r="G585" s="145">
        <f t="shared" si="227"/>
        <v>1.123</v>
      </c>
      <c r="H585" s="146">
        <f t="shared" si="228"/>
        <v>181886</v>
      </c>
      <c r="I585" s="145">
        <f>'[2]Расчет прогнозных дефляторов'!$D$75</f>
        <v>1.0429999999999999</v>
      </c>
      <c r="J585" s="146">
        <f t="shared" si="229"/>
        <v>189707</v>
      </c>
      <c r="K585" s="146">
        <f t="shared" si="230"/>
        <v>187361</v>
      </c>
      <c r="L585" s="147"/>
      <c r="M585" s="147"/>
      <c r="N585" s="147"/>
    </row>
    <row r="586" spans="1:14" s="148" customFormat="1" ht="25.5" hidden="1" outlineLevel="3" x14ac:dyDescent="0.2">
      <c r="A586" s="95" t="s">
        <v>2106</v>
      </c>
      <c r="B586" s="42" t="s">
        <v>1539</v>
      </c>
      <c r="C586" s="42" t="s">
        <v>1538</v>
      </c>
      <c r="D586" s="100" t="s">
        <v>377</v>
      </c>
      <c r="E586" s="100">
        <f>105</f>
        <v>105</v>
      </c>
      <c r="F586" s="149">
        <f>(66198)*(1.023*1.005-2.3%*15%)*6.99+0*4.09</f>
        <v>474137</v>
      </c>
      <c r="G586" s="145">
        <f t="shared" si="227"/>
        <v>1.123</v>
      </c>
      <c r="H586" s="146">
        <f t="shared" si="228"/>
        <v>532456</v>
      </c>
      <c r="I586" s="145">
        <f>'[2]Расчет прогнозных дефляторов'!$D$75</f>
        <v>1.0429999999999999</v>
      </c>
      <c r="J586" s="146">
        <f t="shared" si="229"/>
        <v>555352</v>
      </c>
      <c r="K586" s="146">
        <f t="shared" si="230"/>
        <v>548483</v>
      </c>
      <c r="L586" s="147"/>
      <c r="M586" s="147"/>
      <c r="N586" s="147"/>
    </row>
    <row r="587" spans="1:14" s="148" customFormat="1" ht="25.5" hidden="1" outlineLevel="3" x14ac:dyDescent="0.2">
      <c r="A587" s="95" t="s">
        <v>2107</v>
      </c>
      <c r="B587" s="42" t="s">
        <v>1541</v>
      </c>
      <c r="C587" s="42" t="s">
        <v>1540</v>
      </c>
      <c r="D587" s="100" t="s">
        <v>377</v>
      </c>
      <c r="E587" s="100">
        <f>135</f>
        <v>135</v>
      </c>
      <c r="F587" s="149">
        <f>(343866)*(1.023*1.005-2.3%*15%)*6.99+0*4.09</f>
        <v>2462909</v>
      </c>
      <c r="G587" s="145">
        <f t="shared" si="227"/>
        <v>1.123</v>
      </c>
      <c r="H587" s="146">
        <f t="shared" si="228"/>
        <v>2765847</v>
      </c>
      <c r="I587" s="145">
        <f>'[2]Расчет прогнозных дефляторов'!$D$75</f>
        <v>1.0429999999999999</v>
      </c>
      <c r="J587" s="146">
        <f t="shared" si="229"/>
        <v>2884778</v>
      </c>
      <c r="K587" s="146">
        <f t="shared" si="230"/>
        <v>2849099</v>
      </c>
      <c r="L587" s="147"/>
      <c r="M587" s="147"/>
      <c r="N587" s="147"/>
    </row>
    <row r="588" spans="1:14" s="148" customFormat="1" ht="25.5" hidden="1" outlineLevel="3" x14ac:dyDescent="0.2">
      <c r="A588" s="95" t="s">
        <v>2108</v>
      </c>
      <c r="B588" s="42" t="s">
        <v>1543</v>
      </c>
      <c r="C588" s="42" t="s">
        <v>1542</v>
      </c>
      <c r="D588" s="100" t="s">
        <v>377</v>
      </c>
      <c r="E588" s="100">
        <f>55</f>
        <v>55</v>
      </c>
      <c r="F588" s="149">
        <f>(55321)*(1.023*1.005-2.3%*15%)*6.99+0*4.09</f>
        <v>396232</v>
      </c>
      <c r="G588" s="145">
        <f t="shared" si="227"/>
        <v>1.123</v>
      </c>
      <c r="H588" s="146">
        <f t="shared" si="228"/>
        <v>444969</v>
      </c>
      <c r="I588" s="145">
        <f>'[2]Расчет прогнозных дефляторов'!$D$75</f>
        <v>1.0429999999999999</v>
      </c>
      <c r="J588" s="146">
        <f t="shared" si="229"/>
        <v>464103</v>
      </c>
      <c r="K588" s="146">
        <f t="shared" si="230"/>
        <v>458363</v>
      </c>
      <c r="L588" s="147"/>
      <c r="M588" s="147"/>
      <c r="N588" s="147"/>
    </row>
    <row r="589" spans="1:14" s="148" customFormat="1" ht="25.5" hidden="1" outlineLevel="3" x14ac:dyDescent="0.2">
      <c r="A589" s="95" t="s">
        <v>2109</v>
      </c>
      <c r="B589" s="42" t="s">
        <v>1546</v>
      </c>
      <c r="C589" s="42" t="s">
        <v>1544</v>
      </c>
      <c r="D589" s="100" t="s">
        <v>377</v>
      </c>
      <c r="E589" s="100">
        <v>25</v>
      </c>
      <c r="F589" s="149">
        <f>(78606)*(1.023*1.005-2.3%*15%)*6.99+0*4.09</f>
        <v>563008</v>
      </c>
      <c r="G589" s="145">
        <f t="shared" si="227"/>
        <v>1.123</v>
      </c>
      <c r="H589" s="146">
        <f t="shared" si="228"/>
        <v>632258</v>
      </c>
      <c r="I589" s="145">
        <f>'[2]Расчет прогнозных дефляторов'!$D$75</f>
        <v>1.0429999999999999</v>
      </c>
      <c r="J589" s="146">
        <f t="shared" si="229"/>
        <v>659445</v>
      </c>
      <c r="K589" s="146">
        <f t="shared" si="230"/>
        <v>651289</v>
      </c>
      <c r="L589" s="147"/>
      <c r="M589" s="147"/>
      <c r="N589" s="147"/>
    </row>
    <row r="590" spans="1:14" s="148" customFormat="1" ht="25.5" hidden="1" outlineLevel="3" x14ac:dyDescent="0.2">
      <c r="A590" s="95" t="s">
        <v>2110</v>
      </c>
      <c r="B590" s="42" t="s">
        <v>1547</v>
      </c>
      <c r="C590" s="42" t="s">
        <v>1545</v>
      </c>
      <c r="D590" s="100" t="s">
        <v>377</v>
      </c>
      <c r="E590" s="100">
        <v>20</v>
      </c>
      <c r="F590" s="149">
        <f>(63009)*(1.023*1.005-2.3%*15%)*6.99+0*4.09</f>
        <v>451296</v>
      </c>
      <c r="G590" s="145">
        <f t="shared" si="227"/>
        <v>1.123</v>
      </c>
      <c r="H590" s="146">
        <f t="shared" si="228"/>
        <v>506805</v>
      </c>
      <c r="I590" s="145">
        <f>'[2]Расчет прогнозных дефляторов'!$D$75</f>
        <v>1.0429999999999999</v>
      </c>
      <c r="J590" s="146">
        <f t="shared" si="229"/>
        <v>528598</v>
      </c>
      <c r="K590" s="146">
        <f t="shared" si="230"/>
        <v>522060</v>
      </c>
      <c r="L590" s="147"/>
      <c r="M590" s="147"/>
      <c r="N590" s="147"/>
    </row>
    <row r="591" spans="1:14" s="148" customFormat="1" ht="25.5" hidden="1" outlineLevel="3" x14ac:dyDescent="0.2">
      <c r="A591" s="95" t="s">
        <v>2111</v>
      </c>
      <c r="B591" s="42" t="s">
        <v>1548</v>
      </c>
      <c r="C591" s="42" t="s">
        <v>1549</v>
      </c>
      <c r="D591" s="100" t="s">
        <v>377</v>
      </c>
      <c r="E591" s="100">
        <v>13</v>
      </c>
      <c r="F591" s="149">
        <f>(22484)*(1.023*1.005-2.3%*15%)*6.99+0*4.09</f>
        <v>161040</v>
      </c>
      <c r="G591" s="145">
        <f t="shared" si="227"/>
        <v>1.123</v>
      </c>
      <c r="H591" s="146">
        <f t="shared" si="228"/>
        <v>180848</v>
      </c>
      <c r="I591" s="145">
        <f>'[2]Расчет прогнозных дефляторов'!$D$75</f>
        <v>1.0429999999999999</v>
      </c>
      <c r="J591" s="146">
        <f t="shared" si="229"/>
        <v>188624</v>
      </c>
      <c r="K591" s="146">
        <f t="shared" si="230"/>
        <v>186291</v>
      </c>
      <c r="L591" s="147"/>
      <c r="M591" s="147"/>
      <c r="N591" s="147"/>
    </row>
    <row r="592" spans="1:14" s="148" customFormat="1" ht="38.25" hidden="1" outlineLevel="3" x14ac:dyDescent="0.2">
      <c r="A592" s="95" t="s">
        <v>2112</v>
      </c>
      <c r="B592" s="42" t="s">
        <v>1551</v>
      </c>
      <c r="C592" s="42" t="s">
        <v>1550</v>
      </c>
      <c r="D592" s="100" t="s">
        <v>377</v>
      </c>
      <c r="E592" s="100">
        <f>1895</f>
        <v>1895</v>
      </c>
      <c r="F592" s="149">
        <f>(396114)*(1.023*1.005-2.3%*15%)*6.99+0*4.09</f>
        <v>2837130</v>
      </c>
      <c r="G592" s="145">
        <f t="shared" si="227"/>
        <v>1.123</v>
      </c>
      <c r="H592" s="146">
        <f t="shared" si="228"/>
        <v>3186097</v>
      </c>
      <c r="I592" s="145">
        <f>'[2]Расчет прогнозных дефляторов'!$D$75</f>
        <v>1.0429999999999999</v>
      </c>
      <c r="J592" s="146">
        <f t="shared" si="229"/>
        <v>3323099</v>
      </c>
      <c r="K592" s="146">
        <f t="shared" si="230"/>
        <v>3281998</v>
      </c>
      <c r="L592" s="147"/>
      <c r="M592" s="147"/>
      <c r="N592" s="147"/>
    </row>
    <row r="593" spans="1:14" s="148" customFormat="1" ht="38.25" hidden="1" outlineLevel="3" x14ac:dyDescent="0.2">
      <c r="A593" s="95" t="s">
        <v>2113</v>
      </c>
      <c r="B593" s="42" t="s">
        <v>1551</v>
      </c>
      <c r="C593" s="42" t="s">
        <v>1552</v>
      </c>
      <c r="D593" s="100" t="s">
        <v>377</v>
      </c>
      <c r="E593" s="100">
        <v>3441</v>
      </c>
      <c r="F593" s="149">
        <f>(719272)*(1.023*1.005-2.3%*15%)*6.99+0*4.09</f>
        <v>5151720</v>
      </c>
      <c r="G593" s="145">
        <f t="shared" si="227"/>
        <v>1.123</v>
      </c>
      <c r="H593" s="146">
        <f t="shared" si="228"/>
        <v>5785382</v>
      </c>
      <c r="I593" s="145">
        <f>'[2]Расчет прогнозных дефляторов'!$D$75</f>
        <v>1.0429999999999999</v>
      </c>
      <c r="J593" s="146">
        <f t="shared" si="229"/>
        <v>6034153</v>
      </c>
      <c r="K593" s="146">
        <f t="shared" si="230"/>
        <v>5959522</v>
      </c>
      <c r="L593" s="147"/>
      <c r="M593" s="147"/>
      <c r="N593" s="147"/>
    </row>
    <row r="594" spans="1:14" s="148" customFormat="1" ht="15.75" hidden="1" outlineLevel="3" x14ac:dyDescent="0.2">
      <c r="A594" s="95" t="s">
        <v>2114</v>
      </c>
      <c r="B594" s="42" t="s">
        <v>1554</v>
      </c>
      <c r="C594" s="42" t="s">
        <v>1553</v>
      </c>
      <c r="D594" s="100" t="s">
        <v>377</v>
      </c>
      <c r="E594" s="100">
        <v>65</v>
      </c>
      <c r="F594" s="149">
        <f>(7002)*(1.023*1.005-2.3%*15%)*6.99+0*4.09</f>
        <v>50151</v>
      </c>
      <c r="G594" s="145">
        <f t="shared" si="227"/>
        <v>1.123</v>
      </c>
      <c r="H594" s="146">
        <f t="shared" si="228"/>
        <v>56320</v>
      </c>
      <c r="I594" s="145">
        <f>'[2]Расчет прогнозных дефляторов'!$D$75</f>
        <v>1.0429999999999999</v>
      </c>
      <c r="J594" s="146">
        <f t="shared" si="229"/>
        <v>58742</v>
      </c>
      <c r="K594" s="146">
        <f t="shared" si="230"/>
        <v>58015</v>
      </c>
      <c r="L594" s="147"/>
      <c r="M594" s="147"/>
      <c r="N594" s="147"/>
    </row>
    <row r="595" spans="1:14" s="148" customFormat="1" ht="15.75" hidden="1" outlineLevel="3" x14ac:dyDescent="0.2">
      <c r="A595" s="95" t="s">
        <v>2115</v>
      </c>
      <c r="B595" s="42" t="s">
        <v>1555</v>
      </c>
      <c r="C595" s="42" t="s">
        <v>1556</v>
      </c>
      <c r="D595" s="100" t="s">
        <v>377</v>
      </c>
      <c r="E595" s="100">
        <f>15</f>
        <v>15</v>
      </c>
      <c r="F595" s="149">
        <f>(3199)*(1.023*1.005-2.3%*15%)*6.99+0*4.09</f>
        <v>22913</v>
      </c>
      <c r="G595" s="145">
        <f t="shared" si="227"/>
        <v>1.123</v>
      </c>
      <c r="H595" s="146">
        <f t="shared" si="228"/>
        <v>25731</v>
      </c>
      <c r="I595" s="145">
        <f>'[2]Расчет прогнозных дефляторов'!$D$75</f>
        <v>1.0429999999999999</v>
      </c>
      <c r="J595" s="146">
        <f t="shared" si="229"/>
        <v>26837</v>
      </c>
      <c r="K595" s="146">
        <f t="shared" si="230"/>
        <v>26505</v>
      </c>
      <c r="L595" s="147"/>
      <c r="M595" s="147"/>
      <c r="N595" s="147"/>
    </row>
    <row r="596" spans="1:14" s="148" customFormat="1" ht="15.75" hidden="1" outlineLevel="3" x14ac:dyDescent="0.2">
      <c r="A596" s="95" t="s">
        <v>2116</v>
      </c>
      <c r="B596" s="42" t="s">
        <v>1558</v>
      </c>
      <c r="C596" s="42" t="s">
        <v>1557</v>
      </c>
      <c r="D596" s="100" t="s">
        <v>377</v>
      </c>
      <c r="E596" s="100">
        <f>25</f>
        <v>25</v>
      </c>
      <c r="F596" s="149">
        <f>(1143)*(1.023*1.005-2.3%*15%)*6.99+0*4.09</f>
        <v>8187</v>
      </c>
      <c r="G596" s="145">
        <f t="shared" si="227"/>
        <v>1.123</v>
      </c>
      <c r="H596" s="146">
        <f t="shared" si="228"/>
        <v>9194</v>
      </c>
      <c r="I596" s="145">
        <f>'[2]Расчет прогнозных дефляторов'!$D$75</f>
        <v>1.0429999999999999</v>
      </c>
      <c r="J596" s="146">
        <f t="shared" si="229"/>
        <v>9589</v>
      </c>
      <c r="K596" s="146">
        <f t="shared" si="230"/>
        <v>9471</v>
      </c>
      <c r="L596" s="147"/>
      <c r="M596" s="147"/>
      <c r="N596" s="147"/>
    </row>
    <row r="597" spans="1:14" s="148" customFormat="1" ht="15.75" hidden="1" outlineLevel="3" x14ac:dyDescent="0.2">
      <c r="A597" s="95" t="s">
        <v>2117</v>
      </c>
      <c r="B597" s="42" t="s">
        <v>1560</v>
      </c>
      <c r="C597" s="42" t="s">
        <v>1559</v>
      </c>
      <c r="D597" s="100" t="s">
        <v>377</v>
      </c>
      <c r="E597" s="100">
        <v>24</v>
      </c>
      <c r="F597" s="149">
        <f>(10526)*(1.023*1.005-2.3%*15%)*6.99+0*4.09</f>
        <v>75392</v>
      </c>
      <c r="G597" s="145">
        <f t="shared" si="227"/>
        <v>1.123</v>
      </c>
      <c r="H597" s="146">
        <f t="shared" si="228"/>
        <v>84665</v>
      </c>
      <c r="I597" s="145">
        <f>'[2]Расчет прогнозных дефляторов'!$D$75</f>
        <v>1.0429999999999999</v>
      </c>
      <c r="J597" s="146">
        <f t="shared" si="229"/>
        <v>88306</v>
      </c>
      <c r="K597" s="146">
        <f t="shared" si="230"/>
        <v>87214</v>
      </c>
      <c r="L597" s="147"/>
      <c r="M597" s="147"/>
      <c r="N597" s="147"/>
    </row>
    <row r="598" spans="1:14" s="148" customFormat="1" ht="15.75" hidden="1" outlineLevel="3" x14ac:dyDescent="0.2">
      <c r="A598" s="95" t="s">
        <v>2118</v>
      </c>
      <c r="B598" s="42" t="s">
        <v>1562</v>
      </c>
      <c r="C598" s="42" t="s">
        <v>1561</v>
      </c>
      <c r="D598" s="100" t="s">
        <v>377</v>
      </c>
      <c r="E598" s="100">
        <v>13</v>
      </c>
      <c r="F598" s="149">
        <f>(10357)*(1.023*1.005-2.3%*15%)*6.99+0*4.09</f>
        <v>74181</v>
      </c>
      <c r="G598" s="145">
        <f t="shared" si="227"/>
        <v>1.123</v>
      </c>
      <c r="H598" s="146">
        <f t="shared" si="228"/>
        <v>83305</v>
      </c>
      <c r="I598" s="145">
        <f>'[2]Расчет прогнозных дефляторов'!$D$75</f>
        <v>1.0429999999999999</v>
      </c>
      <c r="J598" s="146">
        <f t="shared" si="229"/>
        <v>86887</v>
      </c>
      <c r="K598" s="146">
        <f t="shared" si="230"/>
        <v>85812</v>
      </c>
      <c r="L598" s="147"/>
      <c r="M598" s="147"/>
      <c r="N598" s="147"/>
    </row>
    <row r="599" spans="1:14" s="148" customFormat="1" ht="15.75" hidden="1" outlineLevel="3" x14ac:dyDescent="0.2">
      <c r="A599" s="95" t="s">
        <v>2119</v>
      </c>
      <c r="B599" s="42" t="s">
        <v>1563</v>
      </c>
      <c r="C599" s="42" t="s">
        <v>1564</v>
      </c>
      <c r="D599" s="100" t="s">
        <v>377</v>
      </c>
      <c r="E599" s="100">
        <v>18</v>
      </c>
      <c r="F599" s="149">
        <f>(9486)*(1.023*1.005-2.3%*15%)*6.99+0*4.09</f>
        <v>67943</v>
      </c>
      <c r="G599" s="145">
        <f t="shared" si="227"/>
        <v>1.123</v>
      </c>
      <c r="H599" s="146">
        <f t="shared" si="228"/>
        <v>76300</v>
      </c>
      <c r="I599" s="145">
        <f>'[2]Расчет прогнозных дефляторов'!$D$75</f>
        <v>1.0429999999999999</v>
      </c>
      <c r="J599" s="146">
        <f t="shared" si="229"/>
        <v>79581</v>
      </c>
      <c r="K599" s="146">
        <f t="shared" si="230"/>
        <v>78597</v>
      </c>
      <c r="L599" s="147"/>
      <c r="M599" s="147"/>
      <c r="N599" s="147"/>
    </row>
    <row r="600" spans="1:14" s="148" customFormat="1" ht="15.75" hidden="1" outlineLevel="3" x14ac:dyDescent="0.2">
      <c r="A600" s="95" t="s">
        <v>2120</v>
      </c>
      <c r="B600" s="42" t="s">
        <v>1566</v>
      </c>
      <c r="C600" s="42" t="s">
        <v>1565</v>
      </c>
      <c r="D600" s="100" t="s">
        <v>300</v>
      </c>
      <c r="E600" s="100">
        <v>410</v>
      </c>
      <c r="F600" s="149">
        <f>(1280847)*(1.023*1.005-2.3%*15%)*6.99+0*4.09</f>
        <v>9173949</v>
      </c>
      <c r="G600" s="145">
        <f t="shared" si="227"/>
        <v>1.123</v>
      </c>
      <c r="H600" s="146">
        <f t="shared" si="228"/>
        <v>10302345</v>
      </c>
      <c r="I600" s="145">
        <f>'[2]Расчет прогнозных дефляторов'!$D$75</f>
        <v>1.0429999999999999</v>
      </c>
      <c r="J600" s="146">
        <f t="shared" si="229"/>
        <v>10745346</v>
      </c>
      <c r="K600" s="146">
        <f t="shared" si="230"/>
        <v>10612446</v>
      </c>
      <c r="L600" s="147"/>
      <c r="M600" s="147"/>
      <c r="N600" s="147"/>
    </row>
    <row r="601" spans="1:14" s="148" customFormat="1" ht="15.75" hidden="1" outlineLevel="3" x14ac:dyDescent="0.2">
      <c r="A601" s="95"/>
      <c r="B601" s="42"/>
      <c r="C601" s="42" t="s">
        <v>1567</v>
      </c>
      <c r="D601" s="100"/>
      <c r="E601" s="100"/>
      <c r="F601" s="149"/>
      <c r="G601" s="145"/>
      <c r="H601" s="146"/>
      <c r="I601" s="145"/>
      <c r="J601" s="146"/>
      <c r="K601" s="146"/>
      <c r="L601" s="147"/>
      <c r="M601" s="147"/>
      <c r="N601" s="147"/>
    </row>
    <row r="602" spans="1:14" s="148" customFormat="1" ht="15.75" hidden="1" outlineLevel="3" x14ac:dyDescent="0.2">
      <c r="A602" s="95" t="s">
        <v>2121</v>
      </c>
      <c r="B602" s="42" t="s">
        <v>1569</v>
      </c>
      <c r="C602" s="42" t="s">
        <v>1568</v>
      </c>
      <c r="D602" s="100" t="s">
        <v>408</v>
      </c>
      <c r="E602" s="100">
        <v>2</v>
      </c>
      <c r="F602" s="149">
        <f>(737)*(1.023*1.005-2.3%*15%)*6.99+0*4.09</f>
        <v>5279</v>
      </c>
      <c r="G602" s="145">
        <f t="shared" ref="G602:G610" si="231">$G$766</f>
        <v>1.123</v>
      </c>
      <c r="H602" s="146">
        <f t="shared" ref="H602:H610" si="232">F602*G602</f>
        <v>5928</v>
      </c>
      <c r="I602" s="145">
        <f>'[2]Расчет прогнозных дефляторов'!$D$75</f>
        <v>1.0429999999999999</v>
      </c>
      <c r="J602" s="146">
        <f t="shared" ref="J602:J610" si="233">H602*I602</f>
        <v>6183</v>
      </c>
      <c r="K602" s="146">
        <f t="shared" ref="K602:K610" si="234">H602+(J602-H602)*(1-30/100)</f>
        <v>6107</v>
      </c>
      <c r="L602" s="147"/>
      <c r="M602" s="147"/>
      <c r="N602" s="147"/>
    </row>
    <row r="603" spans="1:14" s="148" customFormat="1" ht="25.5" hidden="1" outlineLevel="3" x14ac:dyDescent="0.2">
      <c r="A603" s="95" t="s">
        <v>2122</v>
      </c>
      <c r="B603" s="42" t="s">
        <v>1571</v>
      </c>
      <c r="C603" s="42" t="s">
        <v>1570</v>
      </c>
      <c r="D603" s="100" t="s">
        <v>408</v>
      </c>
      <c r="E603" s="100">
        <v>5</v>
      </c>
      <c r="F603" s="149">
        <f>(10867)*(1.023*1.005-2.3%*15%)*6.99+0*4.09</f>
        <v>77834</v>
      </c>
      <c r="G603" s="145">
        <f t="shared" si="231"/>
        <v>1.123</v>
      </c>
      <c r="H603" s="146">
        <f t="shared" si="232"/>
        <v>87408</v>
      </c>
      <c r="I603" s="145">
        <f>'[2]Расчет прогнозных дефляторов'!$D$75</f>
        <v>1.0429999999999999</v>
      </c>
      <c r="J603" s="146">
        <f t="shared" si="233"/>
        <v>91167</v>
      </c>
      <c r="K603" s="146">
        <f t="shared" si="234"/>
        <v>90039</v>
      </c>
      <c r="L603" s="147" t="s">
        <v>1572</v>
      </c>
      <c r="M603" s="147"/>
      <c r="N603" s="147"/>
    </row>
    <row r="604" spans="1:14" s="148" customFormat="1" ht="25.5" hidden="1" outlineLevel="3" x14ac:dyDescent="0.2">
      <c r="A604" s="95" t="s">
        <v>2123</v>
      </c>
      <c r="B604" s="42" t="s">
        <v>1573</v>
      </c>
      <c r="C604" s="42" t="s">
        <v>1574</v>
      </c>
      <c r="D604" s="100" t="s">
        <v>408</v>
      </c>
      <c r="E604" s="100">
        <v>2</v>
      </c>
      <c r="F604" s="149">
        <f>(1937)*(1.023*1.005-2.3%*15%)*6.99+0*4.09</f>
        <v>13874</v>
      </c>
      <c r="G604" s="145">
        <f t="shared" si="231"/>
        <v>1.123</v>
      </c>
      <c r="H604" s="146">
        <f t="shared" si="232"/>
        <v>15581</v>
      </c>
      <c r="I604" s="145">
        <f>'[2]Расчет прогнозных дефляторов'!$D$75</f>
        <v>1.0429999999999999</v>
      </c>
      <c r="J604" s="146">
        <f t="shared" si="233"/>
        <v>16251</v>
      </c>
      <c r="K604" s="146">
        <f t="shared" si="234"/>
        <v>16050</v>
      </c>
      <c r="L604" s="147"/>
      <c r="M604" s="147"/>
      <c r="N604" s="147"/>
    </row>
    <row r="605" spans="1:14" s="148" customFormat="1" ht="15.75" hidden="1" outlineLevel="3" x14ac:dyDescent="0.2">
      <c r="A605" s="95" t="s">
        <v>2124</v>
      </c>
      <c r="B605" s="42" t="s">
        <v>1576</v>
      </c>
      <c r="C605" s="42" t="s">
        <v>1575</v>
      </c>
      <c r="D605" s="100" t="s">
        <v>408</v>
      </c>
      <c r="E605" s="100">
        <v>2</v>
      </c>
      <c r="F605" s="149">
        <f>(7342)*(1.023*1.005-2.3%*15%)*6.99+0*4.09</f>
        <v>52586</v>
      </c>
      <c r="G605" s="145">
        <f t="shared" si="231"/>
        <v>1.123</v>
      </c>
      <c r="H605" s="146">
        <f t="shared" si="232"/>
        <v>59054</v>
      </c>
      <c r="I605" s="145">
        <f>'[2]Расчет прогнозных дефляторов'!$D$75</f>
        <v>1.0429999999999999</v>
      </c>
      <c r="J605" s="146">
        <f t="shared" si="233"/>
        <v>61593</v>
      </c>
      <c r="K605" s="146">
        <f t="shared" si="234"/>
        <v>60831</v>
      </c>
      <c r="L605" s="147"/>
      <c r="M605" s="147"/>
      <c r="N605" s="147"/>
    </row>
    <row r="606" spans="1:14" s="148" customFormat="1" ht="15.75" hidden="1" outlineLevel="3" x14ac:dyDescent="0.2">
      <c r="A606" s="95" t="s">
        <v>2125</v>
      </c>
      <c r="B606" s="42" t="s">
        <v>1578</v>
      </c>
      <c r="C606" s="42" t="s">
        <v>1577</v>
      </c>
      <c r="D606" s="100" t="s">
        <v>408</v>
      </c>
      <c r="E606" s="100">
        <v>1</v>
      </c>
      <c r="F606" s="149">
        <f>(1119)*(1.023*1.005-2.3%*15%)*6.99+0*4.09</f>
        <v>8015</v>
      </c>
      <c r="G606" s="145">
        <f t="shared" si="231"/>
        <v>1.123</v>
      </c>
      <c r="H606" s="146">
        <f t="shared" si="232"/>
        <v>9001</v>
      </c>
      <c r="I606" s="145">
        <f>'[2]Расчет прогнозных дефляторов'!$D$75</f>
        <v>1.0429999999999999</v>
      </c>
      <c r="J606" s="146">
        <f t="shared" si="233"/>
        <v>9388</v>
      </c>
      <c r="K606" s="146">
        <f t="shared" si="234"/>
        <v>9272</v>
      </c>
      <c r="L606" s="147"/>
      <c r="M606" s="147"/>
      <c r="N606" s="147"/>
    </row>
    <row r="607" spans="1:14" s="148" customFormat="1" ht="15.75" hidden="1" outlineLevel="3" x14ac:dyDescent="0.2">
      <c r="A607" s="95" t="s">
        <v>2126</v>
      </c>
      <c r="B607" s="42" t="s">
        <v>1581</v>
      </c>
      <c r="C607" s="42" t="s">
        <v>1579</v>
      </c>
      <c r="D607" s="100" t="s">
        <v>408</v>
      </c>
      <c r="E607" s="100">
        <v>1</v>
      </c>
      <c r="F607" s="149">
        <f>(4523)*(1.023*1.005-2.3%*15%)*6.99+0*4.09</f>
        <v>32396</v>
      </c>
      <c r="G607" s="145">
        <f t="shared" si="231"/>
        <v>1.123</v>
      </c>
      <c r="H607" s="146">
        <f t="shared" si="232"/>
        <v>36381</v>
      </c>
      <c r="I607" s="145">
        <f>'[2]Расчет прогнозных дефляторов'!$D$75</f>
        <v>1.0429999999999999</v>
      </c>
      <c r="J607" s="146">
        <f t="shared" si="233"/>
        <v>37945</v>
      </c>
      <c r="K607" s="146">
        <f t="shared" si="234"/>
        <v>37476</v>
      </c>
      <c r="L607" s="147"/>
      <c r="M607" s="147"/>
      <c r="N607" s="147"/>
    </row>
    <row r="608" spans="1:14" s="148" customFormat="1" ht="15.75" hidden="1" outlineLevel="3" x14ac:dyDescent="0.2">
      <c r="A608" s="95" t="s">
        <v>2127</v>
      </c>
      <c r="B608" s="42" t="s">
        <v>1582</v>
      </c>
      <c r="C608" s="42" t="s">
        <v>1580</v>
      </c>
      <c r="D608" s="100" t="s">
        <v>408</v>
      </c>
      <c r="E608" s="100">
        <v>1</v>
      </c>
      <c r="F608" s="149">
        <f>(2695)*(1.023*1.005-2.3%*15%)*6.99+0*4.09</f>
        <v>19303</v>
      </c>
      <c r="G608" s="145">
        <f t="shared" si="231"/>
        <v>1.123</v>
      </c>
      <c r="H608" s="146">
        <f t="shared" si="232"/>
        <v>21677</v>
      </c>
      <c r="I608" s="145">
        <f>'[2]Расчет прогнозных дефляторов'!$D$75</f>
        <v>1.0429999999999999</v>
      </c>
      <c r="J608" s="146">
        <f t="shared" si="233"/>
        <v>22609</v>
      </c>
      <c r="K608" s="146">
        <f t="shared" si="234"/>
        <v>22329</v>
      </c>
      <c r="L608" s="147"/>
      <c r="M608" s="147"/>
      <c r="N608" s="147"/>
    </row>
    <row r="609" spans="1:14" s="148" customFormat="1" ht="15.75" hidden="1" outlineLevel="3" x14ac:dyDescent="0.2">
      <c r="A609" s="95" t="s">
        <v>2128</v>
      </c>
      <c r="B609" s="42" t="s">
        <v>1584</v>
      </c>
      <c r="C609" s="42" t="s">
        <v>1583</v>
      </c>
      <c r="D609" s="100" t="s">
        <v>408</v>
      </c>
      <c r="E609" s="100">
        <v>2</v>
      </c>
      <c r="F609" s="149">
        <f>(5523)*(1.023*1.005-2.3%*15%)*6.99+0*4.09</f>
        <v>39558</v>
      </c>
      <c r="G609" s="145">
        <f t="shared" si="231"/>
        <v>1.123</v>
      </c>
      <c r="H609" s="146">
        <f t="shared" si="232"/>
        <v>44424</v>
      </c>
      <c r="I609" s="145">
        <f>'[2]Расчет прогнозных дефляторов'!$D$75</f>
        <v>1.0429999999999999</v>
      </c>
      <c r="J609" s="146">
        <f t="shared" si="233"/>
        <v>46334</v>
      </c>
      <c r="K609" s="146">
        <f t="shared" si="234"/>
        <v>45761</v>
      </c>
      <c r="L609" s="147"/>
      <c r="M609" s="147"/>
      <c r="N609" s="147"/>
    </row>
    <row r="610" spans="1:14" s="148" customFormat="1" ht="25.5" hidden="1" outlineLevel="3" x14ac:dyDescent="0.2">
      <c r="A610" s="95" t="s">
        <v>2129</v>
      </c>
      <c r="B610" s="42" t="s">
        <v>1586</v>
      </c>
      <c r="C610" s="42" t="s">
        <v>1585</v>
      </c>
      <c r="D610" s="100" t="s">
        <v>408</v>
      </c>
      <c r="E610" s="100">
        <v>2</v>
      </c>
      <c r="F610" s="149">
        <f>(3535)*(1.023*1.005-2.3%*15%)*6.99+0*4.09</f>
        <v>25319</v>
      </c>
      <c r="G610" s="145">
        <f t="shared" si="231"/>
        <v>1.123</v>
      </c>
      <c r="H610" s="146">
        <f t="shared" si="232"/>
        <v>28433</v>
      </c>
      <c r="I610" s="145">
        <f>'[2]Расчет прогнозных дефляторов'!$D$75</f>
        <v>1.0429999999999999</v>
      </c>
      <c r="J610" s="146">
        <f t="shared" si="233"/>
        <v>29656</v>
      </c>
      <c r="K610" s="146">
        <f t="shared" si="234"/>
        <v>29289</v>
      </c>
      <c r="L610" s="147"/>
      <c r="M610" s="147"/>
      <c r="N610" s="147"/>
    </row>
    <row r="611" spans="1:14" s="148" customFormat="1" ht="15.75" hidden="1" outlineLevel="3" x14ac:dyDescent="0.2">
      <c r="A611" s="95"/>
      <c r="B611" s="42"/>
      <c r="C611" s="42" t="s">
        <v>1587</v>
      </c>
      <c r="D611" s="100"/>
      <c r="E611" s="100"/>
      <c r="F611" s="149"/>
      <c r="G611" s="145"/>
      <c r="H611" s="146"/>
      <c r="I611" s="145"/>
      <c r="J611" s="146"/>
      <c r="K611" s="146"/>
      <c r="L611" s="147"/>
      <c r="M611" s="147"/>
      <c r="N611" s="147"/>
    </row>
    <row r="612" spans="1:14" s="148" customFormat="1" ht="51" hidden="1" outlineLevel="3" x14ac:dyDescent="0.2">
      <c r="A612" s="95" t="s">
        <v>2130</v>
      </c>
      <c r="B612" s="42" t="s">
        <v>1598</v>
      </c>
      <c r="C612" s="42" t="s">
        <v>1588</v>
      </c>
      <c r="D612" s="100" t="s">
        <v>408</v>
      </c>
      <c r="E612" s="100">
        <v>1</v>
      </c>
      <c r="F612" s="149">
        <f>(48059/11+30686+4863/11)*(1.023*1.005-2.3%*15%)*6.99+0*4.09</f>
        <v>254245</v>
      </c>
      <c r="G612" s="145">
        <f t="shared" ref="G612:G623" si="235">$G$766</f>
        <v>1.123</v>
      </c>
      <c r="H612" s="146">
        <f t="shared" ref="H612:H623" si="236">F612*G612</f>
        <v>285517</v>
      </c>
      <c r="I612" s="145">
        <f>'[2]Расчет прогнозных дефляторов'!$D$75</f>
        <v>1.0429999999999999</v>
      </c>
      <c r="J612" s="146">
        <f t="shared" ref="J612:J623" si="237">H612*I612</f>
        <v>297794</v>
      </c>
      <c r="K612" s="146">
        <f t="shared" ref="K612:K623" si="238">H612+(J612-H612)*(1-30/100)</f>
        <v>294111</v>
      </c>
      <c r="L612" s="147"/>
      <c r="M612" s="147"/>
      <c r="N612" s="147"/>
    </row>
    <row r="613" spans="1:14" s="148" customFormat="1" ht="38.25" hidden="1" outlineLevel="3" x14ac:dyDescent="0.2">
      <c r="A613" s="95" t="s">
        <v>2131</v>
      </c>
      <c r="B613" s="42" t="s">
        <v>1599</v>
      </c>
      <c r="C613" s="42" t="s">
        <v>1589</v>
      </c>
      <c r="D613" s="100" t="s">
        <v>408</v>
      </c>
      <c r="E613" s="100">
        <v>1</v>
      </c>
      <c r="F613" s="149">
        <f>(48059/11+84439+4863/11)*(1.023*1.005-2.3%*15%)*6.99+0*4.09</f>
        <v>639246</v>
      </c>
      <c r="G613" s="145">
        <f t="shared" si="235"/>
        <v>1.123</v>
      </c>
      <c r="H613" s="146">
        <f t="shared" si="236"/>
        <v>717873</v>
      </c>
      <c r="I613" s="145">
        <f>'[2]Расчет прогнозных дефляторов'!$D$75</f>
        <v>1.0429999999999999</v>
      </c>
      <c r="J613" s="146">
        <f t="shared" si="237"/>
        <v>748742</v>
      </c>
      <c r="K613" s="146">
        <f t="shared" si="238"/>
        <v>739481</v>
      </c>
      <c r="L613" s="147"/>
      <c r="M613" s="147"/>
      <c r="N613" s="147"/>
    </row>
    <row r="614" spans="1:14" s="148" customFormat="1" ht="38.25" hidden="1" outlineLevel="3" x14ac:dyDescent="0.2">
      <c r="A614" s="95" t="s">
        <v>2132</v>
      </c>
      <c r="B614" s="42" t="s">
        <v>1600</v>
      </c>
      <c r="C614" s="42" t="s">
        <v>1590</v>
      </c>
      <c r="D614" s="100" t="s">
        <v>408</v>
      </c>
      <c r="E614" s="100">
        <v>1</v>
      </c>
      <c r="F614" s="149">
        <f>(48059/11+84439+4863/11)*(1.023*1.005-2.3%*15%)*6.99+0*4.09</f>
        <v>639246</v>
      </c>
      <c r="G614" s="145">
        <f t="shared" si="235"/>
        <v>1.123</v>
      </c>
      <c r="H614" s="146">
        <f t="shared" si="236"/>
        <v>717873</v>
      </c>
      <c r="I614" s="145">
        <f>'[2]Расчет прогнозных дефляторов'!$D$75</f>
        <v>1.0429999999999999</v>
      </c>
      <c r="J614" s="146">
        <f t="shared" si="237"/>
        <v>748742</v>
      </c>
      <c r="K614" s="146">
        <f t="shared" si="238"/>
        <v>739481</v>
      </c>
      <c r="L614" s="147"/>
      <c r="M614" s="147"/>
      <c r="N614" s="147"/>
    </row>
    <row r="615" spans="1:14" s="148" customFormat="1" ht="63.75" hidden="1" outlineLevel="3" x14ac:dyDescent="0.2">
      <c r="A615" s="95" t="s">
        <v>2133</v>
      </c>
      <c r="B615" s="42" t="s">
        <v>1601</v>
      </c>
      <c r="C615" s="42" t="s">
        <v>1591</v>
      </c>
      <c r="D615" s="100" t="s">
        <v>408</v>
      </c>
      <c r="E615" s="100">
        <v>1</v>
      </c>
      <c r="F615" s="149">
        <f>(48059/11+44957+4863/11)*(1.023*1.005-2.3%*15%)*6.99+0*4.09</f>
        <v>356459</v>
      </c>
      <c r="G615" s="145">
        <f t="shared" si="235"/>
        <v>1.123</v>
      </c>
      <c r="H615" s="146">
        <f t="shared" si="236"/>
        <v>400303</v>
      </c>
      <c r="I615" s="145">
        <f>'[2]Расчет прогнозных дефляторов'!$D$75</f>
        <v>1.0429999999999999</v>
      </c>
      <c r="J615" s="146">
        <f t="shared" si="237"/>
        <v>417516</v>
      </c>
      <c r="K615" s="146">
        <f t="shared" si="238"/>
        <v>412352</v>
      </c>
      <c r="L615" s="147"/>
      <c r="M615" s="147"/>
      <c r="N615" s="147"/>
    </row>
    <row r="616" spans="1:14" s="148" customFormat="1" ht="38.25" hidden="1" outlineLevel="3" x14ac:dyDescent="0.2">
      <c r="A616" s="95" t="s">
        <v>2134</v>
      </c>
      <c r="B616" s="42" t="s">
        <v>1602</v>
      </c>
      <c r="C616" s="42" t="s">
        <v>1592</v>
      </c>
      <c r="D616" s="100" t="s">
        <v>408</v>
      </c>
      <c r="E616" s="100">
        <v>2</v>
      </c>
      <c r="F616" s="149">
        <f>(48059/11*2+89913+4863/11*2)*(1.023*1.005-2.3%*15%)*6.99+0*4.09</f>
        <v>712912</v>
      </c>
      <c r="G616" s="145">
        <f t="shared" si="235"/>
        <v>1.123</v>
      </c>
      <c r="H616" s="146">
        <f t="shared" si="236"/>
        <v>800600</v>
      </c>
      <c r="I616" s="145">
        <f>'[2]Расчет прогнозных дефляторов'!$D$75</f>
        <v>1.0429999999999999</v>
      </c>
      <c r="J616" s="146">
        <f t="shared" si="237"/>
        <v>835026</v>
      </c>
      <c r="K616" s="146">
        <f t="shared" si="238"/>
        <v>824698</v>
      </c>
      <c r="L616" s="147"/>
      <c r="M616" s="147"/>
      <c r="N616" s="147"/>
    </row>
    <row r="617" spans="1:14" s="148" customFormat="1" ht="38.25" hidden="1" outlineLevel="3" x14ac:dyDescent="0.2">
      <c r="A617" s="95" t="s">
        <v>2135</v>
      </c>
      <c r="B617" s="42" t="s">
        <v>1603</v>
      </c>
      <c r="C617" s="42" t="s">
        <v>1593</v>
      </c>
      <c r="D617" s="100" t="s">
        <v>408</v>
      </c>
      <c r="E617" s="100">
        <v>1</v>
      </c>
      <c r="F617" s="149">
        <f>(48059/11+44957+4863/11)*(1.023*1.005-2.3%*15%)*6.99+0*4.09</f>
        <v>356459</v>
      </c>
      <c r="G617" s="145">
        <f t="shared" si="235"/>
        <v>1.123</v>
      </c>
      <c r="H617" s="146">
        <f t="shared" si="236"/>
        <v>400303</v>
      </c>
      <c r="I617" s="145">
        <f>'[2]Расчет прогнозных дефляторов'!$D$75</f>
        <v>1.0429999999999999</v>
      </c>
      <c r="J617" s="146">
        <f t="shared" si="237"/>
        <v>417516</v>
      </c>
      <c r="K617" s="146">
        <f t="shared" si="238"/>
        <v>412352</v>
      </c>
      <c r="L617" s="147"/>
      <c r="M617" s="147"/>
      <c r="N617" s="147"/>
    </row>
    <row r="618" spans="1:14" s="148" customFormat="1" ht="38.25" hidden="1" outlineLevel="3" x14ac:dyDescent="0.2">
      <c r="A618" s="95" t="s">
        <v>2136</v>
      </c>
      <c r="B618" s="42" t="s">
        <v>1604</v>
      </c>
      <c r="C618" s="42" t="s">
        <v>1594</v>
      </c>
      <c r="D618" s="100" t="s">
        <v>408</v>
      </c>
      <c r="E618" s="100">
        <v>1</v>
      </c>
      <c r="F618" s="149">
        <f>(48059/11+30686+4863/11)*(1.023*1.005-2.3%*15%)*6.99+0*4.09</f>
        <v>254245</v>
      </c>
      <c r="G618" s="145">
        <f t="shared" si="235"/>
        <v>1.123</v>
      </c>
      <c r="H618" s="146">
        <f t="shared" si="236"/>
        <v>285517</v>
      </c>
      <c r="I618" s="145">
        <f>'[2]Расчет прогнозных дефляторов'!$D$75</f>
        <v>1.0429999999999999</v>
      </c>
      <c r="J618" s="146">
        <f t="shared" si="237"/>
        <v>297794</v>
      </c>
      <c r="K618" s="146">
        <f t="shared" si="238"/>
        <v>294111</v>
      </c>
      <c r="L618" s="147"/>
      <c r="M618" s="147"/>
      <c r="N618" s="147"/>
    </row>
    <row r="619" spans="1:14" s="148" customFormat="1" ht="38.25" hidden="1" outlineLevel="3" x14ac:dyDescent="0.2">
      <c r="A619" s="95" t="s">
        <v>2137</v>
      </c>
      <c r="B619" s="42" t="s">
        <v>1605</v>
      </c>
      <c r="C619" s="42" t="s">
        <v>1595</v>
      </c>
      <c r="D619" s="100" t="s">
        <v>408</v>
      </c>
      <c r="E619" s="100">
        <v>1</v>
      </c>
      <c r="F619" s="149">
        <f>(48059/11+44957+4863/11)*(1.023*1.005-2.3%*15%)*6.99+0*4.09</f>
        <v>356459</v>
      </c>
      <c r="G619" s="145">
        <f t="shared" si="235"/>
        <v>1.123</v>
      </c>
      <c r="H619" s="146">
        <f t="shared" si="236"/>
        <v>400303</v>
      </c>
      <c r="I619" s="145">
        <f>'[2]Расчет прогнозных дефляторов'!$D$75</f>
        <v>1.0429999999999999</v>
      </c>
      <c r="J619" s="146">
        <f t="shared" si="237"/>
        <v>417516</v>
      </c>
      <c r="K619" s="146">
        <f t="shared" si="238"/>
        <v>412352</v>
      </c>
      <c r="L619" s="147"/>
      <c r="M619" s="147"/>
      <c r="N619" s="147"/>
    </row>
    <row r="620" spans="1:14" s="148" customFormat="1" ht="38.25" hidden="1" outlineLevel="3" x14ac:dyDescent="0.2">
      <c r="A620" s="95" t="s">
        <v>2138</v>
      </c>
      <c r="B620" s="42" t="s">
        <v>1606</v>
      </c>
      <c r="C620" s="42" t="s">
        <v>1596</v>
      </c>
      <c r="D620" s="100" t="s">
        <v>408</v>
      </c>
      <c r="E620" s="100">
        <v>1</v>
      </c>
      <c r="F620" s="149">
        <f>(48059/11+29686+4863/11)*(1.023*1.005-2.3%*15%)*6.99+0*4.09</f>
        <v>247082</v>
      </c>
      <c r="G620" s="145">
        <f t="shared" si="235"/>
        <v>1.123</v>
      </c>
      <c r="H620" s="146">
        <f t="shared" si="236"/>
        <v>277473</v>
      </c>
      <c r="I620" s="145">
        <f>'[2]Расчет прогнозных дефляторов'!$D$75</f>
        <v>1.0429999999999999</v>
      </c>
      <c r="J620" s="146">
        <f t="shared" si="237"/>
        <v>289404</v>
      </c>
      <c r="K620" s="146">
        <f t="shared" si="238"/>
        <v>285825</v>
      </c>
      <c r="L620" s="147"/>
      <c r="M620" s="147"/>
      <c r="N620" s="147"/>
    </row>
    <row r="621" spans="1:14" s="148" customFormat="1" ht="51" hidden="1" outlineLevel="3" x14ac:dyDescent="0.2">
      <c r="A621" s="95" t="s">
        <v>2139</v>
      </c>
      <c r="B621" s="42" t="s">
        <v>1607</v>
      </c>
      <c r="C621" s="42" t="s">
        <v>1597</v>
      </c>
      <c r="D621" s="100" t="s">
        <v>408</v>
      </c>
      <c r="E621" s="100">
        <v>1</v>
      </c>
      <c r="F621" s="149">
        <f>(48059/11+29686+4863/11)*(1.023*1.005-2.3%*15%)*6.99+0*4.09</f>
        <v>247082</v>
      </c>
      <c r="G621" s="145">
        <f t="shared" si="235"/>
        <v>1.123</v>
      </c>
      <c r="H621" s="146">
        <f t="shared" si="236"/>
        <v>277473</v>
      </c>
      <c r="I621" s="145">
        <f>'[2]Расчет прогнозных дефляторов'!$D$75</f>
        <v>1.0429999999999999</v>
      </c>
      <c r="J621" s="146">
        <f t="shared" si="237"/>
        <v>289404</v>
      </c>
      <c r="K621" s="146">
        <f t="shared" si="238"/>
        <v>285825</v>
      </c>
      <c r="L621" s="147"/>
      <c r="M621" s="147"/>
      <c r="N621" s="147"/>
    </row>
    <row r="622" spans="1:14" s="148" customFormat="1" ht="15.75" hidden="1" outlineLevel="3" x14ac:dyDescent="0.2">
      <c r="A622" s="95" t="s">
        <v>2140</v>
      </c>
      <c r="B622" s="42" t="s">
        <v>1608</v>
      </c>
      <c r="C622" s="42" t="s">
        <v>1559</v>
      </c>
      <c r="D622" s="100" t="s">
        <v>377</v>
      </c>
      <c r="E622" s="100">
        <v>7.2</v>
      </c>
      <c r="F622" s="149">
        <f>(3141)*(1.023*1.005-2.3%*15%)*6.99+0*4.09</f>
        <v>22497</v>
      </c>
      <c r="G622" s="145">
        <f t="shared" si="235"/>
        <v>1.123</v>
      </c>
      <c r="H622" s="146">
        <f t="shared" si="236"/>
        <v>25264</v>
      </c>
      <c r="I622" s="145">
        <f>'[2]Расчет прогнозных дефляторов'!$D$75</f>
        <v>1.0429999999999999</v>
      </c>
      <c r="J622" s="146">
        <f t="shared" si="237"/>
        <v>26350</v>
      </c>
      <c r="K622" s="146">
        <f t="shared" si="238"/>
        <v>26024</v>
      </c>
      <c r="L622" s="147"/>
      <c r="M622" s="147"/>
      <c r="N622" s="147"/>
    </row>
    <row r="623" spans="1:14" s="148" customFormat="1" ht="25.5" hidden="1" outlineLevel="3" x14ac:dyDescent="0.2">
      <c r="A623" s="95" t="s">
        <v>2141</v>
      </c>
      <c r="B623" s="42" t="s">
        <v>1610</v>
      </c>
      <c r="C623" s="42" t="s">
        <v>1609</v>
      </c>
      <c r="D623" s="100" t="s">
        <v>300</v>
      </c>
      <c r="E623" s="100">
        <v>12.6</v>
      </c>
      <c r="F623" s="149">
        <f>(38807)*(1.023*1.005-2.3%*15%)*6.99+0*4.09</f>
        <v>277952</v>
      </c>
      <c r="G623" s="145">
        <f t="shared" si="235"/>
        <v>1.123</v>
      </c>
      <c r="H623" s="146">
        <f t="shared" si="236"/>
        <v>312140</v>
      </c>
      <c r="I623" s="145">
        <f>'[2]Расчет прогнозных дефляторов'!$D$75</f>
        <v>1.0429999999999999</v>
      </c>
      <c r="J623" s="146">
        <f t="shared" si="237"/>
        <v>325562</v>
      </c>
      <c r="K623" s="146">
        <f t="shared" si="238"/>
        <v>321535</v>
      </c>
      <c r="L623" s="147"/>
      <c r="M623" s="147"/>
      <c r="N623" s="147"/>
    </row>
    <row r="624" spans="1:14" s="148" customFormat="1" ht="15.75" hidden="1" outlineLevel="3" x14ac:dyDescent="0.2">
      <c r="A624" s="95"/>
      <c r="B624" s="42"/>
      <c r="C624" s="42" t="s">
        <v>1612</v>
      </c>
      <c r="D624" s="100"/>
      <c r="E624" s="100"/>
      <c r="F624" s="149"/>
      <c r="G624" s="145"/>
      <c r="H624" s="146"/>
      <c r="I624" s="145"/>
      <c r="J624" s="146"/>
      <c r="K624" s="146"/>
      <c r="L624" s="147"/>
      <c r="M624" s="147"/>
      <c r="N624" s="147"/>
    </row>
    <row r="625" spans="1:14" s="148" customFormat="1" ht="25.5" hidden="1" outlineLevel="3" x14ac:dyDescent="0.2">
      <c r="A625" s="95" t="s">
        <v>2142</v>
      </c>
      <c r="B625" s="42" t="s">
        <v>1613</v>
      </c>
      <c r="C625" s="42" t="s">
        <v>1611</v>
      </c>
      <c r="D625" s="100" t="s">
        <v>377</v>
      </c>
      <c r="E625" s="100">
        <v>3547</v>
      </c>
      <c r="F625" s="149">
        <f>(476378)*(1.023*1.005-2.3%*15%)*6.99+0*4.09</f>
        <v>3412014</v>
      </c>
      <c r="G625" s="145">
        <f>$G$766</f>
        <v>1.123</v>
      </c>
      <c r="H625" s="146">
        <f t="shared" ref="H625" si="239">F625*G625</f>
        <v>3831692</v>
      </c>
      <c r="I625" s="145">
        <f>'[2]Расчет прогнозных дефляторов'!$D$75</f>
        <v>1.0429999999999999</v>
      </c>
      <c r="J625" s="146">
        <f t="shared" ref="J625" si="240">H625*I625</f>
        <v>3996455</v>
      </c>
      <c r="K625" s="146">
        <f t="shared" ref="K625" si="241">H625+(J625-H625)*(1-30/100)</f>
        <v>3947026</v>
      </c>
      <c r="L625" s="147"/>
      <c r="M625" s="147"/>
      <c r="N625" s="147"/>
    </row>
    <row r="626" spans="1:14" s="237" customFormat="1" ht="15.75" outlineLevel="2" collapsed="1" x14ac:dyDescent="0.2">
      <c r="A626" s="238" t="s">
        <v>514</v>
      </c>
      <c r="B626" s="229" t="s">
        <v>241</v>
      </c>
      <c r="C626" s="229" t="s">
        <v>242</v>
      </c>
      <c r="D626" s="239" t="s">
        <v>292</v>
      </c>
      <c r="E626" s="240">
        <v>1</v>
      </c>
      <c r="F626" s="240">
        <f>SUM(F627:F631)</f>
        <v>24530069</v>
      </c>
      <c r="G626" s="241"/>
      <c r="H626" s="240">
        <f>SUM(H627:H631)</f>
        <v>27547268</v>
      </c>
      <c r="I626" s="241"/>
      <c r="J626" s="240">
        <f>SUM(J627:J631)</f>
        <v>28731800</v>
      </c>
      <c r="K626" s="240">
        <f>SUM(K627:K631)</f>
        <v>28376440</v>
      </c>
      <c r="L626" s="256"/>
      <c r="M626" s="256"/>
      <c r="N626" s="256"/>
    </row>
    <row r="627" spans="1:14" s="148" customFormat="1" ht="15.75" hidden="1" outlineLevel="3" x14ac:dyDescent="0.2">
      <c r="A627" s="95"/>
      <c r="B627" s="42"/>
      <c r="C627" s="42" t="s">
        <v>1614</v>
      </c>
      <c r="D627" s="100"/>
      <c r="E627" s="100"/>
      <c r="F627" s="149"/>
      <c r="G627" s="145"/>
      <c r="H627" s="146"/>
      <c r="I627" s="145"/>
      <c r="J627" s="146"/>
      <c r="K627" s="146"/>
      <c r="L627" s="147"/>
      <c r="M627" s="147"/>
      <c r="N627" s="147"/>
    </row>
    <row r="628" spans="1:14" s="148" customFormat="1" ht="51" hidden="1" outlineLevel="3" x14ac:dyDescent="0.2">
      <c r="A628" s="95" t="s">
        <v>2143</v>
      </c>
      <c r="B628" s="42" t="s">
        <v>1616</v>
      </c>
      <c r="C628" s="42" t="s">
        <v>1615</v>
      </c>
      <c r="D628" s="100" t="s">
        <v>408</v>
      </c>
      <c r="E628" s="100">
        <v>2</v>
      </c>
      <c r="F628" s="149">
        <f>(3489)*(1.023*1.005-2.3%*15%)*6.99+5297474*4.09+13</f>
        <v>21691671</v>
      </c>
      <c r="G628" s="145">
        <f>$G$766</f>
        <v>1.123</v>
      </c>
      <c r="H628" s="146">
        <f t="shared" ref="H628:H631" si="242">F628*G628</f>
        <v>24359747</v>
      </c>
      <c r="I628" s="145">
        <f>'[2]Расчет прогнозных дефляторов'!$D$75</f>
        <v>1.0429999999999999</v>
      </c>
      <c r="J628" s="146">
        <f t="shared" ref="J628:J631" si="243">H628*I628</f>
        <v>25407216</v>
      </c>
      <c r="K628" s="146">
        <f t="shared" ref="K628:K631" si="244">H628+(J628-H628)*(1-30/100)</f>
        <v>25092975</v>
      </c>
      <c r="L628" s="147"/>
      <c r="M628" s="147"/>
      <c r="N628" s="147"/>
    </row>
    <row r="629" spans="1:14" s="148" customFormat="1" ht="63.75" hidden="1" outlineLevel="3" x14ac:dyDescent="0.2">
      <c r="A629" s="95" t="s">
        <v>2144</v>
      </c>
      <c r="B629" s="42" t="s">
        <v>1618</v>
      </c>
      <c r="C629" s="42" t="s">
        <v>1617</v>
      </c>
      <c r="D629" s="100" t="s">
        <v>408</v>
      </c>
      <c r="E629" s="100">
        <v>1</v>
      </c>
      <c r="F629" s="149">
        <f>(1392)*(1.023*1.005-2.3%*15%)*6.99+461654*4.09</f>
        <v>1898135</v>
      </c>
      <c r="G629" s="145">
        <f>$G$766</f>
        <v>1.123</v>
      </c>
      <c r="H629" s="146">
        <f t="shared" si="242"/>
        <v>2131606</v>
      </c>
      <c r="I629" s="145">
        <f>'[2]Расчет прогнозных дефляторов'!$D$75</f>
        <v>1.0429999999999999</v>
      </c>
      <c r="J629" s="146">
        <f t="shared" si="243"/>
        <v>2223265</v>
      </c>
      <c r="K629" s="146">
        <f t="shared" si="244"/>
        <v>2195767</v>
      </c>
      <c r="L629" s="147"/>
      <c r="M629" s="147"/>
      <c r="N629" s="147"/>
    </row>
    <row r="630" spans="1:14" s="148" customFormat="1" ht="76.5" hidden="1" outlineLevel="3" x14ac:dyDescent="0.2">
      <c r="A630" s="95" t="s">
        <v>2145</v>
      </c>
      <c r="B630" s="42" t="s">
        <v>1620</v>
      </c>
      <c r="C630" s="42" t="s">
        <v>1619</v>
      </c>
      <c r="D630" s="100" t="s">
        <v>408</v>
      </c>
      <c r="E630" s="100">
        <v>1</v>
      </c>
      <c r="F630" s="149">
        <f>(1043)*(1.023*1.005-2.3%*15%)*6.99+112828*4.09</f>
        <v>468937</v>
      </c>
      <c r="G630" s="145">
        <f>$G$766</f>
        <v>1.123</v>
      </c>
      <c r="H630" s="146">
        <f t="shared" si="242"/>
        <v>526616</v>
      </c>
      <c r="I630" s="145">
        <f>'[2]Расчет прогнозных дефляторов'!$D$75</f>
        <v>1.0429999999999999</v>
      </c>
      <c r="J630" s="146">
        <f t="shared" si="243"/>
        <v>549260</v>
      </c>
      <c r="K630" s="146">
        <f t="shared" si="244"/>
        <v>542467</v>
      </c>
      <c r="L630" s="147"/>
      <c r="M630" s="147"/>
      <c r="N630" s="147"/>
    </row>
    <row r="631" spans="1:14" s="148" customFormat="1" ht="51" hidden="1" outlineLevel="3" x14ac:dyDescent="0.2">
      <c r="A631" s="95" t="s">
        <v>2146</v>
      </c>
      <c r="B631" s="42" t="s">
        <v>1622</v>
      </c>
      <c r="C631" s="42" t="s">
        <v>1621</v>
      </c>
      <c r="D631" s="100" t="s">
        <v>408</v>
      </c>
      <c r="E631" s="100">
        <v>1</v>
      </c>
      <c r="F631" s="149">
        <f>(1746)*(1.023*1.005-2.3%*15%)*6.99+112181*4.09</f>
        <v>471326</v>
      </c>
      <c r="G631" s="145">
        <f>$G$766</f>
        <v>1.123</v>
      </c>
      <c r="H631" s="146">
        <f t="shared" si="242"/>
        <v>529299</v>
      </c>
      <c r="I631" s="145">
        <f>'[2]Расчет прогнозных дефляторов'!$D$75</f>
        <v>1.0429999999999999</v>
      </c>
      <c r="J631" s="146">
        <f t="shared" si="243"/>
        <v>552059</v>
      </c>
      <c r="K631" s="146">
        <f t="shared" si="244"/>
        <v>545231</v>
      </c>
      <c r="L631" s="147"/>
      <c r="M631" s="147"/>
      <c r="N631" s="147"/>
    </row>
    <row r="632" spans="1:14" s="148" customFormat="1" ht="25.5" outlineLevel="2" collapsed="1" x14ac:dyDescent="0.2">
      <c r="A632" s="238" t="s">
        <v>515</v>
      </c>
      <c r="B632" s="229" t="s">
        <v>243</v>
      </c>
      <c r="C632" s="229" t="s">
        <v>244</v>
      </c>
      <c r="D632" s="239" t="s">
        <v>292</v>
      </c>
      <c r="E632" s="240">
        <v>1</v>
      </c>
      <c r="F632" s="240">
        <f>SUM(F633:F669)</f>
        <v>5682368</v>
      </c>
      <c r="G632" s="241"/>
      <c r="H632" s="240">
        <f>SUM(H633:H669)</f>
        <v>6381300</v>
      </c>
      <c r="I632" s="241"/>
      <c r="J632" s="240">
        <f>SUM(J633:J669)</f>
        <v>6655696</v>
      </c>
      <c r="K632" s="240">
        <f>SUM(K633:K669)</f>
        <v>6573378</v>
      </c>
      <c r="L632" s="147"/>
      <c r="M632" s="147"/>
      <c r="N632" s="147"/>
    </row>
    <row r="633" spans="1:14" s="148" customFormat="1" ht="25.5" hidden="1" outlineLevel="3" x14ac:dyDescent="0.2">
      <c r="A633" s="95"/>
      <c r="B633" s="42"/>
      <c r="C633" s="157" t="s">
        <v>1623</v>
      </c>
      <c r="D633" s="100"/>
      <c r="E633" s="100"/>
      <c r="F633" s="149"/>
      <c r="G633" s="145"/>
      <c r="H633" s="146"/>
      <c r="I633" s="145"/>
      <c r="J633" s="146"/>
      <c r="K633" s="146"/>
      <c r="L633" s="147"/>
      <c r="M633" s="147"/>
      <c r="N633" s="147"/>
    </row>
    <row r="634" spans="1:14" s="148" customFormat="1" ht="15.75" hidden="1" outlineLevel="3" x14ac:dyDescent="0.2">
      <c r="A634" s="95"/>
      <c r="B634" s="42"/>
      <c r="C634" s="42" t="s">
        <v>367</v>
      </c>
      <c r="D634" s="100"/>
      <c r="E634" s="100"/>
      <c r="F634" s="149"/>
      <c r="G634" s="145"/>
      <c r="H634" s="146"/>
      <c r="I634" s="145"/>
      <c r="J634" s="146"/>
      <c r="K634" s="146"/>
      <c r="L634" s="147"/>
      <c r="M634" s="147"/>
      <c r="N634" s="147"/>
    </row>
    <row r="635" spans="1:14" s="148" customFormat="1" ht="25.5" hidden="1" outlineLevel="3" x14ac:dyDescent="0.2">
      <c r="A635" s="95" t="s">
        <v>2147</v>
      </c>
      <c r="B635" s="42" t="s">
        <v>1624</v>
      </c>
      <c r="C635" s="42" t="s">
        <v>356</v>
      </c>
      <c r="D635" s="100" t="s">
        <v>300</v>
      </c>
      <c r="E635" s="100">
        <f>122.5</f>
        <v>122.5</v>
      </c>
      <c r="F635" s="149">
        <f>(24427)*(1.023*1.005-2.3%*15%)*6.99+0*4.09+13</f>
        <v>174969</v>
      </c>
      <c r="G635" s="145">
        <f>$G$766</f>
        <v>1.123</v>
      </c>
      <c r="H635" s="146">
        <f t="shared" ref="H635:H639" si="245">F635*G635</f>
        <v>196490</v>
      </c>
      <c r="I635" s="145">
        <f>'[2]Расчет прогнозных дефляторов'!$D$75</f>
        <v>1.0429999999999999</v>
      </c>
      <c r="J635" s="146">
        <f t="shared" ref="J635:J639" si="246">H635*I635</f>
        <v>204939</v>
      </c>
      <c r="K635" s="146">
        <f t="shared" ref="K635:K639" si="247">H635+(J635-H635)*(1-30/100)</f>
        <v>202404</v>
      </c>
      <c r="L635" s="147"/>
      <c r="M635" s="147"/>
      <c r="N635" s="147"/>
    </row>
    <row r="636" spans="1:14" s="148" customFormat="1" ht="15.75" hidden="1" outlineLevel="3" x14ac:dyDescent="0.2">
      <c r="A636" s="95" t="s">
        <v>2148</v>
      </c>
      <c r="B636" s="42" t="s">
        <v>1626</v>
      </c>
      <c r="C636" s="42" t="s">
        <v>1625</v>
      </c>
      <c r="D636" s="100" t="s">
        <v>300</v>
      </c>
      <c r="E636" s="100">
        <f>85.6</f>
        <v>85.6</v>
      </c>
      <c r="F636" s="149">
        <f>(1451)*(1.023*1.005-2.3%*15%)*6.99+0*4.09</f>
        <v>10393</v>
      </c>
      <c r="G636" s="145">
        <f>$G$766</f>
        <v>1.123</v>
      </c>
      <c r="H636" s="146">
        <f t="shared" si="245"/>
        <v>11671</v>
      </c>
      <c r="I636" s="145">
        <f>'[2]Расчет прогнозных дефляторов'!$D$75</f>
        <v>1.0429999999999999</v>
      </c>
      <c r="J636" s="146">
        <f t="shared" si="246"/>
        <v>12173</v>
      </c>
      <c r="K636" s="146">
        <f t="shared" si="247"/>
        <v>12022</v>
      </c>
      <c r="L636" s="147"/>
      <c r="M636" s="147"/>
      <c r="N636" s="147"/>
    </row>
    <row r="637" spans="1:14" s="148" customFormat="1" ht="25.5" hidden="1" outlineLevel="3" x14ac:dyDescent="0.2">
      <c r="A637" s="95" t="s">
        <v>2149</v>
      </c>
      <c r="B637" s="42" t="s">
        <v>1628</v>
      </c>
      <c r="C637" s="42" t="s">
        <v>1627</v>
      </c>
      <c r="D637" s="100" t="s">
        <v>300</v>
      </c>
      <c r="E637" s="100">
        <f>36.9</f>
        <v>36.9</v>
      </c>
      <c r="F637" s="149">
        <f>(1250)*(1.023*1.005-2.3%*15%)*6.99+0*4.09</f>
        <v>8953</v>
      </c>
      <c r="G637" s="145">
        <f>$G$766</f>
        <v>1.123</v>
      </c>
      <c r="H637" s="146">
        <f t="shared" si="245"/>
        <v>10054</v>
      </c>
      <c r="I637" s="145">
        <f>'[2]Расчет прогнозных дефляторов'!$D$75</f>
        <v>1.0429999999999999</v>
      </c>
      <c r="J637" s="146">
        <f t="shared" si="246"/>
        <v>10486</v>
      </c>
      <c r="K637" s="146">
        <f t="shared" si="247"/>
        <v>10356</v>
      </c>
      <c r="L637" s="147"/>
      <c r="M637" s="147"/>
      <c r="N637" s="147"/>
    </row>
    <row r="638" spans="1:14" s="148" customFormat="1" ht="25.5" hidden="1" outlineLevel="3" x14ac:dyDescent="0.2">
      <c r="A638" s="95" t="s">
        <v>2150</v>
      </c>
      <c r="B638" s="42" t="s">
        <v>1629</v>
      </c>
      <c r="C638" s="42" t="s">
        <v>1051</v>
      </c>
      <c r="D638" s="100" t="s">
        <v>300</v>
      </c>
      <c r="E638" s="100">
        <f>85.6</f>
        <v>85.6</v>
      </c>
      <c r="F638" s="149">
        <f>(1103)*(1.023*1.005-2.3%*15%)*6.99+0*4.09</f>
        <v>7900</v>
      </c>
      <c r="G638" s="145">
        <f>$G$766</f>
        <v>1.123</v>
      </c>
      <c r="H638" s="146">
        <f t="shared" si="245"/>
        <v>8872</v>
      </c>
      <c r="I638" s="145">
        <f>'[2]Расчет прогнозных дефляторов'!$D$75</f>
        <v>1.0429999999999999</v>
      </c>
      <c r="J638" s="146">
        <f t="shared" si="246"/>
        <v>9253</v>
      </c>
      <c r="K638" s="146">
        <f t="shared" si="247"/>
        <v>9139</v>
      </c>
      <c r="L638" s="147"/>
      <c r="M638" s="147"/>
      <c r="N638" s="147"/>
    </row>
    <row r="639" spans="1:14" s="148" customFormat="1" ht="15.75" hidden="1" outlineLevel="3" x14ac:dyDescent="0.2">
      <c r="A639" s="95" t="s">
        <v>2151</v>
      </c>
      <c r="B639" s="42" t="s">
        <v>1631</v>
      </c>
      <c r="C639" s="42" t="s">
        <v>1630</v>
      </c>
      <c r="D639" s="100" t="s">
        <v>300</v>
      </c>
      <c r="E639" s="100">
        <f>17.51</f>
        <v>17.510000000000002</v>
      </c>
      <c r="F639" s="149">
        <f>(70955)*(1.023*1.005-2.3%*15%)*6.99+0*4.09</f>
        <v>508209</v>
      </c>
      <c r="G639" s="145">
        <f>$G$766</f>
        <v>1.123</v>
      </c>
      <c r="H639" s="146">
        <f t="shared" si="245"/>
        <v>570719</v>
      </c>
      <c r="I639" s="145">
        <f>'[2]Расчет прогнозных дефляторов'!$D$75</f>
        <v>1.0429999999999999</v>
      </c>
      <c r="J639" s="146">
        <f t="shared" si="246"/>
        <v>595260</v>
      </c>
      <c r="K639" s="146">
        <f t="shared" si="247"/>
        <v>587898</v>
      </c>
      <c r="L639" s="147"/>
      <c r="M639" s="147"/>
      <c r="N639" s="147"/>
    </row>
    <row r="640" spans="1:14" s="148" customFormat="1" ht="15.75" hidden="1" outlineLevel="3" x14ac:dyDescent="0.2">
      <c r="A640" s="95"/>
      <c r="B640" s="42"/>
      <c r="C640" s="157" t="s">
        <v>1632</v>
      </c>
      <c r="D640" s="100"/>
      <c r="E640" s="100"/>
      <c r="F640" s="149"/>
      <c r="G640" s="145"/>
      <c r="H640" s="146"/>
      <c r="I640" s="145"/>
      <c r="J640" s="146"/>
      <c r="K640" s="146"/>
      <c r="L640" s="147"/>
      <c r="M640" s="147"/>
      <c r="N640" s="147"/>
    </row>
    <row r="641" spans="1:14" s="148" customFormat="1" ht="15.75" hidden="1" outlineLevel="3" x14ac:dyDescent="0.2">
      <c r="A641" s="95"/>
      <c r="B641" s="42"/>
      <c r="C641" s="42" t="s">
        <v>367</v>
      </c>
      <c r="D641" s="100"/>
      <c r="E641" s="100"/>
      <c r="F641" s="149"/>
      <c r="G641" s="145"/>
      <c r="H641" s="146"/>
      <c r="I641" s="145"/>
      <c r="J641" s="146"/>
      <c r="K641" s="146"/>
      <c r="L641" s="147"/>
      <c r="M641" s="147"/>
      <c r="N641" s="147"/>
    </row>
    <row r="642" spans="1:14" s="148" customFormat="1" ht="25.5" hidden="1" outlineLevel="3" x14ac:dyDescent="0.2">
      <c r="A642" s="95" t="s">
        <v>2152</v>
      </c>
      <c r="B642" s="42" t="s">
        <v>1633</v>
      </c>
      <c r="C642" s="42" t="s">
        <v>356</v>
      </c>
      <c r="D642" s="100" t="s">
        <v>300</v>
      </c>
      <c r="E642" s="100">
        <f>486.4</f>
        <v>486.4</v>
      </c>
      <c r="F642" s="149">
        <f>(96993)*(1.023*1.005-2.3%*15%)*6.99+0*4.09</f>
        <v>694703</v>
      </c>
      <c r="G642" s="145">
        <f t="shared" ref="G642:G647" si="248">$G$766</f>
        <v>1.123</v>
      </c>
      <c r="H642" s="146">
        <f t="shared" ref="H642:H647" si="249">F642*G642</f>
        <v>780151</v>
      </c>
      <c r="I642" s="145">
        <f>'[2]Расчет прогнозных дефляторов'!$D$75</f>
        <v>1.0429999999999999</v>
      </c>
      <c r="J642" s="146">
        <f t="shared" ref="J642:J647" si="250">H642*I642</f>
        <v>813697</v>
      </c>
      <c r="K642" s="146">
        <f t="shared" ref="K642:K647" si="251">H642+(J642-H642)*(1-30/100)</f>
        <v>803633</v>
      </c>
      <c r="L642" s="147"/>
      <c r="M642" s="147"/>
      <c r="N642" s="147"/>
    </row>
    <row r="643" spans="1:14" s="148" customFormat="1" ht="15.75" hidden="1" outlineLevel="3" x14ac:dyDescent="0.2">
      <c r="A643" s="95" t="s">
        <v>2153</v>
      </c>
      <c r="B643" s="42" t="s">
        <v>1634</v>
      </c>
      <c r="C643" s="42" t="s">
        <v>1625</v>
      </c>
      <c r="D643" s="100" t="s">
        <v>300</v>
      </c>
      <c r="E643" s="100">
        <f>324.9</f>
        <v>324.89999999999998</v>
      </c>
      <c r="F643" s="149">
        <f>(5514)*(1.023*1.005-2.3%*15%)*6.99+0*4.09</f>
        <v>39494</v>
      </c>
      <c r="G643" s="145">
        <f t="shared" si="248"/>
        <v>1.123</v>
      </c>
      <c r="H643" s="146">
        <f t="shared" si="249"/>
        <v>44352</v>
      </c>
      <c r="I643" s="145">
        <f>'[2]Расчет прогнозных дефляторов'!$D$75</f>
        <v>1.0429999999999999</v>
      </c>
      <c r="J643" s="146">
        <f t="shared" si="250"/>
        <v>46259</v>
      </c>
      <c r="K643" s="146">
        <f t="shared" si="251"/>
        <v>45687</v>
      </c>
      <c r="L643" s="147"/>
      <c r="M643" s="147"/>
      <c r="N643" s="147"/>
    </row>
    <row r="644" spans="1:14" s="148" customFormat="1" ht="25.5" hidden="1" outlineLevel="3" x14ac:dyDescent="0.2">
      <c r="A644" s="95" t="s">
        <v>2154</v>
      </c>
      <c r="B644" s="42" t="s">
        <v>1635</v>
      </c>
      <c r="C644" s="42" t="s">
        <v>1627</v>
      </c>
      <c r="D644" s="100" t="s">
        <v>300</v>
      </c>
      <c r="E644" s="100">
        <f>161.5</f>
        <v>161.5</v>
      </c>
      <c r="F644" s="149">
        <f>(5470)*(1.023*1.005-2.3%*15%)*6.99+0*4.09</f>
        <v>39178</v>
      </c>
      <c r="G644" s="145">
        <f t="shared" si="248"/>
        <v>1.123</v>
      </c>
      <c r="H644" s="146">
        <f t="shared" si="249"/>
        <v>43997</v>
      </c>
      <c r="I644" s="145">
        <f>'[2]Расчет прогнозных дефляторов'!$D$75</f>
        <v>1.0429999999999999</v>
      </c>
      <c r="J644" s="146">
        <f t="shared" si="250"/>
        <v>45889</v>
      </c>
      <c r="K644" s="146">
        <f t="shared" si="251"/>
        <v>45321</v>
      </c>
      <c r="L644" s="147"/>
      <c r="M644" s="147"/>
      <c r="N644" s="147"/>
    </row>
    <row r="645" spans="1:14" s="148" customFormat="1" ht="25.5" hidden="1" outlineLevel="3" x14ac:dyDescent="0.2">
      <c r="A645" s="95" t="s">
        <v>2155</v>
      </c>
      <c r="B645" s="42" t="s">
        <v>1636</v>
      </c>
      <c r="C645" s="42" t="s">
        <v>1051</v>
      </c>
      <c r="D645" s="100" t="s">
        <v>300</v>
      </c>
      <c r="E645" s="100">
        <f>324.9</f>
        <v>324.89999999999998</v>
      </c>
      <c r="F645" s="149">
        <f>(4180)*(1.023*1.005-2.3%*15%)*6.99+0*4.09</f>
        <v>29939</v>
      </c>
      <c r="G645" s="145">
        <f t="shared" si="248"/>
        <v>1.123</v>
      </c>
      <c r="H645" s="146">
        <f t="shared" si="249"/>
        <v>33621</v>
      </c>
      <c r="I645" s="145">
        <f>'[2]Расчет прогнозных дефляторов'!$D$75</f>
        <v>1.0429999999999999</v>
      </c>
      <c r="J645" s="146">
        <f t="shared" si="250"/>
        <v>35067</v>
      </c>
      <c r="K645" s="146">
        <f t="shared" si="251"/>
        <v>34633</v>
      </c>
      <c r="L645" s="147"/>
      <c r="M645" s="147"/>
      <c r="N645" s="147"/>
    </row>
    <row r="646" spans="1:14" s="148" customFormat="1" ht="15.75" hidden="1" outlineLevel="3" x14ac:dyDescent="0.2">
      <c r="A646" s="95" t="s">
        <v>2156</v>
      </c>
      <c r="B646" s="42" t="s">
        <v>1638</v>
      </c>
      <c r="C646" s="42" t="s">
        <v>1637</v>
      </c>
      <c r="D646" s="100" t="s">
        <v>300</v>
      </c>
      <c r="E646" s="100">
        <f>62.2</f>
        <v>62.2</v>
      </c>
      <c r="F646" s="149">
        <f>(801)*(1.023*1.005-2.3%*15%)*6.99+0*4.09</f>
        <v>5737</v>
      </c>
      <c r="G646" s="145">
        <f t="shared" si="248"/>
        <v>1.123</v>
      </c>
      <c r="H646" s="146">
        <f t="shared" si="249"/>
        <v>6443</v>
      </c>
      <c r="I646" s="145">
        <f>'[2]Расчет прогнозных дефляторов'!$D$75</f>
        <v>1.0429999999999999</v>
      </c>
      <c r="J646" s="146">
        <f t="shared" si="250"/>
        <v>6720</v>
      </c>
      <c r="K646" s="146">
        <f t="shared" si="251"/>
        <v>6637</v>
      </c>
      <c r="L646" s="147"/>
      <c r="M646" s="147"/>
      <c r="N646" s="147"/>
    </row>
    <row r="647" spans="1:14" s="148" customFormat="1" ht="15.75" hidden="1" outlineLevel="3" x14ac:dyDescent="0.2">
      <c r="A647" s="95" t="s">
        <v>2157</v>
      </c>
      <c r="B647" s="42" t="s">
        <v>1640</v>
      </c>
      <c r="C647" s="42" t="s">
        <v>1639</v>
      </c>
      <c r="D647" s="100" t="s">
        <v>292</v>
      </c>
      <c r="E647" s="100">
        <v>1</v>
      </c>
      <c r="F647" s="149">
        <f>(182397)*(1.023*1.005-2.3%*15%)*6.99+0*4.09</f>
        <v>1306402</v>
      </c>
      <c r="G647" s="145">
        <f t="shared" si="248"/>
        <v>1.123</v>
      </c>
      <c r="H647" s="146">
        <f t="shared" si="249"/>
        <v>1467089</v>
      </c>
      <c r="I647" s="145">
        <f>'[2]Расчет прогнозных дефляторов'!$D$75</f>
        <v>1.0429999999999999</v>
      </c>
      <c r="J647" s="146">
        <f t="shared" si="250"/>
        <v>1530174</v>
      </c>
      <c r="K647" s="146">
        <f t="shared" si="251"/>
        <v>1511249</v>
      </c>
      <c r="L647" s="147"/>
      <c r="M647" s="147"/>
      <c r="N647" s="147"/>
    </row>
    <row r="648" spans="1:14" s="148" customFormat="1" ht="25.5" hidden="1" outlineLevel="3" x14ac:dyDescent="0.2">
      <c r="A648" s="95"/>
      <c r="B648" s="42"/>
      <c r="C648" s="157" t="s">
        <v>1641</v>
      </c>
      <c r="D648" s="100"/>
      <c r="E648" s="100"/>
      <c r="F648" s="149"/>
      <c r="G648" s="145"/>
      <c r="H648" s="146"/>
      <c r="I648" s="145"/>
      <c r="J648" s="146"/>
      <c r="K648" s="146"/>
      <c r="L648" s="147"/>
      <c r="M648" s="147"/>
      <c r="N648" s="147"/>
    </row>
    <row r="649" spans="1:14" s="148" customFormat="1" ht="15.75" hidden="1" outlineLevel="3" x14ac:dyDescent="0.2">
      <c r="A649" s="95"/>
      <c r="B649" s="42"/>
      <c r="C649" s="42" t="s">
        <v>367</v>
      </c>
      <c r="D649" s="100"/>
      <c r="E649" s="100"/>
      <c r="F649" s="149"/>
      <c r="G649" s="145"/>
      <c r="H649" s="146"/>
      <c r="I649" s="145"/>
      <c r="J649" s="146"/>
      <c r="K649" s="146"/>
      <c r="L649" s="147"/>
      <c r="M649" s="147"/>
      <c r="N649" s="147"/>
    </row>
    <row r="650" spans="1:14" s="148" customFormat="1" ht="25.5" hidden="1" outlineLevel="3" x14ac:dyDescent="0.2">
      <c r="A650" s="95" t="s">
        <v>2158</v>
      </c>
      <c r="B650" s="42" t="s">
        <v>1642</v>
      </c>
      <c r="C650" s="42" t="s">
        <v>356</v>
      </c>
      <c r="D650" s="100" t="s">
        <v>300</v>
      </c>
      <c r="E650" s="100">
        <f>320+66.2</f>
        <v>386.2</v>
      </c>
      <c r="F650" s="149">
        <f>(77012)*(1.023*1.005-2.3%*15%)*6.99+0*4.09</f>
        <v>551591</v>
      </c>
      <c r="G650" s="145">
        <f t="shared" ref="G650:G655" si="252">$G$766</f>
        <v>1.123</v>
      </c>
      <c r="H650" s="146">
        <f t="shared" ref="H650:H655" si="253">F650*G650</f>
        <v>619437</v>
      </c>
      <c r="I650" s="145">
        <f>'[2]Расчет прогнозных дефляторов'!$D$75</f>
        <v>1.0429999999999999</v>
      </c>
      <c r="J650" s="146">
        <f t="shared" ref="J650:J655" si="254">H650*I650</f>
        <v>646073</v>
      </c>
      <c r="K650" s="146">
        <f t="shared" ref="K650:K655" si="255">H650+(J650-H650)*(1-30/100)</f>
        <v>638082</v>
      </c>
      <c r="L650" s="147"/>
      <c r="M650" s="147"/>
      <c r="N650" s="147"/>
    </row>
    <row r="651" spans="1:14" s="148" customFormat="1" ht="15.75" hidden="1" outlineLevel="3" x14ac:dyDescent="0.2">
      <c r="A651" s="95" t="s">
        <v>2159</v>
      </c>
      <c r="B651" s="42" t="s">
        <v>1643</v>
      </c>
      <c r="C651" s="42" t="s">
        <v>1625</v>
      </c>
      <c r="D651" s="100" t="s">
        <v>300</v>
      </c>
      <c r="E651" s="100">
        <f>320+66.2</f>
        <v>386.2</v>
      </c>
      <c r="F651" s="149">
        <f>(6554)*(1.023*1.005-2.3%*15%)*6.99+0*4.09</f>
        <v>46942</v>
      </c>
      <c r="G651" s="145">
        <f t="shared" si="252"/>
        <v>1.123</v>
      </c>
      <c r="H651" s="146">
        <f t="shared" si="253"/>
        <v>52716</v>
      </c>
      <c r="I651" s="145">
        <f>'[2]Расчет прогнозных дефляторов'!$D$75</f>
        <v>1.0429999999999999</v>
      </c>
      <c r="J651" s="146">
        <f t="shared" si="254"/>
        <v>54983</v>
      </c>
      <c r="K651" s="146">
        <f t="shared" si="255"/>
        <v>54303</v>
      </c>
      <c r="L651" s="147"/>
      <c r="M651" s="147"/>
      <c r="N651" s="147"/>
    </row>
    <row r="652" spans="1:14" s="148" customFormat="1" ht="25.5" hidden="1" outlineLevel="3" x14ac:dyDescent="0.2">
      <c r="A652" s="95" t="s">
        <v>2160</v>
      </c>
      <c r="B652" s="42" t="s">
        <v>1644</v>
      </c>
      <c r="C652" s="42" t="s">
        <v>1627</v>
      </c>
      <c r="D652" s="100" t="s">
        <v>300</v>
      </c>
      <c r="E652" s="100">
        <f>65.8</f>
        <v>65.8</v>
      </c>
      <c r="F652" s="149">
        <f>(2228)*(1.023*1.005-2.3%*15%)*6.99+0*4.09</f>
        <v>15958</v>
      </c>
      <c r="G652" s="145">
        <f t="shared" si="252"/>
        <v>1.123</v>
      </c>
      <c r="H652" s="146">
        <f t="shared" si="253"/>
        <v>17921</v>
      </c>
      <c r="I652" s="145">
        <f>'[2]Расчет прогнозных дефляторов'!$D$75</f>
        <v>1.0429999999999999</v>
      </c>
      <c r="J652" s="146">
        <f t="shared" si="254"/>
        <v>18692</v>
      </c>
      <c r="K652" s="146">
        <f t="shared" si="255"/>
        <v>18461</v>
      </c>
      <c r="L652" s="147" t="s">
        <v>1645</v>
      </c>
      <c r="M652" s="147"/>
      <c r="N652" s="147"/>
    </row>
    <row r="653" spans="1:14" s="148" customFormat="1" ht="25.5" hidden="1" outlineLevel="3" x14ac:dyDescent="0.2">
      <c r="A653" s="95" t="s">
        <v>2161</v>
      </c>
      <c r="B653" s="42" t="s">
        <v>1646</v>
      </c>
      <c r="C653" s="42" t="s">
        <v>1051</v>
      </c>
      <c r="D653" s="100" t="s">
        <v>300</v>
      </c>
      <c r="E653" s="100">
        <f>320.4</f>
        <v>320.39999999999998</v>
      </c>
      <c r="F653" s="149">
        <f>(4123)*(1.023*1.005-2.3%*15%)*6.99+0*4.09</f>
        <v>29531</v>
      </c>
      <c r="G653" s="145">
        <f t="shared" si="252"/>
        <v>1.123</v>
      </c>
      <c r="H653" s="146">
        <f t="shared" si="253"/>
        <v>33163</v>
      </c>
      <c r="I653" s="145">
        <f>'[2]Расчет прогнозных дефляторов'!$D$75</f>
        <v>1.0429999999999999</v>
      </c>
      <c r="J653" s="146">
        <f t="shared" si="254"/>
        <v>34589</v>
      </c>
      <c r="K653" s="146">
        <f t="shared" si="255"/>
        <v>34161</v>
      </c>
      <c r="L653" s="147"/>
      <c r="M653" s="147"/>
      <c r="N653" s="147"/>
    </row>
    <row r="654" spans="1:14" s="148" customFormat="1" ht="15.75" hidden="1" outlineLevel="3" x14ac:dyDescent="0.2">
      <c r="A654" s="95" t="s">
        <v>2162</v>
      </c>
      <c r="B654" s="42" t="s">
        <v>1647</v>
      </c>
      <c r="C654" s="42" t="s">
        <v>1630</v>
      </c>
      <c r="D654" s="100" t="s">
        <v>300</v>
      </c>
      <c r="E654" s="100">
        <f>53.04</f>
        <v>53.04</v>
      </c>
      <c r="F654" s="149">
        <f>(198554)*(1.023*1.005-2.3%*15%)*6.99+0*4.09</f>
        <v>1422125</v>
      </c>
      <c r="G654" s="145">
        <f t="shared" si="252"/>
        <v>1.123</v>
      </c>
      <c r="H654" s="146">
        <f t="shared" si="253"/>
        <v>1597046</v>
      </c>
      <c r="I654" s="145">
        <f>'[2]Расчет прогнозных дефляторов'!$D$75</f>
        <v>1.0429999999999999</v>
      </c>
      <c r="J654" s="146">
        <f t="shared" si="254"/>
        <v>1665719</v>
      </c>
      <c r="K654" s="146">
        <f t="shared" si="255"/>
        <v>1645117</v>
      </c>
      <c r="L654" s="147"/>
      <c r="M654" s="147"/>
      <c r="N654" s="147"/>
    </row>
    <row r="655" spans="1:14" s="148" customFormat="1" ht="15.75" hidden="1" outlineLevel="3" x14ac:dyDescent="0.2">
      <c r="A655" s="95" t="s">
        <v>2163</v>
      </c>
      <c r="B655" s="42" t="s">
        <v>1649</v>
      </c>
      <c r="C655" s="42" t="s">
        <v>1648</v>
      </c>
      <c r="D655" s="100" t="s">
        <v>300</v>
      </c>
      <c r="E655" s="100">
        <f>5.76</f>
        <v>5.76</v>
      </c>
      <c r="F655" s="149">
        <f>(29176)*(1.023*1.005-2.3%*15%)*6.99+0*4.09</f>
        <v>208970</v>
      </c>
      <c r="G655" s="145">
        <f t="shared" si="252"/>
        <v>1.123</v>
      </c>
      <c r="H655" s="146">
        <f t="shared" si="253"/>
        <v>234673</v>
      </c>
      <c r="I655" s="145">
        <f>'[2]Расчет прогнозных дефляторов'!$D$75</f>
        <v>1.0429999999999999</v>
      </c>
      <c r="J655" s="146">
        <f t="shared" si="254"/>
        <v>244764</v>
      </c>
      <c r="K655" s="146">
        <f t="shared" si="255"/>
        <v>241737</v>
      </c>
      <c r="L655" s="147"/>
      <c r="M655" s="147"/>
      <c r="N655" s="147"/>
    </row>
    <row r="656" spans="1:14" s="148" customFormat="1" ht="25.5" hidden="1" outlineLevel="3" x14ac:dyDescent="0.2">
      <c r="A656" s="95"/>
      <c r="B656" s="42"/>
      <c r="C656" s="42" t="s">
        <v>1650</v>
      </c>
      <c r="D656" s="100"/>
      <c r="E656" s="100"/>
      <c r="F656" s="149"/>
      <c r="G656" s="145"/>
      <c r="H656" s="146"/>
      <c r="I656" s="145"/>
      <c r="J656" s="146"/>
      <c r="K656" s="146"/>
      <c r="L656" s="147"/>
      <c r="M656" s="147"/>
      <c r="N656" s="147"/>
    </row>
    <row r="657" spans="1:14" s="148" customFormat="1" ht="15.75" hidden="1" outlineLevel="3" x14ac:dyDescent="0.2">
      <c r="A657" s="95"/>
      <c r="B657" s="42"/>
      <c r="C657" s="42" t="s">
        <v>1651</v>
      </c>
      <c r="D657" s="100"/>
      <c r="E657" s="100"/>
      <c r="F657" s="149"/>
      <c r="G657" s="145"/>
      <c r="H657" s="146"/>
      <c r="I657" s="145"/>
      <c r="J657" s="146"/>
      <c r="K657" s="146"/>
      <c r="L657" s="147"/>
      <c r="M657" s="147"/>
      <c r="N657" s="147"/>
    </row>
    <row r="658" spans="1:14" s="148" customFormat="1" ht="25.5" hidden="1" outlineLevel="3" x14ac:dyDescent="0.2">
      <c r="A658" s="95" t="s">
        <v>2164</v>
      </c>
      <c r="B658" s="42" t="s">
        <v>1652</v>
      </c>
      <c r="C658" s="42" t="s">
        <v>356</v>
      </c>
      <c r="D658" s="100" t="s">
        <v>300</v>
      </c>
      <c r="E658" s="100">
        <f>157</f>
        <v>157</v>
      </c>
      <c r="F658" s="149">
        <f>(31307)*(1.023*1.005-2.3%*15%)*6.99+0*4.09</f>
        <v>224234</v>
      </c>
      <c r="G658" s="145">
        <f>$G$766</f>
        <v>1.123</v>
      </c>
      <c r="H658" s="146">
        <f t="shared" ref="H658:H661" si="256">F658*G658</f>
        <v>251815</v>
      </c>
      <c r="I658" s="145">
        <f>'[2]Расчет прогнозных дефляторов'!$D$75</f>
        <v>1.0429999999999999</v>
      </c>
      <c r="J658" s="146">
        <f t="shared" ref="J658:J661" si="257">H658*I658</f>
        <v>262643</v>
      </c>
      <c r="K658" s="146">
        <f t="shared" ref="K658:K661" si="258">H658+(J658-H658)*(1-30/100)</f>
        <v>259395</v>
      </c>
      <c r="L658" s="147"/>
      <c r="M658" s="147"/>
      <c r="N658" s="147"/>
    </row>
    <row r="659" spans="1:14" s="148" customFormat="1" ht="15.75" hidden="1" outlineLevel="3" x14ac:dyDescent="0.2">
      <c r="A659" s="95" t="s">
        <v>2165</v>
      </c>
      <c r="B659" s="42" t="s">
        <v>1653</v>
      </c>
      <c r="C659" s="42" t="s">
        <v>1625</v>
      </c>
      <c r="D659" s="100" t="s">
        <v>300</v>
      </c>
      <c r="E659" s="100">
        <f>157</f>
        <v>157</v>
      </c>
      <c r="F659" s="149">
        <f>(2663)*(1.023*1.005-2.3%*15%)*6.99+0*4.09</f>
        <v>19073</v>
      </c>
      <c r="G659" s="145">
        <f>$G$766</f>
        <v>1.123</v>
      </c>
      <c r="H659" s="146">
        <f t="shared" si="256"/>
        <v>21419</v>
      </c>
      <c r="I659" s="145">
        <f>'[2]Расчет прогнозных дефляторов'!$D$75</f>
        <v>1.0429999999999999</v>
      </c>
      <c r="J659" s="146">
        <f t="shared" si="257"/>
        <v>22340</v>
      </c>
      <c r="K659" s="146">
        <f t="shared" si="258"/>
        <v>22064</v>
      </c>
      <c r="L659" s="147"/>
      <c r="M659" s="147"/>
      <c r="N659" s="147"/>
    </row>
    <row r="660" spans="1:14" s="148" customFormat="1" ht="25.5" hidden="1" outlineLevel="3" x14ac:dyDescent="0.2">
      <c r="A660" s="95" t="s">
        <v>2166</v>
      </c>
      <c r="B660" s="42" t="s">
        <v>1654</v>
      </c>
      <c r="C660" s="42" t="s">
        <v>1627</v>
      </c>
      <c r="D660" s="100" t="s">
        <v>300</v>
      </c>
      <c r="E660" s="100">
        <v>39</v>
      </c>
      <c r="F660" s="149">
        <f>(1318)*(1.023*1.005-2.3%*15%)*6.99+0*4.09</f>
        <v>9440</v>
      </c>
      <c r="G660" s="145">
        <f>$G$766</f>
        <v>1.123</v>
      </c>
      <c r="H660" s="146">
        <f t="shared" si="256"/>
        <v>10601</v>
      </c>
      <c r="I660" s="145">
        <f>'[2]Расчет прогнозных дефляторов'!$D$75</f>
        <v>1.0429999999999999</v>
      </c>
      <c r="J660" s="146">
        <f t="shared" si="257"/>
        <v>11057</v>
      </c>
      <c r="K660" s="146">
        <f t="shared" si="258"/>
        <v>10920</v>
      </c>
      <c r="L660" s="147" t="s">
        <v>1645</v>
      </c>
      <c r="M660" s="147"/>
      <c r="N660" s="147"/>
    </row>
    <row r="661" spans="1:14" s="148" customFormat="1" ht="25.5" hidden="1" outlineLevel="3" x14ac:dyDescent="0.2">
      <c r="A661" s="95" t="s">
        <v>2167</v>
      </c>
      <c r="B661" s="42" t="s">
        <v>1655</v>
      </c>
      <c r="C661" s="42" t="s">
        <v>1051</v>
      </c>
      <c r="D661" s="100" t="s">
        <v>300</v>
      </c>
      <c r="E661" s="100">
        <v>118</v>
      </c>
      <c r="F661" s="149">
        <f>(1519)*(1.023*1.005-2.3%*15%)*6.99+0*4.09</f>
        <v>10880</v>
      </c>
      <c r="G661" s="145">
        <f>$G$766</f>
        <v>1.123</v>
      </c>
      <c r="H661" s="146">
        <f t="shared" si="256"/>
        <v>12218</v>
      </c>
      <c r="I661" s="145">
        <f>'[2]Расчет прогнозных дефляторов'!$D$75</f>
        <v>1.0429999999999999</v>
      </c>
      <c r="J661" s="146">
        <f t="shared" si="257"/>
        <v>12743</v>
      </c>
      <c r="K661" s="146">
        <f t="shared" si="258"/>
        <v>12586</v>
      </c>
      <c r="L661" s="147"/>
      <c r="M661" s="147"/>
      <c r="N661" s="147"/>
    </row>
    <row r="662" spans="1:14" s="148" customFormat="1" ht="15.75" hidden="1" outlineLevel="3" x14ac:dyDescent="0.2">
      <c r="A662" s="95"/>
      <c r="B662" s="42"/>
      <c r="C662" s="42" t="s">
        <v>1656</v>
      </c>
      <c r="D662" s="100"/>
      <c r="E662" s="100"/>
      <c r="F662" s="149"/>
      <c r="G662" s="145"/>
      <c r="H662" s="146"/>
      <c r="I662" s="145"/>
      <c r="J662" s="146"/>
      <c r="K662" s="146"/>
      <c r="L662" s="147"/>
      <c r="M662" s="147"/>
      <c r="N662" s="147"/>
    </row>
    <row r="663" spans="1:14" s="148" customFormat="1" ht="25.5" hidden="1" outlineLevel="3" x14ac:dyDescent="0.2">
      <c r="A663" s="95" t="s">
        <v>2168</v>
      </c>
      <c r="B663" s="42" t="s">
        <v>1657</v>
      </c>
      <c r="C663" s="42" t="s">
        <v>356</v>
      </c>
      <c r="D663" s="100" t="s">
        <v>300</v>
      </c>
      <c r="E663" s="100">
        <f>18</f>
        <v>18</v>
      </c>
      <c r="F663" s="149">
        <f>(3589)*(1.023*1.005-2.3%*15%)*6.99+0*4.09</f>
        <v>25706</v>
      </c>
      <c r="G663" s="145">
        <f t="shared" ref="G663:G669" si="259">$G$766</f>
        <v>1.123</v>
      </c>
      <c r="H663" s="146">
        <f t="shared" ref="H663:H669" si="260">F663*G663</f>
        <v>28868</v>
      </c>
      <c r="I663" s="145">
        <f>'[2]Расчет прогнозных дефляторов'!$D$75</f>
        <v>1.0429999999999999</v>
      </c>
      <c r="J663" s="146">
        <f t="shared" ref="J663:J669" si="261">H663*I663</f>
        <v>30109</v>
      </c>
      <c r="K663" s="146">
        <f t="shared" ref="K663:K669" si="262">H663+(J663-H663)*(1-30/100)</f>
        <v>29737</v>
      </c>
      <c r="L663" s="147"/>
      <c r="M663" s="147"/>
      <c r="N663" s="147"/>
    </row>
    <row r="664" spans="1:14" s="148" customFormat="1" ht="15.75" hidden="1" outlineLevel="3" x14ac:dyDescent="0.2">
      <c r="A664" s="95" t="s">
        <v>2169</v>
      </c>
      <c r="B664" s="42" t="s">
        <v>1658</v>
      </c>
      <c r="C664" s="42" t="s">
        <v>1625</v>
      </c>
      <c r="D664" s="100" t="s">
        <v>300</v>
      </c>
      <c r="E664" s="100">
        <v>18</v>
      </c>
      <c r="F664" s="149">
        <f>(306)*(1.023*1.005-2.3%*15%)*6.99+0*4.09</f>
        <v>2192</v>
      </c>
      <c r="G664" s="145">
        <f t="shared" si="259"/>
        <v>1.123</v>
      </c>
      <c r="H664" s="146">
        <f t="shared" si="260"/>
        <v>2462</v>
      </c>
      <c r="I664" s="145">
        <f>'[2]Расчет прогнозных дефляторов'!$D$75</f>
        <v>1.0429999999999999</v>
      </c>
      <c r="J664" s="146">
        <f t="shared" si="261"/>
        <v>2568</v>
      </c>
      <c r="K664" s="146">
        <f t="shared" si="262"/>
        <v>2536</v>
      </c>
      <c r="L664" s="147"/>
      <c r="M664" s="147"/>
      <c r="N664" s="147"/>
    </row>
    <row r="665" spans="1:14" s="148" customFormat="1" ht="25.5" hidden="1" outlineLevel="3" x14ac:dyDescent="0.2">
      <c r="A665" s="95" t="s">
        <v>2170</v>
      </c>
      <c r="B665" s="42" t="s">
        <v>1659</v>
      </c>
      <c r="C665" s="42" t="s">
        <v>1627</v>
      </c>
      <c r="D665" s="100" t="s">
        <v>300</v>
      </c>
      <c r="E665" s="100">
        <v>12</v>
      </c>
      <c r="F665" s="149">
        <f>(406)*(1.023*1.005-2.3%*15%)*6.99+0*4.09</f>
        <v>2908</v>
      </c>
      <c r="G665" s="145">
        <f t="shared" si="259"/>
        <v>1.123</v>
      </c>
      <c r="H665" s="146">
        <f t="shared" si="260"/>
        <v>3266</v>
      </c>
      <c r="I665" s="145">
        <f>'[2]Расчет прогнозных дефляторов'!$D$75</f>
        <v>1.0429999999999999</v>
      </c>
      <c r="J665" s="146">
        <f t="shared" si="261"/>
        <v>3406</v>
      </c>
      <c r="K665" s="146">
        <f t="shared" si="262"/>
        <v>3364</v>
      </c>
      <c r="L665" s="147" t="s">
        <v>1645</v>
      </c>
      <c r="M665" s="147"/>
      <c r="N665" s="147"/>
    </row>
    <row r="666" spans="1:14" s="148" customFormat="1" ht="25.5" hidden="1" outlineLevel="3" x14ac:dyDescent="0.2">
      <c r="A666" s="95" t="s">
        <v>2171</v>
      </c>
      <c r="B666" s="42" t="s">
        <v>1660</v>
      </c>
      <c r="C666" s="42" t="s">
        <v>1051</v>
      </c>
      <c r="D666" s="100" t="s">
        <v>300</v>
      </c>
      <c r="E666" s="100">
        <v>6</v>
      </c>
      <c r="F666" s="149">
        <f>(77)*(1.023*1.005-2.3%*15%)*6.99+0*4.09</f>
        <v>552</v>
      </c>
      <c r="G666" s="145">
        <f t="shared" si="259"/>
        <v>1.123</v>
      </c>
      <c r="H666" s="146">
        <f t="shared" si="260"/>
        <v>620</v>
      </c>
      <c r="I666" s="145">
        <f>'[2]Расчет прогнозных дефляторов'!$D$75</f>
        <v>1.0429999999999999</v>
      </c>
      <c r="J666" s="146">
        <f t="shared" si="261"/>
        <v>647</v>
      </c>
      <c r="K666" s="146">
        <f t="shared" si="262"/>
        <v>639</v>
      </c>
      <c r="L666" s="147"/>
      <c r="M666" s="147"/>
      <c r="N666" s="147"/>
    </row>
    <row r="667" spans="1:14" s="148" customFormat="1" ht="15.75" hidden="1" outlineLevel="3" x14ac:dyDescent="0.2">
      <c r="A667" s="95" t="s">
        <v>2172</v>
      </c>
      <c r="B667" s="42" t="s">
        <v>1661</v>
      </c>
      <c r="C667" s="42" t="s">
        <v>1630</v>
      </c>
      <c r="D667" s="100" t="s">
        <v>300</v>
      </c>
      <c r="E667" s="100">
        <f>4.8</f>
        <v>4.8</v>
      </c>
      <c r="F667" s="149">
        <f>(20991)*(1.023*1.005-2.3%*15%)*6.99+0*4.09</f>
        <v>150346</v>
      </c>
      <c r="G667" s="145">
        <f t="shared" si="259"/>
        <v>1.123</v>
      </c>
      <c r="H667" s="146">
        <f t="shared" si="260"/>
        <v>168839</v>
      </c>
      <c r="I667" s="145">
        <f>'[2]Расчет прогнозных дефляторов'!$D$75</f>
        <v>1.0429999999999999</v>
      </c>
      <c r="J667" s="146">
        <f t="shared" si="261"/>
        <v>176099</v>
      </c>
      <c r="K667" s="146">
        <f t="shared" si="262"/>
        <v>173921</v>
      </c>
      <c r="L667" s="147"/>
      <c r="M667" s="147"/>
      <c r="N667" s="147"/>
    </row>
    <row r="668" spans="1:14" s="148" customFormat="1" ht="15.75" hidden="1" outlineLevel="3" x14ac:dyDescent="0.2">
      <c r="A668" s="95" t="s">
        <v>2173</v>
      </c>
      <c r="B668" s="42" t="s">
        <v>1663</v>
      </c>
      <c r="C668" s="42" t="s">
        <v>1662</v>
      </c>
      <c r="D668" s="100" t="s">
        <v>300</v>
      </c>
      <c r="E668" s="100">
        <f>2.7*2</f>
        <v>5.4</v>
      </c>
      <c r="F668" s="149">
        <f>(14563)*(1.023*1.005-2.3%*15%)*6.99+0*4.09</f>
        <v>104306</v>
      </c>
      <c r="G668" s="145">
        <f t="shared" si="259"/>
        <v>1.123</v>
      </c>
      <c r="H668" s="146">
        <f t="shared" si="260"/>
        <v>117136</v>
      </c>
      <c r="I668" s="145">
        <f>'[2]Расчет прогнозных дефляторов'!$D$75</f>
        <v>1.0429999999999999</v>
      </c>
      <c r="J668" s="146">
        <f t="shared" si="261"/>
        <v>122173</v>
      </c>
      <c r="K668" s="146">
        <f t="shared" si="262"/>
        <v>120662</v>
      </c>
      <c r="L668" s="147"/>
      <c r="M668" s="147"/>
      <c r="N668" s="147"/>
    </row>
    <row r="669" spans="1:14" s="148" customFormat="1" ht="15.75" hidden="1" outlineLevel="3" x14ac:dyDescent="0.2">
      <c r="A669" s="95" t="s">
        <v>2174</v>
      </c>
      <c r="B669" s="42" t="s">
        <v>1665</v>
      </c>
      <c r="C669" s="42" t="s">
        <v>1664</v>
      </c>
      <c r="D669" s="100" t="s">
        <v>408</v>
      </c>
      <c r="E669" s="100">
        <v>1</v>
      </c>
      <c r="F669" s="149">
        <f>(4431)*(1.023*1.005-2.3%*15%)*6.99+0*4.09</f>
        <v>31737</v>
      </c>
      <c r="G669" s="145">
        <f t="shared" si="259"/>
        <v>1.123</v>
      </c>
      <c r="H669" s="146">
        <f t="shared" si="260"/>
        <v>35641</v>
      </c>
      <c r="I669" s="145">
        <f>'[2]Расчет прогнозных дефляторов'!$D$75</f>
        <v>1.0429999999999999</v>
      </c>
      <c r="J669" s="146">
        <f t="shared" si="261"/>
        <v>37174</v>
      </c>
      <c r="K669" s="146">
        <f t="shared" si="262"/>
        <v>36714</v>
      </c>
      <c r="L669" s="147"/>
      <c r="M669" s="147"/>
      <c r="N669" s="147"/>
    </row>
    <row r="670" spans="1:14" s="243" customFormat="1" ht="15.75" outlineLevel="1" collapsed="1" x14ac:dyDescent="0.2">
      <c r="A670" s="244" t="s">
        <v>516</v>
      </c>
      <c r="B670" s="245" t="s">
        <v>51</v>
      </c>
      <c r="C670" s="245" t="s">
        <v>138</v>
      </c>
      <c r="D670" s="246" t="s">
        <v>292</v>
      </c>
      <c r="E670" s="247">
        <v>1</v>
      </c>
      <c r="F670" s="247">
        <f>SUM(F671:F712)</f>
        <v>66058620</v>
      </c>
      <c r="G670" s="248"/>
      <c r="H670" s="247">
        <f>SUM(H671:H712)</f>
        <v>74183830</v>
      </c>
      <c r="I670" s="248"/>
      <c r="J670" s="247">
        <f>SUM(J671:J712)</f>
        <v>77373736</v>
      </c>
      <c r="K670" s="247">
        <f>SUM(K671:K712)</f>
        <v>76416764</v>
      </c>
      <c r="L670" s="269"/>
      <c r="M670" s="269"/>
      <c r="N670" s="269"/>
    </row>
    <row r="671" spans="1:14" s="148" customFormat="1" ht="15.75" hidden="1" outlineLevel="2" x14ac:dyDescent="0.2">
      <c r="A671" s="95"/>
      <c r="B671" s="42"/>
      <c r="C671" s="42" t="s">
        <v>367</v>
      </c>
      <c r="D671" s="100"/>
      <c r="E671" s="100"/>
      <c r="F671" s="149"/>
      <c r="G671" s="145"/>
      <c r="H671" s="146"/>
      <c r="I671" s="145"/>
      <c r="J671" s="146"/>
      <c r="K671" s="146"/>
      <c r="L671" s="147"/>
      <c r="M671" s="147"/>
      <c r="N671" s="147"/>
    </row>
    <row r="672" spans="1:14" s="148" customFormat="1" ht="25.5" hidden="1" outlineLevel="2" x14ac:dyDescent="0.2">
      <c r="A672" s="95" t="s">
        <v>2175</v>
      </c>
      <c r="B672" s="42" t="s">
        <v>1666</v>
      </c>
      <c r="C672" s="42" t="s">
        <v>510</v>
      </c>
      <c r="D672" s="100" t="s">
        <v>300</v>
      </c>
      <c r="E672" s="100">
        <f>18918</f>
        <v>18918</v>
      </c>
      <c r="F672" s="149">
        <f>(3772419)*(1.023*1.005-2.3%*15%)*6.99+0*4.09+63</f>
        <v>27019668</v>
      </c>
      <c r="G672" s="145">
        <f t="shared" ref="G672:G689" si="263">$G$766</f>
        <v>1.123</v>
      </c>
      <c r="H672" s="146">
        <f t="shared" ref="H672:H689" si="264">F672*G672</f>
        <v>30343087</v>
      </c>
      <c r="I672" s="145">
        <f>'[2]Расчет прогнозных дефляторов'!$D$75</f>
        <v>1.0429999999999999</v>
      </c>
      <c r="J672" s="146">
        <f t="shared" ref="J672:J689" si="265">H672*I672</f>
        <v>31647840</v>
      </c>
      <c r="K672" s="146">
        <f t="shared" ref="K672:K689" si="266">H672+(J672-H672)*(1-30/100)</f>
        <v>31256414</v>
      </c>
      <c r="L672" s="147"/>
      <c r="M672" s="147"/>
      <c r="N672" s="147"/>
    </row>
    <row r="673" spans="1:14" s="148" customFormat="1" ht="25.5" hidden="1" outlineLevel="2" x14ac:dyDescent="0.2">
      <c r="A673" s="95" t="s">
        <v>2176</v>
      </c>
      <c r="B673" s="42" t="s">
        <v>1668</v>
      </c>
      <c r="C673" s="42" t="s">
        <v>1667</v>
      </c>
      <c r="D673" s="100" t="s">
        <v>300</v>
      </c>
      <c r="E673" s="100">
        <f>18918*0.9</f>
        <v>17026.2</v>
      </c>
      <c r="F673" s="149">
        <f>(325338)*(1.023*1.005-2.3%*15%)*6.99+0*4.09</f>
        <v>2330204</v>
      </c>
      <c r="G673" s="145">
        <f t="shared" si="263"/>
        <v>1.123</v>
      </c>
      <c r="H673" s="146">
        <f t="shared" si="264"/>
        <v>2616819</v>
      </c>
      <c r="I673" s="145">
        <f>'[2]Расчет прогнозных дефляторов'!$D$75</f>
        <v>1.0429999999999999</v>
      </c>
      <c r="J673" s="146">
        <f t="shared" si="265"/>
        <v>2729342</v>
      </c>
      <c r="K673" s="146">
        <f t="shared" si="266"/>
        <v>2695585</v>
      </c>
      <c r="L673" s="172" t="s">
        <v>1669</v>
      </c>
      <c r="M673" s="147"/>
      <c r="N673" s="147"/>
    </row>
    <row r="674" spans="1:14" s="148" customFormat="1" ht="15.75" hidden="1" outlineLevel="2" x14ac:dyDescent="0.2">
      <c r="A674" s="95" t="s">
        <v>2177</v>
      </c>
      <c r="B674" s="42" t="s">
        <v>1670</v>
      </c>
      <c r="C674" s="42" t="s">
        <v>1671</v>
      </c>
      <c r="D674" s="100" t="s">
        <v>300</v>
      </c>
      <c r="E674" s="100">
        <f>18918*0.1</f>
        <v>1891.8</v>
      </c>
      <c r="F674" s="149">
        <f>(193887)*(1.023*1.005-2.3%*15%)*6.99+0*4.09</f>
        <v>1388698</v>
      </c>
      <c r="G674" s="145">
        <f t="shared" si="263"/>
        <v>1.123</v>
      </c>
      <c r="H674" s="146">
        <f t="shared" si="264"/>
        <v>1559508</v>
      </c>
      <c r="I674" s="145">
        <f>'[2]Расчет прогнозных дефляторов'!$D$75</f>
        <v>1.0429999999999999</v>
      </c>
      <c r="J674" s="146">
        <f t="shared" si="265"/>
        <v>1626567</v>
      </c>
      <c r="K674" s="146">
        <f t="shared" si="266"/>
        <v>1606449</v>
      </c>
      <c r="L674" s="147"/>
      <c r="M674" s="147"/>
      <c r="N674" s="147"/>
    </row>
    <row r="675" spans="1:14" s="148" customFormat="1" ht="15.75" hidden="1" outlineLevel="2" x14ac:dyDescent="0.2">
      <c r="A675" s="95" t="s">
        <v>2178</v>
      </c>
      <c r="B675" s="42" t="s">
        <v>1672</v>
      </c>
      <c r="C675" s="42" t="s">
        <v>1525</v>
      </c>
      <c r="D675" s="100" t="s">
        <v>300</v>
      </c>
      <c r="E675" s="100">
        <f>461.5</f>
        <v>461.5</v>
      </c>
      <c r="F675" s="149">
        <f>(92561)*(1.023*1.005-2.3%*15%)*6.99+0*4.09</f>
        <v>662960</v>
      </c>
      <c r="G675" s="145">
        <f t="shared" si="263"/>
        <v>1.123</v>
      </c>
      <c r="H675" s="146">
        <f t="shared" si="264"/>
        <v>744504</v>
      </c>
      <c r="I675" s="145">
        <f>'[2]Расчет прогнозных дефляторов'!$D$75</f>
        <v>1.0429999999999999</v>
      </c>
      <c r="J675" s="146">
        <f t="shared" si="265"/>
        <v>776518</v>
      </c>
      <c r="K675" s="146">
        <f t="shared" si="266"/>
        <v>766914</v>
      </c>
      <c r="L675" s="147"/>
      <c r="M675" s="147"/>
      <c r="N675" s="147"/>
    </row>
    <row r="676" spans="1:14" s="148" customFormat="1" ht="15.75" hidden="1" outlineLevel="2" x14ac:dyDescent="0.2">
      <c r="A676" s="95" t="s">
        <v>2179</v>
      </c>
      <c r="B676" s="42" t="s">
        <v>1673</v>
      </c>
      <c r="C676" s="42" t="s">
        <v>1527</v>
      </c>
      <c r="D676" s="100" t="s">
        <v>300</v>
      </c>
      <c r="E676" s="100">
        <f>2742</f>
        <v>2742</v>
      </c>
      <c r="F676" s="149">
        <f>(183247)*(1.023*1.005-2.3%*15%)*6.99+0*4.09</f>
        <v>1312490</v>
      </c>
      <c r="G676" s="145">
        <f t="shared" si="263"/>
        <v>1.123</v>
      </c>
      <c r="H676" s="146">
        <f t="shared" si="264"/>
        <v>1473926</v>
      </c>
      <c r="I676" s="145">
        <f>'[2]Расчет прогнозных дефляторов'!$D$75</f>
        <v>1.0429999999999999</v>
      </c>
      <c r="J676" s="146">
        <f t="shared" si="265"/>
        <v>1537305</v>
      </c>
      <c r="K676" s="146">
        <f t="shared" si="266"/>
        <v>1518291</v>
      </c>
      <c r="L676" s="147"/>
      <c r="M676" s="147"/>
      <c r="N676" s="147"/>
    </row>
    <row r="677" spans="1:14" s="148" customFormat="1" ht="25.5" hidden="1" outlineLevel="2" x14ac:dyDescent="0.2">
      <c r="A677" s="95" t="s">
        <v>2180</v>
      </c>
      <c r="B677" s="42" t="s">
        <v>1675</v>
      </c>
      <c r="C677" s="42" t="s">
        <v>1674</v>
      </c>
      <c r="D677" s="100" t="s">
        <v>300</v>
      </c>
      <c r="E677" s="100">
        <f>15571.1</f>
        <v>15571.1</v>
      </c>
      <c r="F677" s="149">
        <f>(234026)*(1.023*1.005-2.3%*15%)*6.99+0*4.09</f>
        <v>1676190</v>
      </c>
      <c r="G677" s="145">
        <f t="shared" si="263"/>
        <v>1.123</v>
      </c>
      <c r="H677" s="146">
        <f t="shared" si="264"/>
        <v>1882361</v>
      </c>
      <c r="I677" s="145">
        <f>'[2]Расчет прогнозных дефляторов'!$D$75</f>
        <v>1.0429999999999999</v>
      </c>
      <c r="J677" s="146">
        <f t="shared" si="265"/>
        <v>1963303</v>
      </c>
      <c r="K677" s="146">
        <f t="shared" si="266"/>
        <v>1939020</v>
      </c>
      <c r="L677" s="147"/>
      <c r="M677" s="147"/>
      <c r="N677" s="147"/>
    </row>
    <row r="678" spans="1:14" s="148" customFormat="1" ht="15.75" hidden="1" outlineLevel="2" x14ac:dyDescent="0.2">
      <c r="A678" s="95" t="s">
        <v>2181</v>
      </c>
      <c r="B678" s="42" t="s">
        <v>1677</v>
      </c>
      <c r="C678" s="42" t="s">
        <v>1676</v>
      </c>
      <c r="D678" s="100" t="s">
        <v>404</v>
      </c>
      <c r="E678" s="100">
        <v>28</v>
      </c>
      <c r="F678" s="149">
        <f>(1406)*(1.023*1.005-2.3%*15%)*6.99+0*4.09</f>
        <v>10070</v>
      </c>
      <c r="G678" s="145">
        <f t="shared" si="263"/>
        <v>1.123</v>
      </c>
      <c r="H678" s="146">
        <f t="shared" si="264"/>
        <v>11309</v>
      </c>
      <c r="I678" s="145">
        <f>'[2]Расчет прогнозных дефляторов'!$D$75</f>
        <v>1.0429999999999999</v>
      </c>
      <c r="J678" s="146">
        <f t="shared" si="265"/>
        <v>11795</v>
      </c>
      <c r="K678" s="146">
        <f t="shared" si="266"/>
        <v>11649</v>
      </c>
      <c r="L678" s="147"/>
      <c r="M678" s="147"/>
      <c r="N678" s="147"/>
    </row>
    <row r="679" spans="1:14" s="148" customFormat="1" ht="15.75" hidden="1" outlineLevel="2" x14ac:dyDescent="0.2">
      <c r="A679" s="95" t="s">
        <v>2182</v>
      </c>
      <c r="B679" s="42" t="s">
        <v>1679</v>
      </c>
      <c r="C679" s="42" t="s">
        <v>1678</v>
      </c>
      <c r="D679" s="100" t="s">
        <v>404</v>
      </c>
      <c r="E679" s="100">
        <v>5370</v>
      </c>
      <c r="F679" s="149">
        <f>(153476)*(1.023*1.005-2.3%*15%)*6.99+0*4.09</f>
        <v>1099258</v>
      </c>
      <c r="G679" s="145">
        <f t="shared" si="263"/>
        <v>1.123</v>
      </c>
      <c r="H679" s="146">
        <f t="shared" si="264"/>
        <v>1234467</v>
      </c>
      <c r="I679" s="145">
        <f>'[2]Расчет прогнозных дефляторов'!$D$75</f>
        <v>1.0429999999999999</v>
      </c>
      <c r="J679" s="146">
        <f t="shared" si="265"/>
        <v>1287549</v>
      </c>
      <c r="K679" s="146">
        <f t="shared" si="266"/>
        <v>1271624</v>
      </c>
      <c r="L679" s="147"/>
      <c r="M679" s="147"/>
      <c r="N679" s="147"/>
    </row>
    <row r="680" spans="1:14" s="148" customFormat="1" ht="25.5" hidden="1" outlineLevel="2" x14ac:dyDescent="0.2">
      <c r="A680" s="95" t="s">
        <v>2183</v>
      </c>
      <c r="B680" s="42" t="s">
        <v>1680</v>
      </c>
      <c r="C680" s="42" t="s">
        <v>1681</v>
      </c>
      <c r="D680" s="100" t="s">
        <v>300</v>
      </c>
      <c r="E680" s="100">
        <v>1.8</v>
      </c>
      <c r="F680" s="149">
        <f>(713)*(1.023*1.005-2.3%*15%)*6.99+0*4.09</f>
        <v>5107</v>
      </c>
      <c r="G680" s="145">
        <f t="shared" si="263"/>
        <v>1.123</v>
      </c>
      <c r="H680" s="146">
        <f t="shared" si="264"/>
        <v>5735</v>
      </c>
      <c r="I680" s="145">
        <f>'[2]Расчет прогнозных дефляторов'!$D$75</f>
        <v>1.0429999999999999</v>
      </c>
      <c r="J680" s="146">
        <f t="shared" si="265"/>
        <v>5982</v>
      </c>
      <c r="K680" s="146">
        <f t="shared" si="266"/>
        <v>5908</v>
      </c>
      <c r="L680" s="147"/>
      <c r="M680" s="147"/>
      <c r="N680" s="147"/>
    </row>
    <row r="681" spans="1:14" s="148" customFormat="1" ht="25.5" hidden="1" outlineLevel="2" x14ac:dyDescent="0.2">
      <c r="A681" s="95" t="s">
        <v>2184</v>
      </c>
      <c r="B681" s="42" t="s">
        <v>1683</v>
      </c>
      <c r="C681" s="42" t="s">
        <v>1682</v>
      </c>
      <c r="D681" s="100" t="s">
        <v>377</v>
      </c>
      <c r="E681" s="100">
        <v>1850</v>
      </c>
      <c r="F681" s="149">
        <f>(977924)*(1.023*1.005-2.3%*15%)*6.99+0*4.09</f>
        <v>7004291</v>
      </c>
      <c r="G681" s="145">
        <f t="shared" si="263"/>
        <v>1.123</v>
      </c>
      <c r="H681" s="146">
        <f t="shared" si="264"/>
        <v>7865819</v>
      </c>
      <c r="I681" s="145">
        <f>'[2]Расчет прогнозных дефляторов'!$D$75</f>
        <v>1.0429999999999999</v>
      </c>
      <c r="J681" s="146">
        <f t="shared" si="265"/>
        <v>8204049</v>
      </c>
      <c r="K681" s="146">
        <f t="shared" si="266"/>
        <v>8102580</v>
      </c>
      <c r="L681" s="147"/>
      <c r="M681" s="147"/>
      <c r="N681" s="147"/>
    </row>
    <row r="682" spans="1:14" s="148" customFormat="1" ht="25.5" hidden="1" outlineLevel="2" x14ac:dyDescent="0.2">
      <c r="A682" s="95" t="s">
        <v>2185</v>
      </c>
      <c r="B682" s="42" t="s">
        <v>1684</v>
      </c>
      <c r="C682" s="42" t="s">
        <v>1691</v>
      </c>
      <c r="D682" s="100" t="s">
        <v>377</v>
      </c>
      <c r="E682" s="100">
        <f>1416</f>
        <v>1416</v>
      </c>
      <c r="F682" s="149">
        <f>(748510)*(1.023*1.005-2.3%*15%)*6.99+0*4.09</f>
        <v>5361134</v>
      </c>
      <c r="G682" s="145">
        <f t="shared" si="263"/>
        <v>1.123</v>
      </c>
      <c r="H682" s="146">
        <f t="shared" si="264"/>
        <v>6020553</v>
      </c>
      <c r="I682" s="145">
        <f>'[2]Расчет прогнозных дефляторов'!$D$75</f>
        <v>1.0429999999999999</v>
      </c>
      <c r="J682" s="146">
        <f t="shared" si="265"/>
        <v>6279437</v>
      </c>
      <c r="K682" s="146">
        <f t="shared" si="266"/>
        <v>6201772</v>
      </c>
      <c r="L682" s="147"/>
      <c r="M682" s="147"/>
      <c r="N682" s="147"/>
    </row>
    <row r="683" spans="1:14" s="148" customFormat="1" ht="25.5" hidden="1" outlineLevel="2" x14ac:dyDescent="0.2">
      <c r="A683" s="95" t="s">
        <v>2186</v>
      </c>
      <c r="B683" s="42" t="s">
        <v>1685</v>
      </c>
      <c r="C683" s="42" t="s">
        <v>1692</v>
      </c>
      <c r="D683" s="100" t="s">
        <v>377</v>
      </c>
      <c r="E683" s="100">
        <v>1460</v>
      </c>
      <c r="F683" s="149">
        <f>(771766)*(1.023*1.005-2.3%*15%)*6.99+0*4.09</f>
        <v>5527703</v>
      </c>
      <c r="G683" s="145">
        <f t="shared" si="263"/>
        <v>1.123</v>
      </c>
      <c r="H683" s="146">
        <f t="shared" si="264"/>
        <v>6207610</v>
      </c>
      <c r="I683" s="145">
        <f>'[2]Расчет прогнозных дефляторов'!$D$75</f>
        <v>1.0429999999999999</v>
      </c>
      <c r="J683" s="146">
        <f t="shared" si="265"/>
        <v>6474537</v>
      </c>
      <c r="K683" s="146">
        <f t="shared" si="266"/>
        <v>6394459</v>
      </c>
      <c r="L683" s="147"/>
      <c r="M683" s="147"/>
      <c r="N683" s="147"/>
    </row>
    <row r="684" spans="1:14" s="148" customFormat="1" ht="25.5" hidden="1" outlineLevel="2" x14ac:dyDescent="0.2">
      <c r="A684" s="95" t="s">
        <v>2187</v>
      </c>
      <c r="B684" s="42" t="s">
        <v>1686</v>
      </c>
      <c r="C684" s="42" t="s">
        <v>1693</v>
      </c>
      <c r="D684" s="100" t="s">
        <v>377</v>
      </c>
      <c r="E684" s="100">
        <v>210</v>
      </c>
      <c r="F684" s="149">
        <f>(111006)*(1.023*1.005-2.3%*15%)*6.99+0*4.09</f>
        <v>795070</v>
      </c>
      <c r="G684" s="145">
        <f t="shared" si="263"/>
        <v>1.123</v>
      </c>
      <c r="H684" s="146">
        <f t="shared" si="264"/>
        <v>892864</v>
      </c>
      <c r="I684" s="145">
        <f>'[2]Расчет прогнозных дефляторов'!$D$75</f>
        <v>1.0429999999999999</v>
      </c>
      <c r="J684" s="146">
        <f t="shared" si="265"/>
        <v>931257</v>
      </c>
      <c r="K684" s="146">
        <f t="shared" si="266"/>
        <v>919739</v>
      </c>
      <c r="L684" s="147"/>
      <c r="M684" s="147"/>
      <c r="N684" s="147"/>
    </row>
    <row r="685" spans="1:14" s="148" customFormat="1" ht="15.75" hidden="1" outlineLevel="2" x14ac:dyDescent="0.2">
      <c r="A685" s="95" t="s">
        <v>2188</v>
      </c>
      <c r="B685" s="42" t="s">
        <v>1687</v>
      </c>
      <c r="C685" s="42" t="s">
        <v>1694</v>
      </c>
      <c r="D685" s="100" t="s">
        <v>377</v>
      </c>
      <c r="E685" s="100">
        <v>360</v>
      </c>
      <c r="F685" s="149">
        <f>(54674)*(1.023*1.005-2.3%*15%)*6.99+0*4.09</f>
        <v>391598</v>
      </c>
      <c r="G685" s="145">
        <f t="shared" si="263"/>
        <v>1.123</v>
      </c>
      <c r="H685" s="146">
        <f t="shared" si="264"/>
        <v>439765</v>
      </c>
      <c r="I685" s="145">
        <f>'[2]Расчет прогнозных дефляторов'!$D$75</f>
        <v>1.0429999999999999</v>
      </c>
      <c r="J685" s="146">
        <f t="shared" si="265"/>
        <v>458675</v>
      </c>
      <c r="K685" s="146">
        <f t="shared" si="266"/>
        <v>453002</v>
      </c>
      <c r="L685" s="147"/>
      <c r="M685" s="147"/>
      <c r="N685" s="147"/>
    </row>
    <row r="686" spans="1:14" s="148" customFormat="1" ht="15.75" hidden="1" outlineLevel="2" x14ac:dyDescent="0.2">
      <c r="A686" s="95" t="s">
        <v>2189</v>
      </c>
      <c r="B686" s="42" t="s">
        <v>1688</v>
      </c>
      <c r="C686" s="42" t="s">
        <v>1695</v>
      </c>
      <c r="D686" s="100" t="s">
        <v>377</v>
      </c>
      <c r="E686" s="100">
        <v>12</v>
      </c>
      <c r="F686" s="149">
        <f>(1491)*(1.023*1.005-2.3%*15%)*6.99+0*4.09</f>
        <v>10679</v>
      </c>
      <c r="G686" s="145">
        <f t="shared" si="263"/>
        <v>1.123</v>
      </c>
      <c r="H686" s="146">
        <f t="shared" si="264"/>
        <v>11993</v>
      </c>
      <c r="I686" s="145">
        <f>'[2]Расчет прогнозных дефляторов'!$D$75</f>
        <v>1.0429999999999999</v>
      </c>
      <c r="J686" s="146">
        <f t="shared" si="265"/>
        <v>12509</v>
      </c>
      <c r="K686" s="146">
        <f t="shared" si="266"/>
        <v>12354</v>
      </c>
      <c r="L686" s="147"/>
      <c r="M686" s="147"/>
      <c r="N686" s="147"/>
    </row>
    <row r="687" spans="1:14" s="148" customFormat="1" ht="25.5" hidden="1" outlineLevel="2" x14ac:dyDescent="0.2">
      <c r="A687" s="95" t="s">
        <v>2190</v>
      </c>
      <c r="B687" s="42" t="s">
        <v>1689</v>
      </c>
      <c r="C687" s="42" t="s">
        <v>1696</v>
      </c>
      <c r="D687" s="100" t="s">
        <v>377</v>
      </c>
      <c r="E687" s="100">
        <v>12</v>
      </c>
      <c r="F687" s="149">
        <f>(2284)*(1.023*1.005-2.3%*15%)*6.99+0*4.09</f>
        <v>16359</v>
      </c>
      <c r="G687" s="145">
        <f t="shared" si="263"/>
        <v>1.123</v>
      </c>
      <c r="H687" s="146">
        <f t="shared" si="264"/>
        <v>18371</v>
      </c>
      <c r="I687" s="145">
        <f>'[2]Расчет прогнозных дефляторов'!$D$75</f>
        <v>1.0429999999999999</v>
      </c>
      <c r="J687" s="146">
        <f t="shared" si="265"/>
        <v>19161</v>
      </c>
      <c r="K687" s="146">
        <f t="shared" si="266"/>
        <v>18924</v>
      </c>
      <c r="L687" s="147"/>
      <c r="M687" s="147"/>
      <c r="N687" s="147"/>
    </row>
    <row r="688" spans="1:14" s="148" customFormat="1" ht="15.75" hidden="1" outlineLevel="2" x14ac:dyDescent="0.2">
      <c r="A688" s="95" t="s">
        <v>2191</v>
      </c>
      <c r="B688" s="42" t="s">
        <v>1690</v>
      </c>
      <c r="C688" s="42" t="s">
        <v>1697</v>
      </c>
      <c r="D688" s="100" t="s">
        <v>377</v>
      </c>
      <c r="E688" s="100">
        <v>24</v>
      </c>
      <c r="F688" s="149">
        <f>(9003)*(1.023*1.005-2.3%*15%)*6.99+0*4.09</f>
        <v>64483</v>
      </c>
      <c r="G688" s="145">
        <f t="shared" si="263"/>
        <v>1.123</v>
      </c>
      <c r="H688" s="146">
        <f t="shared" si="264"/>
        <v>72414</v>
      </c>
      <c r="I688" s="145">
        <f>'[2]Расчет прогнозных дефляторов'!$D$75</f>
        <v>1.0429999999999999</v>
      </c>
      <c r="J688" s="146">
        <f t="shared" si="265"/>
        <v>75528</v>
      </c>
      <c r="K688" s="146">
        <f t="shared" si="266"/>
        <v>74594</v>
      </c>
      <c r="L688" s="147"/>
      <c r="M688" s="147"/>
      <c r="N688" s="147"/>
    </row>
    <row r="689" spans="1:14" s="148" customFormat="1" ht="15.75" hidden="1" outlineLevel="2" x14ac:dyDescent="0.2">
      <c r="A689" s="95" t="s">
        <v>2192</v>
      </c>
      <c r="B689" s="42" t="s">
        <v>1699</v>
      </c>
      <c r="C689" s="42" t="s">
        <v>1698</v>
      </c>
      <c r="D689" s="100" t="s">
        <v>408</v>
      </c>
      <c r="E689" s="100">
        <v>2</v>
      </c>
      <c r="F689" s="149">
        <f>(5098)*(1.023*1.005-2.3%*15%)*6.99+0*4.09</f>
        <v>36514</v>
      </c>
      <c r="G689" s="145">
        <f t="shared" si="263"/>
        <v>1.123</v>
      </c>
      <c r="H689" s="146">
        <f t="shared" si="264"/>
        <v>41005</v>
      </c>
      <c r="I689" s="145">
        <f>'[2]Расчет прогнозных дефляторов'!$D$75</f>
        <v>1.0429999999999999</v>
      </c>
      <c r="J689" s="146">
        <f t="shared" si="265"/>
        <v>42768</v>
      </c>
      <c r="K689" s="146">
        <f t="shared" si="266"/>
        <v>42239</v>
      </c>
      <c r="L689" s="147"/>
      <c r="M689" s="147"/>
      <c r="N689" s="147"/>
    </row>
    <row r="690" spans="1:14" s="148" customFormat="1" ht="15.75" hidden="1" outlineLevel="2" x14ac:dyDescent="0.2">
      <c r="A690" s="95"/>
      <c r="B690" s="42"/>
      <c r="C690" s="42" t="s">
        <v>1587</v>
      </c>
      <c r="D690" s="100"/>
      <c r="E690" s="100"/>
      <c r="F690" s="149"/>
      <c r="G690" s="145"/>
      <c r="H690" s="146"/>
      <c r="I690" s="145"/>
      <c r="J690" s="146"/>
      <c r="K690" s="146"/>
      <c r="L690" s="147"/>
      <c r="M690" s="147"/>
      <c r="N690" s="147"/>
    </row>
    <row r="691" spans="1:14" s="148" customFormat="1" ht="15.75" hidden="1" outlineLevel="2" x14ac:dyDescent="0.2">
      <c r="A691" s="95"/>
      <c r="B691" s="42"/>
      <c r="C691" s="42" t="s">
        <v>1700</v>
      </c>
      <c r="D691" s="100"/>
      <c r="E691" s="100"/>
      <c r="F691" s="149"/>
      <c r="G691" s="145"/>
      <c r="H691" s="146"/>
      <c r="I691" s="145"/>
      <c r="J691" s="146"/>
      <c r="K691" s="146"/>
      <c r="L691" s="147"/>
      <c r="M691" s="147"/>
      <c r="N691" s="147"/>
    </row>
    <row r="692" spans="1:14" s="148" customFormat="1" ht="89.25" hidden="1" outlineLevel="2" x14ac:dyDescent="0.2">
      <c r="A692" s="95" t="s">
        <v>2193</v>
      </c>
      <c r="B692" s="42" t="s">
        <v>1702</v>
      </c>
      <c r="C692" s="42" t="s">
        <v>1701</v>
      </c>
      <c r="D692" s="100" t="s">
        <v>408</v>
      </c>
      <c r="E692" s="100">
        <v>1</v>
      </c>
      <c r="F692" s="149">
        <f>(26141)*(1.023*1.005-2.3%*15%)*6.99+0*4.09</f>
        <v>187233</v>
      </c>
      <c r="G692" s="145">
        <f t="shared" ref="G692:G701" si="267">$G$766</f>
        <v>1.123</v>
      </c>
      <c r="H692" s="146">
        <f t="shared" ref="H692:H701" si="268">F692*G692</f>
        <v>210263</v>
      </c>
      <c r="I692" s="145">
        <f>'[2]Расчет прогнозных дефляторов'!$D$75</f>
        <v>1.0429999999999999</v>
      </c>
      <c r="J692" s="146">
        <f t="shared" ref="J692:J701" si="269">H692*I692</f>
        <v>219304</v>
      </c>
      <c r="K692" s="146">
        <f t="shared" ref="K692:K701" si="270">H692+(J692-H692)*(1-30/100)</f>
        <v>216592</v>
      </c>
      <c r="L692" s="147"/>
      <c r="M692" s="147"/>
      <c r="N692" s="147"/>
    </row>
    <row r="693" spans="1:14" s="148" customFormat="1" ht="114.75" hidden="1" outlineLevel="2" x14ac:dyDescent="0.2">
      <c r="A693" s="95" t="s">
        <v>2194</v>
      </c>
      <c r="B693" s="42" t="s">
        <v>1704</v>
      </c>
      <c r="C693" s="42" t="s">
        <v>1703</v>
      </c>
      <c r="D693" s="100" t="s">
        <v>408</v>
      </c>
      <c r="E693" s="100">
        <v>1</v>
      </c>
      <c r="F693" s="149">
        <f>(26141)*(1.023*1.005-2.3%*15%)*6.99+0*4.09</f>
        <v>187233</v>
      </c>
      <c r="G693" s="145">
        <f t="shared" si="267"/>
        <v>1.123</v>
      </c>
      <c r="H693" s="146">
        <f t="shared" si="268"/>
        <v>210263</v>
      </c>
      <c r="I693" s="145">
        <f>'[2]Расчет прогнозных дефляторов'!$D$75</f>
        <v>1.0429999999999999</v>
      </c>
      <c r="J693" s="146">
        <f t="shared" si="269"/>
        <v>219304</v>
      </c>
      <c r="K693" s="146">
        <f t="shared" si="270"/>
        <v>216592</v>
      </c>
      <c r="L693" s="147"/>
      <c r="M693" s="147"/>
      <c r="N693" s="147"/>
    </row>
    <row r="694" spans="1:14" s="148" customFormat="1" ht="63.75" hidden="1" outlineLevel="2" x14ac:dyDescent="0.2">
      <c r="A694" s="95" t="s">
        <v>2195</v>
      </c>
      <c r="B694" s="42" t="s">
        <v>1706</v>
      </c>
      <c r="C694" s="42" t="s">
        <v>1705</v>
      </c>
      <c r="D694" s="100" t="s">
        <v>408</v>
      </c>
      <c r="E694" s="100">
        <v>1</v>
      </c>
      <c r="F694" s="149">
        <f>(61359)*(1.023*1.005-2.3%*15%)*6.99+0*4.09</f>
        <v>439478</v>
      </c>
      <c r="G694" s="145">
        <f t="shared" si="267"/>
        <v>1.123</v>
      </c>
      <c r="H694" s="146">
        <f t="shared" si="268"/>
        <v>493534</v>
      </c>
      <c r="I694" s="145">
        <f>'[2]Расчет прогнозных дефляторов'!$D$75</f>
        <v>1.0429999999999999</v>
      </c>
      <c r="J694" s="146">
        <f t="shared" si="269"/>
        <v>514756</v>
      </c>
      <c r="K694" s="146">
        <f t="shared" si="270"/>
        <v>508389</v>
      </c>
      <c r="L694" s="147"/>
      <c r="M694" s="147"/>
      <c r="N694" s="147"/>
    </row>
    <row r="695" spans="1:14" s="148" customFormat="1" ht="63.75" hidden="1" outlineLevel="2" x14ac:dyDescent="0.2">
      <c r="A695" s="95" t="s">
        <v>2196</v>
      </c>
      <c r="B695" s="42" t="s">
        <v>1707</v>
      </c>
      <c r="C695" s="42" t="s">
        <v>1710</v>
      </c>
      <c r="D695" s="100" t="s">
        <v>408</v>
      </c>
      <c r="E695" s="100">
        <v>2</v>
      </c>
      <c r="F695" s="149">
        <f>(122557)*(1.023*1.005-2.3%*15%)*6.99+0*4.09</f>
        <v>877803</v>
      </c>
      <c r="G695" s="145">
        <f t="shared" si="267"/>
        <v>1.123</v>
      </c>
      <c r="H695" s="146">
        <f t="shared" si="268"/>
        <v>985773</v>
      </c>
      <c r="I695" s="145">
        <f>'[2]Расчет прогнозных дефляторов'!$D$75</f>
        <v>1.0429999999999999</v>
      </c>
      <c r="J695" s="146">
        <f t="shared" si="269"/>
        <v>1028161</v>
      </c>
      <c r="K695" s="146">
        <f t="shared" si="270"/>
        <v>1015445</v>
      </c>
      <c r="L695" s="147"/>
      <c r="M695" s="147"/>
      <c r="N695" s="147"/>
    </row>
    <row r="696" spans="1:14" s="148" customFormat="1" ht="63.75" hidden="1" outlineLevel="2" x14ac:dyDescent="0.2">
      <c r="A696" s="95" t="s">
        <v>2197</v>
      </c>
      <c r="B696" s="42" t="s">
        <v>1708</v>
      </c>
      <c r="C696" s="42" t="s">
        <v>1711</v>
      </c>
      <c r="D696" s="100" t="s">
        <v>408</v>
      </c>
      <c r="E696" s="100">
        <v>14</v>
      </c>
      <c r="F696" s="149">
        <f>(460138)*(1.023*1.005-2.3%*15%)*6.99+0*4.09</f>
        <v>3295696</v>
      </c>
      <c r="G696" s="145">
        <f t="shared" si="267"/>
        <v>1.123</v>
      </c>
      <c r="H696" s="146">
        <f t="shared" si="268"/>
        <v>3701067</v>
      </c>
      <c r="I696" s="145">
        <f>'[2]Расчет прогнозных дефляторов'!$D$75</f>
        <v>1.0429999999999999</v>
      </c>
      <c r="J696" s="146">
        <f t="shared" si="269"/>
        <v>3860213</v>
      </c>
      <c r="K696" s="146">
        <f t="shared" si="270"/>
        <v>3812469</v>
      </c>
      <c r="L696" s="147"/>
      <c r="M696" s="147"/>
      <c r="N696" s="147"/>
    </row>
    <row r="697" spans="1:14" s="148" customFormat="1" ht="25.5" hidden="1" outlineLevel="2" x14ac:dyDescent="0.2">
      <c r="A697" s="95" t="s">
        <v>2198</v>
      </c>
      <c r="B697" s="42" t="s">
        <v>1709</v>
      </c>
      <c r="C697" s="42" t="s">
        <v>1712</v>
      </c>
      <c r="D697" s="100" t="s">
        <v>408</v>
      </c>
      <c r="E697" s="100">
        <v>19</v>
      </c>
      <c r="F697" s="149">
        <f>(8400)*(1.023*1.005-2.3%*15%)*6.99+0*4.09</f>
        <v>60164</v>
      </c>
      <c r="G697" s="145">
        <f t="shared" si="267"/>
        <v>1.123</v>
      </c>
      <c r="H697" s="146">
        <f t="shared" si="268"/>
        <v>67564</v>
      </c>
      <c r="I697" s="145">
        <f>'[2]Расчет прогнозных дефляторов'!$D$75</f>
        <v>1.0429999999999999</v>
      </c>
      <c r="J697" s="146">
        <f t="shared" si="269"/>
        <v>70469</v>
      </c>
      <c r="K697" s="146">
        <f t="shared" si="270"/>
        <v>69598</v>
      </c>
      <c r="L697" s="147"/>
      <c r="M697" s="147"/>
      <c r="N697" s="147"/>
    </row>
    <row r="698" spans="1:14" s="148" customFormat="1" ht="15.75" hidden="1" outlineLevel="2" x14ac:dyDescent="0.2">
      <c r="A698" s="95" t="s">
        <v>2199</v>
      </c>
      <c r="B698" s="42" t="s">
        <v>1714</v>
      </c>
      <c r="C698" s="42" t="s">
        <v>1713</v>
      </c>
      <c r="D698" s="100" t="s">
        <v>300</v>
      </c>
      <c r="E698" s="100">
        <v>4.5999999999999996</v>
      </c>
      <c r="F698" s="149">
        <f>(11509)*(1.023*1.005-2.3%*15%)*6.99+0*4.09</f>
        <v>82432</v>
      </c>
      <c r="G698" s="145">
        <f t="shared" si="267"/>
        <v>1.123</v>
      </c>
      <c r="H698" s="146">
        <f t="shared" si="268"/>
        <v>92571</v>
      </c>
      <c r="I698" s="145">
        <f>'[2]Расчет прогнозных дефляторов'!$D$75</f>
        <v>1.0429999999999999</v>
      </c>
      <c r="J698" s="146">
        <f t="shared" si="269"/>
        <v>96552</v>
      </c>
      <c r="K698" s="146">
        <f t="shared" si="270"/>
        <v>95358</v>
      </c>
      <c r="L698" s="147"/>
      <c r="M698" s="147"/>
      <c r="N698" s="147"/>
    </row>
    <row r="699" spans="1:14" s="148" customFormat="1" ht="25.5" hidden="1" outlineLevel="2" x14ac:dyDescent="0.2">
      <c r="A699" s="95" t="s">
        <v>2200</v>
      </c>
      <c r="B699" s="42" t="s">
        <v>1716</v>
      </c>
      <c r="C699" s="42" t="s">
        <v>1712</v>
      </c>
      <c r="D699" s="100" t="s">
        <v>408</v>
      </c>
      <c r="E699" s="100">
        <v>23</v>
      </c>
      <c r="F699" s="149">
        <f>(10169)*(1.023*1.005-2.3%*15%)*6.99+0*4.09</f>
        <v>72835</v>
      </c>
      <c r="G699" s="145">
        <f t="shared" si="267"/>
        <v>1.123</v>
      </c>
      <c r="H699" s="146">
        <f t="shared" si="268"/>
        <v>81794</v>
      </c>
      <c r="I699" s="145">
        <f>'[2]Расчет прогнозных дефляторов'!$D$75</f>
        <v>1.0429999999999999</v>
      </c>
      <c r="J699" s="146">
        <f t="shared" si="269"/>
        <v>85311</v>
      </c>
      <c r="K699" s="146">
        <f t="shared" si="270"/>
        <v>84256</v>
      </c>
      <c r="L699" s="147"/>
      <c r="M699" s="147"/>
      <c r="N699" s="147"/>
    </row>
    <row r="700" spans="1:14" s="148" customFormat="1" ht="25.5" hidden="1" outlineLevel="2" x14ac:dyDescent="0.2">
      <c r="A700" s="95" t="s">
        <v>2201</v>
      </c>
      <c r="B700" s="42" t="s">
        <v>1717</v>
      </c>
      <c r="C700" s="42" t="s">
        <v>1715</v>
      </c>
      <c r="D700" s="100" t="s">
        <v>408</v>
      </c>
      <c r="E700" s="100">
        <v>2</v>
      </c>
      <c r="F700" s="149">
        <f>(1184)*(1.023*1.005-2.3%*15%)*6.99+0*4.09</f>
        <v>8480</v>
      </c>
      <c r="G700" s="145">
        <f t="shared" si="267"/>
        <v>1.123</v>
      </c>
      <c r="H700" s="146">
        <f t="shared" si="268"/>
        <v>9523</v>
      </c>
      <c r="I700" s="145">
        <f>'[2]Расчет прогнозных дефляторов'!$D$75</f>
        <v>1.0429999999999999</v>
      </c>
      <c r="J700" s="146">
        <f t="shared" si="269"/>
        <v>9932</v>
      </c>
      <c r="K700" s="146">
        <f t="shared" si="270"/>
        <v>9809</v>
      </c>
      <c r="L700" s="147"/>
      <c r="M700" s="147"/>
      <c r="N700" s="147"/>
    </row>
    <row r="701" spans="1:14" s="148" customFormat="1" ht="15.75" hidden="1" outlineLevel="2" x14ac:dyDescent="0.2">
      <c r="A701" s="95" t="s">
        <v>2202</v>
      </c>
      <c r="B701" s="42" t="s">
        <v>1719</v>
      </c>
      <c r="C701" s="42" t="s">
        <v>1718</v>
      </c>
      <c r="D701" s="100" t="s">
        <v>300</v>
      </c>
      <c r="E701" s="100">
        <v>20</v>
      </c>
      <c r="F701" s="149">
        <f>(16104)*(1.023*1.005-2.3%*15%)*6.99+0*4.09</f>
        <v>115343</v>
      </c>
      <c r="G701" s="145">
        <f t="shared" si="267"/>
        <v>1.123</v>
      </c>
      <c r="H701" s="146">
        <f t="shared" si="268"/>
        <v>129530</v>
      </c>
      <c r="I701" s="145">
        <f>'[2]Расчет прогнозных дефляторов'!$D$75</f>
        <v>1.0429999999999999</v>
      </c>
      <c r="J701" s="146">
        <f t="shared" si="269"/>
        <v>135100</v>
      </c>
      <c r="K701" s="146">
        <f t="shared" si="270"/>
        <v>133429</v>
      </c>
      <c r="L701" s="147"/>
      <c r="M701" s="147"/>
      <c r="N701" s="147"/>
    </row>
    <row r="702" spans="1:14" s="148" customFormat="1" ht="15.75" hidden="1" outlineLevel="2" x14ac:dyDescent="0.2">
      <c r="A702" s="95"/>
      <c r="B702" s="42"/>
      <c r="C702" s="42" t="s">
        <v>1612</v>
      </c>
      <c r="D702" s="100"/>
      <c r="E702" s="100"/>
      <c r="F702" s="149"/>
      <c r="G702" s="145"/>
      <c r="H702" s="146"/>
      <c r="I702" s="145"/>
      <c r="J702" s="146"/>
      <c r="K702" s="146"/>
      <c r="L702" s="147"/>
      <c r="M702" s="147"/>
      <c r="N702" s="147"/>
    </row>
    <row r="703" spans="1:14" s="148" customFormat="1" ht="25.5" hidden="1" outlineLevel="2" x14ac:dyDescent="0.2">
      <c r="A703" s="95" t="s">
        <v>2203</v>
      </c>
      <c r="B703" s="42" t="s">
        <v>1721</v>
      </c>
      <c r="C703" s="42" t="s">
        <v>1720</v>
      </c>
      <c r="D703" s="100" t="s">
        <v>377</v>
      </c>
      <c r="E703" s="100">
        <v>3650</v>
      </c>
      <c r="F703" s="149">
        <f>(484356)*(1.023*1.005-2.3%*15%)*6.99+0*4.09</f>
        <v>3469155</v>
      </c>
      <c r="G703" s="145">
        <f t="shared" ref="G703:G715" si="271">$G$766</f>
        <v>1.123</v>
      </c>
      <c r="H703" s="146">
        <f t="shared" ref="H703:H712" si="272">F703*G703</f>
        <v>3895861</v>
      </c>
      <c r="I703" s="145">
        <f>'[2]Расчет прогнозных дефляторов'!$D$75</f>
        <v>1.0429999999999999</v>
      </c>
      <c r="J703" s="146">
        <f t="shared" ref="J703:J712" si="273">H703*I703</f>
        <v>4063383</v>
      </c>
      <c r="K703" s="146">
        <f t="shared" ref="K703:K712" si="274">H703+(J703-H703)*(1-30/100)</f>
        <v>4013126</v>
      </c>
      <c r="L703" s="147"/>
      <c r="M703" s="147"/>
      <c r="N703" s="147"/>
    </row>
    <row r="704" spans="1:14" s="148" customFormat="1" ht="165.75" hidden="1" outlineLevel="2" x14ac:dyDescent="0.2">
      <c r="A704" s="95" t="s">
        <v>2204</v>
      </c>
      <c r="B704" s="42" t="s">
        <v>1723</v>
      </c>
      <c r="C704" s="42" t="s">
        <v>1722</v>
      </c>
      <c r="D704" s="100" t="s">
        <v>408</v>
      </c>
      <c r="E704" s="100">
        <v>2</v>
      </c>
      <c r="F704" s="149">
        <f>(26423)*(1.023*1.005-2.3%*15%)*6.99+344336*4.09</f>
        <v>1597587</v>
      </c>
      <c r="G704" s="145">
        <f t="shared" si="271"/>
        <v>1.123</v>
      </c>
      <c r="H704" s="146">
        <f t="shared" si="272"/>
        <v>1794090</v>
      </c>
      <c r="I704" s="145">
        <f>'[2]Расчет прогнозных дефляторов'!$D$75</f>
        <v>1.0429999999999999</v>
      </c>
      <c r="J704" s="146">
        <f t="shared" si="273"/>
        <v>1871236</v>
      </c>
      <c r="K704" s="146">
        <f t="shared" si="274"/>
        <v>1848092</v>
      </c>
      <c r="L704" s="147"/>
      <c r="M704" s="147"/>
      <c r="N704" s="147"/>
    </row>
    <row r="705" spans="1:14" s="148" customFormat="1" ht="102" hidden="1" outlineLevel="2" x14ac:dyDescent="0.2">
      <c r="A705" s="95" t="s">
        <v>2205</v>
      </c>
      <c r="B705" s="42" t="s">
        <v>1724</v>
      </c>
      <c r="C705" s="42" t="s">
        <v>1725</v>
      </c>
      <c r="D705" s="100" t="s">
        <v>408</v>
      </c>
      <c r="E705" s="100">
        <v>1</v>
      </c>
      <c r="F705" s="149">
        <f>(8120)*(1.023*1.005-2.3%*15%)*6.99+29763*4.09</f>
        <v>179889</v>
      </c>
      <c r="G705" s="145">
        <f t="shared" si="271"/>
        <v>1.123</v>
      </c>
      <c r="H705" s="146">
        <f t="shared" si="272"/>
        <v>202015</v>
      </c>
      <c r="I705" s="145">
        <f>'[2]Расчет прогнозных дефляторов'!$D$75</f>
        <v>1.0429999999999999</v>
      </c>
      <c r="J705" s="146">
        <f t="shared" si="273"/>
        <v>210702</v>
      </c>
      <c r="K705" s="146">
        <f t="shared" si="274"/>
        <v>208096</v>
      </c>
      <c r="L705" s="147"/>
      <c r="M705" s="147"/>
      <c r="N705" s="147"/>
    </row>
    <row r="706" spans="1:14" s="148" customFormat="1" ht="38.25" hidden="1" outlineLevel="2" x14ac:dyDescent="0.2">
      <c r="A706" s="95" t="s">
        <v>2206</v>
      </c>
      <c r="B706" s="42" t="s">
        <v>1726</v>
      </c>
      <c r="C706" s="42" t="s">
        <v>1727</v>
      </c>
      <c r="D706" s="100" t="s">
        <v>408</v>
      </c>
      <c r="E706" s="100">
        <v>1</v>
      </c>
      <c r="F706" s="149">
        <f>(4834)*(1.023*1.005-2.3%*15%)*6.99+124188*4.09</f>
        <v>542552</v>
      </c>
      <c r="G706" s="145">
        <f t="shared" si="271"/>
        <v>1.123</v>
      </c>
      <c r="H706" s="146">
        <f t="shared" si="272"/>
        <v>609286</v>
      </c>
      <c r="I706" s="145">
        <f>'[2]Расчет прогнозных дефляторов'!$D$75</f>
        <v>1.0429999999999999</v>
      </c>
      <c r="J706" s="146">
        <f t="shared" si="273"/>
        <v>635485</v>
      </c>
      <c r="K706" s="146">
        <f t="shared" si="274"/>
        <v>627625</v>
      </c>
      <c r="L706" s="147"/>
      <c r="M706" s="147"/>
      <c r="N706" s="147"/>
    </row>
    <row r="707" spans="1:14" s="148" customFormat="1" ht="15.75" hidden="1" outlineLevel="2" x14ac:dyDescent="0.2">
      <c r="A707" s="95" t="s">
        <v>2207</v>
      </c>
      <c r="B707" s="42" t="s">
        <v>1728</v>
      </c>
      <c r="C707" s="42" t="s">
        <v>1729</v>
      </c>
      <c r="D707" s="100" t="s">
        <v>408</v>
      </c>
      <c r="E707" s="100">
        <v>2</v>
      </c>
      <c r="F707" s="149">
        <f>(20605)*(1.023*1.005-2.3%*15%)*6.99+0*4.09</f>
        <v>147581</v>
      </c>
      <c r="G707" s="145">
        <f t="shared" si="271"/>
        <v>1.123</v>
      </c>
      <c r="H707" s="146">
        <f t="shared" si="272"/>
        <v>165733</v>
      </c>
      <c r="I707" s="145">
        <f>'[2]Расчет прогнозных дефляторов'!$D$75</f>
        <v>1.0429999999999999</v>
      </c>
      <c r="J707" s="146">
        <f t="shared" si="273"/>
        <v>172860</v>
      </c>
      <c r="K707" s="146">
        <f t="shared" si="274"/>
        <v>170722</v>
      </c>
      <c r="L707" s="147"/>
      <c r="M707" s="147"/>
      <c r="N707" s="147"/>
    </row>
    <row r="708" spans="1:14" s="148" customFormat="1" ht="15.75" hidden="1" outlineLevel="2" x14ac:dyDescent="0.2">
      <c r="A708" s="95" t="s">
        <v>2208</v>
      </c>
      <c r="B708" s="42" t="s">
        <v>1731</v>
      </c>
      <c r="C708" s="42" t="s">
        <v>1730</v>
      </c>
      <c r="D708" s="100" t="s">
        <v>408</v>
      </c>
      <c r="E708" s="100">
        <v>2</v>
      </c>
      <c r="F708" s="149">
        <f>(129)*(1.023*1.005-2.3%*15%)*6.99+0*4.09</f>
        <v>924</v>
      </c>
      <c r="G708" s="145">
        <f t="shared" si="271"/>
        <v>1.123</v>
      </c>
      <c r="H708" s="146">
        <f t="shared" si="272"/>
        <v>1038</v>
      </c>
      <c r="I708" s="145">
        <f>'[2]Расчет прогнозных дефляторов'!$D$75</f>
        <v>1.0429999999999999</v>
      </c>
      <c r="J708" s="146">
        <f t="shared" si="273"/>
        <v>1083</v>
      </c>
      <c r="K708" s="146">
        <f t="shared" si="274"/>
        <v>1070</v>
      </c>
      <c r="L708" s="147"/>
      <c r="M708" s="147"/>
      <c r="N708" s="147"/>
    </row>
    <row r="709" spans="1:14" s="148" customFormat="1" ht="15.75" hidden="1" outlineLevel="2" x14ac:dyDescent="0.2">
      <c r="A709" s="95" t="s">
        <v>2209</v>
      </c>
      <c r="B709" s="42" t="s">
        <v>1733</v>
      </c>
      <c r="C709" s="42" t="s">
        <v>1732</v>
      </c>
      <c r="D709" s="100" t="s">
        <v>408</v>
      </c>
      <c r="E709" s="100">
        <v>4</v>
      </c>
      <c r="F709" s="149">
        <f>(5067)*(1.023*1.005-2.3%*15%)*6.99+0*4.09</f>
        <v>36292</v>
      </c>
      <c r="G709" s="145">
        <f t="shared" si="271"/>
        <v>1.123</v>
      </c>
      <c r="H709" s="146">
        <f t="shared" si="272"/>
        <v>40756</v>
      </c>
      <c r="I709" s="145">
        <f>'[2]Расчет прогнозных дефляторов'!$D$75</f>
        <v>1.0429999999999999</v>
      </c>
      <c r="J709" s="146">
        <f t="shared" si="273"/>
        <v>42509</v>
      </c>
      <c r="K709" s="146">
        <f t="shared" si="274"/>
        <v>41983</v>
      </c>
      <c r="L709" s="147"/>
      <c r="M709" s="147"/>
      <c r="N709" s="147"/>
    </row>
    <row r="710" spans="1:14" s="148" customFormat="1" ht="25.5" hidden="1" outlineLevel="2" x14ac:dyDescent="0.2">
      <c r="A710" s="95" t="s">
        <v>2210</v>
      </c>
      <c r="B710" s="42" t="s">
        <v>1735</v>
      </c>
      <c r="C710" s="42" t="s">
        <v>1734</v>
      </c>
      <c r="D710" s="100" t="s">
        <v>408</v>
      </c>
      <c r="E710" s="100">
        <v>1</v>
      </c>
      <c r="F710" s="149">
        <f>(5386)*(1.023*1.005-2.3%*15%)*6.99+0*4.09</f>
        <v>38577</v>
      </c>
      <c r="G710" s="145">
        <f t="shared" si="271"/>
        <v>1.123</v>
      </c>
      <c r="H710" s="146">
        <f t="shared" si="272"/>
        <v>43322</v>
      </c>
      <c r="I710" s="145">
        <f>'[2]Расчет прогнозных дефляторов'!$D$75</f>
        <v>1.0429999999999999</v>
      </c>
      <c r="J710" s="146">
        <f t="shared" si="273"/>
        <v>45185</v>
      </c>
      <c r="K710" s="146">
        <f t="shared" si="274"/>
        <v>44626</v>
      </c>
      <c r="L710" s="147"/>
      <c r="M710" s="147"/>
      <c r="N710" s="147"/>
    </row>
    <row r="711" spans="1:14" s="148" customFormat="1" ht="15.75" hidden="1" outlineLevel="2" x14ac:dyDescent="0.2">
      <c r="A711" s="95" t="s">
        <v>2211</v>
      </c>
      <c r="B711" s="42" t="s">
        <v>1737</v>
      </c>
      <c r="C711" s="42" t="s">
        <v>1736</v>
      </c>
      <c r="D711" s="100" t="s">
        <v>408</v>
      </c>
      <c r="E711" s="100">
        <v>5</v>
      </c>
      <c r="F711" s="149">
        <f>(805)*(1.023*1.005-2.3%*15%)*6.99+0*4.09</f>
        <v>5766</v>
      </c>
      <c r="G711" s="145">
        <f t="shared" si="271"/>
        <v>1.123</v>
      </c>
      <c r="H711" s="146">
        <f t="shared" si="272"/>
        <v>6475</v>
      </c>
      <c r="I711" s="145">
        <f>'[2]Расчет прогнозных дефляторов'!$D$75</f>
        <v>1.0429999999999999</v>
      </c>
      <c r="J711" s="146">
        <f t="shared" si="273"/>
        <v>6753</v>
      </c>
      <c r="K711" s="146">
        <f t="shared" si="274"/>
        <v>6670</v>
      </c>
      <c r="L711" s="147"/>
      <c r="M711" s="147"/>
      <c r="N711" s="147"/>
    </row>
    <row r="712" spans="1:14" s="148" customFormat="1" ht="15.75" hidden="1" outlineLevel="2" x14ac:dyDescent="0.2">
      <c r="A712" s="95" t="s">
        <v>2212</v>
      </c>
      <c r="B712" s="42" t="s">
        <v>1739</v>
      </c>
      <c r="C712" s="42" t="s">
        <v>1738</v>
      </c>
      <c r="D712" s="100" t="s">
        <v>408</v>
      </c>
      <c r="E712" s="100">
        <v>1</v>
      </c>
      <c r="F712" s="149">
        <f>(157)*(1.023*1.005-2.3%*15%)*6.99+0*4.09</f>
        <v>1124</v>
      </c>
      <c r="G712" s="145">
        <f t="shared" si="271"/>
        <v>1.123</v>
      </c>
      <c r="H712" s="146">
        <f t="shared" si="272"/>
        <v>1262</v>
      </c>
      <c r="I712" s="145">
        <f>'[2]Расчет прогнозных дефляторов'!$D$75</f>
        <v>1.0429999999999999</v>
      </c>
      <c r="J712" s="146">
        <f t="shared" si="273"/>
        <v>1316</v>
      </c>
      <c r="K712" s="146">
        <f t="shared" si="274"/>
        <v>1300</v>
      </c>
      <c r="L712" s="147"/>
      <c r="M712" s="147"/>
      <c r="N712" s="147"/>
    </row>
    <row r="713" spans="1:14" s="243" customFormat="1" ht="25.5" outlineLevel="1" collapsed="1" x14ac:dyDescent="0.2">
      <c r="A713" s="244" t="s">
        <v>517</v>
      </c>
      <c r="B713" s="245" t="s">
        <v>54</v>
      </c>
      <c r="C713" s="245" t="s">
        <v>1740</v>
      </c>
      <c r="D713" s="246" t="s">
        <v>292</v>
      </c>
      <c r="E713" s="247">
        <v>1</v>
      </c>
      <c r="F713" s="247">
        <f>SUM(F714:F732)</f>
        <v>2388806</v>
      </c>
      <c r="G713" s="248">
        <f t="shared" si="271"/>
        <v>1.123</v>
      </c>
      <c r="H713" s="247">
        <f>SUM(H714:H732)</f>
        <v>2682627</v>
      </c>
      <c r="I713" s="248">
        <f>'[2]Расчет прогнозных дефляторов'!$D$75</f>
        <v>1.0429999999999999</v>
      </c>
      <c r="J713" s="247">
        <f>SUM(J714:J732)</f>
        <v>2797979</v>
      </c>
      <c r="K713" s="247">
        <f>SUM(K714:K732)</f>
        <v>2763375</v>
      </c>
      <c r="L713" s="269"/>
      <c r="M713" s="269"/>
      <c r="N713" s="269"/>
    </row>
    <row r="714" spans="1:14" s="148" customFormat="1" ht="15.75" hidden="1" outlineLevel="2" x14ac:dyDescent="0.2">
      <c r="A714" s="95" t="s">
        <v>664</v>
      </c>
      <c r="B714" s="42" t="s">
        <v>1742</v>
      </c>
      <c r="C714" s="42" t="s">
        <v>1741</v>
      </c>
      <c r="D714" s="100" t="s">
        <v>292</v>
      </c>
      <c r="E714" s="149">
        <v>1</v>
      </c>
      <c r="F714" s="149">
        <f>(19540)*(1.023*1.005-2.3%*15%)*6.99+0*4.09</f>
        <v>139953</v>
      </c>
      <c r="G714" s="145">
        <f t="shared" si="271"/>
        <v>1.123</v>
      </c>
      <c r="H714" s="146">
        <f t="shared" ref="H714:H715" si="275">F714*G714</f>
        <v>157167</v>
      </c>
      <c r="I714" s="145">
        <f>'[2]Расчет прогнозных дефляторов'!$D$75</f>
        <v>1.0429999999999999</v>
      </c>
      <c r="J714" s="146">
        <f t="shared" ref="J714:J715" si="276">H714*I714</f>
        <v>163925</v>
      </c>
      <c r="K714" s="146">
        <f t="shared" ref="K714:K715" si="277">H714+(J714-H714)*(1-30/100)</f>
        <v>161898</v>
      </c>
      <c r="L714" s="147"/>
      <c r="M714" s="147"/>
      <c r="N714" s="147"/>
    </row>
    <row r="715" spans="1:14" s="148" customFormat="1" ht="25.5" hidden="1" outlineLevel="2" x14ac:dyDescent="0.2">
      <c r="A715" s="95" t="s">
        <v>665</v>
      </c>
      <c r="B715" s="42" t="s">
        <v>1744</v>
      </c>
      <c r="C715" s="42" t="s">
        <v>1743</v>
      </c>
      <c r="D715" s="100" t="s">
        <v>292</v>
      </c>
      <c r="E715" s="149">
        <v>1</v>
      </c>
      <c r="F715" s="149">
        <f>(10070)*(1.023*1.005-2.3%*15%)*6.99+0*4.09</f>
        <v>72125</v>
      </c>
      <c r="G715" s="145">
        <f t="shared" si="271"/>
        <v>1.123</v>
      </c>
      <c r="H715" s="146">
        <f t="shared" si="275"/>
        <v>80996</v>
      </c>
      <c r="I715" s="145">
        <f>'[2]Расчет прогнозных дефляторов'!$D$75</f>
        <v>1.0429999999999999</v>
      </c>
      <c r="J715" s="146">
        <f t="shared" si="276"/>
        <v>84479</v>
      </c>
      <c r="K715" s="146">
        <f t="shared" si="277"/>
        <v>83434</v>
      </c>
      <c r="L715" s="147"/>
      <c r="M715" s="147"/>
      <c r="N715" s="147"/>
    </row>
    <row r="716" spans="1:14" s="148" customFormat="1" ht="15.75" hidden="1" outlineLevel="2" x14ac:dyDescent="0.2">
      <c r="A716" s="95"/>
      <c r="B716" s="42"/>
      <c r="C716" s="157" t="s">
        <v>1745</v>
      </c>
      <c r="D716" s="100"/>
      <c r="E716" s="100"/>
      <c r="F716" s="149"/>
      <c r="G716" s="145"/>
      <c r="H716" s="146"/>
      <c r="I716" s="145"/>
      <c r="J716" s="146"/>
      <c r="K716" s="146"/>
      <c r="L716" s="147"/>
      <c r="M716" s="147"/>
      <c r="N716" s="147"/>
    </row>
    <row r="717" spans="1:14" s="148" customFormat="1" ht="25.5" hidden="1" outlineLevel="2" x14ac:dyDescent="0.2">
      <c r="A717" s="95" t="s">
        <v>666</v>
      </c>
      <c r="B717" s="42" t="s">
        <v>1748</v>
      </c>
      <c r="C717" s="42" t="s">
        <v>356</v>
      </c>
      <c r="D717" s="100" t="s">
        <v>300</v>
      </c>
      <c r="E717" s="100">
        <v>792</v>
      </c>
      <c r="F717" s="149">
        <f>(157931)*(1.023*1.005-2.3%*15%)*6.99+0*4.09+7</f>
        <v>1131173</v>
      </c>
      <c r="G717" s="145">
        <f>$G$766</f>
        <v>1.123</v>
      </c>
      <c r="H717" s="146">
        <f t="shared" ref="H717:H721" si="278">F717*G717</f>
        <v>1270307</v>
      </c>
      <c r="I717" s="145">
        <f>'[2]Расчет прогнозных дефляторов'!$D$75</f>
        <v>1.0429999999999999</v>
      </c>
      <c r="J717" s="146">
        <f t="shared" ref="J717:J721" si="279">H717*I717</f>
        <v>1324930</v>
      </c>
      <c r="K717" s="146">
        <f t="shared" ref="K717:K721" si="280">H717+(J717-H717)*(1-30/100)</f>
        <v>1308543</v>
      </c>
      <c r="L717" s="147"/>
      <c r="M717" s="147"/>
      <c r="N717" s="147"/>
    </row>
    <row r="718" spans="1:14" s="148" customFormat="1" ht="15.75" hidden="1" outlineLevel="2" x14ac:dyDescent="0.2">
      <c r="A718" s="95" t="s">
        <v>667</v>
      </c>
      <c r="B718" s="42" t="s">
        <v>1752</v>
      </c>
      <c r="C718" s="42" t="s">
        <v>1493</v>
      </c>
      <c r="D718" s="100" t="s">
        <v>300</v>
      </c>
      <c r="E718" s="100">
        <v>792</v>
      </c>
      <c r="F718" s="149">
        <f>(10139)*(1.023*1.005-2.3%*15%)*6.99+0*4.09</f>
        <v>72620</v>
      </c>
      <c r="G718" s="145">
        <f>$G$766</f>
        <v>1.123</v>
      </c>
      <c r="H718" s="146">
        <f t="shared" si="278"/>
        <v>81552</v>
      </c>
      <c r="I718" s="145">
        <f>'[2]Расчет прогнозных дефляторов'!$D$75</f>
        <v>1.0429999999999999</v>
      </c>
      <c r="J718" s="146">
        <f t="shared" si="279"/>
        <v>85059</v>
      </c>
      <c r="K718" s="146">
        <f t="shared" si="280"/>
        <v>84007</v>
      </c>
      <c r="L718" s="147"/>
      <c r="M718" s="147"/>
      <c r="N718" s="147"/>
    </row>
    <row r="719" spans="1:14" s="148" customFormat="1" ht="15.75" hidden="1" outlineLevel="2" x14ac:dyDescent="0.2">
      <c r="A719" s="95" t="s">
        <v>668</v>
      </c>
      <c r="B719" s="42" t="s">
        <v>1751</v>
      </c>
      <c r="C719" s="42" t="s">
        <v>1750</v>
      </c>
      <c r="D719" s="100" t="s">
        <v>300</v>
      </c>
      <c r="E719" s="100">
        <v>847</v>
      </c>
      <c r="F719" s="149">
        <f>(42317)*(1.023*1.005-2.3%*15%)*6.99+0*4.09</f>
        <v>303092</v>
      </c>
      <c r="G719" s="145">
        <f>$G$766</f>
        <v>1.123</v>
      </c>
      <c r="H719" s="146">
        <f t="shared" si="278"/>
        <v>340372</v>
      </c>
      <c r="I719" s="145">
        <f>'[2]Расчет прогнозных дефляторов'!$D$75</f>
        <v>1.0429999999999999</v>
      </c>
      <c r="J719" s="146">
        <f t="shared" si="279"/>
        <v>355008</v>
      </c>
      <c r="K719" s="146">
        <f t="shared" si="280"/>
        <v>350617</v>
      </c>
      <c r="L719" s="147"/>
      <c r="M719" s="147"/>
      <c r="N719" s="147"/>
    </row>
    <row r="720" spans="1:14" s="148" customFormat="1" ht="15.75" hidden="1" outlineLevel="2" x14ac:dyDescent="0.2">
      <c r="A720" s="95" t="s">
        <v>669</v>
      </c>
      <c r="B720" s="42" t="s">
        <v>1754</v>
      </c>
      <c r="C720" s="42" t="s">
        <v>1753</v>
      </c>
      <c r="D720" s="100" t="s">
        <v>404</v>
      </c>
      <c r="E720" s="100">
        <f>5619</f>
        <v>5619</v>
      </c>
      <c r="F720" s="149">
        <f>(240)*(1.023*1.005-2.3%*15%)*6.99+0*4.09</f>
        <v>1719</v>
      </c>
      <c r="G720" s="145">
        <f>$G$766</f>
        <v>1.123</v>
      </c>
      <c r="H720" s="146">
        <f t="shared" si="278"/>
        <v>1930</v>
      </c>
      <c r="I720" s="145">
        <f>'[2]Расчет прогнозных дефляторов'!$D$75</f>
        <v>1.0429999999999999</v>
      </c>
      <c r="J720" s="146">
        <f t="shared" si="279"/>
        <v>2013</v>
      </c>
      <c r="K720" s="146">
        <f t="shared" si="280"/>
        <v>1988</v>
      </c>
      <c r="L720" s="147"/>
      <c r="M720" s="147"/>
      <c r="N720" s="147"/>
    </row>
    <row r="721" spans="1:14" s="148" customFormat="1" ht="25.5" hidden="1" outlineLevel="2" x14ac:dyDescent="0.2">
      <c r="A721" s="95" t="s">
        <v>670</v>
      </c>
      <c r="B721" s="42" t="s">
        <v>1747</v>
      </c>
      <c r="C721" s="42" t="s">
        <v>1746</v>
      </c>
      <c r="D721" s="100" t="s">
        <v>292</v>
      </c>
      <c r="E721" s="100">
        <v>1</v>
      </c>
      <c r="F721" s="149">
        <f>(14947)*(1.023*1.005-2.3%*15%)*6.99+0*4.09</f>
        <v>107057</v>
      </c>
      <c r="G721" s="145">
        <f>$G$766</f>
        <v>1.123</v>
      </c>
      <c r="H721" s="146">
        <f t="shared" si="278"/>
        <v>120225</v>
      </c>
      <c r="I721" s="145">
        <f>'[2]Расчет прогнозных дефляторов'!$D$75</f>
        <v>1.0429999999999999</v>
      </c>
      <c r="J721" s="146">
        <f t="shared" si="279"/>
        <v>125395</v>
      </c>
      <c r="K721" s="146">
        <f t="shared" si="280"/>
        <v>123844</v>
      </c>
      <c r="L721" s="147"/>
      <c r="M721" s="147"/>
      <c r="N721" s="147"/>
    </row>
    <row r="722" spans="1:14" s="148" customFormat="1" ht="25.5" hidden="1" outlineLevel="2" x14ac:dyDescent="0.2">
      <c r="A722" s="95"/>
      <c r="B722" s="42"/>
      <c r="C722" s="157" t="s">
        <v>1755</v>
      </c>
      <c r="D722" s="100"/>
      <c r="E722" s="100"/>
      <c r="F722" s="149"/>
      <c r="G722" s="145"/>
      <c r="H722" s="146"/>
      <c r="I722" s="145"/>
      <c r="J722" s="146"/>
      <c r="K722" s="146"/>
      <c r="L722" s="147"/>
      <c r="M722" s="147"/>
      <c r="N722" s="147"/>
    </row>
    <row r="723" spans="1:14" s="148" customFormat="1" ht="25.5" hidden="1" outlineLevel="2" x14ac:dyDescent="0.2">
      <c r="A723" s="95" t="s">
        <v>671</v>
      </c>
      <c r="B723" s="42" t="s">
        <v>1756</v>
      </c>
      <c r="C723" s="42" t="s">
        <v>356</v>
      </c>
      <c r="D723" s="100" t="s">
        <v>300</v>
      </c>
      <c r="E723" s="100">
        <v>58</v>
      </c>
      <c r="F723" s="149">
        <f>(11566)*(1.023*1.005-2.3%*15%)*6.99+0*4.09</f>
        <v>82840</v>
      </c>
      <c r="G723" s="145">
        <f>$G$766</f>
        <v>1.123</v>
      </c>
      <c r="H723" s="146">
        <f t="shared" ref="H723:H725" si="281">F723*G723</f>
        <v>93029</v>
      </c>
      <c r="I723" s="145">
        <f>'[2]Расчет прогнозных дефляторов'!$D$75</f>
        <v>1.0429999999999999</v>
      </c>
      <c r="J723" s="146">
        <f t="shared" ref="J723:J725" si="282">H723*I723</f>
        <v>97029</v>
      </c>
      <c r="K723" s="146">
        <f t="shared" ref="K723:K725" si="283">H723+(J723-H723)*(1-30/100)</f>
        <v>95829</v>
      </c>
      <c r="L723" s="147"/>
      <c r="M723" s="147"/>
      <c r="N723" s="147"/>
    </row>
    <row r="724" spans="1:14" s="148" customFormat="1" ht="15.75" hidden="1" outlineLevel="2" x14ac:dyDescent="0.2">
      <c r="A724" s="95" t="s">
        <v>672</v>
      </c>
      <c r="B724" s="42" t="s">
        <v>1757</v>
      </c>
      <c r="C724" s="42" t="s">
        <v>1758</v>
      </c>
      <c r="D724" s="100" t="s">
        <v>404</v>
      </c>
      <c r="E724" s="100">
        <v>290</v>
      </c>
      <c r="F724" s="149">
        <f>(12)*(1.023*1.005-2.3%*15%)*6.99+0*4.09</f>
        <v>86</v>
      </c>
      <c r="G724" s="145">
        <f>$G$766</f>
        <v>1.123</v>
      </c>
      <c r="H724" s="146">
        <f t="shared" si="281"/>
        <v>97</v>
      </c>
      <c r="I724" s="145">
        <f>'[2]Расчет прогнозных дефляторов'!$D$75</f>
        <v>1.0429999999999999</v>
      </c>
      <c r="J724" s="146">
        <f t="shared" si="282"/>
        <v>101</v>
      </c>
      <c r="K724" s="146">
        <f t="shared" si="283"/>
        <v>100</v>
      </c>
      <c r="L724" s="147"/>
      <c r="M724" s="147"/>
      <c r="N724" s="147"/>
    </row>
    <row r="725" spans="1:14" s="148" customFormat="1" ht="25.5" hidden="1" outlineLevel="2" x14ac:dyDescent="0.2">
      <c r="A725" s="95" t="s">
        <v>673</v>
      </c>
      <c r="B725" s="42" t="s">
        <v>1760</v>
      </c>
      <c r="C725" s="157" t="s">
        <v>1759</v>
      </c>
      <c r="D725" s="100" t="s">
        <v>292</v>
      </c>
      <c r="E725" s="100">
        <v>1</v>
      </c>
      <c r="F725" s="149">
        <f>(4138)*(1.023*1.005-2.3%*15%)*6.99+0*4.09</f>
        <v>29638</v>
      </c>
      <c r="G725" s="145">
        <f>$G$766</f>
        <v>1.123</v>
      </c>
      <c r="H725" s="146">
        <f t="shared" si="281"/>
        <v>33283</v>
      </c>
      <c r="I725" s="145">
        <f>'[2]Расчет прогнозных дефляторов'!$D$75</f>
        <v>1.0429999999999999</v>
      </c>
      <c r="J725" s="146">
        <f t="shared" si="282"/>
        <v>34714</v>
      </c>
      <c r="K725" s="146">
        <f t="shared" si="283"/>
        <v>34285</v>
      </c>
      <c r="L725" s="147"/>
      <c r="M725" s="147"/>
      <c r="N725" s="147"/>
    </row>
    <row r="726" spans="1:14" s="148" customFormat="1" ht="25.5" hidden="1" outlineLevel="2" x14ac:dyDescent="0.2">
      <c r="A726" s="95"/>
      <c r="B726" s="42"/>
      <c r="C726" s="157" t="s">
        <v>1761</v>
      </c>
      <c r="D726" s="100"/>
      <c r="E726" s="100"/>
      <c r="F726" s="149"/>
      <c r="G726" s="145"/>
      <c r="H726" s="146"/>
      <c r="I726" s="145"/>
      <c r="J726" s="146"/>
      <c r="K726" s="146"/>
      <c r="L726" s="147"/>
      <c r="M726" s="147"/>
      <c r="N726" s="147"/>
    </row>
    <row r="727" spans="1:14" s="148" customFormat="1" ht="25.5" hidden="1" outlineLevel="2" x14ac:dyDescent="0.2">
      <c r="A727" s="95" t="s">
        <v>674</v>
      </c>
      <c r="B727" s="42" t="s">
        <v>1762</v>
      </c>
      <c r="C727" s="42" t="s">
        <v>356</v>
      </c>
      <c r="D727" s="100" t="s">
        <v>300</v>
      </c>
      <c r="E727" s="100">
        <v>219</v>
      </c>
      <c r="F727" s="149">
        <f>(43671)*(1.023*1.005-2.3%*15%)*6.99+0*4.09</f>
        <v>312790</v>
      </c>
      <c r="G727" s="145">
        <f t="shared" ref="G727:G734" si="284">$G$766</f>
        <v>1.123</v>
      </c>
      <c r="H727" s="146">
        <f t="shared" ref="H727:H737" si="285">F727*G727</f>
        <v>351263</v>
      </c>
      <c r="I727" s="145">
        <f>'[2]Расчет прогнозных дефляторов'!$D$75</f>
        <v>1.0429999999999999</v>
      </c>
      <c r="J727" s="146">
        <f t="shared" ref="J727:J741" si="286">H727*I727</f>
        <v>366367</v>
      </c>
      <c r="K727" s="146">
        <f t="shared" ref="K727:K741" si="287">H727+(J727-H727)*(1-30/100)</f>
        <v>361836</v>
      </c>
      <c r="L727" s="147"/>
      <c r="M727" s="147"/>
      <c r="N727" s="147"/>
    </row>
    <row r="728" spans="1:14" s="148" customFormat="1" ht="15.75" hidden="1" outlineLevel="2" x14ac:dyDescent="0.2">
      <c r="A728" s="95" t="s">
        <v>675</v>
      </c>
      <c r="B728" s="42" t="s">
        <v>1763</v>
      </c>
      <c r="C728" s="42" t="s">
        <v>1493</v>
      </c>
      <c r="D728" s="100" t="s">
        <v>300</v>
      </c>
      <c r="E728" s="100">
        <v>62</v>
      </c>
      <c r="F728" s="149">
        <f>(793)*(1.023*1.005-2.3%*15%)*6.99+0*4.09</f>
        <v>5680</v>
      </c>
      <c r="G728" s="145">
        <f t="shared" si="284"/>
        <v>1.123</v>
      </c>
      <c r="H728" s="146">
        <f t="shared" si="285"/>
        <v>6379</v>
      </c>
      <c r="I728" s="145">
        <f>'[2]Расчет прогнозных дефляторов'!$D$75</f>
        <v>1.0429999999999999</v>
      </c>
      <c r="J728" s="146">
        <f t="shared" si="286"/>
        <v>6653</v>
      </c>
      <c r="K728" s="146">
        <f t="shared" si="287"/>
        <v>6571</v>
      </c>
      <c r="L728" s="147"/>
      <c r="M728" s="147"/>
      <c r="N728" s="147"/>
    </row>
    <row r="729" spans="1:14" s="148" customFormat="1" ht="25.5" hidden="1" outlineLevel="2" x14ac:dyDescent="0.2">
      <c r="A729" s="95" t="s">
        <v>676</v>
      </c>
      <c r="B729" s="42" t="s">
        <v>1764</v>
      </c>
      <c r="C729" s="42" t="s">
        <v>1765</v>
      </c>
      <c r="D729" s="100" t="s">
        <v>300</v>
      </c>
      <c r="E729" s="100">
        <v>187</v>
      </c>
      <c r="F729" s="149">
        <f>(7734)*(1.023*1.005-2.3%*15%)*6.99+0*4.09</f>
        <v>55394</v>
      </c>
      <c r="G729" s="145">
        <f t="shared" si="284"/>
        <v>1.123</v>
      </c>
      <c r="H729" s="146">
        <f t="shared" si="285"/>
        <v>62207</v>
      </c>
      <c r="I729" s="145">
        <f>'[2]Расчет прогнозных дефляторов'!$D$75</f>
        <v>1.0429999999999999</v>
      </c>
      <c r="J729" s="146">
        <f t="shared" si="286"/>
        <v>64882</v>
      </c>
      <c r="K729" s="146">
        <f t="shared" si="287"/>
        <v>64080</v>
      </c>
      <c r="L729" s="147"/>
      <c r="M729" s="147"/>
      <c r="N729" s="147"/>
    </row>
    <row r="730" spans="1:14" s="148" customFormat="1" ht="15.75" hidden="1" outlineLevel="2" x14ac:dyDescent="0.2">
      <c r="A730" s="95" t="s">
        <v>677</v>
      </c>
      <c r="B730" s="42" t="s">
        <v>1766</v>
      </c>
      <c r="C730" s="42" t="s">
        <v>1749</v>
      </c>
      <c r="D730" s="100" t="s">
        <v>300</v>
      </c>
      <c r="E730" s="100">
        <v>62</v>
      </c>
      <c r="F730" s="149">
        <f>(617)*(1.023*1.005-2.3%*15%)*6.99+0*4.09</f>
        <v>4419</v>
      </c>
      <c r="G730" s="145">
        <f t="shared" si="284"/>
        <v>1.123</v>
      </c>
      <c r="H730" s="146">
        <f t="shared" si="285"/>
        <v>4963</v>
      </c>
      <c r="I730" s="145">
        <f>'[2]Расчет прогнозных дефляторов'!$D$75</f>
        <v>1.0429999999999999</v>
      </c>
      <c r="J730" s="146">
        <f t="shared" si="286"/>
        <v>5176</v>
      </c>
      <c r="K730" s="146">
        <f t="shared" si="287"/>
        <v>5112</v>
      </c>
      <c r="L730" s="147"/>
      <c r="M730" s="147"/>
      <c r="N730" s="147"/>
    </row>
    <row r="731" spans="1:14" s="148" customFormat="1" ht="15.75" hidden="1" outlineLevel="2" x14ac:dyDescent="0.2">
      <c r="A731" s="95" t="s">
        <v>678</v>
      </c>
      <c r="B731" s="42" t="s">
        <v>1767</v>
      </c>
      <c r="C731" s="42" t="s">
        <v>1753</v>
      </c>
      <c r="D731" s="100" t="s">
        <v>404</v>
      </c>
      <c r="E731" s="100">
        <v>1016</v>
      </c>
      <c r="F731" s="149">
        <f>(43)*(1.023*1.005-2.3%*15%)*6.99+0*4.09</f>
        <v>308</v>
      </c>
      <c r="G731" s="145">
        <f t="shared" si="284"/>
        <v>1.123</v>
      </c>
      <c r="H731" s="146">
        <f t="shared" si="285"/>
        <v>346</v>
      </c>
      <c r="I731" s="145">
        <f>'[2]Расчет прогнозных дефляторов'!$D$75</f>
        <v>1.0429999999999999</v>
      </c>
      <c r="J731" s="146">
        <f t="shared" si="286"/>
        <v>361</v>
      </c>
      <c r="K731" s="146">
        <f t="shared" si="287"/>
        <v>357</v>
      </c>
      <c r="L731" s="147"/>
      <c r="M731" s="147"/>
      <c r="N731" s="147"/>
    </row>
    <row r="732" spans="1:14" s="148" customFormat="1" ht="25.5" hidden="1" outlineLevel="2" x14ac:dyDescent="0.2">
      <c r="A732" s="95" t="s">
        <v>679</v>
      </c>
      <c r="B732" s="42" t="s">
        <v>1769</v>
      </c>
      <c r="C732" s="157" t="s">
        <v>1768</v>
      </c>
      <c r="D732" s="100" t="s">
        <v>292</v>
      </c>
      <c r="E732" s="100">
        <v>1</v>
      </c>
      <c r="F732" s="149">
        <f>(9761)*(1.023*1.005-2.3%*15%)*6.99+0*4.09</f>
        <v>69912</v>
      </c>
      <c r="G732" s="145">
        <f t="shared" si="284"/>
        <v>1.123</v>
      </c>
      <c r="H732" s="146">
        <f t="shared" si="285"/>
        <v>78511</v>
      </c>
      <c r="I732" s="145">
        <f>'[2]Расчет прогнозных дефляторов'!$D$75</f>
        <v>1.0429999999999999</v>
      </c>
      <c r="J732" s="146">
        <f t="shared" si="286"/>
        <v>81887</v>
      </c>
      <c r="K732" s="146">
        <f t="shared" si="287"/>
        <v>80874</v>
      </c>
      <c r="L732" s="147"/>
      <c r="M732" s="147"/>
      <c r="N732" s="147"/>
    </row>
    <row r="733" spans="1:14" s="243" customFormat="1" ht="25.5" outlineLevel="1" x14ac:dyDescent="0.2">
      <c r="A733" s="244" t="s">
        <v>518</v>
      </c>
      <c r="B733" s="245" t="s">
        <v>65</v>
      </c>
      <c r="C733" s="245" t="s">
        <v>519</v>
      </c>
      <c r="D733" s="246" t="s">
        <v>292</v>
      </c>
      <c r="E733" s="247">
        <v>1</v>
      </c>
      <c r="F733" s="247">
        <f>'Затраты подрядчика'!O97</f>
        <v>1044688</v>
      </c>
      <c r="G733" s="248">
        <f t="shared" si="284"/>
        <v>1.123</v>
      </c>
      <c r="H733" s="255">
        <f t="shared" si="285"/>
        <v>1173185</v>
      </c>
      <c r="I733" s="248">
        <f>'[2]Расчет прогнозных дефляторов'!$D$165</f>
        <v>1.038</v>
      </c>
      <c r="J733" s="255">
        <f t="shared" si="286"/>
        <v>1217766</v>
      </c>
      <c r="K733" s="255">
        <f t="shared" si="287"/>
        <v>1204392</v>
      </c>
      <c r="L733" s="269"/>
      <c r="M733" s="269"/>
      <c r="N733" s="269"/>
    </row>
    <row r="734" spans="1:14" s="243" customFormat="1" ht="15.75" outlineLevel="1" x14ac:dyDescent="0.2">
      <c r="A734" s="244" t="s">
        <v>520</v>
      </c>
      <c r="B734" s="245" t="s">
        <v>67</v>
      </c>
      <c r="C734" s="245" t="s">
        <v>68</v>
      </c>
      <c r="D734" s="246" t="s">
        <v>292</v>
      </c>
      <c r="E734" s="247">
        <v>1</v>
      </c>
      <c r="F734" s="247">
        <f>'Затраты подрядчика'!O98</f>
        <v>625992</v>
      </c>
      <c r="G734" s="248">
        <f t="shared" si="284"/>
        <v>1.123</v>
      </c>
      <c r="H734" s="255">
        <f>F734*G734</f>
        <v>702989</v>
      </c>
      <c r="I734" s="248">
        <f>'[2]Расчет прогнозных дефляторов'!$D$183</f>
        <v>1.038</v>
      </c>
      <c r="J734" s="255">
        <f>H734*I734</f>
        <v>729703</v>
      </c>
      <c r="K734" s="255">
        <f>H734+(J734-H734)*(1-30/100)</f>
        <v>721689</v>
      </c>
      <c r="L734" s="269"/>
      <c r="M734" s="269"/>
      <c r="N734" s="269"/>
    </row>
    <row r="735" spans="1:14" s="243" customFormat="1" ht="15.75" outlineLevel="1" collapsed="1" x14ac:dyDescent="0.2">
      <c r="A735" s="244" t="s">
        <v>521</v>
      </c>
      <c r="B735" s="245" t="s">
        <v>71</v>
      </c>
      <c r="C735" s="245" t="s">
        <v>72</v>
      </c>
      <c r="D735" s="246" t="s">
        <v>292</v>
      </c>
      <c r="E735" s="247">
        <v>1</v>
      </c>
      <c r="F735" s="247">
        <f>SUM(F736:F738)</f>
        <v>13109951</v>
      </c>
      <c r="G735" s="248"/>
      <c r="H735" s="247">
        <f>SUM(H736:H738)</f>
        <v>13473162</v>
      </c>
      <c r="I735" s="248"/>
      <c r="J735" s="247">
        <f>SUM(J736:J738)</f>
        <v>13551549</v>
      </c>
      <c r="K735" s="247">
        <f>SUM(K736:K738)</f>
        <v>13528033</v>
      </c>
      <c r="L735" s="269"/>
      <c r="M735" s="269"/>
      <c r="N735" s="269"/>
    </row>
    <row r="736" spans="1:14" s="267" customFormat="1" ht="25.5" hidden="1" outlineLevel="2" x14ac:dyDescent="0.2">
      <c r="A736" s="177" t="s">
        <v>2213</v>
      </c>
      <c r="B736" s="42" t="s">
        <v>1789</v>
      </c>
      <c r="C736" s="42" t="s">
        <v>1788</v>
      </c>
      <c r="D736" s="100" t="s">
        <v>292</v>
      </c>
      <c r="E736" s="149">
        <v>1</v>
      </c>
      <c r="F736" s="149">
        <f>103591*10.79-F756</f>
        <v>1116047</v>
      </c>
      <c r="G736" s="145">
        <f>$G$766</f>
        <v>1.123</v>
      </c>
      <c r="H736" s="146">
        <f t="shared" si="285"/>
        <v>1253321</v>
      </c>
      <c r="I736" s="145">
        <f>'[2]Расчет прогнозных дефляторов'!$D$192</f>
        <v>1.038</v>
      </c>
      <c r="J736" s="146">
        <f>H736*I738</f>
        <v>1253321</v>
      </c>
      <c r="K736" s="146">
        <f t="shared" si="287"/>
        <v>1253321</v>
      </c>
      <c r="L736" s="292"/>
      <c r="M736" s="292"/>
      <c r="N736" s="292"/>
    </row>
    <row r="737" spans="1:14" s="267" customFormat="1" ht="38.25" hidden="1" outlineLevel="2" x14ac:dyDescent="0.2">
      <c r="A737" s="177" t="s">
        <v>2214</v>
      </c>
      <c r="B737" s="42" t="s">
        <v>274</v>
      </c>
      <c r="C737" s="42" t="s">
        <v>1791</v>
      </c>
      <c r="D737" s="100" t="s">
        <v>292</v>
      </c>
      <c r="E737" s="149">
        <v>1</v>
      </c>
      <c r="F737" s="149">
        <f>170499*10.79-F757</f>
        <v>1836886</v>
      </c>
      <c r="G737" s="145">
        <f>$G$766</f>
        <v>1.123</v>
      </c>
      <c r="H737" s="146">
        <f t="shared" si="285"/>
        <v>2062823</v>
      </c>
      <c r="I737" s="145">
        <f>'[2]Расчет прогнозных дефляторов'!$D$192</f>
        <v>1.038</v>
      </c>
      <c r="J737" s="146">
        <f>H737*I737</f>
        <v>2141210</v>
      </c>
      <c r="K737" s="146">
        <f t="shared" si="287"/>
        <v>2117694</v>
      </c>
      <c r="L737" s="292"/>
      <c r="M737" s="292"/>
      <c r="N737" s="292"/>
    </row>
    <row r="738" spans="1:14" s="267" customFormat="1" ht="15.75" hidden="1" outlineLevel="2" x14ac:dyDescent="0.2">
      <c r="A738" s="177" t="s">
        <v>2215</v>
      </c>
      <c r="B738" s="42" t="s">
        <v>1790</v>
      </c>
      <c r="C738" s="42" t="s">
        <v>685</v>
      </c>
      <c r="D738" s="100" t="s">
        <v>292</v>
      </c>
      <c r="E738" s="149">
        <v>1</v>
      </c>
      <c r="F738" s="149">
        <f>((100816+841948)*10.79+64)-F758</f>
        <v>10157018</v>
      </c>
      <c r="G738" s="145">
        <v>1</v>
      </c>
      <c r="H738" s="146">
        <f>F738*G738</f>
        <v>10157018</v>
      </c>
      <c r="I738" s="145">
        <v>1</v>
      </c>
      <c r="J738" s="146">
        <f>H738*I738</f>
        <v>10157018</v>
      </c>
      <c r="K738" s="146">
        <f>H738+(J738-H738)*(1-30/100)</f>
        <v>10157018</v>
      </c>
      <c r="L738" s="292"/>
      <c r="M738" s="292"/>
      <c r="N738" s="292"/>
    </row>
    <row r="739" spans="1:14" s="243" customFormat="1" ht="15.75" outlineLevel="1" x14ac:dyDescent="0.2">
      <c r="A739" s="302" t="s">
        <v>522</v>
      </c>
      <c r="B739" s="245" t="s">
        <v>729</v>
      </c>
      <c r="C739" s="245" t="s">
        <v>1792</v>
      </c>
      <c r="D739" s="246" t="s">
        <v>292</v>
      </c>
      <c r="E739" s="247">
        <v>1</v>
      </c>
      <c r="F739" s="247">
        <f>805650000/1.2+14</f>
        <v>671375014</v>
      </c>
      <c r="G739" s="248">
        <f>$G$766</f>
        <v>1.123</v>
      </c>
      <c r="H739" s="255">
        <f t="shared" ref="H739:H759" si="288">F739*G739</f>
        <v>753954141</v>
      </c>
      <c r="I739" s="248">
        <f>'[2]Расчет прогнозных дефляторов'!$D$201</f>
        <v>1.0429999999999999</v>
      </c>
      <c r="J739" s="255">
        <f t="shared" ref="J739" si="289">H739*I739</f>
        <v>786374169</v>
      </c>
      <c r="K739" s="255">
        <f t="shared" ref="K739" si="290">H739+(J739-H739)*(1-30/100)</f>
        <v>776648161</v>
      </c>
      <c r="L739" s="269"/>
      <c r="M739" s="269"/>
      <c r="N739" s="269"/>
    </row>
    <row r="740" spans="1:14" s="243" customFormat="1" ht="15.75" outlineLevel="1" x14ac:dyDescent="0.2">
      <c r="A740" s="244" t="s">
        <v>523</v>
      </c>
      <c r="B740" s="245" t="s">
        <v>729</v>
      </c>
      <c r="C740" s="303" t="s">
        <v>728</v>
      </c>
      <c r="D740" s="304" t="s">
        <v>292</v>
      </c>
      <c r="E740" s="247">
        <v>1</v>
      </c>
      <c r="F740" s="247">
        <f>40800000/1.2</f>
        <v>34000000</v>
      </c>
      <c r="G740" s="248">
        <f>$G$766</f>
        <v>1.123</v>
      </c>
      <c r="H740" s="255">
        <f t="shared" si="288"/>
        <v>38182000</v>
      </c>
      <c r="I740" s="248">
        <f>'[2]Расчет прогнозных дефляторов'!$D$201</f>
        <v>1.0429999999999999</v>
      </c>
      <c r="J740" s="255">
        <f t="shared" si="286"/>
        <v>39823826</v>
      </c>
      <c r="K740" s="255">
        <f t="shared" si="287"/>
        <v>39331278</v>
      </c>
      <c r="L740" s="269"/>
      <c r="M740" s="269"/>
      <c r="N740" s="269"/>
    </row>
    <row r="741" spans="1:14" s="243" customFormat="1" ht="15.75" hidden="1" outlineLevel="1" x14ac:dyDescent="0.2">
      <c r="A741" s="244" t="s">
        <v>686</v>
      </c>
      <c r="B741" s="245"/>
      <c r="C741" s="245" t="s">
        <v>556</v>
      </c>
      <c r="D741" s="304" t="s">
        <v>292</v>
      </c>
      <c r="E741" s="247">
        <v>1</v>
      </c>
      <c r="F741" s="247">
        <f>'Затраты подрядчика'!P125-'ВОР(черновик)'!F14-'ВОР(черновик)'!F759</f>
        <v>16191337</v>
      </c>
      <c r="G741" s="248">
        <f>$G$766</f>
        <v>1.123</v>
      </c>
      <c r="H741" s="255">
        <f t="shared" si="288"/>
        <v>18182871</v>
      </c>
      <c r="I741" s="248">
        <f>'[2]Расчет прогнозных дефляторов'!$D$210</f>
        <v>1.038</v>
      </c>
      <c r="J741" s="255">
        <f t="shared" si="286"/>
        <v>18873820</v>
      </c>
      <c r="K741" s="255">
        <f t="shared" si="287"/>
        <v>18666535</v>
      </c>
      <c r="L741" s="269"/>
      <c r="M741" s="269"/>
      <c r="N741" s="269"/>
    </row>
    <row r="742" spans="1:14" s="185" customFormat="1" ht="54" customHeight="1" x14ac:dyDescent="0.2">
      <c r="A742" s="179" t="s">
        <v>524</v>
      </c>
      <c r="B742" s="180"/>
      <c r="C742" s="181" t="s">
        <v>70</v>
      </c>
      <c r="D742" s="125" t="s">
        <v>292</v>
      </c>
      <c r="E742" s="126">
        <v>1</v>
      </c>
      <c r="F742" s="126">
        <f>F743+F748+F755+F759</f>
        <v>978262</v>
      </c>
      <c r="G742" s="127"/>
      <c r="H742" s="126">
        <f>H743+H748+H755+H759</f>
        <v>1096684</v>
      </c>
      <c r="I742" s="127"/>
      <c r="J742" s="126">
        <f>J743+J748+J755+J759</f>
        <v>1147605</v>
      </c>
      <c r="K742" s="126">
        <f>K743+K748+K755+K759</f>
        <v>1132328</v>
      </c>
      <c r="L742" s="182"/>
      <c r="M742" s="183"/>
      <c r="N742" s="184"/>
    </row>
    <row r="743" spans="1:14" s="243" customFormat="1" ht="15.75" outlineLevel="1" x14ac:dyDescent="0.2">
      <c r="A743" s="296" t="s">
        <v>525</v>
      </c>
      <c r="B743" s="305" t="s">
        <v>69</v>
      </c>
      <c r="C743" s="297" t="s">
        <v>646</v>
      </c>
      <c r="D743" s="246" t="s">
        <v>292</v>
      </c>
      <c r="E743" s="247">
        <v>1</v>
      </c>
      <c r="F743" s="247">
        <f>SUM(F744:F747)</f>
        <v>247199</v>
      </c>
      <c r="G743" s="248">
        <f t="shared" ref="G743:G754" si="291">$G$766</f>
        <v>1.123</v>
      </c>
      <c r="H743" s="247">
        <f>SUM(H744:H747)</f>
        <v>277604</v>
      </c>
      <c r="I743" s="248">
        <f>'[2]Расчет прогнозных дефляторов'!$D$220</f>
        <v>1.0449999999999999</v>
      </c>
      <c r="J743" s="247">
        <f>SUM(J744:J747)</f>
        <v>290097</v>
      </c>
      <c r="K743" s="247">
        <f>SUM(K744:K747)</f>
        <v>286349</v>
      </c>
      <c r="L743" s="269"/>
      <c r="M743" s="269"/>
      <c r="N743" s="269"/>
    </row>
    <row r="744" spans="1:14" s="148" customFormat="1" ht="15.75" outlineLevel="2" x14ac:dyDescent="0.2">
      <c r="A744" s="95" t="s">
        <v>526</v>
      </c>
      <c r="B744" s="42" t="s">
        <v>248</v>
      </c>
      <c r="C744" s="42" t="s">
        <v>1794</v>
      </c>
      <c r="D744" s="100" t="s">
        <v>292</v>
      </c>
      <c r="E744" s="149">
        <v>1</v>
      </c>
      <c r="F744" s="149">
        <f>'Затраты подрядчика'!O100</f>
        <v>36956</v>
      </c>
      <c r="G744" s="145">
        <f t="shared" si="291"/>
        <v>1.123</v>
      </c>
      <c r="H744" s="146">
        <f t="shared" si="288"/>
        <v>41502</v>
      </c>
      <c r="I744" s="145">
        <f>'[2]Расчет прогнозных дефляторов'!$D$220</f>
        <v>1.0449999999999999</v>
      </c>
      <c r="J744" s="146">
        <f t="shared" ref="J744:J747" si="292">H744*I744</f>
        <v>43370</v>
      </c>
      <c r="K744" s="146">
        <f t="shared" ref="K744:K747" si="293">H744+(J744-H744)*(1-30/100)</f>
        <v>42810</v>
      </c>
      <c r="L744" s="147"/>
      <c r="M744" s="147"/>
      <c r="N744" s="147"/>
    </row>
    <row r="745" spans="1:14" s="148" customFormat="1" ht="15.75" outlineLevel="2" x14ac:dyDescent="0.2">
      <c r="A745" s="95" t="s">
        <v>527</v>
      </c>
      <c r="B745" s="42" t="s">
        <v>250</v>
      </c>
      <c r="C745" s="42" t="s">
        <v>1793</v>
      </c>
      <c r="D745" s="100" t="s">
        <v>292</v>
      </c>
      <c r="E745" s="149">
        <v>1</v>
      </c>
      <c r="F745" s="149">
        <f>'Затраты подрядчика'!O101</f>
        <v>109262</v>
      </c>
      <c r="G745" s="145">
        <f t="shared" si="291"/>
        <v>1.123</v>
      </c>
      <c r="H745" s="146">
        <f t="shared" si="288"/>
        <v>122701</v>
      </c>
      <c r="I745" s="145">
        <f>'[2]Расчет прогнозных дефляторов'!$D$220</f>
        <v>1.0449999999999999</v>
      </c>
      <c r="J745" s="146">
        <f t="shared" si="292"/>
        <v>128223</v>
      </c>
      <c r="K745" s="146">
        <f t="shared" si="293"/>
        <v>126566</v>
      </c>
      <c r="L745" s="147"/>
      <c r="M745" s="147"/>
      <c r="N745" s="147"/>
    </row>
    <row r="746" spans="1:14" s="148" customFormat="1" ht="15.75" outlineLevel="2" x14ac:dyDescent="0.2">
      <c r="A746" s="95" t="s">
        <v>528</v>
      </c>
      <c r="B746" s="42" t="s">
        <v>252</v>
      </c>
      <c r="C746" s="42" t="s">
        <v>1795</v>
      </c>
      <c r="D746" s="178" t="s">
        <v>292</v>
      </c>
      <c r="E746" s="149">
        <v>1</v>
      </c>
      <c r="F746" s="149">
        <f>'Затраты подрядчика'!O102</f>
        <v>47833</v>
      </c>
      <c r="G746" s="145">
        <f t="shared" si="291"/>
        <v>1.123</v>
      </c>
      <c r="H746" s="146">
        <f t="shared" si="288"/>
        <v>53716</v>
      </c>
      <c r="I746" s="145">
        <f>'[2]Расчет прогнозных дефляторов'!$D$220</f>
        <v>1.0449999999999999</v>
      </c>
      <c r="J746" s="146">
        <f t="shared" si="292"/>
        <v>56133</v>
      </c>
      <c r="K746" s="146">
        <f t="shared" si="293"/>
        <v>55408</v>
      </c>
      <c r="L746" s="147"/>
      <c r="M746" s="147"/>
      <c r="N746" s="147"/>
    </row>
    <row r="747" spans="1:14" s="148" customFormat="1" ht="15.75" outlineLevel="2" x14ac:dyDescent="0.2">
      <c r="A747" s="95" t="s">
        <v>529</v>
      </c>
      <c r="B747" s="42" t="s">
        <v>254</v>
      </c>
      <c r="C747" s="42" t="s">
        <v>1796</v>
      </c>
      <c r="D747" s="178" t="s">
        <v>292</v>
      </c>
      <c r="E747" s="149">
        <v>1</v>
      </c>
      <c r="F747" s="149">
        <f>'Затраты подрядчика'!O103</f>
        <v>53148</v>
      </c>
      <c r="G747" s="145">
        <f t="shared" si="291"/>
        <v>1.123</v>
      </c>
      <c r="H747" s="146">
        <f t="shared" si="288"/>
        <v>59685</v>
      </c>
      <c r="I747" s="145">
        <f>'[2]Расчет прогнозных дефляторов'!$D$220</f>
        <v>1.0449999999999999</v>
      </c>
      <c r="J747" s="146">
        <f t="shared" si="292"/>
        <v>62371</v>
      </c>
      <c r="K747" s="146">
        <f t="shared" si="293"/>
        <v>61565</v>
      </c>
      <c r="L747" s="147"/>
      <c r="M747" s="147"/>
      <c r="N747" s="147"/>
    </row>
    <row r="748" spans="1:14" s="243" customFormat="1" ht="15.75" outlineLevel="1" x14ac:dyDescent="0.2">
      <c r="A748" s="244" t="s">
        <v>532</v>
      </c>
      <c r="B748" s="245" t="s">
        <v>69</v>
      </c>
      <c r="C748" s="245" t="s">
        <v>2216</v>
      </c>
      <c r="D748" s="246" t="s">
        <v>292</v>
      </c>
      <c r="E748" s="247">
        <v>1</v>
      </c>
      <c r="F748" s="247">
        <f>F749+F752+F753+F754</f>
        <v>691913</v>
      </c>
      <c r="G748" s="248">
        <f t="shared" si="291"/>
        <v>1.123</v>
      </c>
      <c r="H748" s="247">
        <f>H749+H752+H753+H754</f>
        <v>777018</v>
      </c>
      <c r="I748" s="248">
        <f>'[2]Расчет прогнозных дефляторов'!$D$229</f>
        <v>1.048</v>
      </c>
      <c r="J748" s="247">
        <f>J749+J752+J753+J754</f>
        <v>814315</v>
      </c>
      <c r="K748" s="247">
        <f>K749+K752+K753+K754</f>
        <v>803126</v>
      </c>
      <c r="L748" s="269"/>
      <c r="M748" s="269"/>
      <c r="N748" s="269"/>
    </row>
    <row r="749" spans="1:14" s="148" customFormat="1" ht="15.75" outlineLevel="2" collapsed="1" x14ac:dyDescent="0.2">
      <c r="A749" s="95" t="s">
        <v>690</v>
      </c>
      <c r="B749" s="42" t="s">
        <v>256</v>
      </c>
      <c r="C749" s="42" t="s">
        <v>1800</v>
      </c>
      <c r="D749" s="178" t="s">
        <v>292</v>
      </c>
      <c r="E749" s="149">
        <v>1</v>
      </c>
      <c r="F749" s="149">
        <f>F750+F751</f>
        <v>120634</v>
      </c>
      <c r="G749" s="145">
        <f t="shared" si="291"/>
        <v>1.123</v>
      </c>
      <c r="H749" s="146">
        <f>H750+H751</f>
        <v>135472</v>
      </c>
      <c r="I749" s="145">
        <f>'[2]Расчет прогнозных дефляторов'!$D$229</f>
        <v>1.048</v>
      </c>
      <c r="J749" s="146">
        <f>J750+J751</f>
        <v>141975</v>
      </c>
      <c r="K749" s="146">
        <f>K750+K751</f>
        <v>140024</v>
      </c>
      <c r="L749" s="147"/>
      <c r="M749" s="147"/>
      <c r="N749" s="147"/>
    </row>
    <row r="750" spans="1:14" s="155" customFormat="1" ht="15.75" hidden="1" outlineLevel="3" x14ac:dyDescent="0.2">
      <c r="A750" s="95" t="s">
        <v>691</v>
      </c>
      <c r="B750" s="42" t="s">
        <v>1770</v>
      </c>
      <c r="C750" s="42" t="s">
        <v>530</v>
      </c>
      <c r="D750" s="178" t="s">
        <v>292</v>
      </c>
      <c r="E750" s="149">
        <v>1</v>
      </c>
      <c r="F750" s="151">
        <f>5705*0.8*12.36</f>
        <v>56411</v>
      </c>
      <c r="G750" s="152">
        <f t="shared" si="291"/>
        <v>1.123</v>
      </c>
      <c r="H750" s="153">
        <f t="shared" si="288"/>
        <v>63350</v>
      </c>
      <c r="I750" s="152">
        <f>'[2]Расчет прогнозных дефляторов'!$D$229</f>
        <v>1.048</v>
      </c>
      <c r="J750" s="153">
        <f t="shared" ref="J750:J759" si="294">H750*I750</f>
        <v>66391</v>
      </c>
      <c r="K750" s="153">
        <f t="shared" ref="K750:K759" si="295">H750+(J750-H750)*(1-30/100)</f>
        <v>65479</v>
      </c>
      <c r="L750" s="96"/>
      <c r="M750" s="96"/>
      <c r="N750" s="96"/>
    </row>
    <row r="751" spans="1:14" s="155" customFormat="1" ht="15.75" hidden="1" outlineLevel="3" x14ac:dyDescent="0.2">
      <c r="A751" s="95" t="s">
        <v>692</v>
      </c>
      <c r="B751" s="42" t="s">
        <v>1771</v>
      </c>
      <c r="C751" s="42" t="s">
        <v>531</v>
      </c>
      <c r="D751" s="178" t="s">
        <v>292</v>
      </c>
      <c r="E751" s="149">
        <v>1</v>
      </c>
      <c r="F751" s="151">
        <f>6499*0.8*12.36-39</f>
        <v>64223</v>
      </c>
      <c r="G751" s="152">
        <f t="shared" si="291"/>
        <v>1.123</v>
      </c>
      <c r="H751" s="153">
        <f t="shared" si="288"/>
        <v>72122</v>
      </c>
      <c r="I751" s="152">
        <f>'[2]Расчет прогнозных дефляторов'!$D$229</f>
        <v>1.048</v>
      </c>
      <c r="J751" s="153">
        <f t="shared" si="294"/>
        <v>75584</v>
      </c>
      <c r="K751" s="153">
        <f t="shared" si="295"/>
        <v>74545</v>
      </c>
      <c r="L751" s="96"/>
      <c r="M751" s="96"/>
      <c r="N751" s="96"/>
    </row>
    <row r="752" spans="1:14" s="148" customFormat="1" ht="25.5" outlineLevel="2" x14ac:dyDescent="0.2">
      <c r="A752" s="95" t="s">
        <v>693</v>
      </c>
      <c r="B752" s="42" t="s">
        <v>258</v>
      </c>
      <c r="C752" s="42" t="s">
        <v>1798</v>
      </c>
      <c r="D752" s="178" t="s">
        <v>292</v>
      </c>
      <c r="E752" s="149">
        <v>1</v>
      </c>
      <c r="F752" s="149">
        <f>'Затраты подрядчика'!O105</f>
        <v>489580</v>
      </c>
      <c r="G752" s="145">
        <f t="shared" si="291"/>
        <v>1.123</v>
      </c>
      <c r="H752" s="146">
        <f t="shared" si="288"/>
        <v>549798</v>
      </c>
      <c r="I752" s="145">
        <f>'[2]Расчет прогнозных дефляторов'!$D$229</f>
        <v>1.048</v>
      </c>
      <c r="J752" s="146">
        <f t="shared" si="294"/>
        <v>576188</v>
      </c>
      <c r="K752" s="146">
        <f t="shared" si="295"/>
        <v>568271</v>
      </c>
      <c r="L752" s="147"/>
      <c r="M752" s="147"/>
      <c r="N752" s="147"/>
    </row>
    <row r="753" spans="1:14" s="148" customFormat="1" ht="25.5" outlineLevel="2" x14ac:dyDescent="0.2">
      <c r="A753" s="95" t="s">
        <v>694</v>
      </c>
      <c r="B753" s="42" t="s">
        <v>260</v>
      </c>
      <c r="C753" s="42" t="s">
        <v>1799</v>
      </c>
      <c r="D753" s="178" t="s">
        <v>292</v>
      </c>
      <c r="E753" s="149">
        <v>1</v>
      </c>
      <c r="F753" s="149">
        <f>'Затраты подрядчика'!O106</f>
        <v>34484</v>
      </c>
      <c r="G753" s="145">
        <f t="shared" si="291"/>
        <v>1.123</v>
      </c>
      <c r="H753" s="146">
        <f t="shared" si="288"/>
        <v>38726</v>
      </c>
      <c r="I753" s="145">
        <f>'[2]Расчет прогнозных дефляторов'!$D$229</f>
        <v>1.048</v>
      </c>
      <c r="J753" s="146">
        <f t="shared" si="294"/>
        <v>40585</v>
      </c>
      <c r="K753" s="146">
        <f t="shared" si="295"/>
        <v>40027</v>
      </c>
      <c r="L753" s="147"/>
      <c r="M753" s="147"/>
      <c r="N753" s="147"/>
    </row>
    <row r="754" spans="1:14" s="148" customFormat="1" ht="15.75" outlineLevel="2" x14ac:dyDescent="0.2">
      <c r="A754" s="95"/>
      <c r="B754" s="42" t="s">
        <v>262</v>
      </c>
      <c r="C754" s="42" t="s">
        <v>177</v>
      </c>
      <c r="D754" s="178" t="s">
        <v>292</v>
      </c>
      <c r="E754" s="149">
        <v>1</v>
      </c>
      <c r="F754" s="149">
        <f>'Затраты подрядчика'!O107</f>
        <v>47215</v>
      </c>
      <c r="G754" s="145">
        <f t="shared" si="291"/>
        <v>1.123</v>
      </c>
      <c r="H754" s="146">
        <f t="shared" si="288"/>
        <v>53022</v>
      </c>
      <c r="I754" s="145">
        <f>'[2]Расчет прогнозных дефляторов'!$D$229</f>
        <v>1.048</v>
      </c>
      <c r="J754" s="146">
        <f t="shared" si="294"/>
        <v>55567</v>
      </c>
      <c r="K754" s="146">
        <f t="shared" si="295"/>
        <v>54804</v>
      </c>
      <c r="L754" s="147"/>
      <c r="M754" s="147"/>
      <c r="N754" s="147"/>
    </row>
    <row r="755" spans="1:14" s="243" customFormat="1" ht="15.75" outlineLevel="1" x14ac:dyDescent="0.2">
      <c r="A755" s="244" t="s">
        <v>533</v>
      </c>
      <c r="B755" s="245" t="s">
        <v>71</v>
      </c>
      <c r="C755" s="245" t="s">
        <v>72</v>
      </c>
      <c r="D755" s="246" t="s">
        <v>292</v>
      </c>
      <c r="E755" s="247">
        <v>1</v>
      </c>
      <c r="F755" s="247">
        <f>SUM(F756:F758)</f>
        <v>19968</v>
      </c>
      <c r="G755" s="248"/>
      <c r="H755" s="247">
        <f>SUM(H756:H758)</f>
        <v>20521</v>
      </c>
      <c r="I755" s="248"/>
      <c r="J755" s="247">
        <f>SUM(J756:J758)</f>
        <v>20640</v>
      </c>
      <c r="K755" s="247">
        <f>SUM(K756:K758)</f>
        <v>20604</v>
      </c>
      <c r="L755" s="269"/>
      <c r="M755" s="269"/>
      <c r="N755" s="269"/>
    </row>
    <row r="756" spans="1:14" s="267" customFormat="1" ht="25.5" outlineLevel="2" x14ac:dyDescent="0.2">
      <c r="A756" s="177" t="s">
        <v>695</v>
      </c>
      <c r="B756" s="42" t="s">
        <v>1789</v>
      </c>
      <c r="C756" s="42" t="s">
        <v>1788</v>
      </c>
      <c r="D756" s="100" t="s">
        <v>292</v>
      </c>
      <c r="E756" s="149">
        <v>1</v>
      </c>
      <c r="F756" s="149">
        <f>103591*10.79*'Затраты подрядчика'!T99</f>
        <v>1700</v>
      </c>
      <c r="G756" s="145">
        <f>$G$766</f>
        <v>1.123</v>
      </c>
      <c r="H756" s="146">
        <f t="shared" ref="H756:H757" si="296">F756*G756</f>
        <v>1909</v>
      </c>
      <c r="I756" s="145">
        <f>'[2]Расчет прогнозных дефляторов'!$D$192</f>
        <v>1.038</v>
      </c>
      <c r="J756" s="146">
        <f>H756*I758</f>
        <v>1909</v>
      </c>
      <c r="K756" s="146">
        <f t="shared" ref="K756:K757" si="297">H756+(J756-H756)*(1-30/100)</f>
        <v>1909</v>
      </c>
      <c r="L756" s="292"/>
      <c r="M756" s="292"/>
      <c r="N756" s="292"/>
    </row>
    <row r="757" spans="1:14" s="267" customFormat="1" ht="38.25" outlineLevel="2" x14ac:dyDescent="0.2">
      <c r="A757" s="177" t="s">
        <v>696</v>
      </c>
      <c r="B757" s="42" t="s">
        <v>274</v>
      </c>
      <c r="C757" s="42" t="s">
        <v>1791</v>
      </c>
      <c r="D757" s="100" t="s">
        <v>292</v>
      </c>
      <c r="E757" s="149">
        <v>1</v>
      </c>
      <c r="F757" s="149">
        <f>170499*10.79*'Затраты подрядчика'!T99</f>
        <v>2798</v>
      </c>
      <c r="G757" s="145">
        <f>$G$766</f>
        <v>1.123</v>
      </c>
      <c r="H757" s="146">
        <f t="shared" si="296"/>
        <v>3142</v>
      </c>
      <c r="I757" s="145">
        <f>'[2]Расчет прогнозных дефляторов'!$D$192</f>
        <v>1.038</v>
      </c>
      <c r="J757" s="146">
        <f>H757*I757</f>
        <v>3261</v>
      </c>
      <c r="K757" s="146">
        <f t="shared" si="297"/>
        <v>3225</v>
      </c>
      <c r="L757" s="292"/>
      <c r="M757" s="292"/>
      <c r="N757" s="292"/>
    </row>
    <row r="758" spans="1:14" s="267" customFormat="1" ht="15.75" outlineLevel="2" x14ac:dyDescent="0.2">
      <c r="A758" s="177" t="s">
        <v>2217</v>
      </c>
      <c r="B758" s="42" t="s">
        <v>1790</v>
      </c>
      <c r="C758" s="42" t="s">
        <v>685</v>
      </c>
      <c r="D758" s="100" t="s">
        <v>292</v>
      </c>
      <c r="E758" s="149">
        <v>1</v>
      </c>
      <c r="F758" s="149">
        <f>((100816+841948)*10.79+64)*'Затраты подрядчика'!T99</f>
        <v>15470</v>
      </c>
      <c r="G758" s="145">
        <v>1</v>
      </c>
      <c r="H758" s="146">
        <f>F758*G758</f>
        <v>15470</v>
      </c>
      <c r="I758" s="145">
        <v>1</v>
      </c>
      <c r="J758" s="146">
        <f>H758*I758</f>
        <v>15470</v>
      </c>
      <c r="K758" s="146">
        <f>H758+(J758-H758)*(1-30/100)</f>
        <v>15470</v>
      </c>
      <c r="L758" s="292"/>
      <c r="M758" s="292"/>
      <c r="N758" s="292"/>
    </row>
    <row r="759" spans="1:14" s="243" customFormat="1" ht="15.75" hidden="1" outlineLevel="1" x14ac:dyDescent="0.2">
      <c r="A759" s="244" t="s">
        <v>697</v>
      </c>
      <c r="B759" s="245"/>
      <c r="C759" s="245" t="s">
        <v>556</v>
      </c>
      <c r="D759" s="304" t="s">
        <v>292</v>
      </c>
      <c r="E759" s="247">
        <v>1</v>
      </c>
      <c r="F759" s="247">
        <f>(F743+F748+F755)*2%</f>
        <v>19182</v>
      </c>
      <c r="G759" s="248">
        <f>$G$766</f>
        <v>1.123</v>
      </c>
      <c r="H759" s="255">
        <f t="shared" si="288"/>
        <v>21541</v>
      </c>
      <c r="I759" s="248">
        <f>'[2]Расчет прогнозных дефляторов'!$D$238</f>
        <v>1.0469999999999999</v>
      </c>
      <c r="J759" s="255">
        <f t="shared" si="294"/>
        <v>22553</v>
      </c>
      <c r="K759" s="255">
        <f t="shared" si="295"/>
        <v>22249</v>
      </c>
      <c r="L759" s="269"/>
      <c r="M759" s="269"/>
      <c r="N759" s="269"/>
    </row>
    <row r="760" spans="1:14" ht="15.75" hidden="1" x14ac:dyDescent="0.25">
      <c r="A760" s="187"/>
      <c r="B760" s="188"/>
      <c r="C760" s="189" t="s">
        <v>698</v>
      </c>
      <c r="D760" s="188"/>
      <c r="E760" s="190"/>
      <c r="F760" s="191">
        <f>F12+F15+F742</f>
        <v>1552737463</v>
      </c>
      <c r="G760" s="192"/>
      <c r="H760" s="191">
        <f>H12+H15+H742</f>
        <v>1742472939</v>
      </c>
      <c r="I760" s="192"/>
      <c r="J760" s="191">
        <f>J12+J15+J742</f>
        <v>1815882735</v>
      </c>
      <c r="K760" s="191">
        <f>K12+K15+K742</f>
        <v>1793859825</v>
      </c>
    </row>
    <row r="761" spans="1:14" ht="15.75" hidden="1" x14ac:dyDescent="0.25">
      <c r="A761" s="193"/>
      <c r="B761" s="188"/>
      <c r="C761" s="189" t="s">
        <v>699</v>
      </c>
      <c r="D761" s="188"/>
      <c r="E761" s="190"/>
      <c r="F761" s="194">
        <f>F760*0.2</f>
        <v>310547492.60000002</v>
      </c>
      <c r="G761" s="192"/>
      <c r="H761" s="194">
        <f>H760*0.2</f>
        <v>348494587.80000001</v>
      </c>
      <c r="I761" s="192"/>
      <c r="J761" s="194">
        <f>J760*0.2</f>
        <v>363176547</v>
      </c>
      <c r="K761" s="194">
        <f>K760*0.2</f>
        <v>358771965</v>
      </c>
    </row>
    <row r="762" spans="1:14" ht="15.75" hidden="1" x14ac:dyDescent="0.25">
      <c r="A762" s="193"/>
      <c r="B762" s="188"/>
      <c r="C762" s="189" t="s">
        <v>700</v>
      </c>
      <c r="D762" s="188"/>
      <c r="E762" s="190"/>
      <c r="F762" s="194">
        <f>F760+F761</f>
        <v>1863284955.5999999</v>
      </c>
      <c r="G762" s="192"/>
      <c r="H762" s="194">
        <f>H760+H761</f>
        <v>2090967526.8</v>
      </c>
      <c r="I762" s="192"/>
      <c r="J762" s="194">
        <f>J760+J761</f>
        <v>2179059282</v>
      </c>
      <c r="K762" s="194">
        <f>K760+K761</f>
        <v>2152631790</v>
      </c>
    </row>
    <row r="763" spans="1:14" ht="15" hidden="1" x14ac:dyDescent="0.25">
      <c r="A763" s="101"/>
      <c r="B763" s="102"/>
      <c r="C763" s="103"/>
      <c r="D763" s="98"/>
      <c r="E763" s="104"/>
      <c r="F763" s="104"/>
    </row>
    <row r="764" spans="1:14" ht="15" hidden="1" x14ac:dyDescent="0.25">
      <c r="A764" s="101"/>
      <c r="B764" s="102"/>
      <c r="C764" s="103"/>
      <c r="D764" s="98"/>
      <c r="E764" s="104"/>
      <c r="F764" s="104"/>
    </row>
    <row r="765" spans="1:14" ht="15" hidden="1" x14ac:dyDescent="0.25">
      <c r="A765" s="101"/>
      <c r="B765" s="102"/>
      <c r="C765" s="103"/>
      <c r="D765" s="98"/>
      <c r="E765" s="104"/>
      <c r="F765" s="104"/>
      <c r="H765" s="195"/>
      <c r="J765" s="195"/>
      <c r="K765" s="196"/>
    </row>
    <row r="766" spans="1:14" ht="76.150000000000006" hidden="1" customHeight="1" x14ac:dyDescent="0.25">
      <c r="A766" s="613" t="s">
        <v>2219</v>
      </c>
      <c r="B766" s="613"/>
      <c r="C766" s="613"/>
      <c r="D766" s="197"/>
      <c r="F766" s="198"/>
      <c r="G766" s="199">
        <f>1.0312*1.0258*1.0358*1.0253*1</f>
        <v>1.123</v>
      </c>
      <c r="H766" s="117"/>
      <c r="I766" s="199"/>
      <c r="J766" s="117"/>
      <c r="K766" s="117"/>
    </row>
    <row r="767" spans="1:14" ht="15.75" hidden="1" x14ac:dyDescent="0.25">
      <c r="A767" s="198"/>
      <c r="B767" s="198"/>
      <c r="C767" s="198"/>
      <c r="D767" s="198"/>
      <c r="E767" s="198"/>
      <c r="F767" s="198"/>
      <c r="G767" s="117"/>
      <c r="H767" s="117"/>
      <c r="I767" s="117"/>
      <c r="J767" s="117"/>
      <c r="K767" s="117"/>
    </row>
    <row r="768" spans="1:14" ht="15.75" hidden="1" x14ac:dyDescent="0.25">
      <c r="A768" s="118" t="s">
        <v>703</v>
      </c>
      <c r="B768" s="118"/>
      <c r="C768" s="118"/>
      <c r="D768" s="118"/>
      <c r="E768" s="118"/>
      <c r="F768" s="118"/>
      <c r="G768" s="117"/>
      <c r="H768" s="117"/>
      <c r="I768" s="117"/>
      <c r="J768" s="117"/>
      <c r="K768" s="117"/>
    </row>
    <row r="769" spans="1:17" ht="15.75" hidden="1" x14ac:dyDescent="0.25">
      <c r="A769" s="614" t="s">
        <v>2218</v>
      </c>
      <c r="B769" s="614"/>
      <c r="C769" s="614"/>
      <c r="D769" s="614"/>
      <c r="E769" s="614"/>
      <c r="F769" s="614"/>
      <c r="G769" s="117"/>
      <c r="H769" s="117"/>
      <c r="I769" s="117"/>
      <c r="J769" s="117"/>
      <c r="K769" s="117"/>
    </row>
    <row r="770" spans="1:17" ht="30.6" hidden="1" customHeight="1" x14ac:dyDescent="0.25">
      <c r="A770" s="614" t="s">
        <v>705</v>
      </c>
      <c r="B770" s="614"/>
      <c r="C770" s="614"/>
      <c r="D770" s="614"/>
      <c r="E770" s="614"/>
      <c r="F770" s="614"/>
      <c r="G770" s="117"/>
      <c r="H770" s="117"/>
      <c r="I770" s="117"/>
      <c r="J770" s="117"/>
      <c r="K770" s="117"/>
    </row>
    <row r="771" spans="1:17" ht="15" x14ac:dyDescent="0.25">
      <c r="A771" s="101"/>
      <c r="B771" s="102"/>
      <c r="C771" s="103"/>
      <c r="D771" s="98"/>
      <c r="E771" s="104"/>
      <c r="F771" s="104"/>
    </row>
    <row r="772" spans="1:17" s="105" customFormat="1" ht="15" x14ac:dyDescent="0.25">
      <c r="A772" s="101"/>
      <c r="B772" t="s">
        <v>534</v>
      </c>
      <c r="C772" s="103"/>
      <c r="D772" s="98"/>
      <c r="E772" s="104"/>
      <c r="F772" s="104"/>
      <c r="H772"/>
      <c r="J772"/>
      <c r="K772"/>
      <c r="L772"/>
      <c r="M772"/>
      <c r="N772"/>
      <c r="O772"/>
      <c r="P772"/>
      <c r="Q772"/>
    </row>
    <row r="773" spans="1:17" s="105" customFormat="1" ht="15" x14ac:dyDescent="0.25">
      <c r="A773" s="101"/>
      <c r="B773"/>
      <c r="C773" s="103"/>
      <c r="D773" s="98"/>
      <c r="E773" s="104"/>
      <c r="F773" s="104"/>
      <c r="H773"/>
      <c r="J773"/>
      <c r="K773"/>
      <c r="L773"/>
      <c r="M773"/>
      <c r="N773"/>
      <c r="O773"/>
      <c r="P773"/>
      <c r="Q773"/>
    </row>
    <row r="774" spans="1:17" s="105" customFormat="1" ht="15" x14ac:dyDescent="0.25">
      <c r="A774" s="101"/>
      <c r="B774" t="s">
        <v>535</v>
      </c>
      <c r="C774" s="103"/>
      <c r="D774" s="98"/>
      <c r="E774" s="104"/>
      <c r="F774" s="104"/>
      <c r="H774"/>
      <c r="J774"/>
      <c r="K774"/>
      <c r="L774"/>
      <c r="M774"/>
      <c r="N774"/>
      <c r="O774"/>
      <c r="P774"/>
      <c r="Q774"/>
    </row>
  </sheetData>
  <mergeCells count="8">
    <mergeCell ref="L27:L28"/>
    <mergeCell ref="A766:C766"/>
    <mergeCell ref="A769:F769"/>
    <mergeCell ref="A770:F770"/>
    <mergeCell ref="A1:H1"/>
    <mergeCell ref="B3:H3"/>
    <mergeCell ref="A7:H7"/>
    <mergeCell ref="A8:H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80"/>
  <sheetViews>
    <sheetView view="pageBreakPreview" topLeftCell="A373" zoomScaleNormal="100" zoomScaleSheetLayoutView="100" workbookViewId="0">
      <pane xSplit="2" topLeftCell="C1" activePane="topRight" state="frozen"/>
      <selection activeCell="A12" sqref="A12"/>
      <selection pane="topRight" activeCell="D427" sqref="D427"/>
    </sheetView>
  </sheetViews>
  <sheetFormatPr defaultRowHeight="12.75" outlineLevelRow="2" x14ac:dyDescent="0.2"/>
  <cols>
    <col min="2" max="2" width="11.28515625" style="37" bestFit="1" customWidth="1"/>
    <col min="3" max="3" width="21.85546875" customWidth="1"/>
    <col min="4" max="4" width="54.42578125" customWidth="1"/>
    <col min="5" max="5" width="19" customWidth="1"/>
    <col min="6" max="6" width="14.85546875" style="105" customWidth="1"/>
    <col min="7" max="7" width="18" style="105" customWidth="1"/>
    <col min="8" max="8" width="14.85546875" style="105" customWidth="1"/>
    <col min="9" max="9" width="19.7109375" customWidth="1"/>
    <col min="10" max="10" width="14.85546875" style="105" customWidth="1"/>
    <col min="11" max="12" width="19.7109375" customWidth="1"/>
    <col min="13" max="13" width="38.7109375" customWidth="1"/>
    <col min="14" max="14" width="15" customWidth="1"/>
    <col min="15" max="15" width="9.140625" customWidth="1"/>
    <col min="16" max="16" width="14" customWidth="1"/>
    <col min="17" max="17" width="14.85546875" customWidth="1"/>
    <col min="18" max="18" width="12.85546875" customWidth="1"/>
  </cols>
  <sheetData>
    <row r="1" spans="1:18" ht="29.25" customHeight="1" x14ac:dyDescent="0.2">
      <c r="B1" s="622" t="s">
        <v>537</v>
      </c>
      <c r="C1" s="622"/>
      <c r="D1" s="622"/>
      <c r="E1" s="622"/>
      <c r="F1" s="622"/>
      <c r="G1" s="622"/>
      <c r="H1" s="622"/>
      <c r="I1" s="622"/>
      <c r="J1"/>
    </row>
    <row r="2" spans="1:18" ht="29.25" customHeight="1" x14ac:dyDescent="0.2">
      <c r="B2" s="110"/>
      <c r="C2" s="110"/>
      <c r="D2" s="110"/>
      <c r="E2" s="113"/>
      <c r="F2" s="110"/>
      <c r="G2" s="113"/>
      <c r="H2" s="110"/>
      <c r="I2" s="110"/>
      <c r="J2" s="110"/>
      <c r="K2" s="110"/>
      <c r="L2" s="110"/>
    </row>
    <row r="3" spans="1:18" ht="29.25" customHeight="1" x14ac:dyDescent="0.2">
      <c r="B3" s="114" t="s">
        <v>538</v>
      </c>
      <c r="C3" s="623" t="s">
        <v>539</v>
      </c>
      <c r="D3" s="632"/>
      <c r="E3" s="632"/>
      <c r="F3" s="632"/>
      <c r="G3" s="632"/>
      <c r="H3" s="632"/>
      <c r="I3" s="632"/>
      <c r="J3"/>
    </row>
    <row r="4" spans="1:18" ht="29.25" customHeight="1" x14ac:dyDescent="0.25">
      <c r="B4" s="115" t="s">
        <v>540</v>
      </c>
      <c r="C4" s="115" t="s">
        <v>541</v>
      </c>
      <c r="D4" s="115"/>
      <c r="E4" s="116"/>
      <c r="F4" s="115"/>
      <c r="G4" s="116"/>
      <c r="H4" s="115"/>
      <c r="I4" s="117"/>
      <c r="J4" s="115"/>
      <c r="K4" s="117"/>
      <c r="L4" s="117"/>
    </row>
    <row r="5" spans="1:18" ht="29.25" customHeight="1" x14ac:dyDescent="0.25">
      <c r="B5" s="118" t="s">
        <v>542</v>
      </c>
      <c r="C5" s="83"/>
      <c r="D5" s="83"/>
      <c r="E5" s="84"/>
      <c r="F5" s="83"/>
      <c r="G5" s="84"/>
      <c r="H5" s="83"/>
      <c r="I5" s="117"/>
      <c r="J5" s="83"/>
      <c r="K5" s="117"/>
      <c r="L5" s="117"/>
    </row>
    <row r="6" spans="1:18" ht="29.25" customHeight="1" x14ac:dyDescent="0.2">
      <c r="B6" s="119" t="s">
        <v>543</v>
      </c>
      <c r="C6" s="119"/>
      <c r="D6" s="120"/>
      <c r="E6" s="120"/>
      <c r="F6" s="120"/>
      <c r="G6" s="120"/>
      <c r="H6" s="121"/>
      <c r="I6" s="121"/>
      <c r="J6" s="121"/>
      <c r="K6" s="121"/>
      <c r="L6" s="121"/>
    </row>
    <row r="7" spans="1:18" ht="29.25" customHeight="1" x14ac:dyDescent="0.2">
      <c r="B7" s="624" t="s">
        <v>544</v>
      </c>
      <c r="C7" s="624"/>
      <c r="D7" s="624"/>
      <c r="E7" s="624"/>
      <c r="F7" s="624"/>
      <c r="G7" s="624"/>
      <c r="H7" s="624"/>
      <c r="I7" s="624"/>
      <c r="J7"/>
    </row>
    <row r="8" spans="1:18" ht="29.25" customHeight="1" x14ac:dyDescent="0.2">
      <c r="B8" s="624" t="s">
        <v>545</v>
      </c>
      <c r="C8" s="624"/>
      <c r="D8" s="624"/>
      <c r="E8" s="624"/>
      <c r="F8" s="624"/>
      <c r="G8" s="624"/>
      <c r="H8" s="624"/>
      <c r="I8" s="624"/>
      <c r="J8"/>
    </row>
    <row r="9" spans="1:18" ht="29.25" customHeight="1" x14ac:dyDescent="0.25">
      <c r="B9" s="83"/>
      <c r="C9" s="83"/>
      <c r="D9" s="83"/>
      <c r="E9" s="84"/>
      <c r="F9" s="83"/>
      <c r="H9" s="83"/>
      <c r="J9" s="83"/>
      <c r="L9" t="s">
        <v>546</v>
      </c>
    </row>
    <row r="10" spans="1:18" ht="184.9" customHeight="1" x14ac:dyDescent="0.2">
      <c r="B10" s="85" t="s">
        <v>1</v>
      </c>
      <c r="C10" s="85" t="s">
        <v>285</v>
      </c>
      <c r="D10" s="86" t="s">
        <v>286</v>
      </c>
      <c r="E10" s="86" t="s">
        <v>287</v>
      </c>
      <c r="F10" s="86" t="s">
        <v>288</v>
      </c>
      <c r="G10" s="86" t="s">
        <v>547</v>
      </c>
      <c r="H10" s="86" t="s">
        <v>548</v>
      </c>
      <c r="I10" s="86" t="s">
        <v>549</v>
      </c>
      <c r="J10" s="86" t="s">
        <v>550</v>
      </c>
      <c r="K10" s="86" t="s">
        <v>551</v>
      </c>
      <c r="L10" s="86" t="s">
        <v>552</v>
      </c>
      <c r="M10" s="86" t="s">
        <v>289</v>
      </c>
      <c r="N10" s="86" t="s">
        <v>290</v>
      </c>
      <c r="O10" s="86" t="s">
        <v>291</v>
      </c>
      <c r="P10" s="123" t="s">
        <v>553</v>
      </c>
      <c r="Q10" s="123" t="s">
        <v>554</v>
      </c>
      <c r="R10" s="123" t="s">
        <v>555</v>
      </c>
    </row>
    <row r="11" spans="1:18" ht="15.75" x14ac:dyDescent="0.2">
      <c r="B11" s="85">
        <v>1</v>
      </c>
      <c r="C11" s="85">
        <v>2</v>
      </c>
      <c r="D11" s="85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7">
        <v>10</v>
      </c>
      <c r="L11" s="87">
        <v>11</v>
      </c>
      <c r="M11" s="86"/>
      <c r="N11" s="86"/>
      <c r="O11" s="86"/>
      <c r="P11" s="124"/>
      <c r="Q11" s="124"/>
      <c r="R11" s="124"/>
    </row>
    <row r="12" spans="1:18" s="131" customFormat="1" ht="22.15" customHeight="1" x14ac:dyDescent="0.2">
      <c r="B12" s="88">
        <v>1</v>
      </c>
      <c r="C12" s="88"/>
      <c r="D12" s="89" t="s">
        <v>81</v>
      </c>
      <c r="E12" s="125" t="s">
        <v>292</v>
      </c>
      <c r="F12" s="126">
        <v>1</v>
      </c>
      <c r="G12" s="126">
        <f>G13+G14</f>
        <v>22702097</v>
      </c>
      <c r="H12" s="127">
        <f>$H$772</f>
        <v>1.123</v>
      </c>
      <c r="I12" s="128">
        <f>I13+I14</f>
        <v>25494455</v>
      </c>
      <c r="J12" s="127">
        <f>'[2]Расчет прогнозных дефляторов'!$D$20</f>
        <v>1.0229999999999999</v>
      </c>
      <c r="K12" s="128">
        <f>K13+K14</f>
        <v>26080827</v>
      </c>
      <c r="L12" s="128">
        <f>L13+L14</f>
        <v>25904916</v>
      </c>
      <c r="M12" s="129"/>
      <c r="N12" s="129"/>
      <c r="O12" s="129"/>
      <c r="P12" s="130">
        <v>44166</v>
      </c>
      <c r="Q12" s="130">
        <v>44256</v>
      </c>
      <c r="R12" s="131">
        <f>Q12-P12</f>
        <v>90</v>
      </c>
    </row>
    <row r="13" spans="1:18" s="138" customFormat="1" ht="34.5" hidden="1" customHeight="1" outlineLevel="1" x14ac:dyDescent="0.2">
      <c r="A13" s="200"/>
      <c r="B13" s="132" t="s">
        <v>293</v>
      </c>
      <c r="C13" s="132" t="s">
        <v>706</v>
      </c>
      <c r="D13" s="133" t="s">
        <v>294</v>
      </c>
      <c r="E13" s="134" t="s">
        <v>292</v>
      </c>
      <c r="F13" s="90">
        <v>1</v>
      </c>
      <c r="G13" s="90">
        <f>'Затраты подрядчика'!O118</f>
        <v>22256958</v>
      </c>
      <c r="H13" s="135">
        <f>$H$772</f>
        <v>1.123</v>
      </c>
      <c r="I13" s="136">
        <f>G13*H13</f>
        <v>24994564</v>
      </c>
      <c r="J13" s="135">
        <f>'[2]Расчет прогнозных дефляторов'!$D$20</f>
        <v>1.0229999999999999</v>
      </c>
      <c r="K13" s="136">
        <f>I13*J13</f>
        <v>25569439</v>
      </c>
      <c r="L13" s="136">
        <f>I13+(K13-I13)*(1-30/100)</f>
        <v>25396977</v>
      </c>
      <c r="M13" s="137"/>
      <c r="N13" s="137"/>
      <c r="O13" s="137"/>
    </row>
    <row r="14" spans="1:18" s="138" customFormat="1" ht="15.75" hidden="1" outlineLevel="1" x14ac:dyDescent="0.2">
      <c r="B14" s="132" t="s">
        <v>295</v>
      </c>
      <c r="C14" s="139"/>
      <c r="D14" s="133" t="s">
        <v>556</v>
      </c>
      <c r="E14" s="134" t="s">
        <v>292</v>
      </c>
      <c r="F14" s="90">
        <v>1</v>
      </c>
      <c r="G14" s="90">
        <f>G13*2%</f>
        <v>445139</v>
      </c>
      <c r="H14" s="135">
        <f>$H$772</f>
        <v>1.123</v>
      </c>
      <c r="I14" s="136">
        <f>G14*H14</f>
        <v>499891</v>
      </c>
      <c r="J14" s="135">
        <f>'[2]Расчет прогнозных дефляторов'!$D$20</f>
        <v>1.0229999999999999</v>
      </c>
      <c r="K14" s="136">
        <f>I14*J14</f>
        <v>511388</v>
      </c>
      <c r="L14" s="136">
        <f>I14+(K14-I14)*(1-30/100)</f>
        <v>507939</v>
      </c>
      <c r="M14" s="137"/>
      <c r="N14" s="137"/>
      <c r="O14" s="137"/>
    </row>
    <row r="15" spans="1:18" s="131" customFormat="1" ht="32.450000000000003" customHeight="1" collapsed="1" x14ac:dyDescent="0.2">
      <c r="B15" s="92" t="s">
        <v>296</v>
      </c>
      <c r="C15" s="92"/>
      <c r="D15" s="89" t="s">
        <v>297</v>
      </c>
      <c r="E15" s="125" t="s">
        <v>292</v>
      </c>
      <c r="F15" s="126">
        <v>1</v>
      </c>
      <c r="G15" s="126">
        <f>G16+G19+G59+G68+G95+G116+G132+G137+G451+G466+G506+G521+G535+G536+G632+G675+G696+G698+G699+G700+G701+G702+G723+G724+G736+G739+G740+G741+G745+G746+G747</f>
        <v>2478789115</v>
      </c>
      <c r="H15" s="127"/>
      <c r="I15" s="126">
        <f>I16+I19+I59+I68+I95+I116+I132+I137+I451+I466+I506+I521+I535+I536+I632+I675+I696+I698+I699+I700+I701+I702+I723+I724+I736+I739+I740+I741+I745+I746+I747</f>
        <v>2782430833</v>
      </c>
      <c r="J15" s="127"/>
      <c r="K15" s="126">
        <f>K16+K19+K59+K68+K95+K116+K132+K137+K451+K466+K506+K521+K535+K536+K632+K675+K696+K698+K699+K700+K701+K702+K723+K724+K736+K739+K740+K741+K745+K746+K747</f>
        <v>2901122115</v>
      </c>
      <c r="L15" s="126">
        <f>L16+L19+L59+L68+L95+L116+L132+L137+L451+L466+L506+L521+L535+L536+L632+L675+L696+L698+L699+L700+L701+L702+L723+L724+L736+L739+L740+L741+L745+L746+L747</f>
        <v>2865514794</v>
      </c>
      <c r="M15" s="129"/>
      <c r="N15" s="129"/>
      <c r="O15" s="129"/>
    </row>
    <row r="16" spans="1:18" s="243" customFormat="1" ht="15.75" customHeight="1" x14ac:dyDescent="0.2">
      <c r="B16" s="296" t="s">
        <v>298</v>
      </c>
      <c r="C16" s="296"/>
      <c r="D16" s="297" t="s">
        <v>557</v>
      </c>
      <c r="E16" s="246" t="s">
        <v>292</v>
      </c>
      <c r="F16" s="247">
        <v>1</v>
      </c>
      <c r="G16" s="247">
        <f>G17+G18</f>
        <v>69403</v>
      </c>
      <c r="H16" s="248">
        <f>$H$772</f>
        <v>1.123</v>
      </c>
      <c r="I16" s="255">
        <f>I17+I18</f>
        <v>77940</v>
      </c>
      <c r="J16" s="248">
        <f>'[2]Расчет прогнозных дефляторов'!$D$30</f>
        <v>1.0329999999999999</v>
      </c>
      <c r="K16" s="255">
        <f>K17+K18</f>
        <v>80512</v>
      </c>
      <c r="L16" s="255">
        <f>L17+L18</f>
        <v>79741</v>
      </c>
      <c r="M16" s="269"/>
      <c r="N16" s="269"/>
      <c r="O16" s="269"/>
      <c r="P16" s="298">
        <v>44287</v>
      </c>
      <c r="Q16" s="298">
        <v>44348</v>
      </c>
      <c r="R16" s="243">
        <f>Q16-P16</f>
        <v>61</v>
      </c>
    </row>
    <row r="17" spans="1:15" s="148" customFormat="1" ht="33.75" customHeight="1" outlineLevel="1" x14ac:dyDescent="0.2">
      <c r="A17" s="200"/>
      <c r="B17" s="95" t="s">
        <v>558</v>
      </c>
      <c r="C17" s="42" t="s">
        <v>19</v>
      </c>
      <c r="D17" s="202" t="str">
        <f>'Затраты подрядчика'!C29</f>
        <v>Затраты на проведение биологических мероприятий по рекультивации</v>
      </c>
      <c r="E17" s="143" t="s">
        <v>404</v>
      </c>
      <c r="F17" s="144">
        <v>246</v>
      </c>
      <c r="G17" s="144">
        <f>'Затраты подрядчика'!P29</f>
        <v>49492</v>
      </c>
      <c r="H17" s="145">
        <f>$H$772</f>
        <v>1.123</v>
      </c>
      <c r="I17" s="146">
        <f>G17*H17</f>
        <v>55580</v>
      </c>
      <c r="J17" s="145">
        <f>'[2]Расчет прогнозных дефляторов'!$D$30</f>
        <v>1.0329999999999999</v>
      </c>
      <c r="K17" s="146">
        <f t="shared" ref="K17:K18" si="0">I17*J17</f>
        <v>57414</v>
      </c>
      <c r="L17" s="146">
        <f>I17+(K17-I17)*(1-30/100)</f>
        <v>56864</v>
      </c>
      <c r="M17" s="147"/>
      <c r="N17" s="147"/>
      <c r="O17" s="147"/>
    </row>
    <row r="18" spans="1:15" s="148" customFormat="1" ht="15.75" outlineLevel="1" x14ac:dyDescent="0.2">
      <c r="A18" s="200"/>
      <c r="B18" s="95" t="s">
        <v>299</v>
      </c>
      <c r="C18" s="42" t="s">
        <v>21</v>
      </c>
      <c r="D18" s="42" t="s">
        <v>22</v>
      </c>
      <c r="E18" s="100" t="s">
        <v>404</v>
      </c>
      <c r="F18" s="149">
        <v>492</v>
      </c>
      <c r="G18" s="149">
        <f>'Затраты подрядчика'!P30</f>
        <v>19911</v>
      </c>
      <c r="H18" s="145">
        <f>$H$772</f>
        <v>1.123</v>
      </c>
      <c r="I18" s="146">
        <f>G18*H18</f>
        <v>22360</v>
      </c>
      <c r="J18" s="145">
        <f>'[2]Расчет прогнозных дефляторов'!$D$30</f>
        <v>1.0329999999999999</v>
      </c>
      <c r="K18" s="146">
        <f t="shared" si="0"/>
        <v>23098</v>
      </c>
      <c r="L18" s="146">
        <f>I18+(K18-I18)*(1-30/100)</f>
        <v>22877</v>
      </c>
      <c r="M18" s="147"/>
      <c r="N18" s="147"/>
      <c r="O18" s="147"/>
    </row>
    <row r="19" spans="1:15" s="243" customFormat="1" ht="15.75" x14ac:dyDescent="0.2">
      <c r="B19" s="296" t="s">
        <v>301</v>
      </c>
      <c r="C19" s="296"/>
      <c r="D19" s="299" t="s">
        <v>1801</v>
      </c>
      <c r="E19" s="246" t="s">
        <v>292</v>
      </c>
      <c r="F19" s="247">
        <v>1</v>
      </c>
      <c r="G19" s="247">
        <f>SUM(G20:G28)</f>
        <v>18511796</v>
      </c>
      <c r="H19" s="248">
        <f>$H$772</f>
        <v>1.123</v>
      </c>
      <c r="I19" s="255">
        <f>SUM(I20:I28)</f>
        <v>20788746</v>
      </c>
      <c r="J19" s="248">
        <f>'[2]Расчет прогнозных дефляторов'!$D$39</f>
        <v>1.038</v>
      </c>
      <c r="K19" s="255">
        <f>SUM(K20:K28)</f>
        <v>21578718</v>
      </c>
      <c r="L19" s="255">
        <f>SUM(L20:L28)</f>
        <v>21341727</v>
      </c>
      <c r="M19" s="247"/>
      <c r="N19" s="269"/>
      <c r="O19" s="269"/>
    </row>
    <row r="20" spans="1:15" s="148" customFormat="1" ht="15.75" outlineLevel="1" x14ac:dyDescent="0.2">
      <c r="B20" s="95"/>
      <c r="C20" s="42"/>
      <c r="D20" s="156" t="s">
        <v>367</v>
      </c>
      <c r="E20" s="100"/>
      <c r="F20" s="149"/>
      <c r="G20" s="149"/>
      <c r="H20" s="145"/>
      <c r="I20" s="146"/>
      <c r="J20" s="145">
        <f>'[2]Расчет прогнозных дефляторов'!$D$39</f>
        <v>1.038</v>
      </c>
      <c r="K20" s="146"/>
      <c r="L20" s="146"/>
      <c r="M20" s="147"/>
      <c r="N20" s="147"/>
      <c r="O20" s="147"/>
    </row>
    <row r="21" spans="1:15" s="148" customFormat="1" ht="15.75" outlineLevel="1" x14ac:dyDescent="0.2">
      <c r="B21" s="95"/>
      <c r="C21" s="42"/>
      <c r="D21" s="157" t="s">
        <v>559</v>
      </c>
      <c r="E21" s="100"/>
      <c r="F21" s="149"/>
      <c r="G21" s="149"/>
      <c r="H21" s="158"/>
      <c r="I21" s="159"/>
      <c r="J21" s="158">
        <f>'[2]Расчет прогнозных дефляторов'!$D$39</f>
        <v>1.038</v>
      </c>
      <c r="K21" s="159"/>
      <c r="L21" s="159"/>
      <c r="M21" s="147"/>
      <c r="N21" s="147"/>
      <c r="O21" s="147"/>
    </row>
    <row r="22" spans="1:15" s="148" customFormat="1" ht="25.5" outlineLevel="1" x14ac:dyDescent="0.2">
      <c r="A22" s="200"/>
      <c r="B22" s="95" t="s">
        <v>302</v>
      </c>
      <c r="C22" s="42" t="s">
        <v>355</v>
      </c>
      <c r="D22" s="42" t="s">
        <v>356</v>
      </c>
      <c r="E22" s="100" t="s">
        <v>300</v>
      </c>
      <c r="F22" s="149">
        <f>'Земляные работы'!H13</f>
        <v>5432</v>
      </c>
      <c r="G22" s="220">
        <f>'Земляные работы'!H13/'Земляные работы'!$H$19*4511030*(1.023*1.005-2.3%*15%)*6.99</f>
        <v>7758246</v>
      </c>
      <c r="H22" s="145">
        <f t="shared" ref="H22:H29" si="1">$H$772</f>
        <v>1.123</v>
      </c>
      <c r="I22" s="146">
        <f t="shared" ref="I22:I85" si="2">G22*H22</f>
        <v>8712510</v>
      </c>
      <c r="J22" s="145">
        <f>'[2]Расчет прогнозных дефляторов'!$D$39</f>
        <v>1.038</v>
      </c>
      <c r="K22" s="146">
        <f>I22*J22</f>
        <v>9043585</v>
      </c>
      <c r="L22" s="146">
        <f>I22+(K22-I22)*(1-30/100)</f>
        <v>8944263</v>
      </c>
      <c r="M22" s="147"/>
      <c r="N22" s="147"/>
      <c r="O22" s="147"/>
    </row>
    <row r="23" spans="1:15" s="148" customFormat="1" ht="15.75" outlineLevel="1" x14ac:dyDescent="0.2">
      <c r="A23" s="200"/>
      <c r="B23" s="95" t="s">
        <v>353</v>
      </c>
      <c r="C23" s="42" t="s">
        <v>560</v>
      </c>
      <c r="D23" s="42" t="s">
        <v>656</v>
      </c>
      <c r="E23" s="100" t="s">
        <v>300</v>
      </c>
      <c r="F23" s="149">
        <f>'Земляные работы'!H13</f>
        <v>5432</v>
      </c>
      <c r="G23" s="220">
        <f>'Земляные работы'!H13/'Земляные работы'!$H$19*(370936+320904)*(1.023*1.005-2.3%*15%)*6.99</f>
        <v>1189854</v>
      </c>
      <c r="H23" s="145">
        <f t="shared" si="1"/>
        <v>1.123</v>
      </c>
      <c r="I23" s="146">
        <f t="shared" si="2"/>
        <v>1336206</v>
      </c>
      <c r="J23" s="145">
        <f>'[2]Расчет прогнозных дефляторов'!$D$39</f>
        <v>1.038</v>
      </c>
      <c r="K23" s="146">
        <f t="shared" ref="K23:K28" si="3">I23*J23</f>
        <v>1386982</v>
      </c>
      <c r="L23" s="146">
        <f>I23+(K23-I23)*(1-30/100)</f>
        <v>1371749</v>
      </c>
      <c r="M23" s="147"/>
      <c r="N23" s="147"/>
      <c r="O23" s="147"/>
    </row>
    <row r="24" spans="1:15" s="167" customFormat="1" ht="25.5" outlineLevel="1" x14ac:dyDescent="0.2">
      <c r="A24" s="215"/>
      <c r="B24" s="160" t="s">
        <v>366</v>
      </c>
      <c r="C24" s="91" t="s">
        <v>561</v>
      </c>
      <c r="D24" s="91" t="s">
        <v>562</v>
      </c>
      <c r="E24" s="161" t="s">
        <v>300</v>
      </c>
      <c r="F24" s="162">
        <f>'Земляные работы'!K13</f>
        <v>271.5</v>
      </c>
      <c r="G24" s="99">
        <f>'Земляные работы'!K13/'Земляные работы'!K19*(139109+18545)*(1.023*1.005-2.3%*15%)*6.99</f>
        <v>271040</v>
      </c>
      <c r="H24" s="163">
        <f t="shared" si="1"/>
        <v>1.123</v>
      </c>
      <c r="I24" s="164">
        <f t="shared" si="2"/>
        <v>304378</v>
      </c>
      <c r="J24" s="163">
        <f>'[2]Расчет прогнозных дефляторов'!$D$39</f>
        <v>1.038</v>
      </c>
      <c r="K24" s="164">
        <f t="shared" si="3"/>
        <v>315944</v>
      </c>
      <c r="L24" s="164">
        <f t="shared" ref="L24:L28" si="4">I24+(K24-I24)*(1-30/100)</f>
        <v>312474</v>
      </c>
      <c r="M24" s="165" t="s">
        <v>563</v>
      </c>
      <c r="N24" s="166"/>
      <c r="O24" s="165"/>
    </row>
    <row r="25" spans="1:15" s="167" customFormat="1" ht="15.75" outlineLevel="1" x14ac:dyDescent="0.2">
      <c r="A25" s="215"/>
      <c r="B25" s="160" t="s">
        <v>387</v>
      </c>
      <c r="C25" s="91" t="s">
        <v>564</v>
      </c>
      <c r="D25" s="91" t="s">
        <v>565</v>
      </c>
      <c r="E25" s="161" t="s">
        <v>300</v>
      </c>
      <c r="F25" s="162">
        <f>'Земляные работы'!L13</f>
        <v>271.5</v>
      </c>
      <c r="G25" s="99">
        <f>'Земляные работы'!L13/'Земляные работы'!L19*(39510)*(1.023*1.005-2.3%*15%)*6.99</f>
        <v>67926</v>
      </c>
      <c r="H25" s="163">
        <f t="shared" si="1"/>
        <v>1.123</v>
      </c>
      <c r="I25" s="164">
        <f t="shared" si="2"/>
        <v>76281</v>
      </c>
      <c r="J25" s="163">
        <f>'[2]Расчет прогнозных дефляторов'!$D$39</f>
        <v>1.038</v>
      </c>
      <c r="K25" s="164">
        <f t="shared" si="3"/>
        <v>79180</v>
      </c>
      <c r="L25" s="164">
        <f t="shared" si="4"/>
        <v>78310</v>
      </c>
      <c r="M25" s="165" t="s">
        <v>563</v>
      </c>
      <c r="N25" s="165"/>
      <c r="O25" s="165"/>
    </row>
    <row r="26" spans="1:15" s="148" customFormat="1" ht="25.5" outlineLevel="1" x14ac:dyDescent="0.2">
      <c r="A26" s="200"/>
      <c r="B26" s="95" t="s">
        <v>566</v>
      </c>
      <c r="C26" s="42" t="s">
        <v>567</v>
      </c>
      <c r="D26" s="42" t="s">
        <v>750</v>
      </c>
      <c r="E26" s="100" t="s">
        <v>300</v>
      </c>
      <c r="F26" s="168">
        <f>20100.9*'Земляные работы'!M13/'Земляные работы'!$M$19</f>
        <v>4672.3</v>
      </c>
      <c r="G26" s="220">
        <f>'Земляные работы'!N13/'Земляные работы'!$N$19*(60641+30320+211146)*(1.023*1.005-2.3%*15%)*6.99</f>
        <v>474480</v>
      </c>
      <c r="H26" s="145">
        <f t="shared" si="1"/>
        <v>1.123</v>
      </c>
      <c r="I26" s="146">
        <f t="shared" si="2"/>
        <v>532841</v>
      </c>
      <c r="J26" s="145">
        <f>'[2]Расчет прогнозных дефляторов'!$D$39</f>
        <v>1.038</v>
      </c>
      <c r="K26" s="146">
        <f t="shared" si="3"/>
        <v>553089</v>
      </c>
      <c r="L26" s="146">
        <f t="shared" si="4"/>
        <v>547015</v>
      </c>
      <c r="M26" s="147" t="s">
        <v>360</v>
      </c>
      <c r="N26" s="147"/>
      <c r="O26" s="147"/>
    </row>
    <row r="27" spans="1:15" s="148" customFormat="1" ht="15.75" outlineLevel="1" x14ac:dyDescent="0.2">
      <c r="A27" s="200"/>
      <c r="B27" s="95" t="s">
        <v>572</v>
      </c>
      <c r="C27" s="42" t="s">
        <v>362</v>
      </c>
      <c r="D27" s="42" t="s">
        <v>573</v>
      </c>
      <c r="E27" s="100" t="s">
        <v>305</v>
      </c>
      <c r="F27" s="149">
        <v>1</v>
      </c>
      <c r="G27" s="149">
        <f>1071599*(1.023*1.005-2.3%*15%)*6.99</f>
        <v>7675230</v>
      </c>
      <c r="H27" s="145">
        <f t="shared" si="1"/>
        <v>1.123</v>
      </c>
      <c r="I27" s="146">
        <f t="shared" si="2"/>
        <v>8619283</v>
      </c>
      <c r="J27" s="145">
        <f>'[2]Расчет прогнозных дефляторов'!$D$39</f>
        <v>1.038</v>
      </c>
      <c r="K27" s="146">
        <f t="shared" si="3"/>
        <v>8946816</v>
      </c>
      <c r="L27" s="146">
        <f t="shared" si="4"/>
        <v>8848556</v>
      </c>
      <c r="M27" s="147" t="s">
        <v>753</v>
      </c>
      <c r="N27" s="147"/>
      <c r="O27" s="147"/>
    </row>
    <row r="28" spans="1:15" s="148" customFormat="1" ht="15.75" outlineLevel="1" x14ac:dyDescent="0.2">
      <c r="A28" s="200"/>
      <c r="B28" s="95" t="s">
        <v>574</v>
      </c>
      <c r="C28" s="42" t="s">
        <v>754</v>
      </c>
      <c r="D28" s="42" t="s">
        <v>575</v>
      </c>
      <c r="E28" s="100" t="s">
        <v>305</v>
      </c>
      <c r="F28" s="149">
        <v>1</v>
      </c>
      <c r="G28" s="149">
        <f>150092*(1.023*1.005-2.3%*15%)*6.99</f>
        <v>1075020</v>
      </c>
      <c r="H28" s="145">
        <f t="shared" si="1"/>
        <v>1.123</v>
      </c>
      <c r="I28" s="146">
        <f t="shared" si="2"/>
        <v>1207247</v>
      </c>
      <c r="J28" s="145">
        <f>'[2]Расчет прогнозных дефляторов'!$D$39</f>
        <v>1.038</v>
      </c>
      <c r="K28" s="146">
        <f t="shared" si="3"/>
        <v>1253122</v>
      </c>
      <c r="L28" s="146">
        <f t="shared" si="4"/>
        <v>1239360</v>
      </c>
      <c r="M28" s="147" t="s">
        <v>755</v>
      </c>
      <c r="N28" s="147"/>
      <c r="O28" s="147"/>
    </row>
    <row r="29" spans="1:15" s="138" customFormat="1" ht="15.75" outlineLevel="1" x14ac:dyDescent="0.2">
      <c r="B29" s="132" t="s">
        <v>393</v>
      </c>
      <c r="C29" s="139"/>
      <c r="D29" s="139" t="s">
        <v>743</v>
      </c>
      <c r="E29" s="134" t="s">
        <v>292</v>
      </c>
      <c r="F29" s="90">
        <v>1</v>
      </c>
      <c r="G29" s="90">
        <f>SUM(G30:G58)</f>
        <v>24098868</v>
      </c>
      <c r="H29" s="135">
        <f t="shared" si="1"/>
        <v>1.123</v>
      </c>
      <c r="I29" s="90">
        <f>SUM(I30:I58)</f>
        <v>27063028</v>
      </c>
      <c r="J29" s="135">
        <f>'[2]Расчет прогнозных дефляторов'!$D$48</f>
        <v>1.038</v>
      </c>
      <c r="K29" s="90">
        <f>SUM(K30:K58)</f>
        <v>28091424</v>
      </c>
      <c r="L29" s="90">
        <f>SUM(L30:L58)</f>
        <v>27782906</v>
      </c>
      <c r="M29" s="137"/>
      <c r="N29" s="137"/>
      <c r="O29" s="137"/>
    </row>
    <row r="30" spans="1:15" s="148" customFormat="1" ht="15.75" outlineLevel="1" x14ac:dyDescent="0.2">
      <c r="B30" s="95"/>
      <c r="C30" s="42"/>
      <c r="D30" s="156" t="s">
        <v>367</v>
      </c>
      <c r="E30" s="100"/>
      <c r="F30" s="149"/>
      <c r="G30" s="149"/>
      <c r="H30" s="145"/>
      <c r="I30" s="146"/>
      <c r="J30" s="145">
        <f>'[2]Расчет прогнозных дефляторов'!$D$48</f>
        <v>1.038</v>
      </c>
      <c r="K30" s="146"/>
      <c r="L30" s="146"/>
      <c r="M30" s="147"/>
      <c r="N30" s="147"/>
      <c r="O30" s="147"/>
    </row>
    <row r="31" spans="1:15" s="148" customFormat="1" ht="15.75" outlineLevel="1" x14ac:dyDescent="0.2">
      <c r="B31" s="95"/>
      <c r="C31" s="42"/>
      <c r="D31" s="157" t="s">
        <v>576</v>
      </c>
      <c r="E31" s="100"/>
      <c r="F31" s="149"/>
      <c r="G31" s="149"/>
      <c r="H31" s="145"/>
      <c r="I31" s="146"/>
      <c r="J31" s="145">
        <f>'[2]Расчет прогнозных дефляторов'!$D$48</f>
        <v>1.038</v>
      </c>
      <c r="K31" s="146"/>
      <c r="L31" s="146"/>
      <c r="M31" s="147"/>
      <c r="N31" s="147"/>
      <c r="O31" s="147"/>
    </row>
    <row r="32" spans="1:15" s="148" customFormat="1" ht="25.5" outlineLevel="1" x14ac:dyDescent="0.2">
      <c r="A32" s="200"/>
      <c r="B32" s="95" t="s">
        <v>394</v>
      </c>
      <c r="C32" s="42" t="s">
        <v>355</v>
      </c>
      <c r="D32" s="42" t="s">
        <v>356</v>
      </c>
      <c r="E32" s="100" t="s">
        <v>300</v>
      </c>
      <c r="F32" s="149">
        <f>'Земляные работы'!H14</f>
        <v>989</v>
      </c>
      <c r="G32" s="220">
        <f>'Земляные работы'!H14/'Земляные работы'!$H$19*4511030*(1.023*1.005-2.3%*15%)*6.99</f>
        <v>1412538</v>
      </c>
      <c r="H32" s="145">
        <f>$H$772</f>
        <v>1.123</v>
      </c>
      <c r="I32" s="146">
        <f t="shared" si="2"/>
        <v>1586280</v>
      </c>
      <c r="J32" s="145">
        <f>'[2]Расчет прогнозных дефляторов'!$D$48</f>
        <v>1.038</v>
      </c>
      <c r="K32" s="146">
        <f>I32*J32</f>
        <v>1646559</v>
      </c>
      <c r="L32" s="146">
        <f t="shared" ref="L32:L58" si="5">I32+(K32-I32)*(1-30/100)</f>
        <v>1628475</v>
      </c>
      <c r="M32" s="147"/>
      <c r="N32" s="147"/>
      <c r="O32" s="147"/>
    </row>
    <row r="33" spans="1:15" s="148" customFormat="1" ht="15.75" outlineLevel="1" x14ac:dyDescent="0.2">
      <c r="A33" s="200"/>
      <c r="B33" s="95" t="s">
        <v>395</v>
      </c>
      <c r="C33" s="42" t="s">
        <v>560</v>
      </c>
      <c r="D33" s="42" t="s">
        <v>656</v>
      </c>
      <c r="E33" s="100" t="s">
        <v>300</v>
      </c>
      <c r="F33" s="149">
        <f>'Земляные работы'!H14</f>
        <v>989</v>
      </c>
      <c r="G33" s="220">
        <f>'Земляные работы'!H14/'Земляные работы'!$H$19*(370936+320904)*(1.023*1.005-2.3%*15%)*6.99</f>
        <v>216636</v>
      </c>
      <c r="H33" s="145">
        <f>$H$772</f>
        <v>1.123</v>
      </c>
      <c r="I33" s="146">
        <f t="shared" si="2"/>
        <v>243282</v>
      </c>
      <c r="J33" s="145">
        <f>'[2]Расчет прогнозных дефляторов'!$D$48</f>
        <v>1.038</v>
      </c>
      <c r="K33" s="146">
        <f t="shared" ref="K33:K58" si="6">I33*J33</f>
        <v>252527</v>
      </c>
      <c r="L33" s="146">
        <f t="shared" si="5"/>
        <v>249754</v>
      </c>
      <c r="M33" s="147"/>
      <c r="N33" s="147"/>
      <c r="O33" s="147"/>
    </row>
    <row r="34" spans="1:15" s="167" customFormat="1" ht="25.5" outlineLevel="1" x14ac:dyDescent="0.2">
      <c r="A34" s="215"/>
      <c r="B34" s="160" t="s">
        <v>406</v>
      </c>
      <c r="C34" s="91" t="s">
        <v>561</v>
      </c>
      <c r="D34" s="91" t="s">
        <v>562</v>
      </c>
      <c r="E34" s="161" t="s">
        <v>300</v>
      </c>
      <c r="F34" s="162">
        <f>'Земляные работы'!K14</f>
        <v>49.5</v>
      </c>
      <c r="G34" s="99">
        <f>'Земляные работы'!K14/'Земляные работы'!K19*(139109+18545)*(1.023*1.005-2.3%*15%)*6.99</f>
        <v>49416</v>
      </c>
      <c r="H34" s="163">
        <f>$H$772</f>
        <v>1.123</v>
      </c>
      <c r="I34" s="164">
        <f t="shared" si="2"/>
        <v>55494</v>
      </c>
      <c r="J34" s="163">
        <f>'[2]Расчет прогнозных дефляторов'!$D$48</f>
        <v>1.038</v>
      </c>
      <c r="K34" s="164">
        <f t="shared" si="6"/>
        <v>57603</v>
      </c>
      <c r="L34" s="164">
        <f t="shared" si="5"/>
        <v>56970</v>
      </c>
      <c r="M34" s="165" t="s">
        <v>563</v>
      </c>
      <c r="N34" s="165"/>
      <c r="O34" s="165"/>
    </row>
    <row r="35" spans="1:15" s="167" customFormat="1" ht="15.75" outlineLevel="1" x14ac:dyDescent="0.2">
      <c r="A35" s="215"/>
      <c r="B35" s="160" t="s">
        <v>423</v>
      </c>
      <c r="C35" s="91" t="s">
        <v>564</v>
      </c>
      <c r="D35" s="91" t="s">
        <v>565</v>
      </c>
      <c r="E35" s="161" t="s">
        <v>300</v>
      </c>
      <c r="F35" s="162">
        <f>'Земляные работы'!L14</f>
        <v>49.5</v>
      </c>
      <c r="G35" s="99">
        <f>'Земляные работы'!L14/'Земляные работы'!L19*(39510)*(1.023*1.005-2.3%*15%)*6.99</f>
        <v>12384</v>
      </c>
      <c r="H35" s="163">
        <f>$H$772</f>
        <v>1.123</v>
      </c>
      <c r="I35" s="164">
        <f t="shared" si="2"/>
        <v>13907</v>
      </c>
      <c r="J35" s="163">
        <f>'[2]Расчет прогнозных дефляторов'!$D$48</f>
        <v>1.038</v>
      </c>
      <c r="K35" s="164">
        <f t="shared" si="6"/>
        <v>14435</v>
      </c>
      <c r="L35" s="164">
        <f t="shared" si="5"/>
        <v>14277</v>
      </c>
      <c r="M35" s="165" t="s">
        <v>563</v>
      </c>
      <c r="N35" s="165"/>
      <c r="O35" s="165"/>
    </row>
    <row r="36" spans="1:15" s="148" customFormat="1" ht="25.5" outlineLevel="1" x14ac:dyDescent="0.2">
      <c r="A36" s="200"/>
      <c r="B36" s="95" t="s">
        <v>425</v>
      </c>
      <c r="C36" s="42" t="s">
        <v>567</v>
      </c>
      <c r="D36" s="42" t="s">
        <v>750</v>
      </c>
      <c r="E36" s="100" t="s">
        <v>300</v>
      </c>
      <c r="F36" s="168">
        <f>20100.9*'Земляные работы'!M14/'Земляные работы'!$M$19</f>
        <v>863</v>
      </c>
      <c r="G36" s="220">
        <f>'Земляные работы'!N14/'Земляные работы'!$N$19*(60641+30320+211146)*(1.023*1.005-2.3%*15%)*6.99</f>
        <v>99508</v>
      </c>
      <c r="H36" s="145">
        <f>$H$772</f>
        <v>1.123</v>
      </c>
      <c r="I36" s="146">
        <f t="shared" si="2"/>
        <v>111747</v>
      </c>
      <c r="J36" s="145">
        <f>'[2]Расчет прогнозных дефляторов'!$D$48</f>
        <v>1.038</v>
      </c>
      <c r="K36" s="146">
        <f t="shared" si="6"/>
        <v>115993</v>
      </c>
      <c r="L36" s="146">
        <f t="shared" si="5"/>
        <v>114719</v>
      </c>
      <c r="M36" s="147" t="s">
        <v>360</v>
      </c>
      <c r="N36" s="147"/>
      <c r="O36" s="147"/>
    </row>
    <row r="37" spans="1:15" s="148" customFormat="1" ht="15.75" outlineLevel="1" x14ac:dyDescent="0.2">
      <c r="B37" s="95"/>
      <c r="C37" s="42"/>
      <c r="D37" s="157" t="s">
        <v>577</v>
      </c>
      <c r="E37" s="100"/>
      <c r="F37" s="149"/>
      <c r="G37" s="149"/>
      <c r="H37" s="145"/>
      <c r="I37" s="146"/>
      <c r="J37" s="145">
        <f>'[2]Расчет прогнозных дефляторов'!$D$48</f>
        <v>1.038</v>
      </c>
      <c r="K37" s="146">
        <f t="shared" si="6"/>
        <v>0</v>
      </c>
      <c r="L37" s="146">
        <f t="shared" si="5"/>
        <v>0</v>
      </c>
      <c r="M37" s="147"/>
      <c r="N37" s="147"/>
      <c r="O37" s="147"/>
    </row>
    <row r="38" spans="1:15" s="148" customFormat="1" ht="25.5" outlineLevel="1" x14ac:dyDescent="0.2">
      <c r="A38" s="200"/>
      <c r="B38" s="95" t="s">
        <v>433</v>
      </c>
      <c r="C38" s="42" t="s">
        <v>355</v>
      </c>
      <c r="D38" s="42" t="s">
        <v>356</v>
      </c>
      <c r="E38" s="100" t="s">
        <v>300</v>
      </c>
      <c r="F38" s="149">
        <f>'Земляные работы'!H15</f>
        <v>2476</v>
      </c>
      <c r="G38" s="220">
        <f>'Земляные работы'!H15/'Земляные работы'!$H$19*4511030*(1.023*1.005-2.3%*15%)*6.99</f>
        <v>3536343</v>
      </c>
      <c r="H38" s="145">
        <f>$H$772</f>
        <v>1.123</v>
      </c>
      <c r="I38" s="146">
        <f t="shared" si="2"/>
        <v>3971313</v>
      </c>
      <c r="J38" s="145">
        <f>'[2]Расчет прогнозных дефляторов'!$D$48</f>
        <v>1.038</v>
      </c>
      <c r="K38" s="146">
        <f t="shared" si="6"/>
        <v>4122223</v>
      </c>
      <c r="L38" s="146">
        <f t="shared" si="5"/>
        <v>4076950</v>
      </c>
      <c r="M38" s="147"/>
      <c r="N38" s="147"/>
      <c r="O38" s="147"/>
    </row>
    <row r="39" spans="1:15" s="148" customFormat="1" ht="15.75" outlineLevel="1" x14ac:dyDescent="0.2">
      <c r="A39" s="200"/>
      <c r="B39" s="95" t="s">
        <v>440</v>
      </c>
      <c r="C39" s="42" t="s">
        <v>560</v>
      </c>
      <c r="D39" s="42" t="s">
        <v>656</v>
      </c>
      <c r="E39" s="100" t="s">
        <v>300</v>
      </c>
      <c r="F39" s="149">
        <f>'Земляные работы'!H15</f>
        <v>2476</v>
      </c>
      <c r="G39" s="220">
        <f>'Земляные работы'!H15/'Земляные работы'!$H$19*(370936+320904)*(1.023*1.005-2.3%*15%)*6.99</f>
        <v>542356</v>
      </c>
      <c r="H39" s="145">
        <f>$H$772</f>
        <v>1.123</v>
      </c>
      <c r="I39" s="146">
        <f t="shared" si="2"/>
        <v>609066</v>
      </c>
      <c r="J39" s="145">
        <f>'[2]Расчет прогнозных дефляторов'!$D$48</f>
        <v>1.038</v>
      </c>
      <c r="K39" s="146">
        <f t="shared" si="6"/>
        <v>632211</v>
      </c>
      <c r="L39" s="146">
        <f t="shared" si="5"/>
        <v>625268</v>
      </c>
      <c r="M39" s="147"/>
      <c r="N39" s="147"/>
      <c r="O39" s="147"/>
    </row>
    <row r="40" spans="1:15" s="170" customFormat="1" ht="25.5" outlineLevel="1" x14ac:dyDescent="0.2">
      <c r="A40" s="200"/>
      <c r="B40" s="160" t="s">
        <v>445</v>
      </c>
      <c r="C40" s="91" t="s">
        <v>561</v>
      </c>
      <c r="D40" s="91" t="s">
        <v>562</v>
      </c>
      <c r="E40" s="161" t="s">
        <v>300</v>
      </c>
      <c r="F40" s="162">
        <f>'Земляные работы'!K15</f>
        <v>123.8</v>
      </c>
      <c r="G40" s="99">
        <f>'Земляные работы'!K15/'Земляные работы'!K19*(139109+18545)*(1.023*1.005-2.3%*15%)*6.99</f>
        <v>123590</v>
      </c>
      <c r="H40" s="163">
        <f>$H$772</f>
        <v>1.123</v>
      </c>
      <c r="I40" s="164">
        <f t="shared" si="2"/>
        <v>138792</v>
      </c>
      <c r="J40" s="163">
        <f>'[2]Расчет прогнозных дефляторов'!$D$48</f>
        <v>1.038</v>
      </c>
      <c r="K40" s="164">
        <f t="shared" si="6"/>
        <v>144066</v>
      </c>
      <c r="L40" s="164">
        <f t="shared" si="5"/>
        <v>142484</v>
      </c>
      <c r="M40" s="169" t="s">
        <v>563</v>
      </c>
      <c r="N40" s="169"/>
      <c r="O40" s="169"/>
    </row>
    <row r="41" spans="1:15" s="170" customFormat="1" ht="15.75" outlineLevel="1" x14ac:dyDescent="0.2">
      <c r="A41" s="200"/>
      <c r="B41" s="160" t="s">
        <v>449</v>
      </c>
      <c r="C41" s="91" t="s">
        <v>564</v>
      </c>
      <c r="D41" s="91" t="s">
        <v>565</v>
      </c>
      <c r="E41" s="161" t="s">
        <v>300</v>
      </c>
      <c r="F41" s="162">
        <f>'Земляные работы'!L15</f>
        <v>123.8</v>
      </c>
      <c r="G41" s="99">
        <f>'Земляные работы'!L15/'Земляные работы'!L19*(39510)*(1.023*1.005-2.3%*15%)*6.99</f>
        <v>30973</v>
      </c>
      <c r="H41" s="163">
        <f>$H$772</f>
        <v>1.123</v>
      </c>
      <c r="I41" s="164">
        <f t="shared" si="2"/>
        <v>34783</v>
      </c>
      <c r="J41" s="163">
        <f>'[2]Расчет прогнозных дефляторов'!$D$48</f>
        <v>1.038</v>
      </c>
      <c r="K41" s="164">
        <f t="shared" si="6"/>
        <v>36105</v>
      </c>
      <c r="L41" s="164">
        <f t="shared" si="5"/>
        <v>35708</v>
      </c>
      <c r="M41" s="169" t="s">
        <v>563</v>
      </c>
      <c r="N41" s="169"/>
      <c r="O41" s="169"/>
    </row>
    <row r="42" spans="1:15" s="148" customFormat="1" ht="25.5" outlineLevel="1" x14ac:dyDescent="0.2">
      <c r="A42" s="200"/>
      <c r="B42" s="95" t="s">
        <v>578</v>
      </c>
      <c r="C42" s="42" t="s">
        <v>567</v>
      </c>
      <c r="D42" s="42" t="s">
        <v>750</v>
      </c>
      <c r="E42" s="100" t="s">
        <v>300</v>
      </c>
      <c r="F42" s="168">
        <f>20100.9*'Земляные работы'!M15/'Земляные работы'!$M$19</f>
        <v>2250.9</v>
      </c>
      <c r="G42" s="220">
        <f>'Земляные работы'!N15/'Земляные работы'!$N$19*(60641+30320+211146)*(1.023*1.005-2.3%*15%)*6.99</f>
        <v>259540</v>
      </c>
      <c r="H42" s="145">
        <f>$H$772</f>
        <v>1.123</v>
      </c>
      <c r="I42" s="146">
        <f t="shared" si="2"/>
        <v>291463</v>
      </c>
      <c r="J42" s="145">
        <f>'[2]Расчет прогнозных дефляторов'!$D$48</f>
        <v>1.038</v>
      </c>
      <c r="K42" s="146">
        <f t="shared" si="6"/>
        <v>302539</v>
      </c>
      <c r="L42" s="146">
        <f t="shared" si="5"/>
        <v>299216</v>
      </c>
      <c r="M42" s="147" t="s">
        <v>360</v>
      </c>
      <c r="N42" s="147"/>
      <c r="O42" s="147"/>
    </row>
    <row r="43" spans="1:15" s="148" customFormat="1" ht="15.75" outlineLevel="1" x14ac:dyDescent="0.2">
      <c r="B43" s="95"/>
      <c r="C43" s="42"/>
      <c r="D43" s="157" t="s">
        <v>746</v>
      </c>
      <c r="E43" s="100"/>
      <c r="F43" s="149"/>
      <c r="G43" s="149"/>
      <c r="H43" s="145"/>
      <c r="I43" s="146"/>
      <c r="J43" s="145">
        <f>'[2]Расчет прогнозных дефляторов'!$D$48</f>
        <v>1.038</v>
      </c>
      <c r="K43" s="146">
        <f t="shared" si="6"/>
        <v>0</v>
      </c>
      <c r="L43" s="146">
        <f t="shared" si="5"/>
        <v>0</v>
      </c>
      <c r="M43" s="147"/>
      <c r="N43" s="147"/>
      <c r="O43" s="147"/>
    </row>
    <row r="44" spans="1:15" s="148" customFormat="1" ht="25.5" outlineLevel="1" x14ac:dyDescent="0.2">
      <c r="A44" s="200"/>
      <c r="B44" s="95" t="s">
        <v>433</v>
      </c>
      <c r="C44" s="42" t="s">
        <v>355</v>
      </c>
      <c r="D44" s="42" t="s">
        <v>356</v>
      </c>
      <c r="E44" s="100" t="s">
        <v>300</v>
      </c>
      <c r="F44" s="149">
        <f>'Земляные работы'!H16</f>
        <v>3310</v>
      </c>
      <c r="G44" s="220">
        <f>'Земляные работы'!H16/'Земляные работы'!$H$19*4511030*(1.023*1.005-2.3%*15%)*6.99</f>
        <v>4727503</v>
      </c>
      <c r="H44" s="145">
        <f>$H$772</f>
        <v>1.123</v>
      </c>
      <c r="I44" s="146">
        <f t="shared" ref="I44:I48" si="7">G44*H44</f>
        <v>5308986</v>
      </c>
      <c r="J44" s="145">
        <f>'[2]Расчет прогнозных дефляторов'!$D$48</f>
        <v>1.038</v>
      </c>
      <c r="K44" s="146">
        <f t="shared" si="6"/>
        <v>5510727</v>
      </c>
      <c r="L44" s="146">
        <f t="shared" si="5"/>
        <v>5450205</v>
      </c>
      <c r="M44" s="147"/>
      <c r="N44" s="147"/>
      <c r="O44" s="147"/>
    </row>
    <row r="45" spans="1:15" s="148" customFormat="1" ht="15.75" outlineLevel="1" x14ac:dyDescent="0.2">
      <c r="A45" s="200"/>
      <c r="B45" s="95" t="s">
        <v>440</v>
      </c>
      <c r="C45" s="42" t="s">
        <v>560</v>
      </c>
      <c r="D45" s="42" t="s">
        <v>656</v>
      </c>
      <c r="E45" s="100" t="s">
        <v>300</v>
      </c>
      <c r="F45" s="149">
        <f>'Земляные работы'!H16</f>
        <v>3310</v>
      </c>
      <c r="G45" s="220">
        <f>'Земляные работы'!H16/'Земляные работы'!$H$19*(370936+320904)*(1.023*1.005-2.3%*15%)*6.99</f>
        <v>725040</v>
      </c>
      <c r="H45" s="145">
        <f>$H$772</f>
        <v>1.123</v>
      </c>
      <c r="I45" s="146">
        <f t="shared" si="7"/>
        <v>814220</v>
      </c>
      <c r="J45" s="145">
        <f>'[2]Расчет прогнозных дефляторов'!$D$48</f>
        <v>1.038</v>
      </c>
      <c r="K45" s="146">
        <f t="shared" si="6"/>
        <v>845160</v>
      </c>
      <c r="L45" s="146">
        <f t="shared" si="5"/>
        <v>835878</v>
      </c>
      <c r="M45" s="147"/>
      <c r="N45" s="147"/>
      <c r="O45" s="147"/>
    </row>
    <row r="46" spans="1:15" s="170" customFormat="1" ht="25.5" outlineLevel="1" x14ac:dyDescent="0.2">
      <c r="A46" s="200"/>
      <c r="B46" s="160" t="s">
        <v>445</v>
      </c>
      <c r="C46" s="91" t="s">
        <v>561</v>
      </c>
      <c r="D46" s="91" t="s">
        <v>562</v>
      </c>
      <c r="E46" s="161" t="s">
        <v>300</v>
      </c>
      <c r="F46" s="162">
        <f>'Земляные работы'!K16</f>
        <v>165.5</v>
      </c>
      <c r="G46" s="99">
        <f>'Земляные работы'!K16/'Земляные работы'!K19*(139109+18545)*(1.023*1.005-2.3%*15%)*6.99</f>
        <v>165219</v>
      </c>
      <c r="H46" s="163">
        <f>$H$772</f>
        <v>1.123</v>
      </c>
      <c r="I46" s="164">
        <f t="shared" si="7"/>
        <v>185541</v>
      </c>
      <c r="J46" s="163">
        <f>'[2]Расчет прогнозных дефляторов'!$D$48</f>
        <v>1.038</v>
      </c>
      <c r="K46" s="164">
        <f t="shared" si="6"/>
        <v>192592</v>
      </c>
      <c r="L46" s="164">
        <f t="shared" si="5"/>
        <v>190477</v>
      </c>
      <c r="M46" s="169" t="s">
        <v>563</v>
      </c>
      <c r="N46" s="169"/>
      <c r="O46" s="169"/>
    </row>
    <row r="47" spans="1:15" s="170" customFormat="1" ht="15.75" outlineLevel="1" x14ac:dyDescent="0.2">
      <c r="A47" s="200"/>
      <c r="B47" s="160" t="s">
        <v>449</v>
      </c>
      <c r="C47" s="91" t="s">
        <v>564</v>
      </c>
      <c r="D47" s="91" t="s">
        <v>565</v>
      </c>
      <c r="E47" s="161" t="s">
        <v>300</v>
      </c>
      <c r="F47" s="162">
        <f>'Земляные работы'!L16</f>
        <v>165.5</v>
      </c>
      <c r="G47" s="99">
        <f>'Земляные работы'!L16/'Земляные работы'!L19*(39510)*(1.023*1.005-2.3%*15%)*6.99</f>
        <v>41406</v>
      </c>
      <c r="H47" s="163">
        <f>$H$772</f>
        <v>1.123</v>
      </c>
      <c r="I47" s="164">
        <f t="shared" si="7"/>
        <v>46499</v>
      </c>
      <c r="J47" s="163">
        <f>'[2]Расчет прогнозных дефляторов'!$D$48</f>
        <v>1.038</v>
      </c>
      <c r="K47" s="164">
        <f t="shared" si="6"/>
        <v>48266</v>
      </c>
      <c r="L47" s="164">
        <f t="shared" si="5"/>
        <v>47736</v>
      </c>
      <c r="M47" s="169" t="s">
        <v>563</v>
      </c>
      <c r="N47" s="169"/>
      <c r="O47" s="169"/>
    </row>
    <row r="48" spans="1:15" s="148" customFormat="1" ht="25.5" outlineLevel="1" x14ac:dyDescent="0.2">
      <c r="A48" s="200"/>
      <c r="B48" s="95" t="s">
        <v>578</v>
      </c>
      <c r="C48" s="42" t="s">
        <v>567</v>
      </c>
      <c r="D48" s="42" t="s">
        <v>750</v>
      </c>
      <c r="E48" s="100" t="s">
        <v>300</v>
      </c>
      <c r="F48" s="168">
        <f>20100.9*'Земляные работы'!M16/'Земляные работы'!$M$19</f>
        <v>3027.7</v>
      </c>
      <c r="G48" s="220">
        <f>'Земляные работы'!N16/'Земляные работы'!$N$19*(60641+30320+211146)*(1.023*1.005-2.3%*15%)*6.99</f>
        <v>349109</v>
      </c>
      <c r="H48" s="145">
        <f>$H$772</f>
        <v>1.123</v>
      </c>
      <c r="I48" s="146">
        <f t="shared" si="7"/>
        <v>392049</v>
      </c>
      <c r="J48" s="145">
        <f>'[2]Расчет прогнозных дефляторов'!$D$48</f>
        <v>1.038</v>
      </c>
      <c r="K48" s="146">
        <f t="shared" si="6"/>
        <v>406947</v>
      </c>
      <c r="L48" s="146">
        <f t="shared" si="5"/>
        <v>402478</v>
      </c>
      <c r="M48" s="147" t="s">
        <v>360</v>
      </c>
      <c r="N48" s="147"/>
      <c r="O48" s="147"/>
    </row>
    <row r="49" spans="1:15" s="148" customFormat="1" ht="15.75" outlineLevel="1" x14ac:dyDescent="0.2">
      <c r="B49" s="95"/>
      <c r="C49" s="42"/>
      <c r="D49" s="157" t="s">
        <v>747</v>
      </c>
      <c r="E49" s="100"/>
      <c r="F49" s="149"/>
      <c r="G49" s="149"/>
      <c r="H49" s="145"/>
      <c r="I49" s="146"/>
      <c r="J49" s="145">
        <f>'[2]Расчет прогнозных дефляторов'!$D$48</f>
        <v>1.038</v>
      </c>
      <c r="K49" s="146">
        <f t="shared" si="6"/>
        <v>0</v>
      </c>
      <c r="L49" s="146">
        <f t="shared" si="5"/>
        <v>0</v>
      </c>
      <c r="M49" s="147"/>
      <c r="N49" s="147"/>
      <c r="O49" s="147"/>
    </row>
    <row r="50" spans="1:15" s="148" customFormat="1" ht="25.5" outlineLevel="1" x14ac:dyDescent="0.2">
      <c r="A50" s="200"/>
      <c r="B50" s="95" t="s">
        <v>433</v>
      </c>
      <c r="C50" s="42" t="s">
        <v>355</v>
      </c>
      <c r="D50" s="42" t="s">
        <v>356</v>
      </c>
      <c r="E50" s="100" t="s">
        <v>300</v>
      </c>
      <c r="F50" s="149">
        <f>'Земляные работы'!H17</f>
        <v>2315</v>
      </c>
      <c r="G50" s="220">
        <f>'Земляные работы'!H17/'Земляные работы'!$H$19*4511030*(1.023*1.005-2.3%*15%)*6.99</f>
        <v>3306395</v>
      </c>
      <c r="H50" s="145">
        <f t="shared" ref="H50:H59" si="8">$H$772</f>
        <v>1.123</v>
      </c>
      <c r="I50" s="146">
        <f t="shared" ref="I50:I54" si="9">G50*H50</f>
        <v>3713082</v>
      </c>
      <c r="J50" s="145">
        <f>'[2]Расчет прогнозных дефляторов'!$D$48</f>
        <v>1.038</v>
      </c>
      <c r="K50" s="146">
        <f t="shared" si="6"/>
        <v>3854179</v>
      </c>
      <c r="L50" s="146">
        <f t="shared" si="5"/>
        <v>3811850</v>
      </c>
      <c r="M50" s="147"/>
      <c r="N50" s="147"/>
      <c r="O50" s="147"/>
    </row>
    <row r="51" spans="1:15" s="148" customFormat="1" ht="15.75" outlineLevel="1" x14ac:dyDescent="0.2">
      <c r="A51" s="200"/>
      <c r="B51" s="95" t="s">
        <v>440</v>
      </c>
      <c r="C51" s="42" t="s">
        <v>560</v>
      </c>
      <c r="D51" s="42" t="s">
        <v>656</v>
      </c>
      <c r="E51" s="100" t="s">
        <v>300</v>
      </c>
      <c r="F51" s="149">
        <f>'Земляные работы'!H17</f>
        <v>2315</v>
      </c>
      <c r="G51" s="220">
        <f>'Земляные работы'!H17/'Земляные работы'!$H$19*(370936+320904)*(1.023*1.005-2.3%*15%)*6.99</f>
        <v>507090</v>
      </c>
      <c r="H51" s="145">
        <f t="shared" si="8"/>
        <v>1.123</v>
      </c>
      <c r="I51" s="146">
        <f t="shared" si="9"/>
        <v>569462</v>
      </c>
      <c r="J51" s="145">
        <f>'[2]Расчет прогнозных дефляторов'!$D$48</f>
        <v>1.038</v>
      </c>
      <c r="K51" s="146">
        <f t="shared" si="6"/>
        <v>591102</v>
      </c>
      <c r="L51" s="146">
        <f t="shared" si="5"/>
        <v>584610</v>
      </c>
      <c r="M51" s="147"/>
      <c r="N51" s="147"/>
      <c r="O51" s="147"/>
    </row>
    <row r="52" spans="1:15" s="170" customFormat="1" ht="25.5" outlineLevel="1" x14ac:dyDescent="0.2">
      <c r="A52" s="200"/>
      <c r="B52" s="160" t="s">
        <v>445</v>
      </c>
      <c r="C52" s="91" t="s">
        <v>561</v>
      </c>
      <c r="D52" s="91" t="s">
        <v>562</v>
      </c>
      <c r="E52" s="161" t="s">
        <v>300</v>
      </c>
      <c r="F52" s="162">
        <f>'Земляные работы'!K17</f>
        <v>115.8</v>
      </c>
      <c r="G52" s="99">
        <f>'Земляные работы'!K17/'Земляные работы'!K19*(139109+18545)*(1.023*1.005-2.3%*15%)*6.99</f>
        <v>115604</v>
      </c>
      <c r="H52" s="163">
        <f t="shared" si="8"/>
        <v>1.123</v>
      </c>
      <c r="I52" s="164">
        <f t="shared" si="9"/>
        <v>129823</v>
      </c>
      <c r="J52" s="163">
        <f>'[2]Расчет прогнозных дефляторов'!$D$48</f>
        <v>1.038</v>
      </c>
      <c r="K52" s="164">
        <f t="shared" si="6"/>
        <v>134756</v>
      </c>
      <c r="L52" s="164">
        <f t="shared" si="5"/>
        <v>133276</v>
      </c>
      <c r="M52" s="169" t="s">
        <v>563</v>
      </c>
      <c r="N52" s="169"/>
      <c r="O52" s="169"/>
    </row>
    <row r="53" spans="1:15" s="170" customFormat="1" ht="15.75" outlineLevel="1" x14ac:dyDescent="0.2">
      <c r="A53" s="200"/>
      <c r="B53" s="160" t="s">
        <v>449</v>
      </c>
      <c r="C53" s="91" t="s">
        <v>564</v>
      </c>
      <c r="D53" s="91" t="s">
        <v>565</v>
      </c>
      <c r="E53" s="161" t="s">
        <v>300</v>
      </c>
      <c r="F53" s="162">
        <f>'Земляные работы'!L17</f>
        <v>115.8</v>
      </c>
      <c r="G53" s="99">
        <f>'Земляные работы'!L17/'Земляные работы'!L19*(39510)*(1.023*1.005-2.3%*15%)*6.99</f>
        <v>28972</v>
      </c>
      <c r="H53" s="163">
        <f t="shared" si="8"/>
        <v>1.123</v>
      </c>
      <c r="I53" s="164">
        <f t="shared" si="9"/>
        <v>32536</v>
      </c>
      <c r="J53" s="163">
        <f>'[2]Расчет прогнозных дефляторов'!$D$48</f>
        <v>1.038</v>
      </c>
      <c r="K53" s="164">
        <f t="shared" si="6"/>
        <v>33772</v>
      </c>
      <c r="L53" s="164">
        <f t="shared" si="5"/>
        <v>33401</v>
      </c>
      <c r="M53" s="169" t="s">
        <v>563</v>
      </c>
      <c r="N53" s="169"/>
      <c r="O53" s="169"/>
    </row>
    <row r="54" spans="1:15" s="148" customFormat="1" ht="25.5" outlineLevel="1" x14ac:dyDescent="0.2">
      <c r="A54" s="200"/>
      <c r="B54" s="95" t="s">
        <v>578</v>
      </c>
      <c r="C54" s="42" t="s">
        <v>567</v>
      </c>
      <c r="D54" s="42" t="s">
        <v>750</v>
      </c>
      <c r="E54" s="100" t="s">
        <v>300</v>
      </c>
      <c r="F54" s="168">
        <f>20100.9*'Земляные работы'!M17/'Земляные работы'!$M$19</f>
        <v>2087</v>
      </c>
      <c r="G54" s="220">
        <f>'Земляные работы'!N17/'Земляные работы'!$N$19*(60641+30320+211146)*(1.023*1.005-2.3%*15%)*6.99</f>
        <v>240642</v>
      </c>
      <c r="H54" s="145">
        <f t="shared" si="8"/>
        <v>1.123</v>
      </c>
      <c r="I54" s="146">
        <f t="shared" si="9"/>
        <v>270241</v>
      </c>
      <c r="J54" s="145">
        <f>'[2]Расчет прогнозных дефляторов'!$D$48</f>
        <v>1.038</v>
      </c>
      <c r="K54" s="146">
        <f t="shared" si="6"/>
        <v>280510</v>
      </c>
      <c r="L54" s="146">
        <f t="shared" si="5"/>
        <v>277429</v>
      </c>
      <c r="M54" s="147" t="s">
        <v>360</v>
      </c>
      <c r="N54" s="147"/>
      <c r="O54" s="147"/>
    </row>
    <row r="55" spans="1:15" s="148" customFormat="1" ht="15.75" outlineLevel="1" x14ac:dyDescent="0.2">
      <c r="A55" s="200"/>
      <c r="B55" s="95" t="s">
        <v>579</v>
      </c>
      <c r="C55" s="42" t="s">
        <v>756</v>
      </c>
      <c r="D55" s="42" t="s">
        <v>580</v>
      </c>
      <c r="E55" s="100" t="s">
        <v>305</v>
      </c>
      <c r="F55" s="149">
        <v>1</v>
      </c>
      <c r="G55" s="149">
        <f>187009*(1.023*1.005-2.3%*15%)*6.99</f>
        <v>1339435</v>
      </c>
      <c r="H55" s="145">
        <f t="shared" si="8"/>
        <v>1.123</v>
      </c>
      <c r="I55" s="146">
        <f t="shared" si="2"/>
        <v>1504186</v>
      </c>
      <c r="J55" s="145">
        <f>'[2]Расчет прогнозных дефляторов'!$D$48</f>
        <v>1.038</v>
      </c>
      <c r="K55" s="146">
        <f t="shared" si="6"/>
        <v>1561345</v>
      </c>
      <c r="L55" s="146">
        <f t="shared" si="5"/>
        <v>1544197</v>
      </c>
      <c r="M55" s="147" t="s">
        <v>757</v>
      </c>
      <c r="N55" s="147"/>
      <c r="O55" s="147"/>
    </row>
    <row r="56" spans="1:15" s="148" customFormat="1" ht="15.75" outlineLevel="1" x14ac:dyDescent="0.2">
      <c r="A56" s="200"/>
      <c r="B56" s="95" t="s">
        <v>581</v>
      </c>
      <c r="C56" s="42" t="s">
        <v>758</v>
      </c>
      <c r="D56" s="42" t="s">
        <v>582</v>
      </c>
      <c r="E56" s="100" t="s">
        <v>305</v>
      </c>
      <c r="F56" s="149">
        <v>1</v>
      </c>
      <c r="G56" s="149">
        <f>299334*(1.023*1.005-2.3%*15%)*6.99</f>
        <v>2143952</v>
      </c>
      <c r="H56" s="145">
        <f t="shared" si="8"/>
        <v>1.123</v>
      </c>
      <c r="I56" s="146">
        <f t="shared" si="2"/>
        <v>2407658</v>
      </c>
      <c r="J56" s="145">
        <f>'[2]Расчет прогнозных дефляторов'!$D$48</f>
        <v>1.038</v>
      </c>
      <c r="K56" s="146">
        <f t="shared" si="6"/>
        <v>2499149</v>
      </c>
      <c r="L56" s="146">
        <f t="shared" si="5"/>
        <v>2471702</v>
      </c>
      <c r="M56" s="147" t="s">
        <v>759</v>
      </c>
      <c r="N56" s="147"/>
      <c r="O56" s="147"/>
    </row>
    <row r="57" spans="1:15" s="148" customFormat="1" ht="15.75" outlineLevel="1" x14ac:dyDescent="0.2">
      <c r="A57" s="200"/>
      <c r="B57" s="95" t="s">
        <v>581</v>
      </c>
      <c r="C57" s="42" t="s">
        <v>760</v>
      </c>
      <c r="D57" s="42" t="s">
        <v>583</v>
      </c>
      <c r="E57" s="100" t="s">
        <v>305</v>
      </c>
      <c r="F57" s="149">
        <v>1</v>
      </c>
      <c r="G57" s="149">
        <f>313077*(1.023*1.005-2.3%*15%)*6.99</f>
        <v>2242385</v>
      </c>
      <c r="H57" s="145">
        <f t="shared" si="8"/>
        <v>1.123</v>
      </c>
      <c r="I57" s="146">
        <f t="shared" si="2"/>
        <v>2518198</v>
      </c>
      <c r="J57" s="145">
        <f>'[2]Расчет прогнозных дефляторов'!$D$48</f>
        <v>1.038</v>
      </c>
      <c r="K57" s="146">
        <f t="shared" si="6"/>
        <v>2613890</v>
      </c>
      <c r="L57" s="146">
        <f t="shared" si="5"/>
        <v>2585182</v>
      </c>
      <c r="M57" s="147" t="s">
        <v>761</v>
      </c>
      <c r="N57" s="147"/>
      <c r="O57" s="147"/>
    </row>
    <row r="58" spans="1:15" s="148" customFormat="1" ht="15.75" outlineLevel="1" x14ac:dyDescent="0.2">
      <c r="A58" s="200"/>
      <c r="B58" s="95" t="s">
        <v>581</v>
      </c>
      <c r="C58" s="42" t="s">
        <v>762</v>
      </c>
      <c r="D58" s="42" t="s">
        <v>745</v>
      </c>
      <c r="E58" s="100" t="s">
        <v>305</v>
      </c>
      <c r="F58" s="149">
        <v>1</v>
      </c>
      <c r="G58" s="149">
        <f>262877*(1.023*1.005-2.3%*15%)*6.99</f>
        <v>1882832</v>
      </c>
      <c r="H58" s="145">
        <f t="shared" si="8"/>
        <v>1.123</v>
      </c>
      <c r="I58" s="146">
        <f t="shared" si="2"/>
        <v>2114420</v>
      </c>
      <c r="J58" s="145">
        <f>'[2]Расчет прогнозных дефляторов'!$D$48</f>
        <v>1.038</v>
      </c>
      <c r="K58" s="146">
        <f t="shared" si="6"/>
        <v>2194768</v>
      </c>
      <c r="L58" s="146">
        <f t="shared" si="5"/>
        <v>2170664</v>
      </c>
      <c r="M58" s="147" t="s">
        <v>763</v>
      </c>
      <c r="N58" s="147"/>
      <c r="O58" s="147"/>
    </row>
    <row r="59" spans="1:15" s="243" customFormat="1" ht="15.75" x14ac:dyDescent="0.2">
      <c r="B59" s="244" t="s">
        <v>393</v>
      </c>
      <c r="C59" s="245"/>
      <c r="D59" s="245" t="s">
        <v>1802</v>
      </c>
      <c r="E59" s="246" t="s">
        <v>292</v>
      </c>
      <c r="F59" s="247">
        <v>1</v>
      </c>
      <c r="G59" s="247">
        <f>SUM(G60:G67)</f>
        <v>23305566</v>
      </c>
      <c r="H59" s="248">
        <f t="shared" si="8"/>
        <v>1.123</v>
      </c>
      <c r="I59" s="255">
        <f>SUM(I60:I67)</f>
        <v>26172151</v>
      </c>
      <c r="J59" s="248">
        <f>'[2]Расчет прогнозных дефляторов'!$D$57</f>
        <v>1.042</v>
      </c>
      <c r="K59" s="255">
        <f>SUM(K60:K67)</f>
        <v>27271382</v>
      </c>
      <c r="L59" s="255">
        <f>SUM(L60:L67)</f>
        <v>26941614</v>
      </c>
      <c r="M59" s="269"/>
      <c r="N59" s="269"/>
      <c r="O59" s="269"/>
    </row>
    <row r="60" spans="1:15" s="148" customFormat="1" ht="15.75" hidden="1" outlineLevel="1" x14ac:dyDescent="0.2">
      <c r="B60" s="95"/>
      <c r="C60" s="42"/>
      <c r="D60" s="157" t="s">
        <v>744</v>
      </c>
      <c r="E60" s="100"/>
      <c r="F60" s="149"/>
      <c r="G60" s="149"/>
      <c r="H60" s="145"/>
      <c r="I60" s="146"/>
      <c r="J60" s="145">
        <f>'[2]Расчет прогнозных дефляторов'!$D$57</f>
        <v>1.042</v>
      </c>
      <c r="K60" s="146"/>
      <c r="L60" s="146"/>
      <c r="M60" s="147"/>
      <c r="N60" s="147"/>
      <c r="O60" s="147"/>
    </row>
    <row r="61" spans="1:15" s="148" customFormat="1" ht="25.5" hidden="1" outlineLevel="1" x14ac:dyDescent="0.2">
      <c r="A61" s="200"/>
      <c r="B61" s="95" t="s">
        <v>453</v>
      </c>
      <c r="C61" s="42" t="s">
        <v>355</v>
      </c>
      <c r="D61" s="42" t="s">
        <v>356</v>
      </c>
      <c r="E61" s="100" t="s">
        <v>300</v>
      </c>
      <c r="F61" s="149">
        <f>'Земляные работы'!H18</f>
        <v>8100</v>
      </c>
      <c r="G61" s="220">
        <f>'Земляные работы'!H18/'Земляные работы'!$H$19*4511030*(1.023*1.005-2.3%*15%)*6.99+1</f>
        <v>11568814</v>
      </c>
      <c r="H61" s="145">
        <f t="shared" ref="H61:H68" si="10">$H$772</f>
        <v>1.123</v>
      </c>
      <c r="I61" s="146">
        <f t="shared" si="2"/>
        <v>12991778</v>
      </c>
      <c r="J61" s="145">
        <f>'[2]Расчет прогнозных дефляторов'!$D$57</f>
        <v>1.042</v>
      </c>
      <c r="K61" s="146">
        <f>I61*J61</f>
        <v>13537433</v>
      </c>
      <c r="L61" s="146">
        <f t="shared" ref="L61:L67" si="11">I61+(K61-I61)*(1-30/100)</f>
        <v>13373737</v>
      </c>
      <c r="M61" s="147"/>
      <c r="N61" s="147"/>
      <c r="O61" s="147"/>
    </row>
    <row r="62" spans="1:15" s="148" customFormat="1" ht="15.75" hidden="1" outlineLevel="1" x14ac:dyDescent="0.2">
      <c r="A62" s="200"/>
      <c r="B62" s="95" t="s">
        <v>456</v>
      </c>
      <c r="C62" s="42" t="s">
        <v>560</v>
      </c>
      <c r="D62" s="42" t="s">
        <v>656</v>
      </c>
      <c r="E62" s="100" t="s">
        <v>300</v>
      </c>
      <c r="F62" s="149">
        <f>'Земляные работы'!H18</f>
        <v>8100</v>
      </c>
      <c r="G62" s="220">
        <f>'Земляные работы'!H18/'Земляные работы'!$H$19*(370936+320904)*(1.023*1.005-2.3%*15%)*6.99-1</f>
        <v>1774265</v>
      </c>
      <c r="H62" s="145">
        <f t="shared" si="10"/>
        <v>1.123</v>
      </c>
      <c r="I62" s="146">
        <f t="shared" si="2"/>
        <v>1992500</v>
      </c>
      <c r="J62" s="145">
        <f>'[2]Расчет прогнозных дефляторов'!$D$57</f>
        <v>1.042</v>
      </c>
      <c r="K62" s="146">
        <f t="shared" ref="K62:K67" si="12">I62*J62</f>
        <v>2076185</v>
      </c>
      <c r="L62" s="146">
        <f t="shared" si="11"/>
        <v>2051080</v>
      </c>
      <c r="M62" s="147"/>
      <c r="N62" s="147"/>
      <c r="O62" s="147"/>
    </row>
    <row r="63" spans="1:15" s="167" customFormat="1" ht="25.5" hidden="1" outlineLevel="1" x14ac:dyDescent="0.2">
      <c r="A63" s="215"/>
      <c r="B63" s="160" t="s">
        <v>470</v>
      </c>
      <c r="C63" s="91" t="s">
        <v>561</v>
      </c>
      <c r="D63" s="91" t="s">
        <v>562</v>
      </c>
      <c r="E63" s="161" t="s">
        <v>300</v>
      </c>
      <c r="F63" s="162">
        <f>'Земляные работы'!K18</f>
        <v>405</v>
      </c>
      <c r="G63" s="99">
        <f>'Земляные работы'!K18/'Земляные работы'!K19*(139109+18545)*(1.023*1.005-2.3%*15%)*6.99</f>
        <v>404313</v>
      </c>
      <c r="H63" s="163">
        <f t="shared" si="10"/>
        <v>1.123</v>
      </c>
      <c r="I63" s="164">
        <f t="shared" si="2"/>
        <v>454043</v>
      </c>
      <c r="J63" s="163">
        <f>'[2]Расчет прогнозных дефляторов'!$D$57</f>
        <v>1.042</v>
      </c>
      <c r="K63" s="164">
        <f t="shared" si="12"/>
        <v>473113</v>
      </c>
      <c r="L63" s="164">
        <f t="shared" si="11"/>
        <v>467392</v>
      </c>
      <c r="M63" s="165" t="s">
        <v>563</v>
      </c>
      <c r="N63" s="165"/>
      <c r="O63" s="165"/>
    </row>
    <row r="64" spans="1:15" s="167" customFormat="1" ht="15.75" hidden="1" outlineLevel="1" x14ac:dyDescent="0.2">
      <c r="A64" s="215"/>
      <c r="B64" s="160" t="s">
        <v>476</v>
      </c>
      <c r="C64" s="91" t="s">
        <v>564</v>
      </c>
      <c r="D64" s="91" t="s">
        <v>565</v>
      </c>
      <c r="E64" s="161" t="s">
        <v>300</v>
      </c>
      <c r="F64" s="162">
        <f>'Земляные работы'!L18</f>
        <v>405</v>
      </c>
      <c r="G64" s="99">
        <f>'Земляные работы'!L18/'Земляные работы'!L19*(39510)*(1.023*1.005-2.3%*15%)*6.99</f>
        <v>101326</v>
      </c>
      <c r="H64" s="163">
        <f t="shared" si="10"/>
        <v>1.123</v>
      </c>
      <c r="I64" s="164">
        <f t="shared" si="2"/>
        <v>113789</v>
      </c>
      <c r="J64" s="163">
        <f>'[2]Расчет прогнозных дефляторов'!$D$57</f>
        <v>1.042</v>
      </c>
      <c r="K64" s="164">
        <f t="shared" si="12"/>
        <v>118568</v>
      </c>
      <c r="L64" s="164">
        <f t="shared" si="11"/>
        <v>117134</v>
      </c>
      <c r="M64" s="165" t="s">
        <v>563</v>
      </c>
      <c r="N64" s="165"/>
      <c r="O64" s="165"/>
    </row>
    <row r="65" spans="1:16" s="148" customFormat="1" ht="25.5" hidden="1" outlineLevel="1" x14ac:dyDescent="0.2">
      <c r="A65" s="200"/>
      <c r="B65" s="95" t="s">
        <v>483</v>
      </c>
      <c r="C65" s="42" t="s">
        <v>567</v>
      </c>
      <c r="D65" s="42" t="s">
        <v>750</v>
      </c>
      <c r="E65" s="100" t="s">
        <v>300</v>
      </c>
      <c r="F65" s="168">
        <f>20100.9*'Земляные работы'!M18/'Земляные работы'!$M$19+0.1</f>
        <v>7200</v>
      </c>
      <c r="G65" s="220">
        <f>('Земляные работы'!N18/'Земляные работы'!$N$19)*(60641+30320+211146)*(1.023*1.005-2.3%*15%)*6.99-1</f>
        <v>740534</v>
      </c>
      <c r="H65" s="145">
        <f t="shared" si="10"/>
        <v>1.123</v>
      </c>
      <c r="I65" s="146">
        <f t="shared" si="2"/>
        <v>831620</v>
      </c>
      <c r="J65" s="145">
        <f>'[2]Расчет прогнозных дефляторов'!$D$57</f>
        <v>1.042</v>
      </c>
      <c r="K65" s="146">
        <f t="shared" si="12"/>
        <v>866548</v>
      </c>
      <c r="L65" s="146">
        <f t="shared" si="11"/>
        <v>856070</v>
      </c>
      <c r="M65" s="147" t="s">
        <v>360</v>
      </c>
      <c r="N65" s="147"/>
      <c r="O65" s="147"/>
    </row>
    <row r="66" spans="1:16" s="148" customFormat="1" ht="15.75" hidden="1" outlineLevel="1" x14ac:dyDescent="0.2">
      <c r="A66" s="200"/>
      <c r="B66" s="95" t="s">
        <v>484</v>
      </c>
      <c r="C66" s="42" t="s">
        <v>764</v>
      </c>
      <c r="D66" s="42" t="s">
        <v>748</v>
      </c>
      <c r="E66" s="100" t="s">
        <v>305</v>
      </c>
      <c r="F66" s="149">
        <v>1</v>
      </c>
      <c r="G66" s="149">
        <f>141938*(1.023*1.005-2.3%*15%)*6.99</f>
        <v>1016618</v>
      </c>
      <c r="H66" s="145">
        <f t="shared" si="10"/>
        <v>1.123</v>
      </c>
      <c r="I66" s="146">
        <f t="shared" si="2"/>
        <v>1141662</v>
      </c>
      <c r="J66" s="145">
        <f>'[2]Расчет прогнозных дефляторов'!$D$57</f>
        <v>1.042</v>
      </c>
      <c r="K66" s="146">
        <f t="shared" si="12"/>
        <v>1189612</v>
      </c>
      <c r="L66" s="146">
        <f t="shared" si="11"/>
        <v>1175227</v>
      </c>
      <c r="M66" s="147" t="s">
        <v>765</v>
      </c>
      <c r="N66" s="147"/>
      <c r="O66" s="147"/>
    </row>
    <row r="67" spans="1:16" s="148" customFormat="1" ht="15.75" hidden="1" outlineLevel="1" x14ac:dyDescent="0.2">
      <c r="A67" s="200"/>
      <c r="B67" s="95" t="s">
        <v>485</v>
      </c>
      <c r="C67" s="42" t="s">
        <v>766</v>
      </c>
      <c r="D67" s="42" t="s">
        <v>749</v>
      </c>
      <c r="E67" s="100" t="s">
        <v>408</v>
      </c>
      <c r="F67" s="149">
        <v>1</v>
      </c>
      <c r="G67" s="149">
        <f>1075018*(1.023*1.005-2.3%*15%)*6.99-22</f>
        <v>7699696</v>
      </c>
      <c r="H67" s="145">
        <f t="shared" si="10"/>
        <v>1.123</v>
      </c>
      <c r="I67" s="146">
        <f t="shared" si="2"/>
        <v>8646759</v>
      </c>
      <c r="J67" s="145">
        <f>'[2]Расчет прогнозных дефляторов'!$D$57</f>
        <v>1.042</v>
      </c>
      <c r="K67" s="146">
        <f t="shared" si="12"/>
        <v>9009923</v>
      </c>
      <c r="L67" s="146">
        <f t="shared" si="11"/>
        <v>8900974</v>
      </c>
      <c r="M67" s="147" t="s">
        <v>455</v>
      </c>
      <c r="N67" s="147"/>
      <c r="O67" s="147"/>
    </row>
    <row r="68" spans="1:16" s="243" customFormat="1" ht="15.75" collapsed="1" x14ac:dyDescent="0.2">
      <c r="B68" s="244" t="s">
        <v>452</v>
      </c>
      <c r="C68" s="245"/>
      <c r="D68" s="245" t="s">
        <v>584</v>
      </c>
      <c r="E68" s="246" t="s">
        <v>292</v>
      </c>
      <c r="F68" s="247">
        <v>1</v>
      </c>
      <c r="G68" s="247">
        <f>SUM(G69:G94)+G95+G116+G132</f>
        <v>35472286</v>
      </c>
      <c r="H68" s="248">
        <f t="shared" si="10"/>
        <v>1.123</v>
      </c>
      <c r="I68" s="247">
        <f>SUM(I69:I94)+I95+I116+I132</f>
        <v>39835376</v>
      </c>
      <c r="J68" s="248">
        <f>'[2]Расчет прогнозных дефляторов'!$D$66</f>
        <v>1.042</v>
      </c>
      <c r="K68" s="247">
        <f>SUM(K69:K94)+K95+K116+K132</f>
        <v>41525531</v>
      </c>
      <c r="L68" s="247">
        <f>SUM(L69:L94)+L95+L116+L132</f>
        <v>41018490</v>
      </c>
      <c r="M68" s="269"/>
      <c r="N68" s="269"/>
      <c r="O68" s="269"/>
    </row>
    <row r="69" spans="1:16" s="148" customFormat="1" ht="15.75" outlineLevel="1" x14ac:dyDescent="0.2">
      <c r="A69" s="200"/>
      <c r="B69" s="95"/>
      <c r="C69" s="42"/>
      <c r="D69" s="157" t="s">
        <v>332</v>
      </c>
      <c r="E69" s="100"/>
      <c r="F69" s="149"/>
      <c r="G69" s="149"/>
      <c r="H69" s="145"/>
      <c r="I69" s="146"/>
      <c r="J69" s="145">
        <f>'[2]Расчет прогнозных дефляторов'!$D$66</f>
        <v>1.042</v>
      </c>
      <c r="K69" s="146"/>
      <c r="L69" s="146"/>
      <c r="M69" s="147"/>
      <c r="N69" s="147"/>
      <c r="O69" s="147"/>
    </row>
    <row r="70" spans="1:16" s="148" customFormat="1" ht="102" outlineLevel="1" x14ac:dyDescent="0.2">
      <c r="A70" s="200"/>
      <c r="B70" s="95" t="s">
        <v>491</v>
      </c>
      <c r="C70" s="42" t="s">
        <v>337</v>
      </c>
      <c r="D70" s="42" t="s">
        <v>335</v>
      </c>
      <c r="E70" s="100" t="s">
        <v>305</v>
      </c>
      <c r="F70" s="149">
        <v>1</v>
      </c>
      <c r="G70" s="149">
        <f>98888*(1.023*1.005-2.3%*15%)*6.99</f>
        <v>708276</v>
      </c>
      <c r="H70" s="145">
        <f>$H$772</f>
        <v>1.123</v>
      </c>
      <c r="I70" s="146">
        <f t="shared" si="2"/>
        <v>795394</v>
      </c>
      <c r="J70" s="145">
        <f>'[2]Расчет прогнозных дефляторов'!$D$66</f>
        <v>1.042</v>
      </c>
      <c r="K70" s="146">
        <f t="shared" ref="K70:K701" si="13">I70*J70</f>
        <v>828801</v>
      </c>
      <c r="L70" s="146">
        <f t="shared" ref="L70:L701" si="14">I70+(K70-I70)*(1-30/100)</f>
        <v>818779</v>
      </c>
      <c r="M70" s="172" t="s">
        <v>715</v>
      </c>
      <c r="N70" s="149">
        <v>15000</v>
      </c>
      <c r="O70" s="147">
        <f>F70*N70</f>
        <v>15000</v>
      </c>
      <c r="P70" s="205">
        <f>(98888-79462)*(1.023*1.005-2.3%*15%)*6.99</f>
        <v>139137</v>
      </c>
    </row>
    <row r="71" spans="1:16" s="148" customFormat="1" ht="56.25" customHeight="1" outlineLevel="1" x14ac:dyDescent="0.2">
      <c r="A71" s="200"/>
      <c r="B71" s="95" t="s">
        <v>495</v>
      </c>
      <c r="C71" s="42" t="s">
        <v>346</v>
      </c>
      <c r="D71" s="42" t="s">
        <v>338</v>
      </c>
      <c r="E71" s="100" t="s">
        <v>305</v>
      </c>
      <c r="F71" s="149">
        <v>1</v>
      </c>
      <c r="G71" s="149">
        <f>6985*(1.023*1.005-2.3%*15%)*6.99</f>
        <v>50029</v>
      </c>
      <c r="H71" s="145">
        <f>$H$772</f>
        <v>1.123</v>
      </c>
      <c r="I71" s="146">
        <f t="shared" si="2"/>
        <v>56183</v>
      </c>
      <c r="J71" s="145">
        <f>'[2]Расчет прогнозных дефляторов'!$D$66</f>
        <v>1.042</v>
      </c>
      <c r="K71" s="146">
        <f t="shared" si="13"/>
        <v>58543</v>
      </c>
      <c r="L71" s="146">
        <f t="shared" si="14"/>
        <v>57835</v>
      </c>
      <c r="M71" s="172" t="s">
        <v>716</v>
      </c>
      <c r="N71" s="147">
        <v>4466</v>
      </c>
      <c r="O71" s="147">
        <f>F71*N71</f>
        <v>4466</v>
      </c>
      <c r="P71" s="205">
        <f>(6985-8033)*(1.023*1.005-2.3%*15%)*6.99*1.2</f>
        <v>-9007</v>
      </c>
    </row>
    <row r="72" spans="1:16" s="148" customFormat="1" ht="15.75" outlineLevel="1" x14ac:dyDescent="0.2">
      <c r="B72" s="95"/>
      <c r="C72" s="42"/>
      <c r="D72" s="157" t="s">
        <v>585</v>
      </c>
      <c r="E72" s="100"/>
      <c r="F72" s="149"/>
      <c r="G72" s="149"/>
      <c r="H72" s="145"/>
      <c r="I72" s="146"/>
      <c r="J72" s="145">
        <f>'[2]Расчет прогнозных дефляторов'!$D$66</f>
        <v>1.042</v>
      </c>
      <c r="K72" s="146">
        <f t="shared" si="13"/>
        <v>0</v>
      </c>
      <c r="L72" s="146">
        <f t="shared" si="14"/>
        <v>0</v>
      </c>
      <c r="M72" s="147"/>
      <c r="N72" s="147"/>
      <c r="O72" s="147"/>
    </row>
    <row r="73" spans="1:16" s="148" customFormat="1" ht="15.75" outlineLevel="1" x14ac:dyDescent="0.2">
      <c r="A73" s="200"/>
      <c r="B73" s="95" t="s">
        <v>586</v>
      </c>
      <c r="C73" s="42" t="s">
        <v>797</v>
      </c>
      <c r="D73" s="42" t="s">
        <v>587</v>
      </c>
      <c r="E73" s="100" t="s">
        <v>292</v>
      </c>
      <c r="F73" s="149">
        <v>1</v>
      </c>
      <c r="G73" s="149">
        <f>10435*(1.023*1.005-2.3%*15%)*6.99+3896*4.09</f>
        <v>90674</v>
      </c>
      <c r="H73" s="145">
        <f>$H$772</f>
        <v>1.123</v>
      </c>
      <c r="I73" s="146">
        <f t="shared" si="2"/>
        <v>101827</v>
      </c>
      <c r="J73" s="145">
        <f>'[2]Расчет прогнозных дефляторов'!$D$66</f>
        <v>1.042</v>
      </c>
      <c r="K73" s="146">
        <f t="shared" si="13"/>
        <v>106104</v>
      </c>
      <c r="L73" s="146">
        <f t="shared" si="14"/>
        <v>104821</v>
      </c>
      <c r="M73" s="147"/>
      <c r="N73" s="147"/>
      <c r="O73" s="147"/>
    </row>
    <row r="74" spans="1:16" s="148" customFormat="1" ht="15.75" outlineLevel="1" x14ac:dyDescent="0.2">
      <c r="A74" s="200"/>
      <c r="B74" s="95" t="s">
        <v>588</v>
      </c>
      <c r="C74" s="42" t="s">
        <v>798</v>
      </c>
      <c r="D74" s="42" t="s">
        <v>589</v>
      </c>
      <c r="E74" s="100" t="s">
        <v>292</v>
      </c>
      <c r="F74" s="149">
        <v>1</v>
      </c>
      <c r="G74" s="149">
        <f>19865*(1.023*1.005-2.3%*15%)*6.99+76530*4.09-7</f>
        <v>455282</v>
      </c>
      <c r="H74" s="145">
        <f>$H$772</f>
        <v>1.123</v>
      </c>
      <c r="I74" s="146">
        <f t="shared" si="2"/>
        <v>511282</v>
      </c>
      <c r="J74" s="145">
        <f>'[2]Расчет прогнозных дефляторов'!$D$66</f>
        <v>1.042</v>
      </c>
      <c r="K74" s="146">
        <f t="shared" si="13"/>
        <v>532756</v>
      </c>
      <c r="L74" s="146">
        <f t="shared" si="14"/>
        <v>526314</v>
      </c>
      <c r="M74" s="147"/>
      <c r="N74" s="147"/>
      <c r="O74" s="147"/>
    </row>
    <row r="75" spans="1:16" s="148" customFormat="1" ht="15.75" outlineLevel="1" x14ac:dyDescent="0.2">
      <c r="B75" s="95" t="s">
        <v>590</v>
      </c>
      <c r="C75" s="42" t="s">
        <v>444</v>
      </c>
      <c r="D75" s="42" t="s">
        <v>591</v>
      </c>
      <c r="E75" s="100" t="s">
        <v>292</v>
      </c>
      <c r="F75" s="149">
        <v>1</v>
      </c>
      <c r="G75" s="149">
        <f>6443*(1.023*1.005-2.3%*15%)*6.99+78078*4.09-30</f>
        <v>365456</v>
      </c>
      <c r="H75" s="145">
        <f>$H$772</f>
        <v>1.123</v>
      </c>
      <c r="I75" s="146">
        <f t="shared" si="2"/>
        <v>410407</v>
      </c>
      <c r="J75" s="145">
        <f>'[2]Расчет прогнозных дефляторов'!$D$66</f>
        <v>1.042</v>
      </c>
      <c r="K75" s="146">
        <f t="shared" si="13"/>
        <v>427644</v>
      </c>
      <c r="L75" s="146">
        <f t="shared" si="14"/>
        <v>422473</v>
      </c>
      <c r="M75" s="147"/>
      <c r="N75" s="147"/>
      <c r="O75" s="147"/>
    </row>
    <row r="76" spans="1:16" s="148" customFormat="1" ht="15.75" outlineLevel="1" x14ac:dyDescent="0.2">
      <c r="B76" s="95"/>
      <c r="C76" s="42"/>
      <c r="D76" s="157" t="s">
        <v>592</v>
      </c>
      <c r="E76" s="100"/>
      <c r="F76" s="149"/>
      <c r="G76" s="149"/>
      <c r="H76" s="145"/>
      <c r="I76" s="146"/>
      <c r="J76" s="145">
        <f>'[2]Расчет прогнозных дефляторов'!$D$66</f>
        <v>1.042</v>
      </c>
      <c r="K76" s="146">
        <f t="shared" si="13"/>
        <v>0</v>
      </c>
      <c r="L76" s="146">
        <f t="shared" si="14"/>
        <v>0</v>
      </c>
      <c r="M76" s="147"/>
      <c r="N76" s="147"/>
      <c r="O76" s="147"/>
    </row>
    <row r="77" spans="1:16" s="148" customFormat="1" ht="25.5" outlineLevel="1" x14ac:dyDescent="0.2">
      <c r="A77" s="200"/>
      <c r="B77" s="95" t="s">
        <v>593</v>
      </c>
      <c r="C77" s="42" t="s">
        <v>790</v>
      </c>
      <c r="D77" s="42" t="s">
        <v>594</v>
      </c>
      <c r="E77" s="100" t="s">
        <v>292</v>
      </c>
      <c r="F77" s="149">
        <v>1</v>
      </c>
      <c r="G77" s="149">
        <f>27148*(1.023*1.005-2.3%*15%)*6.99+109702*4.09</f>
        <v>643126</v>
      </c>
      <c r="H77" s="145">
        <f>$H$772</f>
        <v>1.123</v>
      </c>
      <c r="I77" s="146">
        <f t="shared" si="2"/>
        <v>722230</v>
      </c>
      <c r="J77" s="145">
        <f>'[2]Расчет прогнозных дефляторов'!$D$66</f>
        <v>1.042</v>
      </c>
      <c r="K77" s="146">
        <f t="shared" si="13"/>
        <v>752564</v>
      </c>
      <c r="L77" s="146">
        <f t="shared" si="14"/>
        <v>743464</v>
      </c>
      <c r="M77" s="147"/>
      <c r="N77" s="147"/>
      <c r="O77" s="147"/>
    </row>
    <row r="78" spans="1:16" s="148" customFormat="1" ht="15.75" outlineLevel="1" x14ac:dyDescent="0.2">
      <c r="A78" s="200"/>
      <c r="B78" s="95" t="s">
        <v>595</v>
      </c>
      <c r="C78" s="42" t="s">
        <v>791</v>
      </c>
      <c r="D78" s="42" t="s">
        <v>596</v>
      </c>
      <c r="E78" s="100" t="s">
        <v>292</v>
      </c>
      <c r="F78" s="149">
        <v>1</v>
      </c>
      <c r="G78" s="149">
        <f>2014*(1.023*1.005-2.3%*15%)*6.99+66296*4.09</f>
        <v>285576</v>
      </c>
      <c r="H78" s="145">
        <f>$H$772</f>
        <v>1.123</v>
      </c>
      <c r="I78" s="146">
        <f t="shared" si="2"/>
        <v>320702</v>
      </c>
      <c r="J78" s="145">
        <f>'[2]Расчет прогнозных дефляторов'!$D$66</f>
        <v>1.042</v>
      </c>
      <c r="K78" s="146">
        <f t="shared" si="13"/>
        <v>334171</v>
      </c>
      <c r="L78" s="146">
        <f t="shared" si="14"/>
        <v>330130</v>
      </c>
      <c r="M78" s="147"/>
      <c r="N78" s="147"/>
      <c r="O78" s="147"/>
    </row>
    <row r="79" spans="1:16" s="148" customFormat="1" ht="15.75" outlineLevel="1" x14ac:dyDescent="0.2">
      <c r="A79" s="200"/>
      <c r="B79" s="95" t="s">
        <v>597</v>
      </c>
      <c r="C79" s="42" t="s">
        <v>792</v>
      </c>
      <c r="D79" s="42" t="s">
        <v>598</v>
      </c>
      <c r="E79" s="100" t="s">
        <v>292</v>
      </c>
      <c r="F79" s="149">
        <v>1</v>
      </c>
      <c r="G79" s="149">
        <f>6762*(1.023*1.005-2.3%*15%)*6.99+3254515*4.09-15</f>
        <v>13359384</v>
      </c>
      <c r="H79" s="145">
        <f>$H$772</f>
        <v>1.123</v>
      </c>
      <c r="I79" s="146">
        <f t="shared" si="2"/>
        <v>15002588</v>
      </c>
      <c r="J79" s="145">
        <f>'[2]Расчет прогнозных дефляторов'!$D$66</f>
        <v>1.042</v>
      </c>
      <c r="K79" s="146">
        <f t="shared" si="13"/>
        <v>15632697</v>
      </c>
      <c r="L79" s="146">
        <f t="shared" si="14"/>
        <v>15443664</v>
      </c>
      <c r="M79" s="147"/>
      <c r="N79" s="147"/>
      <c r="O79" s="147"/>
    </row>
    <row r="80" spans="1:16" s="148" customFormat="1" ht="15.75" outlineLevel="1" x14ac:dyDescent="0.2">
      <c r="B80" s="95"/>
      <c r="C80" s="42"/>
      <c r="D80" s="157" t="s">
        <v>599</v>
      </c>
      <c r="E80" s="100"/>
      <c r="F80" s="149"/>
      <c r="G80" s="149"/>
      <c r="H80" s="145"/>
      <c r="I80" s="146"/>
      <c r="J80" s="145">
        <f>'[2]Расчет прогнозных дефляторов'!$D$66</f>
        <v>1.042</v>
      </c>
      <c r="K80" s="146">
        <f t="shared" si="13"/>
        <v>0</v>
      </c>
      <c r="L80" s="146">
        <f t="shared" si="14"/>
        <v>0</v>
      </c>
      <c r="M80" s="147"/>
      <c r="N80" s="147"/>
      <c r="O80" s="147"/>
    </row>
    <row r="81" spans="1:15" s="148" customFormat="1" ht="15.75" outlineLevel="1" x14ac:dyDescent="0.2">
      <c r="A81" s="200"/>
      <c r="B81" s="95" t="s">
        <v>600</v>
      </c>
      <c r="C81" s="42" t="s">
        <v>801</v>
      </c>
      <c r="D81" s="42" t="s">
        <v>601</v>
      </c>
      <c r="E81" s="100" t="s">
        <v>292</v>
      </c>
      <c r="F81" s="149">
        <v>1</v>
      </c>
      <c r="G81" s="149">
        <f>14098*(1.023*1.005-2.3%*15%)*6.99+142193*4.09</f>
        <v>682545</v>
      </c>
      <c r="H81" s="145">
        <f>$H$772</f>
        <v>1.123</v>
      </c>
      <c r="I81" s="146">
        <f t="shared" si="2"/>
        <v>766498</v>
      </c>
      <c r="J81" s="145">
        <f>'[2]Расчет прогнозных дефляторов'!$D$66</f>
        <v>1.042</v>
      </c>
      <c r="K81" s="146">
        <f t="shared" si="13"/>
        <v>798691</v>
      </c>
      <c r="L81" s="146">
        <f t="shared" si="14"/>
        <v>789033</v>
      </c>
      <c r="M81" s="147"/>
      <c r="N81" s="147"/>
      <c r="O81" s="147"/>
    </row>
    <row r="82" spans="1:15" s="148" customFormat="1" ht="15.75" outlineLevel="1" x14ac:dyDescent="0.2">
      <c r="A82" s="200"/>
      <c r="B82" s="95" t="s">
        <v>602</v>
      </c>
      <c r="C82" s="42" t="s">
        <v>802</v>
      </c>
      <c r="D82" s="42" t="s">
        <v>603</v>
      </c>
      <c r="E82" s="100" t="s">
        <v>292</v>
      </c>
      <c r="F82" s="149">
        <v>1</v>
      </c>
      <c r="G82" s="149">
        <f>2216*(1.023*1.005-2.3%*15%)*6.99+3400*4.09</f>
        <v>29778</v>
      </c>
      <c r="H82" s="145">
        <f>$H$772</f>
        <v>1.123</v>
      </c>
      <c r="I82" s="146">
        <f t="shared" si="2"/>
        <v>33441</v>
      </c>
      <c r="J82" s="145">
        <f>'[2]Расчет прогнозных дефляторов'!$D$66</f>
        <v>1.042</v>
      </c>
      <c r="K82" s="146">
        <f t="shared" si="13"/>
        <v>34846</v>
      </c>
      <c r="L82" s="146">
        <f t="shared" si="14"/>
        <v>34425</v>
      </c>
      <c r="M82" s="147"/>
      <c r="N82" s="147"/>
      <c r="O82" s="147"/>
    </row>
    <row r="83" spans="1:15" s="148" customFormat="1" ht="15.75" outlineLevel="1" x14ac:dyDescent="0.2">
      <c r="A83" s="200"/>
      <c r="B83" s="95"/>
      <c r="C83" s="42" t="s">
        <v>810</v>
      </c>
      <c r="D83" s="42" t="s">
        <v>808</v>
      </c>
      <c r="E83" s="100" t="s">
        <v>292</v>
      </c>
      <c r="F83" s="149">
        <v>1</v>
      </c>
      <c r="G83" s="149">
        <f>2696*(1.023*1.005-2.3%*15%)*6.99+2312*4.09</f>
        <v>28766</v>
      </c>
      <c r="H83" s="145">
        <f>$H$772</f>
        <v>1.123</v>
      </c>
      <c r="I83" s="146">
        <f t="shared" si="2"/>
        <v>32304</v>
      </c>
      <c r="J83" s="145">
        <f>'[2]Расчет прогнозных дефляторов'!$D$66</f>
        <v>1.042</v>
      </c>
      <c r="K83" s="146">
        <f t="shared" si="13"/>
        <v>33661</v>
      </c>
      <c r="L83" s="146">
        <f t="shared" si="14"/>
        <v>33254</v>
      </c>
      <c r="M83" s="147"/>
      <c r="N83" s="147"/>
      <c r="O83" s="147"/>
    </row>
    <row r="84" spans="1:15" s="148" customFormat="1" ht="15.75" outlineLevel="1" x14ac:dyDescent="0.2">
      <c r="A84" s="200"/>
      <c r="B84" s="95"/>
      <c r="C84" s="42"/>
      <c r="D84" s="157" t="s">
        <v>339</v>
      </c>
      <c r="E84" s="100"/>
      <c r="F84" s="149"/>
      <c r="G84" s="149"/>
      <c r="H84" s="145"/>
      <c r="I84" s="146"/>
      <c r="J84" s="145">
        <f>'[2]Расчет прогнозных дефляторов'!$D$66</f>
        <v>1.042</v>
      </c>
      <c r="K84" s="146">
        <f t="shared" si="13"/>
        <v>0</v>
      </c>
      <c r="L84" s="146">
        <f t="shared" si="14"/>
        <v>0</v>
      </c>
      <c r="M84" s="147"/>
      <c r="N84" s="147"/>
      <c r="O84" s="147"/>
    </row>
    <row r="85" spans="1:15" s="148" customFormat="1" ht="15.75" outlineLevel="1" x14ac:dyDescent="0.2">
      <c r="A85" s="200"/>
      <c r="B85" s="95" t="s">
        <v>606</v>
      </c>
      <c r="C85" s="42" t="s">
        <v>688</v>
      </c>
      <c r="D85" s="42" t="s">
        <v>720</v>
      </c>
      <c r="E85" s="100" t="s">
        <v>305</v>
      </c>
      <c r="F85" s="149">
        <v>1</v>
      </c>
      <c r="G85" s="149">
        <f>O85/($O$85+$O$86+$O$87+$O$89+$O$90)*143108*(1.023*1.005-2.3%*15%)*6.99</f>
        <v>133969</v>
      </c>
      <c r="H85" s="145">
        <f t="shared" ref="H85:H97" si="15">$H$772</f>
        <v>1.123</v>
      </c>
      <c r="I85" s="146">
        <f t="shared" si="2"/>
        <v>150447</v>
      </c>
      <c r="J85" s="145">
        <f>'[2]Расчет прогнозных дефляторов'!$D$66</f>
        <v>1.042</v>
      </c>
      <c r="K85" s="146">
        <f t="shared" si="13"/>
        <v>156766</v>
      </c>
      <c r="L85" s="146">
        <f t="shared" si="14"/>
        <v>154870</v>
      </c>
      <c r="M85" s="147"/>
      <c r="N85" s="147">
        <v>4590</v>
      </c>
      <c r="O85" s="147">
        <f t="shared" ref="O85:O94" si="16">F85*N85</f>
        <v>4590</v>
      </c>
    </row>
    <row r="86" spans="1:15" s="148" customFormat="1" ht="15.75" outlineLevel="1" x14ac:dyDescent="0.2">
      <c r="A86" s="200"/>
      <c r="B86" s="95" t="s">
        <v>607</v>
      </c>
      <c r="C86" s="42" t="s">
        <v>688</v>
      </c>
      <c r="D86" s="42" t="s">
        <v>721</v>
      </c>
      <c r="E86" s="100" t="s">
        <v>305</v>
      </c>
      <c r="F86" s="149">
        <v>1</v>
      </c>
      <c r="G86" s="149">
        <f t="shared" ref="G86:G90" si="17">O86/($O$85+$O$86+$O$87+$O$89+$O$90)*143108*(1.023*1.005-2.3%*15%)*6.99</f>
        <v>244472</v>
      </c>
      <c r="H86" s="145">
        <f t="shared" si="15"/>
        <v>1.123</v>
      </c>
      <c r="I86" s="146">
        <f t="shared" ref="I86:I149" si="18">G86*H86</f>
        <v>274542</v>
      </c>
      <c r="J86" s="145">
        <f>'[2]Расчет прогнозных дефляторов'!$D$66</f>
        <v>1.042</v>
      </c>
      <c r="K86" s="146">
        <f t="shared" si="13"/>
        <v>286073</v>
      </c>
      <c r="L86" s="146">
        <f t="shared" si="14"/>
        <v>282614</v>
      </c>
      <c r="M86" s="147"/>
      <c r="N86" s="147">
        <v>8376</v>
      </c>
      <c r="O86" s="147">
        <f t="shared" si="16"/>
        <v>8376</v>
      </c>
    </row>
    <row r="87" spans="1:15" s="148" customFormat="1" ht="15.75" outlineLevel="1" x14ac:dyDescent="0.2">
      <c r="A87" s="200"/>
      <c r="B87" s="95" t="s">
        <v>608</v>
      </c>
      <c r="C87" s="42" t="s">
        <v>688</v>
      </c>
      <c r="D87" s="42" t="s">
        <v>722</v>
      </c>
      <c r="E87" s="100" t="s">
        <v>305</v>
      </c>
      <c r="F87" s="149">
        <v>1</v>
      </c>
      <c r="G87" s="149">
        <f t="shared" si="17"/>
        <v>231688</v>
      </c>
      <c r="H87" s="145">
        <f t="shared" si="15"/>
        <v>1.123</v>
      </c>
      <c r="I87" s="146">
        <f t="shared" si="18"/>
        <v>260186</v>
      </c>
      <c r="J87" s="145">
        <f>'[2]Расчет прогнозных дефляторов'!$D$66</f>
        <v>1.042</v>
      </c>
      <c r="K87" s="146">
        <f t="shared" si="13"/>
        <v>271114</v>
      </c>
      <c r="L87" s="146">
        <f t="shared" si="14"/>
        <v>267836</v>
      </c>
      <c r="M87" s="147"/>
      <c r="N87" s="147">
        <v>7938</v>
      </c>
      <c r="O87" s="147">
        <f t="shared" si="16"/>
        <v>7938</v>
      </c>
    </row>
    <row r="88" spans="1:15" s="148" customFormat="1" ht="15.75" outlineLevel="1" x14ac:dyDescent="0.2">
      <c r="A88" s="200"/>
      <c r="B88" s="95" t="s">
        <v>609</v>
      </c>
      <c r="C88" s="42" t="s">
        <v>719</v>
      </c>
      <c r="D88" s="42" t="s">
        <v>723</v>
      </c>
      <c r="E88" s="100" t="s">
        <v>305</v>
      </c>
      <c r="F88" s="149">
        <v>1</v>
      </c>
      <c r="G88" s="149">
        <f>48502*(1.023*1.005-2.3%*15%)*6.99</f>
        <v>347391</v>
      </c>
      <c r="H88" s="145">
        <f t="shared" si="15"/>
        <v>1.123</v>
      </c>
      <c r="I88" s="146">
        <f t="shared" si="18"/>
        <v>390120</v>
      </c>
      <c r="J88" s="145">
        <f>'[2]Расчет прогнозных дефляторов'!$D$66</f>
        <v>1.042</v>
      </c>
      <c r="K88" s="146">
        <f t="shared" si="13"/>
        <v>406505</v>
      </c>
      <c r="L88" s="146">
        <f t="shared" si="14"/>
        <v>401590</v>
      </c>
      <c r="M88" s="147"/>
      <c r="N88" s="147">
        <v>12088</v>
      </c>
      <c r="O88" s="147">
        <f t="shared" si="16"/>
        <v>12088</v>
      </c>
    </row>
    <row r="89" spans="1:15" s="148" customFormat="1" ht="15.75" outlineLevel="1" x14ac:dyDescent="0.2">
      <c r="A89" s="200"/>
      <c r="B89" s="95" t="s">
        <v>610</v>
      </c>
      <c r="C89" s="42" t="s">
        <v>688</v>
      </c>
      <c r="D89" s="42" t="s">
        <v>724</v>
      </c>
      <c r="E89" s="100" t="s">
        <v>305</v>
      </c>
      <c r="F89" s="149">
        <v>1</v>
      </c>
      <c r="G89" s="149">
        <f t="shared" si="17"/>
        <v>284809</v>
      </c>
      <c r="H89" s="145">
        <f t="shared" si="15"/>
        <v>1.123</v>
      </c>
      <c r="I89" s="146">
        <f t="shared" si="18"/>
        <v>319841</v>
      </c>
      <c r="J89" s="145">
        <f>'[2]Расчет прогнозных дефляторов'!$D$66</f>
        <v>1.042</v>
      </c>
      <c r="K89" s="146">
        <f t="shared" si="13"/>
        <v>333274</v>
      </c>
      <c r="L89" s="146">
        <f t="shared" si="14"/>
        <v>329244</v>
      </c>
      <c r="M89" s="147"/>
      <c r="N89" s="147">
        <v>9758</v>
      </c>
      <c r="O89" s="147">
        <f t="shared" si="16"/>
        <v>9758</v>
      </c>
    </row>
    <row r="90" spans="1:15" s="148" customFormat="1" ht="15.75" outlineLevel="1" x14ac:dyDescent="0.2">
      <c r="A90" s="200"/>
      <c r="B90" s="95" t="s">
        <v>611</v>
      </c>
      <c r="C90" s="42" t="s">
        <v>688</v>
      </c>
      <c r="D90" s="42" t="s">
        <v>725</v>
      </c>
      <c r="E90" s="100" t="s">
        <v>305</v>
      </c>
      <c r="F90" s="149">
        <v>1</v>
      </c>
      <c r="G90" s="149">
        <f t="shared" si="17"/>
        <v>130058</v>
      </c>
      <c r="H90" s="145">
        <f t="shared" si="15"/>
        <v>1.123</v>
      </c>
      <c r="I90" s="146">
        <f t="shared" si="18"/>
        <v>146055</v>
      </c>
      <c r="J90" s="145">
        <f>'[2]Расчет прогнозных дефляторов'!$D$66</f>
        <v>1.042</v>
      </c>
      <c r="K90" s="146">
        <f t="shared" si="13"/>
        <v>152189</v>
      </c>
      <c r="L90" s="146">
        <f t="shared" si="14"/>
        <v>150349</v>
      </c>
      <c r="M90" s="147"/>
      <c r="N90" s="147">
        <v>4456</v>
      </c>
      <c r="O90" s="147">
        <f t="shared" si="16"/>
        <v>4456</v>
      </c>
    </row>
    <row r="91" spans="1:15" s="148" customFormat="1" ht="15.75" outlineLevel="1" x14ac:dyDescent="0.2">
      <c r="A91" s="200"/>
      <c r="B91" s="95" t="s">
        <v>613</v>
      </c>
      <c r="C91" s="42" t="s">
        <v>341</v>
      </c>
      <c r="D91" s="42" t="s">
        <v>726</v>
      </c>
      <c r="E91" s="100" t="s">
        <v>305</v>
      </c>
      <c r="F91" s="149">
        <v>6</v>
      </c>
      <c r="G91" s="149">
        <f>O91/SUM($O$91:$O$94)*301142*(1.023*1.005-2.3%*15%)*6.99</f>
        <v>598087</v>
      </c>
      <c r="H91" s="145">
        <f t="shared" si="15"/>
        <v>1.123</v>
      </c>
      <c r="I91" s="146">
        <f>G91*H91</f>
        <v>671652</v>
      </c>
      <c r="J91" s="145">
        <f>'[2]Расчет прогнозных дефляторов'!$D$66</f>
        <v>1.042</v>
      </c>
      <c r="K91" s="146">
        <f>I91*J91</f>
        <v>699861</v>
      </c>
      <c r="L91" s="146">
        <f>I91+(K91-I91)*(1-30/100)</f>
        <v>691398</v>
      </c>
      <c r="M91" s="147"/>
      <c r="N91" s="147">
        <v>3000</v>
      </c>
      <c r="O91" s="147">
        <f>F91*N91</f>
        <v>18000</v>
      </c>
    </row>
    <row r="92" spans="1:15" s="148" customFormat="1" ht="15.75" outlineLevel="1" x14ac:dyDescent="0.2">
      <c r="A92" s="200"/>
      <c r="B92" s="95" t="s">
        <v>717</v>
      </c>
      <c r="C92" s="42" t="s">
        <v>341</v>
      </c>
      <c r="D92" s="42" t="s">
        <v>350</v>
      </c>
      <c r="E92" s="100" t="s">
        <v>305</v>
      </c>
      <c r="F92" s="149">
        <v>6</v>
      </c>
      <c r="G92" s="149">
        <f t="shared" ref="G92:G94" si="19">O92/SUM($O$91:$O$94)*301142*(1.023*1.005-2.3%*15%)*6.99</f>
        <v>350280</v>
      </c>
      <c r="H92" s="145">
        <f t="shared" si="15"/>
        <v>1.123</v>
      </c>
      <c r="I92" s="146">
        <f>G92*H92</f>
        <v>393364</v>
      </c>
      <c r="J92" s="145">
        <f>'[2]Расчет прогнозных дефляторов'!$D$66</f>
        <v>1.042</v>
      </c>
      <c r="K92" s="146">
        <f>I92*J92</f>
        <v>409885</v>
      </c>
      <c r="L92" s="146">
        <f>I92+(K92-I92)*(1-30/100)</f>
        <v>404929</v>
      </c>
      <c r="M92" s="147"/>
      <c r="N92" s="147">
        <v>1757</v>
      </c>
      <c r="O92" s="147">
        <f>F92*N92</f>
        <v>10542</v>
      </c>
    </row>
    <row r="93" spans="1:15" s="148" customFormat="1" ht="15.75" outlineLevel="1" x14ac:dyDescent="0.2">
      <c r="A93" s="200"/>
      <c r="B93" s="95" t="s">
        <v>718</v>
      </c>
      <c r="C93" s="42" t="s">
        <v>341</v>
      </c>
      <c r="D93" s="42" t="s">
        <v>352</v>
      </c>
      <c r="E93" s="100" t="s">
        <v>305</v>
      </c>
      <c r="F93" s="149">
        <v>6</v>
      </c>
      <c r="G93" s="149">
        <f t="shared" si="19"/>
        <v>255981</v>
      </c>
      <c r="H93" s="145">
        <f t="shared" si="15"/>
        <v>1.123</v>
      </c>
      <c r="I93" s="146">
        <f>G93*H93</f>
        <v>287467</v>
      </c>
      <c r="J93" s="145">
        <f>'[2]Расчет прогнозных дефляторов'!$D$66</f>
        <v>1.042</v>
      </c>
      <c r="K93" s="146">
        <f>I93*J93</f>
        <v>299541</v>
      </c>
      <c r="L93" s="146">
        <f>I93+(K93-I93)*(1-30/100)</f>
        <v>295919</v>
      </c>
      <c r="M93" s="147"/>
      <c r="N93" s="147">
        <v>1284</v>
      </c>
      <c r="O93" s="147">
        <f>F93*N93</f>
        <v>7704</v>
      </c>
    </row>
    <row r="94" spans="1:15" s="148" customFormat="1" ht="102" outlineLevel="1" x14ac:dyDescent="0.2">
      <c r="A94" s="200"/>
      <c r="B94" s="95" t="s">
        <v>612</v>
      </c>
      <c r="C94" s="42" t="s">
        <v>341</v>
      </c>
      <c r="D94" s="42" t="s">
        <v>347</v>
      </c>
      <c r="E94" s="100" t="s">
        <v>305</v>
      </c>
      <c r="F94" s="149">
        <v>12</v>
      </c>
      <c r="G94" s="149">
        <f t="shared" si="19"/>
        <v>952554</v>
      </c>
      <c r="H94" s="145">
        <f t="shared" si="15"/>
        <v>1.123</v>
      </c>
      <c r="I94" s="146">
        <f t="shared" si="18"/>
        <v>1069718</v>
      </c>
      <c r="J94" s="145">
        <f>'[2]Расчет прогнозных дефляторов'!$D$66</f>
        <v>1.042</v>
      </c>
      <c r="K94" s="146">
        <f t="shared" si="13"/>
        <v>1114646</v>
      </c>
      <c r="L94" s="146">
        <f t="shared" si="14"/>
        <v>1101168</v>
      </c>
      <c r="M94" s="172" t="s">
        <v>727</v>
      </c>
      <c r="N94" s="147">
        <v>2389</v>
      </c>
      <c r="O94" s="147">
        <f t="shared" si="16"/>
        <v>28668</v>
      </c>
    </row>
    <row r="95" spans="1:15" s="243" customFormat="1" ht="25.5" x14ac:dyDescent="0.2">
      <c r="B95" s="244"/>
      <c r="C95" s="245" t="s">
        <v>215</v>
      </c>
      <c r="D95" s="245" t="s">
        <v>216</v>
      </c>
      <c r="E95" s="246" t="s">
        <v>292</v>
      </c>
      <c r="F95" s="247">
        <v>1</v>
      </c>
      <c r="G95" s="247">
        <f>SUM(G96:G115)</f>
        <v>14517844</v>
      </c>
      <c r="H95" s="248">
        <f t="shared" si="15"/>
        <v>1.123</v>
      </c>
      <c r="I95" s="247">
        <f>SUM(I96:I115)</f>
        <v>16303540</v>
      </c>
      <c r="J95" s="248">
        <f>'[2]Расчет прогнозных дефляторов'!$D$75</f>
        <v>1.0429999999999999</v>
      </c>
      <c r="K95" s="247">
        <f>SUM(K96:K115)</f>
        <v>17004590</v>
      </c>
      <c r="L95" s="247">
        <f>SUM(L96:L115)</f>
        <v>16794277</v>
      </c>
      <c r="M95" s="269"/>
      <c r="N95" s="269"/>
      <c r="O95" s="269"/>
    </row>
    <row r="96" spans="1:15" s="148" customFormat="1" ht="15.75" hidden="1" outlineLevel="1" x14ac:dyDescent="0.2">
      <c r="A96" s="200"/>
      <c r="B96" s="95"/>
      <c r="C96" s="42" t="s">
        <v>1338</v>
      </c>
      <c r="D96" s="42" t="s">
        <v>1309</v>
      </c>
      <c r="E96" s="100" t="s">
        <v>292</v>
      </c>
      <c r="F96" s="149">
        <v>1</v>
      </c>
      <c r="G96" s="149">
        <f>(197847)*(1.023*1.005-2.3%*15%)*6.99+0*4.09</f>
        <v>1417061</v>
      </c>
      <c r="H96" s="145">
        <f t="shared" si="15"/>
        <v>1.123</v>
      </c>
      <c r="I96" s="146">
        <f t="shared" ref="I96:I97" si="20">G96*H96</f>
        <v>1591360</v>
      </c>
      <c r="J96" s="145">
        <f>'[2]Расчет прогнозных дефляторов'!$D$75</f>
        <v>1.0429999999999999</v>
      </c>
      <c r="K96" s="146">
        <f t="shared" ref="K96:K97" si="21">I96*J96</f>
        <v>1659788</v>
      </c>
      <c r="L96" s="146">
        <f t="shared" ref="L96:L97" si="22">I96+(K96-I96)*(1-30/100)</f>
        <v>1639260</v>
      </c>
      <c r="M96" s="147"/>
      <c r="N96" s="147"/>
      <c r="O96" s="147"/>
    </row>
    <row r="97" spans="1:15" s="148" customFormat="1" ht="15.75" hidden="1" outlineLevel="1" x14ac:dyDescent="0.2">
      <c r="A97" s="200"/>
      <c r="B97" s="95"/>
      <c r="C97" s="42" t="s">
        <v>1337</v>
      </c>
      <c r="D97" s="42" t="s">
        <v>1310</v>
      </c>
      <c r="E97" s="100" t="s">
        <v>292</v>
      </c>
      <c r="F97" s="149">
        <v>1</v>
      </c>
      <c r="G97" s="149">
        <f>(14269)*(1.023*1.005-2.3%*15%)*6.99+0*4.09</f>
        <v>102200</v>
      </c>
      <c r="H97" s="145">
        <f t="shared" si="15"/>
        <v>1.123</v>
      </c>
      <c r="I97" s="146">
        <f t="shared" si="20"/>
        <v>114771</v>
      </c>
      <c r="J97" s="145">
        <f>'[2]Расчет прогнозных дефляторов'!$D$75</f>
        <v>1.0429999999999999</v>
      </c>
      <c r="K97" s="146">
        <f t="shared" si="21"/>
        <v>119706</v>
      </c>
      <c r="L97" s="146">
        <f t="shared" si="22"/>
        <v>118226</v>
      </c>
      <c r="M97" s="147"/>
      <c r="N97" s="147"/>
      <c r="O97" s="147"/>
    </row>
    <row r="98" spans="1:15" s="148" customFormat="1" ht="15.75" hidden="1" outlineLevel="1" x14ac:dyDescent="0.2">
      <c r="A98" s="200"/>
      <c r="B98" s="95"/>
      <c r="C98" s="42"/>
      <c r="D98" s="42" t="s">
        <v>1311</v>
      </c>
      <c r="E98" s="100"/>
      <c r="F98" s="100"/>
      <c r="G98" s="149"/>
      <c r="H98" s="145"/>
      <c r="I98" s="146"/>
      <c r="J98" s="145"/>
      <c r="K98" s="146"/>
      <c r="L98" s="146"/>
      <c r="M98" s="147"/>
      <c r="N98" s="147"/>
      <c r="O98" s="147"/>
    </row>
    <row r="99" spans="1:15" s="148" customFormat="1" ht="25.5" hidden="1" outlineLevel="1" x14ac:dyDescent="0.2">
      <c r="A99" s="200"/>
      <c r="B99" s="95"/>
      <c r="C99" s="42" t="s">
        <v>1336</v>
      </c>
      <c r="D99" s="42" t="s">
        <v>1312</v>
      </c>
      <c r="E99" s="100" t="s">
        <v>404</v>
      </c>
      <c r="F99" s="100">
        <f>424.6</f>
        <v>424.6</v>
      </c>
      <c r="G99" s="149">
        <f>(142090)*(1.023*1.005-2.3%*15%)*6.99+0*4.09</f>
        <v>1017707</v>
      </c>
      <c r="H99" s="145">
        <f t="shared" ref="H99:H111" si="23">$H$772</f>
        <v>1.123</v>
      </c>
      <c r="I99" s="146">
        <f t="shared" ref="I99:I111" si="24">G99*H99</f>
        <v>1142885</v>
      </c>
      <c r="J99" s="145">
        <f>'[2]Расчет прогнозных дефляторов'!$D$75</f>
        <v>1.0429999999999999</v>
      </c>
      <c r="K99" s="146">
        <f t="shared" ref="K99:K111" si="25">I99*J99</f>
        <v>1192029</v>
      </c>
      <c r="L99" s="146">
        <f t="shared" ref="L99:L111" si="26">I99+(K99-I99)*(1-30/100)</f>
        <v>1177286</v>
      </c>
      <c r="M99" s="147"/>
      <c r="N99" s="147"/>
      <c r="O99" s="147"/>
    </row>
    <row r="100" spans="1:15" s="148" customFormat="1" ht="15.75" hidden="1" outlineLevel="1" x14ac:dyDescent="0.2">
      <c r="A100" s="200"/>
      <c r="B100" s="95"/>
      <c r="C100" s="42" t="s">
        <v>1335</v>
      </c>
      <c r="D100" s="42" t="s">
        <v>1313</v>
      </c>
      <c r="E100" s="100" t="s">
        <v>404</v>
      </c>
      <c r="F100" s="100">
        <f>248.82</f>
        <v>248.82</v>
      </c>
      <c r="G100" s="149">
        <f>(70136)*(1.023*1.005-2.3%*15%)*6.99+0*4.09</f>
        <v>502343</v>
      </c>
      <c r="H100" s="145">
        <f t="shared" si="23"/>
        <v>1.123</v>
      </c>
      <c r="I100" s="146">
        <f t="shared" si="24"/>
        <v>564131</v>
      </c>
      <c r="J100" s="145">
        <f>'[2]Расчет прогнозных дефляторов'!$D$75</f>
        <v>1.0429999999999999</v>
      </c>
      <c r="K100" s="146">
        <f t="shared" si="25"/>
        <v>588389</v>
      </c>
      <c r="L100" s="146">
        <f t="shared" si="26"/>
        <v>581112</v>
      </c>
      <c r="M100" s="147"/>
      <c r="N100" s="147"/>
      <c r="O100" s="147"/>
    </row>
    <row r="101" spans="1:15" s="148" customFormat="1" ht="38.25" hidden="1" outlineLevel="1" x14ac:dyDescent="0.2">
      <c r="A101" s="200"/>
      <c r="B101" s="95"/>
      <c r="C101" s="42" t="s">
        <v>1334</v>
      </c>
      <c r="D101" s="230" t="s">
        <v>1315</v>
      </c>
      <c r="E101" s="100" t="s">
        <v>404</v>
      </c>
      <c r="F101" s="100">
        <f>547</f>
        <v>547</v>
      </c>
      <c r="G101" s="149">
        <f>(156865)*(1.023*1.005-2.3%*15%)*6.99+0*4.09</f>
        <v>1123531</v>
      </c>
      <c r="H101" s="145">
        <f t="shared" si="23"/>
        <v>1.123</v>
      </c>
      <c r="I101" s="146">
        <f t="shared" si="24"/>
        <v>1261725</v>
      </c>
      <c r="J101" s="145">
        <f>'[2]Расчет прогнозных дефляторов'!$D$75</f>
        <v>1.0429999999999999</v>
      </c>
      <c r="K101" s="146">
        <f t="shared" si="25"/>
        <v>1315979</v>
      </c>
      <c r="L101" s="146">
        <f t="shared" si="26"/>
        <v>1299703</v>
      </c>
      <c r="M101" s="147"/>
      <c r="N101" s="147"/>
      <c r="O101" s="147"/>
    </row>
    <row r="102" spans="1:15" s="148" customFormat="1" ht="15.75" hidden="1" outlineLevel="1" x14ac:dyDescent="0.2">
      <c r="A102" s="200"/>
      <c r="B102" s="95"/>
      <c r="C102" s="42" t="s">
        <v>1333</v>
      </c>
      <c r="D102" s="42" t="s">
        <v>1314</v>
      </c>
      <c r="E102" s="100" t="s">
        <v>404</v>
      </c>
      <c r="F102" s="100">
        <f>116</f>
        <v>116</v>
      </c>
      <c r="G102" s="149">
        <f>(15935)*(1.023*1.005-2.3%*15%)*6.99+0*4.09</f>
        <v>114133</v>
      </c>
      <c r="H102" s="145">
        <f t="shared" si="23"/>
        <v>1.123</v>
      </c>
      <c r="I102" s="146">
        <f t="shared" si="24"/>
        <v>128171</v>
      </c>
      <c r="J102" s="145">
        <f>'[2]Расчет прогнозных дефляторов'!$D$75</f>
        <v>1.0429999999999999</v>
      </c>
      <c r="K102" s="146">
        <f t="shared" si="25"/>
        <v>133682</v>
      </c>
      <c r="L102" s="146">
        <f t="shared" si="26"/>
        <v>132029</v>
      </c>
      <c r="M102" s="147"/>
      <c r="N102" s="147"/>
      <c r="O102" s="147"/>
    </row>
    <row r="103" spans="1:15" s="148" customFormat="1" ht="15.75" hidden="1" outlineLevel="1" x14ac:dyDescent="0.2">
      <c r="A103" s="200"/>
      <c r="B103" s="95"/>
      <c r="C103" s="42" t="s">
        <v>1332</v>
      </c>
      <c r="D103" s="42" t="s">
        <v>1317</v>
      </c>
      <c r="E103" s="100" t="s">
        <v>404</v>
      </c>
      <c r="F103" s="100">
        <f>126.9</f>
        <v>126.9</v>
      </c>
      <c r="G103" s="149">
        <f>(35004)*(1.023*1.005-2.3%*15%)*6.99+0*4.09</f>
        <v>250713</v>
      </c>
      <c r="H103" s="145">
        <f t="shared" si="23"/>
        <v>1.123</v>
      </c>
      <c r="I103" s="146">
        <f t="shared" si="24"/>
        <v>281551</v>
      </c>
      <c r="J103" s="145">
        <f>'[2]Расчет прогнозных дефляторов'!$D$75</f>
        <v>1.0429999999999999</v>
      </c>
      <c r="K103" s="146">
        <f t="shared" si="25"/>
        <v>293658</v>
      </c>
      <c r="L103" s="146">
        <f t="shared" si="26"/>
        <v>290026</v>
      </c>
      <c r="M103" s="147"/>
      <c r="N103" s="147"/>
      <c r="O103" s="147"/>
    </row>
    <row r="104" spans="1:15" s="148" customFormat="1" ht="15.75" hidden="1" outlineLevel="1" x14ac:dyDescent="0.2">
      <c r="A104" s="200"/>
      <c r="B104" s="95"/>
      <c r="C104" s="42" t="s">
        <v>1331</v>
      </c>
      <c r="D104" s="42" t="s">
        <v>1316</v>
      </c>
      <c r="E104" s="100" t="s">
        <v>404</v>
      </c>
      <c r="F104" s="100">
        <f>364.9</f>
        <v>364.9</v>
      </c>
      <c r="G104" s="149">
        <f>(122117)*(1.023*1.005-2.3%*15%)*6.99+0*4.09</f>
        <v>874652</v>
      </c>
      <c r="H104" s="145">
        <f t="shared" si="23"/>
        <v>1.123</v>
      </c>
      <c r="I104" s="146">
        <f t="shared" si="24"/>
        <v>982234</v>
      </c>
      <c r="J104" s="145">
        <f>'[2]Расчет прогнозных дефляторов'!$D$75</f>
        <v>1.0429999999999999</v>
      </c>
      <c r="K104" s="146">
        <f t="shared" si="25"/>
        <v>1024470</v>
      </c>
      <c r="L104" s="146">
        <f t="shared" si="26"/>
        <v>1011799</v>
      </c>
      <c r="M104" s="147"/>
      <c r="N104" s="147"/>
      <c r="O104" s="147"/>
    </row>
    <row r="105" spans="1:15" s="148" customFormat="1" ht="15.75" hidden="1" outlineLevel="1" x14ac:dyDescent="0.2">
      <c r="A105" s="200"/>
      <c r="B105" s="95"/>
      <c r="C105" s="42" t="s">
        <v>1330</v>
      </c>
      <c r="D105" s="42" t="s">
        <v>864</v>
      </c>
      <c r="E105" s="100" t="s">
        <v>404</v>
      </c>
      <c r="F105" s="161">
        <v>7640</v>
      </c>
      <c r="G105" s="149">
        <f>(348367)*(1.023*1.005-2.3%*15%)*6.99+0*4.09-24</f>
        <v>2495123</v>
      </c>
      <c r="H105" s="145">
        <f t="shared" si="23"/>
        <v>1.123</v>
      </c>
      <c r="I105" s="146">
        <f t="shared" si="24"/>
        <v>2802023</v>
      </c>
      <c r="J105" s="145">
        <f>'[2]Расчет прогнозных дефляторов'!$D$75</f>
        <v>1.0429999999999999</v>
      </c>
      <c r="K105" s="146">
        <f t="shared" si="25"/>
        <v>2922510</v>
      </c>
      <c r="L105" s="146">
        <f t="shared" si="26"/>
        <v>2886364</v>
      </c>
      <c r="M105" s="147" t="s">
        <v>1318</v>
      </c>
      <c r="N105" s="147"/>
      <c r="O105" s="147"/>
    </row>
    <row r="106" spans="1:15" s="148" customFormat="1" ht="15.75" hidden="1" outlineLevel="1" x14ac:dyDescent="0.2">
      <c r="A106" s="200"/>
      <c r="B106" s="95"/>
      <c r="C106" s="42" t="s">
        <v>1329</v>
      </c>
      <c r="D106" s="42" t="s">
        <v>1319</v>
      </c>
      <c r="E106" s="100" t="s">
        <v>404</v>
      </c>
      <c r="F106" s="100">
        <f>52.6</f>
        <v>52.6</v>
      </c>
      <c r="G106" s="149">
        <f>(18293)*(1.023*1.005-2.3%*15%)*6.99+0*4.09</f>
        <v>131022</v>
      </c>
      <c r="H106" s="145">
        <f t="shared" si="23"/>
        <v>1.123</v>
      </c>
      <c r="I106" s="146">
        <f t="shared" si="24"/>
        <v>147138</v>
      </c>
      <c r="J106" s="145">
        <f>'[2]Расчет прогнозных дефляторов'!$D$75</f>
        <v>1.0429999999999999</v>
      </c>
      <c r="K106" s="146">
        <f t="shared" si="25"/>
        <v>153465</v>
      </c>
      <c r="L106" s="146">
        <f t="shared" si="26"/>
        <v>151567</v>
      </c>
      <c r="M106" s="147"/>
      <c r="N106" s="147"/>
      <c r="O106" s="147"/>
    </row>
    <row r="107" spans="1:15" s="148" customFormat="1" ht="15.75" hidden="1" outlineLevel="1" x14ac:dyDescent="0.2">
      <c r="A107" s="200"/>
      <c r="B107" s="95"/>
      <c r="C107" s="42" t="s">
        <v>1328</v>
      </c>
      <c r="D107" s="42" t="s">
        <v>1320</v>
      </c>
      <c r="E107" s="100" t="s">
        <v>292</v>
      </c>
      <c r="F107" s="100">
        <v>1</v>
      </c>
      <c r="G107" s="149">
        <f>(83681)*(1.023*1.005-2.3%*15%)*6.99+0*4.09</f>
        <v>599357</v>
      </c>
      <c r="H107" s="145">
        <f t="shared" si="23"/>
        <v>1.123</v>
      </c>
      <c r="I107" s="146">
        <f t="shared" si="24"/>
        <v>673078</v>
      </c>
      <c r="J107" s="145">
        <f>'[2]Расчет прогнозных дефляторов'!$D$75</f>
        <v>1.0429999999999999</v>
      </c>
      <c r="K107" s="146">
        <f t="shared" si="25"/>
        <v>702020</v>
      </c>
      <c r="L107" s="146">
        <f t="shared" si="26"/>
        <v>693337</v>
      </c>
      <c r="M107" s="147"/>
      <c r="N107" s="147"/>
      <c r="O107" s="147"/>
    </row>
    <row r="108" spans="1:15" s="148" customFormat="1" ht="25.5" hidden="1" outlineLevel="1" x14ac:dyDescent="0.2">
      <c r="A108" s="200"/>
      <c r="B108" s="95"/>
      <c r="C108" s="42" t="s">
        <v>1323</v>
      </c>
      <c r="D108" s="42" t="s">
        <v>1321</v>
      </c>
      <c r="E108" s="100" t="s">
        <v>404</v>
      </c>
      <c r="F108" s="100">
        <f>320.8</f>
        <v>320.8</v>
      </c>
      <c r="G108" s="149">
        <f>(343570)*(1.023*1.005-2.3%*15%)*6.99+0*4.09</f>
        <v>2460789</v>
      </c>
      <c r="H108" s="145">
        <f t="shared" si="23"/>
        <v>1.123</v>
      </c>
      <c r="I108" s="146">
        <f t="shared" si="24"/>
        <v>2763466</v>
      </c>
      <c r="J108" s="145">
        <f>'[2]Расчет прогнозных дефляторов'!$D$75</f>
        <v>1.0429999999999999</v>
      </c>
      <c r="K108" s="146">
        <f t="shared" si="25"/>
        <v>2882295</v>
      </c>
      <c r="L108" s="146">
        <f t="shared" si="26"/>
        <v>2846646</v>
      </c>
      <c r="M108" s="231" t="s">
        <v>1322</v>
      </c>
      <c r="N108" s="147"/>
      <c r="O108" s="147"/>
    </row>
    <row r="109" spans="1:15" s="148" customFormat="1" ht="15.75" hidden="1" outlineLevel="1" x14ac:dyDescent="0.2">
      <c r="A109" s="200"/>
      <c r="B109" s="95"/>
      <c r="C109" s="42" t="s">
        <v>1325</v>
      </c>
      <c r="D109" s="42" t="s">
        <v>1324</v>
      </c>
      <c r="E109" s="100" t="s">
        <v>292</v>
      </c>
      <c r="F109" s="100">
        <v>1</v>
      </c>
      <c r="G109" s="149">
        <f>(61878)*(1.023*1.005-2.3%*15%)*6.99+0*4.09</f>
        <v>443196</v>
      </c>
      <c r="H109" s="145">
        <f t="shared" si="23"/>
        <v>1.123</v>
      </c>
      <c r="I109" s="146">
        <f t="shared" si="24"/>
        <v>497709</v>
      </c>
      <c r="J109" s="145">
        <f>'[2]Расчет прогнозных дефляторов'!$D$75</f>
        <v>1.0429999999999999</v>
      </c>
      <c r="K109" s="146">
        <f t="shared" si="25"/>
        <v>519110</v>
      </c>
      <c r="L109" s="146">
        <f t="shared" si="26"/>
        <v>512690</v>
      </c>
      <c r="M109" s="147"/>
      <c r="N109" s="147"/>
      <c r="O109" s="147"/>
    </row>
    <row r="110" spans="1:15" s="148" customFormat="1" ht="15.75" hidden="1" outlineLevel="1" x14ac:dyDescent="0.2">
      <c r="A110" s="200"/>
      <c r="B110" s="95"/>
      <c r="C110" s="42" t="s">
        <v>1327</v>
      </c>
      <c r="D110" s="42" t="s">
        <v>1326</v>
      </c>
      <c r="E110" s="100" t="s">
        <v>377</v>
      </c>
      <c r="F110" s="100">
        <f>30.1+68.1</f>
        <v>98.2</v>
      </c>
      <c r="G110" s="149">
        <f>(18427)*(1.023*1.005-2.3%*15%)*6.99+0*4.09</f>
        <v>131982</v>
      </c>
      <c r="H110" s="145">
        <f t="shared" si="23"/>
        <v>1.123</v>
      </c>
      <c r="I110" s="146">
        <f t="shared" si="24"/>
        <v>148216</v>
      </c>
      <c r="J110" s="145">
        <f>'[2]Расчет прогнозных дефляторов'!$D$75</f>
        <v>1.0429999999999999</v>
      </c>
      <c r="K110" s="146">
        <f t="shared" si="25"/>
        <v>154589</v>
      </c>
      <c r="L110" s="146">
        <f t="shared" si="26"/>
        <v>152677</v>
      </c>
      <c r="M110" s="147"/>
      <c r="N110" s="147"/>
      <c r="O110" s="147"/>
    </row>
    <row r="111" spans="1:15" s="148" customFormat="1" ht="25.5" hidden="1" outlineLevel="1" x14ac:dyDescent="0.2">
      <c r="A111" s="200"/>
      <c r="B111" s="95"/>
      <c r="C111" s="42" t="s">
        <v>1340</v>
      </c>
      <c r="D111" s="42" t="s">
        <v>1339</v>
      </c>
      <c r="E111" s="100" t="s">
        <v>404</v>
      </c>
      <c r="F111" s="100">
        <f>592.4</f>
        <v>592.4</v>
      </c>
      <c r="G111" s="149">
        <f>(2244)*(1.023*1.005-2.3%*15%)*6.99+0*4.09</f>
        <v>16072</v>
      </c>
      <c r="H111" s="145">
        <f t="shared" si="23"/>
        <v>1.123</v>
      </c>
      <c r="I111" s="146">
        <f t="shared" si="24"/>
        <v>18049</v>
      </c>
      <c r="J111" s="145">
        <f>'[2]Расчет прогнозных дефляторов'!$D$75</f>
        <v>1.0429999999999999</v>
      </c>
      <c r="K111" s="146">
        <f t="shared" si="25"/>
        <v>18825</v>
      </c>
      <c r="L111" s="146">
        <f t="shared" si="26"/>
        <v>18592</v>
      </c>
      <c r="M111" s="147"/>
      <c r="N111" s="147"/>
      <c r="O111" s="147"/>
    </row>
    <row r="112" spans="1:15" s="148" customFormat="1" ht="15.75" hidden="1" outlineLevel="1" x14ac:dyDescent="0.2">
      <c r="A112" s="200"/>
      <c r="B112" s="95"/>
      <c r="C112" s="42"/>
      <c r="D112" s="157" t="s">
        <v>1341</v>
      </c>
      <c r="E112" s="100"/>
      <c r="F112" s="100"/>
      <c r="G112" s="149"/>
      <c r="H112" s="145"/>
      <c r="I112" s="146"/>
      <c r="J112" s="145"/>
      <c r="K112" s="146"/>
      <c r="L112" s="146"/>
      <c r="M112" s="147"/>
      <c r="N112" s="147"/>
      <c r="O112" s="147"/>
    </row>
    <row r="113" spans="1:15" s="148" customFormat="1" ht="15.75" hidden="1" outlineLevel="1" x14ac:dyDescent="0.2">
      <c r="A113" s="200"/>
      <c r="B113" s="95"/>
      <c r="C113" s="42" t="s">
        <v>1345</v>
      </c>
      <c r="D113" s="42" t="s">
        <v>1342</v>
      </c>
      <c r="E113" s="100" t="s">
        <v>408</v>
      </c>
      <c r="F113" s="149">
        <v>1</v>
      </c>
      <c r="G113" s="149">
        <f>(1089)*(1.023*1.005-2.3%*15%)*6.99+256110*4.09</f>
        <v>1055290</v>
      </c>
      <c r="H113" s="145">
        <f>$H$772</f>
        <v>1.123</v>
      </c>
      <c r="I113" s="146">
        <f t="shared" ref="I113:I115" si="27">G113*H113</f>
        <v>1185091</v>
      </c>
      <c r="J113" s="145">
        <f>'[2]Расчет прогнозных дефляторов'!$D$75</f>
        <v>1.0429999999999999</v>
      </c>
      <c r="K113" s="146">
        <f t="shared" ref="K113:K115" si="28">I113*J113</f>
        <v>1236050</v>
      </c>
      <c r="L113" s="146">
        <f t="shared" ref="L113:L115" si="29">I113+(K113-I113)*(1-30/100)</f>
        <v>1220762</v>
      </c>
      <c r="M113" s="147"/>
      <c r="N113" s="147"/>
      <c r="O113" s="147"/>
    </row>
    <row r="114" spans="1:15" s="148" customFormat="1" ht="15.75" hidden="1" outlineLevel="1" x14ac:dyDescent="0.2">
      <c r="A114" s="200"/>
      <c r="B114" s="95"/>
      <c r="C114" s="42" t="s">
        <v>1346</v>
      </c>
      <c r="D114" s="42" t="s">
        <v>1343</v>
      </c>
      <c r="E114" s="100" t="s">
        <v>408</v>
      </c>
      <c r="F114" s="149">
        <v>1</v>
      </c>
      <c r="G114" s="149">
        <f>(1089)*(1.023*1.005-2.3%*15%)*6.99+244005*4.09</f>
        <v>1005780</v>
      </c>
      <c r="H114" s="145">
        <f>$H$772</f>
        <v>1.123</v>
      </c>
      <c r="I114" s="146">
        <f t="shared" si="27"/>
        <v>1129491</v>
      </c>
      <c r="J114" s="145">
        <f>'[2]Расчет прогнозных дефляторов'!$D$75</f>
        <v>1.0429999999999999</v>
      </c>
      <c r="K114" s="146">
        <f t="shared" si="28"/>
        <v>1178059</v>
      </c>
      <c r="L114" s="146">
        <f t="shared" si="29"/>
        <v>1163489</v>
      </c>
      <c r="M114" s="147"/>
      <c r="N114" s="147"/>
      <c r="O114" s="147"/>
    </row>
    <row r="115" spans="1:15" s="148" customFormat="1" ht="15.75" hidden="1" outlineLevel="1" x14ac:dyDescent="0.2">
      <c r="A115" s="200"/>
      <c r="B115" s="270"/>
      <c r="C115" s="271" t="s">
        <v>1347</v>
      </c>
      <c r="D115" s="271" t="s">
        <v>1344</v>
      </c>
      <c r="E115" s="272" t="s">
        <v>408</v>
      </c>
      <c r="F115" s="273">
        <v>1</v>
      </c>
      <c r="G115" s="273">
        <f>(240)*(1.023*1.005-2.3%*15%)*6.99+189529*4.09</f>
        <v>776893</v>
      </c>
      <c r="H115" s="274">
        <f>$H$772</f>
        <v>1.123</v>
      </c>
      <c r="I115" s="275">
        <f t="shared" si="27"/>
        <v>872451</v>
      </c>
      <c r="J115" s="274">
        <f>'[2]Расчет прогнозных дефляторов'!$D$75</f>
        <v>1.0429999999999999</v>
      </c>
      <c r="K115" s="275">
        <f t="shared" si="28"/>
        <v>909966</v>
      </c>
      <c r="L115" s="275">
        <f t="shared" si="29"/>
        <v>898712</v>
      </c>
      <c r="M115" s="276"/>
      <c r="N115" s="276"/>
      <c r="O115" s="276"/>
    </row>
    <row r="116" spans="1:15" s="269" customFormat="1" ht="25.5" collapsed="1" x14ac:dyDescent="0.2">
      <c r="B116" s="244"/>
      <c r="C116" s="245" t="s">
        <v>221</v>
      </c>
      <c r="D116" s="245" t="s">
        <v>222</v>
      </c>
      <c r="E116" s="246" t="s">
        <v>292</v>
      </c>
      <c r="F116" s="247">
        <v>1</v>
      </c>
      <c r="G116" s="247">
        <f>SUM(G117:G131)</f>
        <v>682649</v>
      </c>
      <c r="H116" s="248">
        <f>$H$772</f>
        <v>1.123</v>
      </c>
      <c r="I116" s="247">
        <f>SUM(I117:I131)</f>
        <v>766612</v>
      </c>
      <c r="J116" s="248">
        <f>'[2]Расчет прогнозных дефляторов'!$D$75</f>
        <v>1.0429999999999999</v>
      </c>
      <c r="K116" s="247">
        <f>SUM(K117:K131)</f>
        <v>799576</v>
      </c>
      <c r="L116" s="247">
        <f>SUM(L117:L131)</f>
        <v>789687</v>
      </c>
    </row>
    <row r="117" spans="1:15" s="148" customFormat="1" ht="15.75" hidden="1" outlineLevel="1" x14ac:dyDescent="0.2">
      <c r="A117" s="236"/>
      <c r="B117" s="277"/>
      <c r="C117" s="278"/>
      <c r="D117" s="279" t="s">
        <v>1378</v>
      </c>
      <c r="E117" s="280"/>
      <c r="F117" s="280"/>
      <c r="G117" s="281"/>
      <c r="H117" s="282"/>
      <c r="I117" s="283"/>
      <c r="J117" s="282"/>
      <c r="K117" s="283"/>
      <c r="L117" s="283"/>
      <c r="M117" s="284"/>
      <c r="N117" s="284"/>
      <c r="O117" s="284"/>
    </row>
    <row r="118" spans="1:15" s="148" customFormat="1" ht="38.25" hidden="1" outlineLevel="1" x14ac:dyDescent="0.2">
      <c r="A118" s="236"/>
      <c r="B118" s="95"/>
      <c r="C118" s="42" t="s">
        <v>1388</v>
      </c>
      <c r="D118" s="42" t="s">
        <v>1379</v>
      </c>
      <c r="E118" s="100" t="s">
        <v>408</v>
      </c>
      <c r="F118" s="149">
        <v>1</v>
      </c>
      <c r="G118" s="149">
        <f>(821)*(1.023*1.005-2.3%*15%)*6.99+0*4.09</f>
        <v>5880</v>
      </c>
      <c r="H118" s="145">
        <f t="shared" ref="H118:H123" si="30">$H$772</f>
        <v>1.123</v>
      </c>
      <c r="I118" s="146">
        <f t="shared" ref="I118:I123" si="31">G118*H118</f>
        <v>6603</v>
      </c>
      <c r="J118" s="145">
        <f>'[2]Расчет прогнозных дефляторов'!$D$75</f>
        <v>1.0429999999999999</v>
      </c>
      <c r="K118" s="146">
        <f t="shared" ref="K118:K123" si="32">I118*J118</f>
        <v>6887</v>
      </c>
      <c r="L118" s="146">
        <f t="shared" ref="L118:L123" si="33">I118+(K118-I118)*(1-30/100)</f>
        <v>6802</v>
      </c>
      <c r="M118" s="172" t="s">
        <v>1399</v>
      </c>
      <c r="N118" s="147"/>
      <c r="O118" s="147"/>
    </row>
    <row r="119" spans="1:15" s="148" customFormat="1" ht="63.75" hidden="1" outlineLevel="1" x14ac:dyDescent="0.2">
      <c r="A119" s="236"/>
      <c r="B119" s="95"/>
      <c r="C119" s="42" t="s">
        <v>1387</v>
      </c>
      <c r="D119" s="42" t="s">
        <v>1380</v>
      </c>
      <c r="E119" s="100" t="s">
        <v>408</v>
      </c>
      <c r="F119" s="149">
        <v>1</v>
      </c>
      <c r="G119" s="149">
        <f>(1484)*(1.023*1.005-2.3%*15%)*6.99+0*4.09</f>
        <v>10629</v>
      </c>
      <c r="H119" s="145">
        <f t="shared" si="30"/>
        <v>1.123</v>
      </c>
      <c r="I119" s="146">
        <f t="shared" si="31"/>
        <v>11936</v>
      </c>
      <c r="J119" s="145">
        <f>'[2]Расчет прогнозных дефляторов'!$D$75</f>
        <v>1.0429999999999999</v>
      </c>
      <c r="K119" s="146">
        <f t="shared" si="32"/>
        <v>12449</v>
      </c>
      <c r="L119" s="146">
        <f t="shared" si="33"/>
        <v>12295</v>
      </c>
      <c r="M119" s="172" t="s">
        <v>1399</v>
      </c>
      <c r="N119" s="147"/>
      <c r="O119" s="147"/>
    </row>
    <row r="120" spans="1:15" s="148" customFormat="1" ht="38.25" hidden="1" outlineLevel="1" x14ac:dyDescent="0.2">
      <c r="A120" s="236"/>
      <c r="B120" s="95"/>
      <c r="C120" s="42" t="s">
        <v>1389</v>
      </c>
      <c r="D120" s="42" t="s">
        <v>1381</v>
      </c>
      <c r="E120" s="100" t="s">
        <v>408</v>
      </c>
      <c r="F120" s="149">
        <v>1</v>
      </c>
      <c r="G120" s="149">
        <f>(925)*(1.023*1.005-2.3%*15%)*6.99+0*4.09</f>
        <v>6625</v>
      </c>
      <c r="H120" s="145">
        <f t="shared" si="30"/>
        <v>1.123</v>
      </c>
      <c r="I120" s="146">
        <f t="shared" si="31"/>
        <v>7440</v>
      </c>
      <c r="J120" s="145">
        <f>'[2]Расчет прогнозных дефляторов'!$D$75</f>
        <v>1.0429999999999999</v>
      </c>
      <c r="K120" s="146">
        <f t="shared" si="32"/>
        <v>7760</v>
      </c>
      <c r="L120" s="146">
        <f t="shared" si="33"/>
        <v>7664</v>
      </c>
      <c r="M120" s="172" t="s">
        <v>1399</v>
      </c>
      <c r="N120" s="147"/>
      <c r="O120" s="147"/>
    </row>
    <row r="121" spans="1:15" s="148" customFormat="1" ht="38.25" hidden="1" outlineLevel="1" x14ac:dyDescent="0.2">
      <c r="A121" s="236"/>
      <c r="B121" s="95"/>
      <c r="C121" s="42" t="s">
        <v>1390</v>
      </c>
      <c r="D121" s="42" t="s">
        <v>1382</v>
      </c>
      <c r="E121" s="100" t="s">
        <v>408</v>
      </c>
      <c r="F121" s="149">
        <v>1</v>
      </c>
      <c r="G121" s="149">
        <f>(1198)*(1.023*1.005-2.3%*15%)*6.99+0*4.09</f>
        <v>8581</v>
      </c>
      <c r="H121" s="145">
        <f t="shared" si="30"/>
        <v>1.123</v>
      </c>
      <c r="I121" s="146">
        <f t="shared" si="31"/>
        <v>9636</v>
      </c>
      <c r="J121" s="145">
        <f>'[2]Расчет прогнозных дефляторов'!$D$75</f>
        <v>1.0429999999999999</v>
      </c>
      <c r="K121" s="146">
        <f t="shared" si="32"/>
        <v>10050</v>
      </c>
      <c r="L121" s="146">
        <f t="shared" si="33"/>
        <v>9926</v>
      </c>
      <c r="M121" s="172" t="s">
        <v>1399</v>
      </c>
      <c r="N121" s="147"/>
      <c r="O121" s="147"/>
    </row>
    <row r="122" spans="1:15" s="148" customFormat="1" ht="63.75" hidden="1" outlineLevel="1" x14ac:dyDescent="0.2">
      <c r="A122" s="236"/>
      <c r="B122" s="95"/>
      <c r="C122" s="42" t="s">
        <v>1391</v>
      </c>
      <c r="D122" s="42" t="s">
        <v>439</v>
      </c>
      <c r="E122" s="100" t="s">
        <v>408</v>
      </c>
      <c r="F122" s="149">
        <v>1</v>
      </c>
      <c r="G122" s="149">
        <f>(954)*(1.023*1.005-2.3%*15%)*6.99+0*4.09</f>
        <v>6833</v>
      </c>
      <c r="H122" s="145">
        <f t="shared" si="30"/>
        <v>1.123</v>
      </c>
      <c r="I122" s="146">
        <f t="shared" si="31"/>
        <v>7673</v>
      </c>
      <c r="J122" s="145">
        <f>'[2]Расчет прогнозных дефляторов'!$D$75</f>
        <v>1.0429999999999999</v>
      </c>
      <c r="K122" s="146">
        <f t="shared" si="32"/>
        <v>8003</v>
      </c>
      <c r="L122" s="146">
        <f t="shared" si="33"/>
        <v>7904</v>
      </c>
      <c r="M122" s="172" t="s">
        <v>1399</v>
      </c>
      <c r="N122" s="147"/>
      <c r="O122" s="147"/>
    </row>
    <row r="123" spans="1:15" s="148" customFormat="1" ht="25.5" hidden="1" outlineLevel="1" x14ac:dyDescent="0.2">
      <c r="A123" s="236"/>
      <c r="B123" s="95"/>
      <c r="C123" s="42" t="s">
        <v>1392</v>
      </c>
      <c r="D123" s="42" t="s">
        <v>1383</v>
      </c>
      <c r="E123" s="100" t="s">
        <v>408</v>
      </c>
      <c r="F123" s="149">
        <v>1</v>
      </c>
      <c r="G123" s="149">
        <f>(77576)*(1.023*1.005-2.3%*15%)*6.99+0*4.09</f>
        <v>555631</v>
      </c>
      <c r="H123" s="145">
        <f t="shared" si="30"/>
        <v>1.123</v>
      </c>
      <c r="I123" s="146">
        <f t="shared" si="31"/>
        <v>623974</v>
      </c>
      <c r="J123" s="145">
        <f>'[2]Расчет прогнозных дефляторов'!$D$75</f>
        <v>1.0429999999999999</v>
      </c>
      <c r="K123" s="146">
        <f t="shared" si="32"/>
        <v>650805</v>
      </c>
      <c r="L123" s="146">
        <f t="shared" si="33"/>
        <v>642756</v>
      </c>
      <c r="M123" s="172" t="s">
        <v>1399</v>
      </c>
      <c r="N123" s="147"/>
      <c r="O123" s="147"/>
    </row>
    <row r="124" spans="1:15" s="148" customFormat="1" ht="15.75" hidden="1" outlineLevel="1" x14ac:dyDescent="0.2">
      <c r="A124" s="236"/>
      <c r="B124" s="95"/>
      <c r="C124" s="42"/>
      <c r="D124" s="157" t="s">
        <v>1292</v>
      </c>
      <c r="E124" s="100"/>
      <c r="F124" s="149"/>
      <c r="G124" s="149"/>
      <c r="H124" s="145"/>
      <c r="I124" s="146"/>
      <c r="J124" s="145"/>
      <c r="K124" s="146"/>
      <c r="L124" s="146"/>
      <c r="M124" s="147"/>
      <c r="N124" s="147"/>
      <c r="O124" s="147"/>
    </row>
    <row r="125" spans="1:15" s="148" customFormat="1" ht="51" hidden="1" outlineLevel="1" x14ac:dyDescent="0.2">
      <c r="A125" s="236"/>
      <c r="B125" s="95"/>
      <c r="C125" s="42" t="s">
        <v>1393</v>
      </c>
      <c r="D125" s="42" t="s">
        <v>435</v>
      </c>
      <c r="E125" s="100" t="s">
        <v>408</v>
      </c>
      <c r="F125" s="149">
        <v>1</v>
      </c>
      <c r="G125" s="149">
        <f>(3680)*(1.023*1.005-2.3%*15%)*6.99+0*4.09</f>
        <v>26358</v>
      </c>
      <c r="H125" s="145">
        <f>$H$772</f>
        <v>1.123</v>
      </c>
      <c r="I125" s="146">
        <f t="shared" ref="I125:I127" si="34">G125*H125</f>
        <v>29600</v>
      </c>
      <c r="J125" s="145">
        <f>'[2]Расчет прогнозных дефляторов'!$D$75</f>
        <v>1.0429999999999999</v>
      </c>
      <c r="K125" s="146">
        <f t="shared" ref="K125:K127" si="35">I125*J125</f>
        <v>30873</v>
      </c>
      <c r="L125" s="146">
        <f t="shared" ref="L125:L127" si="36">I125+(K125-I125)*(1-30/100)</f>
        <v>30491</v>
      </c>
      <c r="M125" s="172" t="s">
        <v>1399</v>
      </c>
      <c r="N125" s="147"/>
      <c r="O125" s="147"/>
    </row>
    <row r="126" spans="1:15" s="148" customFormat="1" ht="51" hidden="1" outlineLevel="1" x14ac:dyDescent="0.2">
      <c r="A126" s="236"/>
      <c r="B126" s="95"/>
      <c r="C126" s="42" t="s">
        <v>1394</v>
      </c>
      <c r="D126" s="42" t="s">
        <v>437</v>
      </c>
      <c r="E126" s="100" t="s">
        <v>408</v>
      </c>
      <c r="F126" s="149">
        <v>1</v>
      </c>
      <c r="G126" s="149">
        <f>(1064)*(1.023*1.005-2.3%*15%)*6.99+0*4.09</f>
        <v>7621</v>
      </c>
      <c r="H126" s="145">
        <f>$H$772</f>
        <v>1.123</v>
      </c>
      <c r="I126" s="146">
        <f t="shared" si="34"/>
        <v>8558</v>
      </c>
      <c r="J126" s="145">
        <f>'[2]Расчет прогнозных дефляторов'!$D$75</f>
        <v>1.0429999999999999</v>
      </c>
      <c r="K126" s="146">
        <f t="shared" si="35"/>
        <v>8926</v>
      </c>
      <c r="L126" s="146">
        <f t="shared" si="36"/>
        <v>8816</v>
      </c>
      <c r="M126" s="172" t="s">
        <v>1399</v>
      </c>
      <c r="N126" s="147"/>
      <c r="O126" s="147"/>
    </row>
    <row r="127" spans="1:15" s="148" customFormat="1" ht="63.75" hidden="1" outlineLevel="1" x14ac:dyDescent="0.2">
      <c r="A127" s="236"/>
      <c r="B127" s="95"/>
      <c r="C127" s="42" t="s">
        <v>1395</v>
      </c>
      <c r="D127" s="42" t="s">
        <v>439</v>
      </c>
      <c r="E127" s="100" t="s">
        <v>408</v>
      </c>
      <c r="F127" s="149">
        <v>1</v>
      </c>
      <c r="G127" s="149">
        <f>(954)*(1.023*1.005-2.3%*15%)*6.99+0*4.09</f>
        <v>6833</v>
      </c>
      <c r="H127" s="145">
        <f>$H$772</f>
        <v>1.123</v>
      </c>
      <c r="I127" s="146">
        <f t="shared" si="34"/>
        <v>7673</v>
      </c>
      <c r="J127" s="145">
        <f>'[2]Расчет прогнозных дефляторов'!$D$75</f>
        <v>1.0429999999999999</v>
      </c>
      <c r="K127" s="146">
        <f t="shared" si="35"/>
        <v>8003</v>
      </c>
      <c r="L127" s="146">
        <f t="shared" si="36"/>
        <v>7904</v>
      </c>
      <c r="M127" s="172" t="s">
        <v>1399</v>
      </c>
      <c r="N127" s="147"/>
      <c r="O127" s="147"/>
    </row>
    <row r="128" spans="1:15" s="148" customFormat="1" ht="15.75" hidden="1" outlineLevel="1" x14ac:dyDescent="0.2">
      <c r="A128" s="236"/>
      <c r="B128" s="95"/>
      <c r="C128" s="42"/>
      <c r="D128" s="157" t="s">
        <v>1384</v>
      </c>
      <c r="E128" s="100"/>
      <c r="F128" s="149"/>
      <c r="G128" s="149"/>
      <c r="H128" s="145"/>
      <c r="I128" s="146"/>
      <c r="J128" s="145"/>
      <c r="K128" s="146"/>
      <c r="L128" s="146"/>
      <c r="M128" s="147"/>
      <c r="N128" s="147"/>
      <c r="O128" s="147"/>
    </row>
    <row r="129" spans="1:16" s="148" customFormat="1" ht="51" hidden="1" outlineLevel="1" x14ac:dyDescent="0.2">
      <c r="A129" s="236"/>
      <c r="B129" s="95"/>
      <c r="C129" s="42" t="s">
        <v>1396</v>
      </c>
      <c r="D129" s="42" t="s">
        <v>1385</v>
      </c>
      <c r="E129" s="100" t="s">
        <v>408</v>
      </c>
      <c r="F129" s="149">
        <v>2</v>
      </c>
      <c r="G129" s="149">
        <f>(4392)*(1.023*1.005-2.3%*15%)*6.99+0*4.09</f>
        <v>31457</v>
      </c>
      <c r="H129" s="145">
        <f t="shared" ref="H129:H138" si="37">$H$772</f>
        <v>1.123</v>
      </c>
      <c r="I129" s="146">
        <f t="shared" ref="I129:I131" si="38">G129*H129</f>
        <v>35326</v>
      </c>
      <c r="J129" s="145">
        <f>'[2]Расчет прогнозных дефляторов'!$D$75</f>
        <v>1.0429999999999999</v>
      </c>
      <c r="K129" s="146">
        <f t="shared" ref="K129:K131" si="39">I129*J129</f>
        <v>36845</v>
      </c>
      <c r="L129" s="146">
        <f t="shared" ref="L129:L131" si="40">I129+(K129-I129)*(1-30/100)</f>
        <v>36389</v>
      </c>
      <c r="M129" s="147"/>
      <c r="N129" s="147"/>
      <c r="O129" s="147"/>
    </row>
    <row r="130" spans="1:16" s="148" customFormat="1" ht="63.75" hidden="1" outlineLevel="1" x14ac:dyDescent="0.2">
      <c r="A130" s="236"/>
      <c r="B130" s="95"/>
      <c r="C130" s="42" t="s">
        <v>1397</v>
      </c>
      <c r="D130" s="42" t="s">
        <v>1380</v>
      </c>
      <c r="E130" s="100" t="s">
        <v>408</v>
      </c>
      <c r="F130" s="149">
        <v>1</v>
      </c>
      <c r="G130" s="149">
        <f>(1484)*(1.023*1.005-2.3%*15%)*6.99+0*4.09</f>
        <v>10629</v>
      </c>
      <c r="H130" s="145">
        <f t="shared" si="37"/>
        <v>1.123</v>
      </c>
      <c r="I130" s="146">
        <f t="shared" si="38"/>
        <v>11936</v>
      </c>
      <c r="J130" s="145">
        <f>'[2]Расчет прогнозных дефляторов'!$D$75</f>
        <v>1.0429999999999999</v>
      </c>
      <c r="K130" s="146">
        <f t="shared" si="39"/>
        <v>12449</v>
      </c>
      <c r="L130" s="146">
        <f t="shared" si="40"/>
        <v>12295</v>
      </c>
      <c r="M130" s="172" t="s">
        <v>1399</v>
      </c>
      <c r="N130" s="147"/>
      <c r="O130" s="147"/>
    </row>
    <row r="131" spans="1:16" s="148" customFormat="1" ht="76.5" hidden="1" outlineLevel="1" x14ac:dyDescent="0.2">
      <c r="A131" s="236"/>
      <c r="B131" s="95"/>
      <c r="C131" s="42" t="s">
        <v>1398</v>
      </c>
      <c r="D131" s="42" t="s">
        <v>1386</v>
      </c>
      <c r="E131" s="100" t="s">
        <v>408</v>
      </c>
      <c r="F131" s="149">
        <v>1</v>
      </c>
      <c r="G131" s="149">
        <f>(778)*(1.023*1.005-2.3%*15%)*6.99+0*4.09</f>
        <v>5572</v>
      </c>
      <c r="H131" s="145">
        <f t="shared" si="37"/>
        <v>1.123</v>
      </c>
      <c r="I131" s="146">
        <f t="shared" si="38"/>
        <v>6257</v>
      </c>
      <c r="J131" s="145">
        <f>'[2]Расчет прогнозных дефляторов'!$D$75</f>
        <v>1.0429999999999999</v>
      </c>
      <c r="K131" s="146">
        <f t="shared" si="39"/>
        <v>6526</v>
      </c>
      <c r="L131" s="146">
        <f t="shared" si="40"/>
        <v>6445</v>
      </c>
      <c r="M131" s="172" t="s">
        <v>1399</v>
      </c>
      <c r="N131" s="147"/>
      <c r="O131" s="147"/>
    </row>
    <row r="132" spans="1:16" s="243" customFormat="1" ht="15.75" collapsed="1" x14ac:dyDescent="0.2">
      <c r="B132" s="244"/>
      <c r="C132" s="245" t="s">
        <v>146</v>
      </c>
      <c r="D132" s="245" t="s">
        <v>650</v>
      </c>
      <c r="E132" s="288" t="s">
        <v>292</v>
      </c>
      <c r="F132" s="247">
        <v>1</v>
      </c>
      <c r="G132" s="247">
        <f>SUM(G133:G136)</f>
        <v>43612</v>
      </c>
      <c r="H132" s="248">
        <f t="shared" si="37"/>
        <v>1.123</v>
      </c>
      <c r="I132" s="247">
        <f>SUM(I133:I136)</f>
        <v>48976</v>
      </c>
      <c r="J132" s="248">
        <f>'[2]Расчет прогнозных дефляторов'!$D$93</f>
        <v>1.042</v>
      </c>
      <c r="K132" s="247">
        <f>SUM(K133:K136)</f>
        <v>51033</v>
      </c>
      <c r="L132" s="247">
        <f>SUM(L133:L136)</f>
        <v>50417</v>
      </c>
      <c r="M132" s="269"/>
      <c r="N132" s="269"/>
      <c r="O132" s="269"/>
    </row>
    <row r="133" spans="1:16" s="155" customFormat="1" ht="25.5" hidden="1" outlineLevel="1" x14ac:dyDescent="0.2">
      <c r="A133" s="200"/>
      <c r="B133" s="95" t="s">
        <v>651</v>
      </c>
      <c r="C133" s="42" t="s">
        <v>783</v>
      </c>
      <c r="D133" s="42" t="s">
        <v>782</v>
      </c>
      <c r="E133" s="143" t="s">
        <v>408</v>
      </c>
      <c r="F133" s="149">
        <v>4</v>
      </c>
      <c r="G133" s="149">
        <f>(4/9*387+1775)*(1.023*1.005-2.3%*15%)*6.99+0*4.09+1</f>
        <v>13946</v>
      </c>
      <c r="H133" s="145">
        <f t="shared" si="37"/>
        <v>1.123</v>
      </c>
      <c r="I133" s="146">
        <f>G133*H133</f>
        <v>15661</v>
      </c>
      <c r="J133" s="145">
        <f>'[2]Расчет прогнозных дефляторов'!$D$93</f>
        <v>1.042</v>
      </c>
      <c r="K133" s="146">
        <f>I133*J133</f>
        <v>16319</v>
      </c>
      <c r="L133" s="146">
        <f>I133+(K133-I133)*(1-30/100)</f>
        <v>16122</v>
      </c>
      <c r="M133" s="96"/>
      <c r="N133" s="96"/>
      <c r="O133" s="96"/>
    </row>
    <row r="134" spans="1:16" s="155" customFormat="1" ht="25.5" hidden="1" outlineLevel="1" x14ac:dyDescent="0.2">
      <c r="A134" s="200"/>
      <c r="B134" s="95" t="s">
        <v>652</v>
      </c>
      <c r="C134" s="42" t="s">
        <v>784</v>
      </c>
      <c r="D134" s="42" t="s">
        <v>781</v>
      </c>
      <c r="E134" s="143" t="s">
        <v>408</v>
      </c>
      <c r="F134" s="149">
        <v>4</v>
      </c>
      <c r="G134" s="149">
        <f>(4/9*387+2476)*(1.023*1.005-2.3%*15%)*6.99+0*4.09</f>
        <v>18966</v>
      </c>
      <c r="H134" s="145">
        <f t="shared" si="37"/>
        <v>1.123</v>
      </c>
      <c r="I134" s="146">
        <f>G134*H134</f>
        <v>21299</v>
      </c>
      <c r="J134" s="145">
        <f>'[2]Расчет прогнозных дефляторов'!$D$93</f>
        <v>1.042</v>
      </c>
      <c r="K134" s="146">
        <f>I134*J134</f>
        <v>22194</v>
      </c>
      <c r="L134" s="146">
        <f>I134+(K134-I134)*(1-30/100)</f>
        <v>21926</v>
      </c>
      <c r="M134" s="96"/>
      <c r="N134" s="96"/>
      <c r="O134" s="96"/>
    </row>
    <row r="135" spans="1:16" s="155" customFormat="1" ht="25.5" hidden="1" outlineLevel="1" x14ac:dyDescent="0.2">
      <c r="A135" s="200"/>
      <c r="B135" s="95" t="s">
        <v>653</v>
      </c>
      <c r="C135" s="42" t="s">
        <v>785</v>
      </c>
      <c r="D135" s="42" t="s">
        <v>780</v>
      </c>
      <c r="E135" s="143" t="s">
        <v>408</v>
      </c>
      <c r="F135" s="149">
        <v>1</v>
      </c>
      <c r="G135" s="149">
        <f>(1/9*387+654)*(1.023*1.005-2.3%*15%)*6.99+0*4.09</f>
        <v>4992</v>
      </c>
      <c r="H135" s="145">
        <f t="shared" si="37"/>
        <v>1.123</v>
      </c>
      <c r="I135" s="146">
        <f>G135*H135</f>
        <v>5606</v>
      </c>
      <c r="J135" s="145">
        <f>'[2]Расчет прогнозных дефляторов'!$D$93</f>
        <v>1.042</v>
      </c>
      <c r="K135" s="146">
        <f>I135*J135</f>
        <v>5841</v>
      </c>
      <c r="L135" s="146">
        <f>I135+(K135-I135)*(1-30/100)</f>
        <v>5771</v>
      </c>
      <c r="M135" s="96"/>
      <c r="N135" s="96"/>
      <c r="O135" s="96"/>
    </row>
    <row r="136" spans="1:16" s="155" customFormat="1" ht="15.75" hidden="1" outlineLevel="1" x14ac:dyDescent="0.2">
      <c r="A136" s="200"/>
      <c r="B136" s="95" t="s">
        <v>654</v>
      </c>
      <c r="C136" s="42" t="s">
        <v>787</v>
      </c>
      <c r="D136" s="42" t="s">
        <v>482</v>
      </c>
      <c r="E136" s="143" t="s">
        <v>292</v>
      </c>
      <c r="F136" s="149">
        <v>1</v>
      </c>
      <c r="G136" s="149">
        <f>(797)*(1.023*1.005-2.3%*15%)*6.99+0*4.09</f>
        <v>5708</v>
      </c>
      <c r="H136" s="145">
        <f t="shared" si="37"/>
        <v>1.123</v>
      </c>
      <c r="I136" s="146">
        <f t="shared" ref="I136" si="41">G136*H136</f>
        <v>6410</v>
      </c>
      <c r="J136" s="145">
        <f>'[2]Расчет прогнозных дефляторов'!$D$93</f>
        <v>1.042</v>
      </c>
      <c r="K136" s="146">
        <f t="shared" ref="K136" si="42">I136*J136</f>
        <v>6679</v>
      </c>
      <c r="L136" s="146">
        <f t="shared" ref="L136" si="43">I136+(K136-I136)*(1-30/100)</f>
        <v>6598</v>
      </c>
      <c r="M136" s="96"/>
      <c r="N136" s="96"/>
      <c r="O136" s="96"/>
    </row>
    <row r="137" spans="1:16" s="131" customFormat="1" ht="15.75" collapsed="1" x14ac:dyDescent="0.2">
      <c r="A137" s="265"/>
      <c r="B137" s="179" t="s">
        <v>497</v>
      </c>
      <c r="C137" s="180"/>
      <c r="D137" s="180" t="s">
        <v>614</v>
      </c>
      <c r="E137" s="125" t="s">
        <v>292</v>
      </c>
      <c r="F137" s="126">
        <v>1</v>
      </c>
      <c r="G137" s="126">
        <f>SUM(G138:G694)</f>
        <v>1268682681</v>
      </c>
      <c r="H137" s="127">
        <f t="shared" si="37"/>
        <v>1.123</v>
      </c>
      <c r="I137" s="128">
        <f>SUM(I138:I694)</f>
        <v>1424730627</v>
      </c>
      <c r="J137" s="127">
        <f>'[2]Расчет прогнозных дефляторов'!$D$75</f>
        <v>1.0429999999999999</v>
      </c>
      <c r="K137" s="128">
        <f>SUM(K138:K694)</f>
        <v>1485987294</v>
      </c>
      <c r="L137" s="128">
        <f>SUM(L138:L694)</f>
        <v>1467610339</v>
      </c>
      <c r="M137" s="129"/>
      <c r="N137" s="129"/>
      <c r="O137" s="129"/>
    </row>
    <row r="138" spans="1:16" s="148" customFormat="1" ht="102" customHeight="1" x14ac:dyDescent="0.2">
      <c r="A138" s="200"/>
      <c r="B138" s="95" t="s">
        <v>498</v>
      </c>
      <c r="C138" s="42" t="s">
        <v>316</v>
      </c>
      <c r="D138" s="42" t="s">
        <v>312</v>
      </c>
      <c r="E138" s="100" t="s">
        <v>305</v>
      </c>
      <c r="F138" s="149">
        <v>1</v>
      </c>
      <c r="G138" s="149">
        <f>197776*(1.023*1.005-2.3%*15%)*6.99</f>
        <v>1416552</v>
      </c>
      <c r="H138" s="145">
        <f t="shared" si="37"/>
        <v>1.123</v>
      </c>
      <c r="I138" s="146">
        <f t="shared" si="18"/>
        <v>1590788</v>
      </c>
      <c r="J138" s="145">
        <f>'[2]Расчет прогнозных дефляторов'!$D$75</f>
        <v>1.0429999999999999</v>
      </c>
      <c r="K138" s="146">
        <f t="shared" si="13"/>
        <v>1659192</v>
      </c>
      <c r="L138" s="146">
        <f t="shared" si="14"/>
        <v>1638671</v>
      </c>
      <c r="M138" s="172" t="s">
        <v>711</v>
      </c>
      <c r="N138" s="149">
        <v>30000</v>
      </c>
      <c r="O138" s="147">
        <f>F138*N138</f>
        <v>30000</v>
      </c>
      <c r="P138" s="205">
        <f>(197776-158923)*(1.023*1.005-2.3%*15%)*6.99</f>
        <v>278281</v>
      </c>
    </row>
    <row r="139" spans="1:16" s="148" customFormat="1" ht="51" x14ac:dyDescent="0.2">
      <c r="A139" s="200"/>
      <c r="B139" s="95"/>
      <c r="C139" s="42"/>
      <c r="D139" s="42" t="s">
        <v>313</v>
      </c>
      <c r="E139" s="100"/>
      <c r="F139" s="149"/>
      <c r="G139" s="149"/>
      <c r="H139" s="145"/>
      <c r="I139" s="146"/>
      <c r="J139" s="145">
        <f>'[2]Расчет прогнозных дефляторов'!$D$75</f>
        <v>1.0429999999999999</v>
      </c>
      <c r="K139" s="146">
        <f t="shared" si="13"/>
        <v>0</v>
      </c>
      <c r="L139" s="146">
        <f t="shared" si="14"/>
        <v>0</v>
      </c>
      <c r="M139" s="172" t="s">
        <v>314</v>
      </c>
      <c r="N139" s="149">
        <f>9671</f>
        <v>9671</v>
      </c>
      <c r="O139" s="147"/>
    </row>
    <row r="140" spans="1:16" s="148" customFormat="1" ht="30.75" customHeight="1" x14ac:dyDescent="0.2">
      <c r="A140" s="200"/>
      <c r="B140" s="95" t="s">
        <v>500</v>
      </c>
      <c r="C140" s="42" t="s">
        <v>326</v>
      </c>
      <c r="D140" s="42" t="s">
        <v>317</v>
      </c>
      <c r="E140" s="100" t="s">
        <v>305</v>
      </c>
      <c r="F140" s="149">
        <v>1</v>
      </c>
      <c r="G140" s="149">
        <f>N140/SUM($N$140:$N$143)*126361*(1.023*1.005-2.3%*15%)*6.99</f>
        <v>259764</v>
      </c>
      <c r="H140" s="145">
        <f>$H$772</f>
        <v>1.123</v>
      </c>
      <c r="I140" s="146">
        <f t="shared" si="18"/>
        <v>291715</v>
      </c>
      <c r="J140" s="145">
        <f>'[2]Расчет прогнозных дефляторов'!$D$75</f>
        <v>1.0429999999999999</v>
      </c>
      <c r="K140" s="146">
        <f t="shared" si="13"/>
        <v>304259</v>
      </c>
      <c r="L140" s="146">
        <f t="shared" si="14"/>
        <v>300496</v>
      </c>
      <c r="M140" s="681" t="s">
        <v>712</v>
      </c>
      <c r="N140" s="149">
        <v>7587</v>
      </c>
      <c r="O140" s="147">
        <f>F140*N140</f>
        <v>7587</v>
      </c>
      <c r="P140" s="205">
        <f>(37340-10755)*(1.023*1.005-2.3%*15%)*6.99*1.2</f>
        <v>228495</v>
      </c>
    </row>
    <row r="141" spans="1:16" s="148" customFormat="1" ht="48.75" customHeight="1" x14ac:dyDescent="0.2">
      <c r="A141" s="200"/>
      <c r="B141" s="95" t="s">
        <v>501</v>
      </c>
      <c r="C141" s="42" t="s">
        <v>326</v>
      </c>
      <c r="D141" s="42" t="s">
        <v>319</v>
      </c>
      <c r="E141" s="100" t="s">
        <v>305</v>
      </c>
      <c r="F141" s="149">
        <v>1</v>
      </c>
      <c r="G141" s="149">
        <f t="shared" ref="G141:G143" si="44">N141/SUM($N$140:$N$143)*126361*(1.023*1.005-2.3%*15%)*6.99</f>
        <v>7669</v>
      </c>
      <c r="H141" s="145">
        <f>$H$772</f>
        <v>1.123</v>
      </c>
      <c r="I141" s="146">
        <f t="shared" si="18"/>
        <v>8612</v>
      </c>
      <c r="J141" s="145">
        <f>'[2]Расчет прогнозных дефляторов'!$D$75</f>
        <v>1.0429999999999999</v>
      </c>
      <c r="K141" s="146">
        <f t="shared" si="13"/>
        <v>8982</v>
      </c>
      <c r="L141" s="146">
        <f t="shared" si="14"/>
        <v>8871</v>
      </c>
      <c r="M141" s="682"/>
      <c r="N141" s="149">
        <v>224</v>
      </c>
      <c r="O141" s="147">
        <f>F141*N141</f>
        <v>224</v>
      </c>
    </row>
    <row r="142" spans="1:16" s="148" customFormat="1" ht="76.5" x14ac:dyDescent="0.2">
      <c r="A142" s="200"/>
      <c r="B142" s="95" t="s">
        <v>502</v>
      </c>
      <c r="C142" s="42" t="s">
        <v>326</v>
      </c>
      <c r="D142" s="42" t="s">
        <v>321</v>
      </c>
      <c r="E142" s="100" t="s">
        <v>305</v>
      </c>
      <c r="F142" s="149">
        <v>1</v>
      </c>
      <c r="G142" s="149">
        <f t="shared" si="44"/>
        <v>211694</v>
      </c>
      <c r="H142" s="145">
        <f>$H$772</f>
        <v>1.123</v>
      </c>
      <c r="I142" s="146">
        <f t="shared" si="18"/>
        <v>237732</v>
      </c>
      <c r="J142" s="145">
        <f>'[2]Расчет прогнозных дефляторов'!$D$75</f>
        <v>1.0429999999999999</v>
      </c>
      <c r="K142" s="146">
        <f t="shared" si="13"/>
        <v>247954</v>
      </c>
      <c r="L142" s="146">
        <f t="shared" si="14"/>
        <v>244887</v>
      </c>
      <c r="M142" s="172" t="s">
        <v>713</v>
      </c>
      <c r="N142" s="149">
        <v>6183</v>
      </c>
      <c r="O142" s="147">
        <f>F142*N142</f>
        <v>6183</v>
      </c>
      <c r="P142" s="205">
        <f>(29556-9449)*(1.023*1.005-2.3%*15%)*6.99*1.2</f>
        <v>172817</v>
      </c>
    </row>
    <row r="143" spans="1:16" s="148" customFormat="1" ht="76.5" x14ac:dyDescent="0.2">
      <c r="A143" s="200"/>
      <c r="B143" s="95" t="s">
        <v>503</v>
      </c>
      <c r="C143" s="42" t="s">
        <v>326</v>
      </c>
      <c r="D143" s="42" t="s">
        <v>323</v>
      </c>
      <c r="E143" s="100" t="s">
        <v>305</v>
      </c>
      <c r="F143" s="149">
        <v>1</v>
      </c>
      <c r="G143" s="149">
        <f t="shared" si="44"/>
        <v>425922</v>
      </c>
      <c r="H143" s="145">
        <f>$H$772</f>
        <v>1.123</v>
      </c>
      <c r="I143" s="146">
        <f t="shared" si="18"/>
        <v>478310</v>
      </c>
      <c r="J143" s="145">
        <f>'[2]Расчет прогнозных дефляторов'!$D$75</f>
        <v>1.0429999999999999</v>
      </c>
      <c r="K143" s="146">
        <f t="shared" si="13"/>
        <v>498877</v>
      </c>
      <c r="L143" s="146">
        <f t="shared" si="14"/>
        <v>492707</v>
      </c>
      <c r="M143" s="172" t="s">
        <v>714</v>
      </c>
      <c r="N143" s="149">
        <v>12440</v>
      </c>
      <c r="O143" s="147">
        <f>F143*N143</f>
        <v>12440</v>
      </c>
      <c r="P143" s="205">
        <f>(59468-19945)*(1.023*1.005-2.3%*15%)*6.99*1.2</f>
        <v>339696</v>
      </c>
    </row>
    <row r="144" spans="1:16" s="148" customFormat="1" ht="15.75" x14ac:dyDescent="0.2">
      <c r="A144" s="200"/>
      <c r="B144" s="95"/>
      <c r="C144" s="42"/>
      <c r="D144" s="42" t="s">
        <v>324</v>
      </c>
      <c r="E144" s="100"/>
      <c r="F144" s="149"/>
      <c r="G144" s="149"/>
      <c r="H144" s="145"/>
      <c r="I144" s="146"/>
      <c r="J144" s="145">
        <f>'[2]Расчет прогнозных дефляторов'!$D$75</f>
        <v>1.0429999999999999</v>
      </c>
      <c r="K144" s="146">
        <f t="shared" si="13"/>
        <v>0</v>
      </c>
      <c r="L144" s="146">
        <f t="shared" si="14"/>
        <v>0</v>
      </c>
      <c r="M144" s="147"/>
      <c r="N144" s="149">
        <f>3732</f>
        <v>3732</v>
      </c>
      <c r="O144" s="147"/>
    </row>
    <row r="145" spans="1:15" s="148" customFormat="1" ht="15.75" x14ac:dyDescent="0.2">
      <c r="A145" s="200"/>
      <c r="B145" s="95" t="s">
        <v>615</v>
      </c>
      <c r="C145" s="42" t="s">
        <v>334</v>
      </c>
      <c r="D145" s="42" t="s">
        <v>327</v>
      </c>
      <c r="E145" s="100" t="s">
        <v>305</v>
      </c>
      <c r="F145" s="149">
        <v>2</v>
      </c>
      <c r="G145" s="149">
        <f>O145/SUM($O$145:$O$147)*3278*(1.023*1.005-2.3%*15%)*6.99</f>
        <v>7807</v>
      </c>
      <c r="H145" s="145">
        <f>$H$772</f>
        <v>1.123</v>
      </c>
      <c r="I145" s="146">
        <f t="shared" si="18"/>
        <v>8767</v>
      </c>
      <c r="J145" s="145">
        <f>'[2]Расчет прогнозных дефляторов'!$D$75</f>
        <v>1.0429999999999999</v>
      </c>
      <c r="K145" s="146">
        <f t="shared" si="13"/>
        <v>9144</v>
      </c>
      <c r="L145" s="146">
        <f t="shared" si="14"/>
        <v>9031</v>
      </c>
      <c r="M145" s="147"/>
      <c r="N145" s="149">
        <v>340</v>
      </c>
      <c r="O145" s="147">
        <f>F145*N145</f>
        <v>680</v>
      </c>
    </row>
    <row r="146" spans="1:15" s="148" customFormat="1" ht="15.75" x14ac:dyDescent="0.2">
      <c r="A146" s="200"/>
      <c r="B146" s="95" t="s">
        <v>616</v>
      </c>
      <c r="C146" s="42" t="s">
        <v>334</v>
      </c>
      <c r="D146" s="42" t="s">
        <v>329</v>
      </c>
      <c r="E146" s="100" t="s">
        <v>305</v>
      </c>
      <c r="F146" s="149">
        <v>1</v>
      </c>
      <c r="G146" s="149">
        <f t="shared" ref="G146:G147" si="45">O146/SUM($O$145:$O$147)*3278*(1.023*1.005-2.3%*15%)*6.99</f>
        <v>5740</v>
      </c>
      <c r="H146" s="145">
        <f>$H$772</f>
        <v>1.123</v>
      </c>
      <c r="I146" s="146">
        <f t="shared" si="18"/>
        <v>6446</v>
      </c>
      <c r="J146" s="145">
        <f>'[2]Расчет прогнозных дефляторов'!$D$75</f>
        <v>1.0429999999999999</v>
      </c>
      <c r="K146" s="146">
        <f t="shared" si="13"/>
        <v>6723</v>
      </c>
      <c r="L146" s="146">
        <f t="shared" si="14"/>
        <v>6640</v>
      </c>
      <c r="M146" s="147"/>
      <c r="N146" s="147">
        <v>500</v>
      </c>
      <c r="O146" s="171">
        <f>F146*N146</f>
        <v>500</v>
      </c>
    </row>
    <row r="147" spans="1:15" s="148" customFormat="1" ht="15.75" x14ac:dyDescent="0.2">
      <c r="A147" s="200"/>
      <c r="B147" s="95" t="s">
        <v>617</v>
      </c>
      <c r="C147" s="42" t="s">
        <v>334</v>
      </c>
      <c r="D147" s="42" t="s">
        <v>331</v>
      </c>
      <c r="E147" s="100" t="s">
        <v>305</v>
      </c>
      <c r="F147" s="149">
        <v>1</v>
      </c>
      <c r="G147" s="149">
        <f t="shared" si="45"/>
        <v>9931</v>
      </c>
      <c r="H147" s="145">
        <f>$H$772</f>
        <v>1.123</v>
      </c>
      <c r="I147" s="146">
        <f t="shared" si="18"/>
        <v>11153</v>
      </c>
      <c r="J147" s="145">
        <f>'[2]Расчет прогнозных дефляторов'!$D$75</f>
        <v>1.0429999999999999</v>
      </c>
      <c r="K147" s="146">
        <f t="shared" si="13"/>
        <v>11633</v>
      </c>
      <c r="L147" s="146">
        <f t="shared" si="14"/>
        <v>11489</v>
      </c>
      <c r="M147" s="147"/>
      <c r="N147" s="147">
        <v>865</v>
      </c>
      <c r="O147" s="171">
        <f>F147*N147</f>
        <v>865</v>
      </c>
    </row>
    <row r="148" spans="1:15" s="148" customFormat="1" ht="15.75" x14ac:dyDescent="0.2">
      <c r="B148" s="95"/>
      <c r="C148" s="42"/>
      <c r="D148" s="157" t="s">
        <v>585</v>
      </c>
      <c r="E148" s="143"/>
      <c r="F148" s="149"/>
      <c r="G148" s="149"/>
      <c r="H148" s="145"/>
      <c r="I148" s="146"/>
      <c r="J148" s="145">
        <f>'[2]Расчет прогнозных дефляторов'!$D$75</f>
        <v>1.0429999999999999</v>
      </c>
      <c r="K148" s="146">
        <f t="shared" si="13"/>
        <v>0</v>
      </c>
      <c r="L148" s="146">
        <f t="shared" si="14"/>
        <v>0</v>
      </c>
      <c r="M148" s="172"/>
      <c r="N148" s="147"/>
      <c r="O148" s="147"/>
    </row>
    <row r="149" spans="1:15" s="148" customFormat="1" ht="15.75" x14ac:dyDescent="0.2">
      <c r="A149" s="200"/>
      <c r="B149" s="95" t="s">
        <v>618</v>
      </c>
      <c r="C149" s="42" t="s">
        <v>795</v>
      </c>
      <c r="D149" s="42" t="s">
        <v>486</v>
      </c>
      <c r="E149" s="100" t="s">
        <v>292</v>
      </c>
      <c r="F149" s="149">
        <v>1</v>
      </c>
      <c r="G149" s="149">
        <f>21939*(1.023*1.005-2.3%*15%)*6.99+6290*4.09</f>
        <v>182862</v>
      </c>
      <c r="H149" s="145">
        <f>$H$772</f>
        <v>1.123</v>
      </c>
      <c r="I149" s="146">
        <f t="shared" si="18"/>
        <v>205354</v>
      </c>
      <c r="J149" s="145">
        <f>'[2]Расчет прогнозных дефляторов'!$D$75</f>
        <v>1.0429999999999999</v>
      </c>
      <c r="K149" s="146">
        <f t="shared" si="13"/>
        <v>214184</v>
      </c>
      <c r="L149" s="146">
        <f t="shared" si="14"/>
        <v>211535</v>
      </c>
      <c r="M149" s="147"/>
      <c r="N149" s="147"/>
      <c r="O149" s="147"/>
    </row>
    <row r="150" spans="1:15" s="148" customFormat="1" ht="15.75" x14ac:dyDescent="0.2">
      <c r="A150" s="200"/>
      <c r="B150" s="95" t="s">
        <v>619</v>
      </c>
      <c r="C150" s="42" t="s">
        <v>796</v>
      </c>
      <c r="D150" s="42" t="s">
        <v>487</v>
      </c>
      <c r="E150" s="100" t="s">
        <v>292</v>
      </c>
      <c r="F150" s="149">
        <v>1</v>
      </c>
      <c r="G150" s="149">
        <f>20137*(1.023*1.005-2.3%*15%)*6.99+75841*4.09</f>
        <v>454419</v>
      </c>
      <c r="H150" s="145">
        <f>$H$772</f>
        <v>1.123</v>
      </c>
      <c r="I150" s="146">
        <f t="shared" ref="I150:I701" si="46">G150*H150</f>
        <v>510313</v>
      </c>
      <c r="J150" s="145">
        <f>'[2]Расчет прогнозных дефляторов'!$D$75</f>
        <v>1.0429999999999999</v>
      </c>
      <c r="K150" s="146">
        <f t="shared" si="13"/>
        <v>532256</v>
      </c>
      <c r="L150" s="146">
        <f t="shared" si="14"/>
        <v>525673</v>
      </c>
      <c r="M150" s="147"/>
      <c r="N150" s="147"/>
      <c r="O150" s="147"/>
    </row>
    <row r="151" spans="1:15" s="148" customFormat="1" ht="15.75" x14ac:dyDescent="0.2">
      <c r="B151" s="95"/>
      <c r="C151" s="42"/>
      <c r="D151" s="157" t="s">
        <v>592</v>
      </c>
      <c r="E151" s="100"/>
      <c r="F151" s="149"/>
      <c r="G151" s="149"/>
      <c r="H151" s="145"/>
      <c r="I151" s="146"/>
      <c r="J151" s="145">
        <f>'[2]Расчет прогнозных дефляторов'!$D$75</f>
        <v>1.0429999999999999</v>
      </c>
      <c r="K151" s="146">
        <f t="shared" si="13"/>
        <v>0</v>
      </c>
      <c r="L151" s="146">
        <f t="shared" si="14"/>
        <v>0</v>
      </c>
      <c r="M151" s="172"/>
      <c r="N151" s="147"/>
      <c r="O151" s="147"/>
    </row>
    <row r="152" spans="1:15" s="148" customFormat="1" ht="25.5" x14ac:dyDescent="0.2">
      <c r="A152" s="200"/>
      <c r="B152" s="95" t="s">
        <v>624</v>
      </c>
      <c r="C152" s="42" t="s">
        <v>788</v>
      </c>
      <c r="D152" s="42" t="s">
        <v>488</v>
      </c>
      <c r="E152" s="100" t="s">
        <v>292</v>
      </c>
      <c r="F152" s="149">
        <v>1</v>
      </c>
      <c r="G152" s="149">
        <f>32437*(1.023*1.005-2.3%*15%)*6.99+408816*4.09</f>
        <v>1904384</v>
      </c>
      <c r="H152" s="145">
        <f>$H$772</f>
        <v>1.123</v>
      </c>
      <c r="I152" s="146">
        <f t="shared" si="46"/>
        <v>2138623</v>
      </c>
      <c r="J152" s="145">
        <f>'[2]Расчет прогнозных дефляторов'!$D$75</f>
        <v>1.0429999999999999</v>
      </c>
      <c r="K152" s="146">
        <f t="shared" si="13"/>
        <v>2230584</v>
      </c>
      <c r="L152" s="146">
        <f t="shared" si="14"/>
        <v>2202996</v>
      </c>
      <c r="M152" s="147"/>
      <c r="N152" s="147"/>
      <c r="O152" s="147"/>
    </row>
    <row r="153" spans="1:15" s="148" customFormat="1" ht="15.75" x14ac:dyDescent="0.2">
      <c r="A153" s="200"/>
      <c r="B153" s="95" t="s">
        <v>625</v>
      </c>
      <c r="C153" s="42" t="s">
        <v>789</v>
      </c>
      <c r="D153" s="42" t="s">
        <v>489</v>
      </c>
      <c r="E153" s="100" t="s">
        <v>292</v>
      </c>
      <c r="F153" s="149">
        <v>1</v>
      </c>
      <c r="G153" s="149">
        <f>2014*(1.023*1.005-2.3%*15%)*6.99+66296*4.09</f>
        <v>285576</v>
      </c>
      <c r="H153" s="145">
        <f>$H$772</f>
        <v>1.123</v>
      </c>
      <c r="I153" s="146">
        <f t="shared" si="46"/>
        <v>320702</v>
      </c>
      <c r="J153" s="145">
        <f>'[2]Расчет прогнозных дефляторов'!$D$75</f>
        <v>1.0429999999999999</v>
      </c>
      <c r="K153" s="146">
        <f t="shared" si="13"/>
        <v>334492</v>
      </c>
      <c r="L153" s="146">
        <f t="shared" si="14"/>
        <v>330355</v>
      </c>
      <c r="M153" s="147"/>
      <c r="N153" s="147"/>
      <c r="O153" s="147"/>
    </row>
    <row r="154" spans="1:15" s="148" customFormat="1" ht="15.75" x14ac:dyDescent="0.2">
      <c r="B154" s="95"/>
      <c r="C154" s="42"/>
      <c r="D154" s="157" t="s">
        <v>599</v>
      </c>
      <c r="E154" s="100"/>
      <c r="F154" s="149"/>
      <c r="G154" s="149"/>
      <c r="H154" s="145"/>
      <c r="I154" s="146"/>
      <c r="J154" s="145">
        <f>'[2]Расчет прогнозных дефляторов'!$D$75</f>
        <v>1.0429999999999999</v>
      </c>
      <c r="K154" s="146">
        <f t="shared" si="13"/>
        <v>0</v>
      </c>
      <c r="L154" s="146">
        <f t="shared" si="14"/>
        <v>0</v>
      </c>
      <c r="M154" s="172"/>
      <c r="N154" s="147"/>
      <c r="O154" s="147"/>
    </row>
    <row r="155" spans="1:15" s="148" customFormat="1" ht="15.75" x14ac:dyDescent="0.2">
      <c r="A155" s="200"/>
      <c r="B155" s="95" t="s">
        <v>626</v>
      </c>
      <c r="C155" s="42" t="s">
        <v>799</v>
      </c>
      <c r="D155" s="42" t="s">
        <v>601</v>
      </c>
      <c r="E155" s="100" t="s">
        <v>292</v>
      </c>
      <c r="F155" s="149">
        <v>1</v>
      </c>
      <c r="G155" s="149">
        <f>12743*(1.023*1.005-2.3%*15%)*6.99+435177*4.09+15</f>
        <v>1871159</v>
      </c>
      <c r="H155" s="145">
        <f>$H$772</f>
        <v>1.123</v>
      </c>
      <c r="I155" s="146">
        <f t="shared" si="46"/>
        <v>2101312</v>
      </c>
      <c r="J155" s="145">
        <f>'[2]Расчет прогнозных дефляторов'!$D$75</f>
        <v>1.0429999999999999</v>
      </c>
      <c r="K155" s="146">
        <f t="shared" si="13"/>
        <v>2191668</v>
      </c>
      <c r="L155" s="146">
        <f t="shared" si="14"/>
        <v>2164561</v>
      </c>
      <c r="M155" s="147"/>
      <c r="N155" s="147"/>
      <c r="O155" s="147"/>
    </row>
    <row r="156" spans="1:15" s="148" customFormat="1" ht="15.75" x14ac:dyDescent="0.2">
      <c r="A156" s="200"/>
      <c r="B156" s="95" t="s">
        <v>627</v>
      </c>
      <c r="C156" s="42" t="s">
        <v>800</v>
      </c>
      <c r="D156" s="42" t="s">
        <v>603</v>
      </c>
      <c r="E156" s="100" t="s">
        <v>292</v>
      </c>
      <c r="F156" s="149">
        <v>1</v>
      </c>
      <c r="G156" s="149">
        <f>1949*(1.023*1.005-2.3%*15%)*6.99+2938*4.09</f>
        <v>25976</v>
      </c>
      <c r="H156" s="145">
        <f>$H$772</f>
        <v>1.123</v>
      </c>
      <c r="I156" s="146">
        <f t="shared" si="46"/>
        <v>29171</v>
      </c>
      <c r="J156" s="145">
        <f>'[2]Расчет прогнозных дефляторов'!$D$75</f>
        <v>1.0429999999999999</v>
      </c>
      <c r="K156" s="146">
        <f t="shared" si="13"/>
        <v>30425</v>
      </c>
      <c r="L156" s="146">
        <f t="shared" si="14"/>
        <v>30049</v>
      </c>
      <c r="M156" s="147"/>
      <c r="N156" s="147"/>
      <c r="O156" s="147"/>
    </row>
    <row r="157" spans="1:15" s="148" customFormat="1" ht="15.75" x14ac:dyDescent="0.2">
      <c r="A157" s="200"/>
      <c r="B157" s="95"/>
      <c r="C157" s="42" t="s">
        <v>809</v>
      </c>
      <c r="D157" s="42" t="s">
        <v>808</v>
      </c>
      <c r="E157" s="100" t="s">
        <v>292</v>
      </c>
      <c r="F157" s="149">
        <v>1</v>
      </c>
      <c r="G157" s="149">
        <f>1603*(1.023*1.005-2.3%*15%)*6.99+2312*4.09</f>
        <v>20937</v>
      </c>
      <c r="H157" s="145">
        <f>$H$772</f>
        <v>1.123</v>
      </c>
      <c r="I157" s="146">
        <f t="shared" si="46"/>
        <v>23512</v>
      </c>
      <c r="J157" s="145">
        <f>'[2]Расчет прогнозных дефляторов'!$D$75</f>
        <v>1.0429999999999999</v>
      </c>
      <c r="K157" s="146">
        <f>I157*J157</f>
        <v>24523</v>
      </c>
      <c r="L157" s="146">
        <f t="shared" si="14"/>
        <v>24220</v>
      </c>
      <c r="M157" s="147"/>
      <c r="N157" s="147"/>
      <c r="O157" s="147"/>
    </row>
    <row r="158" spans="1:15" s="249" customFormat="1" ht="15.75" x14ac:dyDescent="0.2">
      <c r="B158" s="250"/>
      <c r="C158" s="251" t="s">
        <v>146</v>
      </c>
      <c r="D158" s="251" t="s">
        <v>477</v>
      </c>
      <c r="E158" s="287" t="s">
        <v>292</v>
      </c>
      <c r="F158" s="253">
        <v>1</v>
      </c>
      <c r="G158" s="253">
        <f>G159</f>
        <v>11352</v>
      </c>
      <c r="H158" s="254">
        <f>$H$772</f>
        <v>1.123</v>
      </c>
      <c r="I158" s="253">
        <f>I159</f>
        <v>12748</v>
      </c>
      <c r="J158" s="254">
        <f>'[2]Расчет прогнозных дефляторов'!$D$75</f>
        <v>1.0429999999999999</v>
      </c>
      <c r="K158" s="253">
        <f>K159</f>
        <v>13296</v>
      </c>
      <c r="L158" s="253">
        <f>L159</f>
        <v>13132</v>
      </c>
      <c r="M158" s="268"/>
      <c r="N158" s="268"/>
      <c r="O158" s="268"/>
    </row>
    <row r="159" spans="1:15" s="155" customFormat="1" ht="25.5" hidden="1" outlineLevel="1" x14ac:dyDescent="0.2">
      <c r="A159" s="222"/>
      <c r="B159" s="93"/>
      <c r="C159" s="94" t="s">
        <v>786</v>
      </c>
      <c r="D159" s="94" t="s">
        <v>779</v>
      </c>
      <c r="E159" s="175" t="s">
        <v>408</v>
      </c>
      <c r="F159" s="151">
        <v>3</v>
      </c>
      <c r="G159" s="151">
        <f>(129+1456)*(1.023*1.005-2.3%*15%)*6.99+0*4.09</f>
        <v>11352</v>
      </c>
      <c r="H159" s="145">
        <f>$H$772</f>
        <v>1.123</v>
      </c>
      <c r="I159" s="146">
        <f t="shared" si="46"/>
        <v>12748</v>
      </c>
      <c r="J159" s="145">
        <f>'[2]Расчет прогнозных дефляторов'!$D$75</f>
        <v>1.0429999999999999</v>
      </c>
      <c r="K159" s="146">
        <f>I159*J159</f>
        <v>13296</v>
      </c>
      <c r="L159" s="146">
        <f t="shared" si="14"/>
        <v>13132</v>
      </c>
      <c r="M159" s="96"/>
      <c r="N159" s="96"/>
      <c r="O159" s="96"/>
    </row>
    <row r="160" spans="1:15" s="237" customFormat="1" ht="15.75" collapsed="1" x14ac:dyDescent="0.2">
      <c r="A160" s="131"/>
      <c r="B160" s="179"/>
      <c r="C160" s="180"/>
      <c r="D160" s="180" t="s">
        <v>1774</v>
      </c>
      <c r="E160" s="125" t="s">
        <v>292</v>
      </c>
      <c r="F160" s="126">
        <v>1</v>
      </c>
      <c r="G160" s="126">
        <f>G161+G172+G193</f>
        <v>30447006</v>
      </c>
      <c r="H160" s="127"/>
      <c r="I160" s="126">
        <f>I161+I172+I193</f>
        <v>34191985</v>
      </c>
      <c r="J160" s="127"/>
      <c r="K160" s="126">
        <f>K161+K172+K193</f>
        <v>35659990</v>
      </c>
      <c r="L160" s="126">
        <f>L161+L172+L193</f>
        <v>35219591</v>
      </c>
      <c r="M160" s="256"/>
      <c r="N160" s="256"/>
      <c r="O160" s="256"/>
    </row>
    <row r="161" spans="1:15" s="237" customFormat="1" ht="15.75" x14ac:dyDescent="0.2">
      <c r="A161" s="265"/>
      <c r="B161" s="238"/>
      <c r="C161" s="229" t="s">
        <v>158</v>
      </c>
      <c r="D161" s="229" t="s">
        <v>638</v>
      </c>
      <c r="E161" s="239" t="s">
        <v>292</v>
      </c>
      <c r="F161" s="240">
        <v>1</v>
      </c>
      <c r="G161" s="240">
        <f>SUM(G162:G171)</f>
        <v>7312694</v>
      </c>
      <c r="H161" s="241"/>
      <c r="I161" s="240">
        <f>SUM(I162:I171)</f>
        <v>8212155</v>
      </c>
      <c r="J161" s="241"/>
      <c r="K161" s="240">
        <f>SUM(K162:K171)</f>
        <v>8563028</v>
      </c>
      <c r="L161" s="240">
        <f>SUM(L162:L171)</f>
        <v>8457766</v>
      </c>
      <c r="M161" s="256"/>
      <c r="N161" s="256"/>
      <c r="O161" s="256"/>
    </row>
    <row r="162" spans="1:15" s="148" customFormat="1" ht="15.75" hidden="1" outlineLevel="1" x14ac:dyDescent="0.2">
      <c r="A162" s="200"/>
      <c r="B162" s="95"/>
      <c r="C162" s="42" t="s">
        <v>846</v>
      </c>
      <c r="D162" s="42" t="s">
        <v>414</v>
      </c>
      <c r="E162" s="100" t="s">
        <v>292</v>
      </c>
      <c r="F162" s="149">
        <v>1</v>
      </c>
      <c r="G162" s="149">
        <f>190285*(1.023*1.005-2.3%*15%)*6.99+0*4.09-6</f>
        <v>1362893</v>
      </c>
      <c r="H162" s="145">
        <f t="shared" ref="H162:H171" si="47">$H$772</f>
        <v>1.123</v>
      </c>
      <c r="I162" s="146">
        <f t="shared" ref="I162:I168" si="48">G162*H162</f>
        <v>1530529</v>
      </c>
      <c r="J162" s="145">
        <f>'[2]Расчет прогнозных дефляторов'!$D$75</f>
        <v>1.0429999999999999</v>
      </c>
      <c r="K162" s="146">
        <f t="shared" ref="K162:K168" si="49">I162*J162</f>
        <v>1596342</v>
      </c>
      <c r="L162" s="146">
        <f t="shared" ref="L162:L168" si="50">I162+(K162-I162)*(1-30/100)</f>
        <v>1576598</v>
      </c>
      <c r="M162" s="147" t="s">
        <v>847</v>
      </c>
      <c r="N162" s="147"/>
      <c r="O162" s="147"/>
    </row>
    <row r="163" spans="1:15" s="148" customFormat="1" ht="15.75" hidden="1" outlineLevel="1" x14ac:dyDescent="0.2">
      <c r="A163" s="200"/>
      <c r="B163" s="95"/>
      <c r="C163" s="42" t="s">
        <v>848</v>
      </c>
      <c r="D163" s="42" t="s">
        <v>1772</v>
      </c>
      <c r="E163" s="100" t="s">
        <v>292</v>
      </c>
      <c r="F163" s="149">
        <v>1</v>
      </c>
      <c r="G163" s="149">
        <f>54471*(1.023*1.005-2.3%*15%)*6.99+0*4.09</f>
        <v>390144</v>
      </c>
      <c r="H163" s="145">
        <f t="shared" si="47"/>
        <v>1.123</v>
      </c>
      <c r="I163" s="146">
        <f t="shared" si="48"/>
        <v>438132</v>
      </c>
      <c r="J163" s="145">
        <f>'[2]Расчет прогнозных дефляторов'!$D$75</f>
        <v>1.0429999999999999</v>
      </c>
      <c r="K163" s="146">
        <f t="shared" si="49"/>
        <v>456972</v>
      </c>
      <c r="L163" s="146">
        <f t="shared" si="50"/>
        <v>451320</v>
      </c>
      <c r="M163" s="147"/>
      <c r="N163" s="147"/>
      <c r="O163" s="147"/>
    </row>
    <row r="164" spans="1:15" s="148" customFormat="1" ht="15.75" hidden="1" outlineLevel="1" x14ac:dyDescent="0.2">
      <c r="A164" s="200"/>
      <c r="B164" s="95"/>
      <c r="C164" s="42" t="s">
        <v>849</v>
      </c>
      <c r="D164" s="42" t="s">
        <v>1773</v>
      </c>
      <c r="E164" s="100" t="s">
        <v>292</v>
      </c>
      <c r="F164" s="149">
        <v>1</v>
      </c>
      <c r="G164" s="149">
        <f>333456*(1.023*1.005-2.3%*15%)*6.99+0*4.09</f>
        <v>2388348</v>
      </c>
      <c r="H164" s="145">
        <f t="shared" si="47"/>
        <v>1.123</v>
      </c>
      <c r="I164" s="146">
        <f t="shared" si="48"/>
        <v>2682115</v>
      </c>
      <c r="J164" s="145">
        <f>'[2]Расчет прогнозных дефляторов'!$D$75</f>
        <v>1.0429999999999999</v>
      </c>
      <c r="K164" s="146">
        <f t="shared" si="49"/>
        <v>2797446</v>
      </c>
      <c r="L164" s="146">
        <f t="shared" si="50"/>
        <v>2762847</v>
      </c>
      <c r="M164" s="147"/>
      <c r="N164" s="147"/>
      <c r="O164" s="147"/>
    </row>
    <row r="165" spans="1:15" s="148" customFormat="1" ht="15.75" hidden="1" outlineLevel="1" x14ac:dyDescent="0.2">
      <c r="A165" s="200"/>
      <c r="B165" s="95"/>
      <c r="C165" s="42" t="s">
        <v>851</v>
      </c>
      <c r="D165" s="42" t="s">
        <v>850</v>
      </c>
      <c r="E165" s="100" t="s">
        <v>404</v>
      </c>
      <c r="F165" s="149">
        <v>72</v>
      </c>
      <c r="G165" s="149">
        <f>86505*(1.023*1.005-2.3%*15%)*6.99+0*4.09</f>
        <v>619584</v>
      </c>
      <c r="H165" s="145">
        <f t="shared" si="47"/>
        <v>1.123</v>
      </c>
      <c r="I165" s="146">
        <f t="shared" si="48"/>
        <v>695793</v>
      </c>
      <c r="J165" s="145">
        <f>'[2]Расчет прогнозных дефляторов'!$D$75</f>
        <v>1.0429999999999999</v>
      </c>
      <c r="K165" s="146">
        <f t="shared" si="49"/>
        <v>725712</v>
      </c>
      <c r="L165" s="146">
        <f t="shared" si="50"/>
        <v>716736</v>
      </c>
      <c r="M165" s="147"/>
      <c r="N165" s="147"/>
      <c r="O165" s="147"/>
    </row>
    <row r="166" spans="1:15" s="148" customFormat="1" ht="15.75" hidden="1" outlineLevel="1" x14ac:dyDescent="0.2">
      <c r="A166" s="200"/>
      <c r="B166" s="95"/>
      <c r="C166" s="42" t="s">
        <v>854</v>
      </c>
      <c r="D166" s="42" t="s">
        <v>852</v>
      </c>
      <c r="E166" s="100" t="s">
        <v>292</v>
      </c>
      <c r="F166" s="149">
        <v>1</v>
      </c>
      <c r="G166" s="149">
        <f>69716*(1.023*1.005-2.3%*15%)*6.99+0*4.09</f>
        <v>499334</v>
      </c>
      <c r="H166" s="145">
        <f t="shared" si="47"/>
        <v>1.123</v>
      </c>
      <c r="I166" s="146">
        <f t="shared" si="48"/>
        <v>560752</v>
      </c>
      <c r="J166" s="145">
        <f>'[2]Расчет прогнозных дефляторов'!$D$75</f>
        <v>1.0429999999999999</v>
      </c>
      <c r="K166" s="146">
        <f t="shared" si="49"/>
        <v>584864</v>
      </c>
      <c r="L166" s="146">
        <f t="shared" si="50"/>
        <v>577630</v>
      </c>
      <c r="M166" s="147" t="s">
        <v>853</v>
      </c>
      <c r="N166" s="147"/>
      <c r="O166" s="147"/>
    </row>
    <row r="167" spans="1:15" s="148" customFormat="1" ht="15.75" hidden="1" outlineLevel="1" x14ac:dyDescent="0.2">
      <c r="A167" s="200"/>
      <c r="B167" s="95"/>
      <c r="C167" s="42" t="s">
        <v>856</v>
      </c>
      <c r="D167" s="42" t="s">
        <v>855</v>
      </c>
      <c r="E167" s="100" t="s">
        <v>377</v>
      </c>
      <c r="F167" s="149">
        <v>25</v>
      </c>
      <c r="G167" s="149">
        <f>4693*(1.023*1.005-2.3%*15%)*6.99+0*4.09</f>
        <v>33613</v>
      </c>
      <c r="H167" s="145">
        <f t="shared" si="47"/>
        <v>1.123</v>
      </c>
      <c r="I167" s="146">
        <f t="shared" si="48"/>
        <v>37747</v>
      </c>
      <c r="J167" s="145">
        <f>'[2]Расчет прогнозных дефляторов'!$D$75</f>
        <v>1.0429999999999999</v>
      </c>
      <c r="K167" s="146">
        <f t="shared" si="49"/>
        <v>39370</v>
      </c>
      <c r="L167" s="146">
        <f t="shared" si="50"/>
        <v>38883</v>
      </c>
      <c r="M167" s="147"/>
      <c r="N167" s="147"/>
      <c r="O167" s="147"/>
    </row>
    <row r="168" spans="1:15" s="148" customFormat="1" ht="15.75" hidden="1" outlineLevel="1" x14ac:dyDescent="0.2">
      <c r="A168" s="200"/>
      <c r="B168" s="95"/>
      <c r="C168" s="42" t="s">
        <v>858</v>
      </c>
      <c r="D168" s="42" t="s">
        <v>857</v>
      </c>
      <c r="E168" s="100" t="s">
        <v>404</v>
      </c>
      <c r="F168" s="168">
        <f>548.2</f>
        <v>548.20000000000005</v>
      </c>
      <c r="G168" s="149">
        <f>2078*(1.023*1.005-2.3%*15%)*6.99+0*4.09</f>
        <v>14883</v>
      </c>
      <c r="H168" s="145">
        <f t="shared" si="47"/>
        <v>1.123</v>
      </c>
      <c r="I168" s="146">
        <f t="shared" si="48"/>
        <v>16714</v>
      </c>
      <c r="J168" s="145">
        <f>'[2]Расчет прогнозных дефляторов'!$D$75</f>
        <v>1.0429999999999999</v>
      </c>
      <c r="K168" s="146">
        <f t="shared" si="49"/>
        <v>17433</v>
      </c>
      <c r="L168" s="146">
        <f t="shared" si="50"/>
        <v>17217</v>
      </c>
      <c r="M168" s="147"/>
      <c r="N168" s="147"/>
      <c r="O168" s="147"/>
    </row>
    <row r="169" spans="1:15" s="155" customFormat="1" ht="15.75" hidden="1" outlineLevel="1" x14ac:dyDescent="0.2">
      <c r="A169" s="222"/>
      <c r="B169" s="93"/>
      <c r="C169" s="42" t="s">
        <v>861</v>
      </c>
      <c r="D169" s="42" t="s">
        <v>859</v>
      </c>
      <c r="E169" s="143" t="s">
        <v>305</v>
      </c>
      <c r="F169" s="149">
        <v>1</v>
      </c>
      <c r="G169" s="149">
        <f>3*5*2.7/81*1813*(1.023*1.005-2.3%*15%)*6.99+247669*4.09</f>
        <v>1019459</v>
      </c>
      <c r="H169" s="145">
        <f t="shared" si="47"/>
        <v>1.123</v>
      </c>
      <c r="I169" s="146">
        <f>G169*H169</f>
        <v>1144852</v>
      </c>
      <c r="J169" s="145">
        <f>'[2]Расчет прогнозных дефляторов'!$D$93</f>
        <v>1.042</v>
      </c>
      <c r="K169" s="146">
        <f>I169*J169</f>
        <v>1192936</v>
      </c>
      <c r="L169" s="146">
        <f>I169+(K169-I169)*(1-30/100)</f>
        <v>1178511</v>
      </c>
      <c r="M169" s="154"/>
      <c r="N169" s="176"/>
      <c r="O169" s="96"/>
    </row>
    <row r="170" spans="1:15" s="155" customFormat="1" ht="15.75" hidden="1" outlineLevel="1" x14ac:dyDescent="0.2">
      <c r="A170" s="222"/>
      <c r="B170" s="93"/>
      <c r="C170" s="42" t="s">
        <v>862</v>
      </c>
      <c r="D170" s="42" t="s">
        <v>860</v>
      </c>
      <c r="E170" s="143" t="s">
        <v>408</v>
      </c>
      <c r="F170" s="149">
        <v>1</v>
      </c>
      <c r="G170" s="149">
        <f>3*5*2.7/81*1813*(1.023*1.005-2.3%*15%)*6.99+234714*4.09</f>
        <v>966473</v>
      </c>
      <c r="H170" s="145">
        <f t="shared" si="47"/>
        <v>1.123</v>
      </c>
      <c r="I170" s="146">
        <f>G170*H170</f>
        <v>1085349</v>
      </c>
      <c r="J170" s="145">
        <f>'[2]Расчет прогнозных дефляторов'!$D$93</f>
        <v>1.042</v>
      </c>
      <c r="K170" s="146">
        <f>I170*J170</f>
        <v>1130934</v>
      </c>
      <c r="L170" s="146">
        <f>I170+(K170-I170)*(1-30/100)</f>
        <v>1117259</v>
      </c>
      <c r="M170" s="154"/>
      <c r="N170" s="96"/>
      <c r="O170" s="96"/>
    </row>
    <row r="171" spans="1:15" s="155" customFormat="1" ht="15.75" hidden="1" outlineLevel="1" x14ac:dyDescent="0.2">
      <c r="A171" s="222"/>
      <c r="B171" s="93"/>
      <c r="C171" s="42" t="s">
        <v>863</v>
      </c>
      <c r="D171" s="42" t="s">
        <v>864</v>
      </c>
      <c r="E171" s="143" t="s">
        <v>404</v>
      </c>
      <c r="F171" s="168">
        <v>55</v>
      </c>
      <c r="G171" s="149">
        <f>(2508)*(1.023*1.005-2.3%*15%)*6.99+0*4.09</f>
        <v>17963</v>
      </c>
      <c r="H171" s="145">
        <f t="shared" si="47"/>
        <v>1.123</v>
      </c>
      <c r="I171" s="146">
        <f>G171*H171</f>
        <v>20172</v>
      </c>
      <c r="J171" s="145">
        <f>'[2]Расчет прогнозных дефляторов'!$D$93</f>
        <v>1.042</v>
      </c>
      <c r="K171" s="146">
        <f>I171*J171</f>
        <v>21019</v>
      </c>
      <c r="L171" s="146">
        <f>I171+(K171-I171)*(1-30/100)</f>
        <v>20765</v>
      </c>
      <c r="M171" s="154"/>
      <c r="N171" s="96"/>
      <c r="O171" s="96"/>
    </row>
    <row r="172" spans="1:15" s="237" customFormat="1" ht="15.75" collapsed="1" x14ac:dyDescent="0.2">
      <c r="A172" s="265"/>
      <c r="B172" s="238"/>
      <c r="C172" s="229" t="s">
        <v>162</v>
      </c>
      <c r="D172" s="229" t="s">
        <v>648</v>
      </c>
      <c r="E172" s="239" t="s">
        <v>292</v>
      </c>
      <c r="F172" s="240">
        <v>1</v>
      </c>
      <c r="G172" s="240">
        <f>SUM(G173:G192)</f>
        <v>22290274</v>
      </c>
      <c r="H172" s="241"/>
      <c r="I172" s="240">
        <f>SUM(I173:I192)</f>
        <v>25031976</v>
      </c>
      <c r="J172" s="241"/>
      <c r="K172" s="240">
        <f>SUM(K173:K192)</f>
        <v>26108351</v>
      </c>
      <c r="L172" s="240">
        <f>SUM(L173:L192)</f>
        <v>25785440</v>
      </c>
      <c r="M172" s="256"/>
      <c r="N172" s="256"/>
      <c r="O172" s="256"/>
    </row>
    <row r="173" spans="1:15" s="148" customFormat="1" ht="15.75" hidden="1" outlineLevel="1" x14ac:dyDescent="0.2">
      <c r="A173" s="200"/>
      <c r="B173" s="95"/>
      <c r="C173" s="42"/>
      <c r="D173" s="157" t="s">
        <v>367</v>
      </c>
      <c r="E173" s="100"/>
      <c r="F173" s="100"/>
      <c r="G173" s="149"/>
      <c r="H173" s="145"/>
      <c r="I173" s="146"/>
      <c r="J173" s="145"/>
      <c r="K173" s="146"/>
      <c r="L173" s="146"/>
      <c r="M173" s="147"/>
      <c r="N173" s="147"/>
      <c r="O173" s="147"/>
    </row>
    <row r="174" spans="1:15" s="148" customFormat="1" ht="15.75" hidden="1" outlineLevel="1" x14ac:dyDescent="0.2">
      <c r="A174" s="200"/>
      <c r="B174" s="95"/>
      <c r="C174" s="42" t="s">
        <v>1007</v>
      </c>
      <c r="D174" s="42" t="s">
        <v>1006</v>
      </c>
      <c r="E174" s="100" t="s">
        <v>300</v>
      </c>
      <c r="F174" s="100">
        <v>110</v>
      </c>
      <c r="G174" s="149">
        <f>(18362)*(1.023*1.005-2.3%*15%)*6.99+0*4.09</f>
        <v>131516</v>
      </c>
      <c r="H174" s="145">
        <f>$H$772</f>
        <v>1.123</v>
      </c>
      <c r="I174" s="146">
        <f t="shared" ref="I174:I175" si="51">G174*H174</f>
        <v>147692</v>
      </c>
      <c r="J174" s="145">
        <f>'[2]Расчет прогнозных дефляторов'!$D$75</f>
        <v>1.0429999999999999</v>
      </c>
      <c r="K174" s="146">
        <f t="shared" ref="K174:K175" si="52">I174*J174</f>
        <v>154043</v>
      </c>
      <c r="L174" s="146">
        <f t="shared" ref="L174:L175" si="53">I174+(K174-I174)*(1-30/100)</f>
        <v>152138</v>
      </c>
      <c r="M174" s="147" t="s">
        <v>1008</v>
      </c>
      <c r="N174" s="147"/>
      <c r="O174" s="147"/>
    </row>
    <row r="175" spans="1:15" s="148" customFormat="1" ht="25.5" hidden="1" outlineLevel="1" x14ac:dyDescent="0.2">
      <c r="A175" s="200"/>
      <c r="B175" s="95"/>
      <c r="C175" s="42" t="s">
        <v>1009</v>
      </c>
      <c r="D175" s="42" t="s">
        <v>750</v>
      </c>
      <c r="E175" s="100" t="s">
        <v>300</v>
      </c>
      <c r="F175" s="100">
        <v>420</v>
      </c>
      <c r="G175" s="149">
        <f>(6023)*(1.023*1.005-2.3%*15%)*6.99+0*4.09</f>
        <v>43139</v>
      </c>
      <c r="H175" s="145">
        <f>$H$772</f>
        <v>1.123</v>
      </c>
      <c r="I175" s="146">
        <f t="shared" si="51"/>
        <v>48445</v>
      </c>
      <c r="J175" s="145">
        <f>'[2]Расчет прогнозных дефляторов'!$D$75</f>
        <v>1.0429999999999999</v>
      </c>
      <c r="K175" s="146">
        <f t="shared" si="52"/>
        <v>50528</v>
      </c>
      <c r="L175" s="146">
        <f t="shared" si="53"/>
        <v>49903</v>
      </c>
      <c r="M175" s="147"/>
      <c r="N175" s="147"/>
      <c r="O175" s="147"/>
    </row>
    <row r="176" spans="1:15" s="148" customFormat="1" ht="15.75" hidden="1" outlineLevel="1" x14ac:dyDescent="0.2">
      <c r="A176" s="200"/>
      <c r="B176" s="95"/>
      <c r="C176" s="42"/>
      <c r="D176" s="157" t="s">
        <v>1020</v>
      </c>
      <c r="E176" s="100"/>
      <c r="F176" s="100"/>
      <c r="G176" s="149"/>
      <c r="H176" s="145"/>
      <c r="I176" s="146"/>
      <c r="J176" s="145"/>
      <c r="K176" s="146"/>
      <c r="L176" s="146"/>
      <c r="M176" s="147"/>
      <c r="N176" s="147"/>
      <c r="O176" s="147"/>
    </row>
    <row r="177" spans="1:15" s="148" customFormat="1" ht="15.75" hidden="1" outlineLevel="1" x14ac:dyDescent="0.2">
      <c r="A177" s="200"/>
      <c r="B177" s="95"/>
      <c r="C177" s="42" t="s">
        <v>1011</v>
      </c>
      <c r="D177" s="42" t="s">
        <v>1021</v>
      </c>
      <c r="E177" s="100" t="s">
        <v>300</v>
      </c>
      <c r="F177" s="168">
        <f>237.9</f>
        <v>237.9</v>
      </c>
      <c r="G177" s="149">
        <f>(319411)*(1.023*1.005-2.3%*15%)*6.99+0*4.09</f>
        <v>2287752</v>
      </c>
      <c r="H177" s="145">
        <f t="shared" ref="H177:H183" si="54">$H$772</f>
        <v>1.123</v>
      </c>
      <c r="I177" s="146">
        <f t="shared" ref="I177:I183" si="55">G177*H177</f>
        <v>2569145</v>
      </c>
      <c r="J177" s="145">
        <f>'[2]Расчет прогнозных дефляторов'!$D$75</f>
        <v>1.0429999999999999</v>
      </c>
      <c r="K177" s="146">
        <f t="shared" ref="K177:K183" si="56">I177*J177</f>
        <v>2679618</v>
      </c>
      <c r="L177" s="146">
        <f t="shared" ref="L177:L183" si="57">I177+(K177-I177)*(1-30/100)</f>
        <v>2646476</v>
      </c>
      <c r="M177" s="147"/>
      <c r="N177" s="147"/>
      <c r="O177" s="147"/>
    </row>
    <row r="178" spans="1:15" s="148" customFormat="1" ht="15.75" hidden="1" outlineLevel="1" x14ac:dyDescent="0.2">
      <c r="A178" s="200"/>
      <c r="B178" s="95"/>
      <c r="C178" s="42" t="s">
        <v>1013</v>
      </c>
      <c r="D178" s="42" t="s">
        <v>1022</v>
      </c>
      <c r="E178" s="100" t="s">
        <v>300</v>
      </c>
      <c r="F178" s="100">
        <f>52.1</f>
        <v>52.1</v>
      </c>
      <c r="G178" s="149">
        <f>(75676)*(1.023*1.005-2.3%*15%)*6.99+0*4.09</f>
        <v>542022</v>
      </c>
      <c r="H178" s="145">
        <f t="shared" si="54"/>
        <v>1.123</v>
      </c>
      <c r="I178" s="146">
        <f t="shared" si="55"/>
        <v>608691</v>
      </c>
      <c r="J178" s="145">
        <f>'[2]Расчет прогнозных дефляторов'!$D$75</f>
        <v>1.0429999999999999</v>
      </c>
      <c r="K178" s="146">
        <f t="shared" si="56"/>
        <v>634865</v>
      </c>
      <c r="L178" s="146">
        <f t="shared" si="57"/>
        <v>627013</v>
      </c>
      <c r="M178" s="147"/>
      <c r="N178" s="147"/>
      <c r="O178" s="147"/>
    </row>
    <row r="179" spans="1:15" s="148" customFormat="1" ht="15.75" hidden="1" outlineLevel="1" x14ac:dyDescent="0.2">
      <c r="A179" s="200"/>
      <c r="B179" s="95"/>
      <c r="C179" s="42" t="s">
        <v>1014</v>
      </c>
      <c r="D179" s="42" t="s">
        <v>1012</v>
      </c>
      <c r="E179" s="100" t="s">
        <v>300</v>
      </c>
      <c r="F179" s="100">
        <f>45.6</f>
        <v>45.6</v>
      </c>
      <c r="G179" s="149">
        <f>(75718)*(1.023*1.005-2.3%*15%)*6.99+0*4.09</f>
        <v>542323</v>
      </c>
      <c r="H179" s="145">
        <f t="shared" si="54"/>
        <v>1.123</v>
      </c>
      <c r="I179" s="146">
        <f t="shared" si="55"/>
        <v>609029</v>
      </c>
      <c r="J179" s="145">
        <f>'[2]Расчет прогнозных дефляторов'!$D$75</f>
        <v>1.0429999999999999</v>
      </c>
      <c r="K179" s="146">
        <f t="shared" si="56"/>
        <v>635217</v>
      </c>
      <c r="L179" s="146">
        <f t="shared" si="57"/>
        <v>627361</v>
      </c>
      <c r="M179" s="147"/>
      <c r="N179" s="147"/>
      <c r="O179" s="147"/>
    </row>
    <row r="180" spans="1:15" s="148" customFormat="1" ht="15.75" hidden="1" outlineLevel="1" x14ac:dyDescent="0.2">
      <c r="A180" s="200"/>
      <c r="B180" s="95"/>
      <c r="C180" s="42" t="s">
        <v>1015</v>
      </c>
      <c r="D180" s="42" t="s">
        <v>1023</v>
      </c>
      <c r="E180" s="100" t="s">
        <v>300</v>
      </c>
      <c r="F180" s="100">
        <f>27.6</f>
        <v>27.6</v>
      </c>
      <c r="G180" s="149">
        <f>(93327)*(1.023*1.005-2.3%*15%)*6.99+0*4.09</f>
        <v>668446</v>
      </c>
      <c r="H180" s="145">
        <f t="shared" si="54"/>
        <v>1.123</v>
      </c>
      <c r="I180" s="146">
        <f t="shared" si="55"/>
        <v>750665</v>
      </c>
      <c r="J180" s="145">
        <f>'[2]Расчет прогнозных дефляторов'!$D$75</f>
        <v>1.0429999999999999</v>
      </c>
      <c r="K180" s="146">
        <f t="shared" si="56"/>
        <v>782944</v>
      </c>
      <c r="L180" s="146">
        <f t="shared" si="57"/>
        <v>773260</v>
      </c>
      <c r="M180" s="147"/>
      <c r="N180" s="147"/>
      <c r="O180" s="147"/>
    </row>
    <row r="181" spans="1:15" s="148" customFormat="1" ht="15.75" hidden="1" outlineLevel="1" x14ac:dyDescent="0.2">
      <c r="A181" s="200"/>
      <c r="B181" s="95"/>
      <c r="C181" s="42" t="s">
        <v>1017</v>
      </c>
      <c r="D181" s="42" t="s">
        <v>1016</v>
      </c>
      <c r="E181" s="100" t="s">
        <v>300</v>
      </c>
      <c r="F181" s="100">
        <f>116</f>
        <v>116</v>
      </c>
      <c r="G181" s="149">
        <f>(250290)*(1.023*1.005-2.3%*15%)*6.99+0*4.09</f>
        <v>1792679</v>
      </c>
      <c r="H181" s="145">
        <f t="shared" si="54"/>
        <v>1.123</v>
      </c>
      <c r="I181" s="146">
        <f t="shared" si="55"/>
        <v>2013179</v>
      </c>
      <c r="J181" s="145">
        <f>'[2]Расчет прогнозных дефляторов'!$D$75</f>
        <v>1.0429999999999999</v>
      </c>
      <c r="K181" s="146">
        <f t="shared" si="56"/>
        <v>2099746</v>
      </c>
      <c r="L181" s="146">
        <f t="shared" si="57"/>
        <v>2073776</v>
      </c>
      <c r="M181" s="147"/>
      <c r="N181" s="147"/>
      <c r="O181" s="147"/>
    </row>
    <row r="182" spans="1:15" s="148" customFormat="1" ht="15.75" hidden="1" outlineLevel="1" x14ac:dyDescent="0.2">
      <c r="A182" s="200"/>
      <c r="B182" s="95"/>
      <c r="C182" s="42" t="s">
        <v>1018</v>
      </c>
      <c r="D182" s="42" t="s">
        <v>1024</v>
      </c>
      <c r="E182" s="100" t="s">
        <v>300</v>
      </c>
      <c r="F182" s="100">
        <f>28.3</f>
        <v>28.3</v>
      </c>
      <c r="G182" s="149">
        <f>(47432)*(1.023*1.005-2.3%*15%)*6.99+0*4.09</f>
        <v>339727</v>
      </c>
      <c r="H182" s="145">
        <f t="shared" si="54"/>
        <v>1.123</v>
      </c>
      <c r="I182" s="146">
        <f t="shared" si="55"/>
        <v>381513</v>
      </c>
      <c r="J182" s="145">
        <f>'[2]Расчет прогнозных дефляторов'!$D$75</f>
        <v>1.0429999999999999</v>
      </c>
      <c r="K182" s="146">
        <f t="shared" si="56"/>
        <v>397918</v>
      </c>
      <c r="L182" s="146">
        <f t="shared" si="57"/>
        <v>392997</v>
      </c>
      <c r="M182" s="147"/>
      <c r="N182" s="147"/>
      <c r="O182" s="147"/>
    </row>
    <row r="183" spans="1:15" s="148" customFormat="1" ht="25.5" hidden="1" outlineLevel="1" x14ac:dyDescent="0.2">
      <c r="A183" s="200"/>
      <c r="B183" s="95"/>
      <c r="C183" s="42" t="s">
        <v>1025</v>
      </c>
      <c r="D183" s="157" t="s">
        <v>1019</v>
      </c>
      <c r="E183" s="100" t="s">
        <v>292</v>
      </c>
      <c r="F183" s="100">
        <v>1</v>
      </c>
      <c r="G183" s="149">
        <f>(102455)*(1.023*1.005-2.3%*15%)*6.99+0*4.09</f>
        <v>733825</v>
      </c>
      <c r="H183" s="145">
        <f t="shared" si="54"/>
        <v>1.123</v>
      </c>
      <c r="I183" s="146">
        <f t="shared" si="55"/>
        <v>824085</v>
      </c>
      <c r="J183" s="145">
        <f>'[2]Расчет прогнозных дефляторов'!$D$75</f>
        <v>1.0429999999999999</v>
      </c>
      <c r="K183" s="146">
        <f t="shared" si="56"/>
        <v>859521</v>
      </c>
      <c r="L183" s="146">
        <f t="shared" si="57"/>
        <v>848890</v>
      </c>
      <c r="M183" s="147"/>
      <c r="N183" s="147"/>
      <c r="O183" s="147"/>
    </row>
    <row r="184" spans="1:15" s="148" customFormat="1" ht="15.75" hidden="1" outlineLevel="1" x14ac:dyDescent="0.2">
      <c r="A184" s="200"/>
      <c r="B184" s="95"/>
      <c r="C184" s="42"/>
      <c r="D184" s="157" t="s">
        <v>1026</v>
      </c>
      <c r="E184" s="100"/>
      <c r="F184" s="100"/>
      <c r="G184" s="149"/>
      <c r="H184" s="145"/>
      <c r="I184" s="146"/>
      <c r="J184" s="145"/>
      <c r="K184" s="146"/>
      <c r="L184" s="146"/>
      <c r="M184" s="147"/>
      <c r="N184" s="147"/>
      <c r="O184" s="147"/>
    </row>
    <row r="185" spans="1:15" s="148" customFormat="1" ht="15.75" hidden="1" outlineLevel="1" x14ac:dyDescent="0.2">
      <c r="A185" s="200"/>
      <c r="B185" s="95"/>
      <c r="C185" s="42" t="s">
        <v>1029</v>
      </c>
      <c r="D185" s="42" t="s">
        <v>1027</v>
      </c>
      <c r="E185" s="100" t="s">
        <v>292</v>
      </c>
      <c r="F185" s="100">
        <v>1</v>
      </c>
      <c r="G185" s="149">
        <f>(32268)*(1.023*1.005-2.3%*15%)*6.99+0*4.09</f>
        <v>231117</v>
      </c>
      <c r="H185" s="145">
        <f t="shared" ref="H185:H192" si="58">$H$772</f>
        <v>1.123</v>
      </c>
      <c r="I185" s="146">
        <f t="shared" ref="I185:I192" si="59">G185*H185</f>
        <v>259544</v>
      </c>
      <c r="J185" s="145">
        <f>'[2]Расчет прогнозных дефляторов'!$D$75</f>
        <v>1.0429999999999999</v>
      </c>
      <c r="K185" s="146">
        <f t="shared" ref="K185:K192" si="60">I185*J185</f>
        <v>270704</v>
      </c>
      <c r="L185" s="146">
        <f t="shared" ref="L185:L192" si="61">I185+(K185-I185)*(1-30/100)</f>
        <v>267356</v>
      </c>
      <c r="M185" s="147" t="s">
        <v>1039</v>
      </c>
      <c r="N185" s="147"/>
      <c r="O185" s="147"/>
    </row>
    <row r="186" spans="1:15" s="148" customFormat="1" ht="15.75" hidden="1" outlineLevel="1" x14ac:dyDescent="0.2">
      <c r="A186" s="200"/>
      <c r="B186" s="160"/>
      <c r="C186" s="91" t="s">
        <v>1030</v>
      </c>
      <c r="D186" s="91" t="s">
        <v>1028</v>
      </c>
      <c r="E186" s="161" t="s">
        <v>408</v>
      </c>
      <c r="F186" s="161">
        <v>918</v>
      </c>
      <c r="G186" s="99">
        <f>(305556)*(1.023*1.005-2.3%*15%)*6.99+0*4.09</f>
        <v>2188517</v>
      </c>
      <c r="H186" s="163">
        <f t="shared" si="58"/>
        <v>1.123</v>
      </c>
      <c r="I186" s="164">
        <f t="shared" si="59"/>
        <v>2457705</v>
      </c>
      <c r="J186" s="163">
        <f>'[2]Расчет прогнозных дефляторов'!$D$75</f>
        <v>1.0429999999999999</v>
      </c>
      <c r="K186" s="164">
        <f t="shared" si="60"/>
        <v>2563386</v>
      </c>
      <c r="L186" s="164">
        <f t="shared" si="61"/>
        <v>2531682</v>
      </c>
      <c r="M186" s="147" t="s">
        <v>742</v>
      </c>
      <c r="N186" s="147"/>
      <c r="O186" s="147"/>
    </row>
    <row r="187" spans="1:15" s="148" customFormat="1" ht="25.5" hidden="1" outlineLevel="1" x14ac:dyDescent="0.2">
      <c r="A187" s="200"/>
      <c r="B187" s="95"/>
      <c r="C187" s="42" t="s">
        <v>1032</v>
      </c>
      <c r="D187" s="42" t="s">
        <v>1031</v>
      </c>
      <c r="E187" s="100" t="s">
        <v>292</v>
      </c>
      <c r="F187" s="100">
        <v>1</v>
      </c>
      <c r="G187" s="149">
        <f>(1160425)*(1.023*1.005-2.3%*15%)*6.99+0*4.09</f>
        <v>8311438</v>
      </c>
      <c r="H187" s="145">
        <f t="shared" si="58"/>
        <v>1.123</v>
      </c>
      <c r="I187" s="146">
        <f t="shared" si="59"/>
        <v>9333745</v>
      </c>
      <c r="J187" s="145">
        <f>'[2]Расчет прогнозных дефляторов'!$D$75</f>
        <v>1.0429999999999999</v>
      </c>
      <c r="K187" s="146">
        <f t="shared" si="60"/>
        <v>9735096</v>
      </c>
      <c r="L187" s="146">
        <f t="shared" si="61"/>
        <v>9614691</v>
      </c>
      <c r="M187" s="172" t="s">
        <v>1038</v>
      </c>
      <c r="N187" s="147"/>
      <c r="O187" s="147"/>
    </row>
    <row r="188" spans="1:15" s="148" customFormat="1" ht="15.75" hidden="1" outlineLevel="1" x14ac:dyDescent="0.2">
      <c r="A188" s="200"/>
      <c r="B188" s="160"/>
      <c r="C188" s="91" t="s">
        <v>1033</v>
      </c>
      <c r="D188" s="91" t="s">
        <v>1028</v>
      </c>
      <c r="E188" s="161" t="s">
        <v>408</v>
      </c>
      <c r="F188" s="161">
        <v>1200</v>
      </c>
      <c r="G188" s="99">
        <f>(399420)*(1.023*1.005-2.3%*15%)*6.99+0*4.09+7</f>
        <v>2860816</v>
      </c>
      <c r="H188" s="163">
        <f t="shared" si="58"/>
        <v>1.123</v>
      </c>
      <c r="I188" s="164">
        <f t="shared" si="59"/>
        <v>3212696</v>
      </c>
      <c r="J188" s="163">
        <f>'[2]Расчет прогнозных дефляторов'!$D$75</f>
        <v>1.0429999999999999</v>
      </c>
      <c r="K188" s="164">
        <f t="shared" si="60"/>
        <v>3350842</v>
      </c>
      <c r="L188" s="164">
        <f t="shared" si="61"/>
        <v>3309398</v>
      </c>
      <c r="M188" s="147" t="s">
        <v>742</v>
      </c>
      <c r="N188" s="147"/>
      <c r="O188" s="147"/>
    </row>
    <row r="189" spans="1:15" s="148" customFormat="1" ht="15.75" hidden="1" outlineLevel="1" x14ac:dyDescent="0.2">
      <c r="A189" s="200"/>
      <c r="B189" s="95"/>
      <c r="C189" s="42" t="s">
        <v>1035</v>
      </c>
      <c r="D189" s="42" t="s">
        <v>1034</v>
      </c>
      <c r="E189" s="100" t="s">
        <v>292</v>
      </c>
      <c r="F189" s="100">
        <v>1</v>
      </c>
      <c r="G189" s="149">
        <f>(7966)*(1.023*1.005-2.3%*15%)*6.99+0*4.09</f>
        <v>57056</v>
      </c>
      <c r="H189" s="145">
        <f t="shared" si="58"/>
        <v>1.123</v>
      </c>
      <c r="I189" s="146">
        <f t="shared" si="59"/>
        <v>64074</v>
      </c>
      <c r="J189" s="145">
        <f>'[2]Расчет прогнозных дефляторов'!$D$75</f>
        <v>1.0429999999999999</v>
      </c>
      <c r="K189" s="146">
        <f t="shared" si="60"/>
        <v>66829</v>
      </c>
      <c r="L189" s="146">
        <f t="shared" si="61"/>
        <v>66003</v>
      </c>
      <c r="M189" s="147" t="s">
        <v>1040</v>
      </c>
      <c r="N189" s="147"/>
      <c r="O189" s="147"/>
    </row>
    <row r="190" spans="1:15" s="148" customFormat="1" ht="15.75" hidden="1" outlineLevel="1" x14ac:dyDescent="0.2">
      <c r="A190" s="200"/>
      <c r="B190" s="95"/>
      <c r="C190" s="42" t="s">
        <v>1037</v>
      </c>
      <c r="D190" s="42" t="s">
        <v>1036</v>
      </c>
      <c r="E190" s="100" t="s">
        <v>637</v>
      </c>
      <c r="F190" s="100">
        <v>1.5</v>
      </c>
      <c r="G190" s="149">
        <f>(22414)*(1.023*1.005-2.3%*15%)*6.99+0*4.09</f>
        <v>160538</v>
      </c>
      <c r="H190" s="145">
        <f t="shared" si="58"/>
        <v>1.123</v>
      </c>
      <c r="I190" s="146">
        <f t="shared" si="59"/>
        <v>180284</v>
      </c>
      <c r="J190" s="145">
        <f>'[2]Расчет прогнозных дефляторов'!$D$75</f>
        <v>1.0429999999999999</v>
      </c>
      <c r="K190" s="146">
        <f t="shared" si="60"/>
        <v>188036</v>
      </c>
      <c r="L190" s="146">
        <f t="shared" si="61"/>
        <v>185710</v>
      </c>
      <c r="M190" s="147"/>
      <c r="N190" s="147"/>
      <c r="O190" s="147"/>
    </row>
    <row r="191" spans="1:15" s="148" customFormat="1" ht="25.5" hidden="1" outlineLevel="1" x14ac:dyDescent="0.2">
      <c r="A191" s="200"/>
      <c r="B191" s="225"/>
      <c r="C191" s="226" t="s">
        <v>1042</v>
      </c>
      <c r="D191" s="226" t="s">
        <v>1041</v>
      </c>
      <c r="E191" s="227" t="s">
        <v>404</v>
      </c>
      <c r="F191" s="227">
        <f>3951</f>
        <v>3951</v>
      </c>
      <c r="G191" s="223">
        <f>(57230)*(1.023*1.005-2.3%*15%)*6.99+0*4.09</f>
        <v>409905</v>
      </c>
      <c r="H191" s="224">
        <f t="shared" si="58"/>
        <v>1.123</v>
      </c>
      <c r="I191" s="228">
        <f t="shared" si="59"/>
        <v>460323</v>
      </c>
      <c r="J191" s="224">
        <f>'[2]Расчет прогнозных дефляторов'!$D$75</f>
        <v>1.0429999999999999</v>
      </c>
      <c r="K191" s="228">
        <f t="shared" si="60"/>
        <v>480117</v>
      </c>
      <c r="L191" s="228">
        <f t="shared" si="61"/>
        <v>474179</v>
      </c>
      <c r="M191" s="147" t="s">
        <v>1043</v>
      </c>
      <c r="N191" s="147"/>
      <c r="O191" s="147"/>
    </row>
    <row r="192" spans="1:15" s="148" customFormat="1" ht="38.25" hidden="1" outlineLevel="1" x14ac:dyDescent="0.2">
      <c r="A192" s="200"/>
      <c r="B192" s="225"/>
      <c r="C192" s="226" t="s">
        <v>1046</v>
      </c>
      <c r="D192" s="226" t="s">
        <v>1044</v>
      </c>
      <c r="E192" s="227" t="s">
        <v>404</v>
      </c>
      <c r="F192" s="227">
        <f>198</f>
        <v>198</v>
      </c>
      <c r="G192" s="223">
        <f>(138146)*(1.023*1.005-2.3%*15%)*6.99+0*4.09</f>
        <v>989458</v>
      </c>
      <c r="H192" s="224">
        <f t="shared" si="58"/>
        <v>1.123</v>
      </c>
      <c r="I192" s="228">
        <f t="shared" si="59"/>
        <v>1111161</v>
      </c>
      <c r="J192" s="224">
        <f>'[2]Расчет прогнозных дефляторов'!$D$75</f>
        <v>1.0429999999999999</v>
      </c>
      <c r="K192" s="228">
        <f t="shared" si="60"/>
        <v>1158941</v>
      </c>
      <c r="L192" s="228">
        <f t="shared" si="61"/>
        <v>1144607</v>
      </c>
      <c r="M192" s="147" t="s">
        <v>1045</v>
      </c>
      <c r="N192" s="147"/>
      <c r="O192" s="147"/>
    </row>
    <row r="193" spans="1:15" s="237" customFormat="1" ht="15.75" collapsed="1" x14ac:dyDescent="0.2">
      <c r="A193" s="265"/>
      <c r="B193" s="238"/>
      <c r="C193" s="229" t="s">
        <v>168</v>
      </c>
      <c r="D193" s="229" t="s">
        <v>1777</v>
      </c>
      <c r="E193" s="239" t="s">
        <v>292</v>
      </c>
      <c r="F193" s="240">
        <v>1</v>
      </c>
      <c r="G193" s="240">
        <f>SUM(G194:G199)</f>
        <v>844038</v>
      </c>
      <c r="H193" s="241"/>
      <c r="I193" s="240">
        <f>SUM(I194:I199)</f>
        <v>947854</v>
      </c>
      <c r="J193" s="241"/>
      <c r="K193" s="240">
        <f>SUM(K194:K199)</f>
        <v>988611</v>
      </c>
      <c r="L193" s="240">
        <f>SUM(L194:L199)</f>
        <v>976385</v>
      </c>
      <c r="M193" s="256"/>
      <c r="N193" s="256"/>
      <c r="O193" s="256"/>
    </row>
    <row r="194" spans="1:15" s="148" customFormat="1" ht="15.75" hidden="1" outlineLevel="1" x14ac:dyDescent="0.2">
      <c r="A194" s="200"/>
      <c r="B194" s="95"/>
      <c r="C194" s="42"/>
      <c r="D194" s="157" t="s">
        <v>1098</v>
      </c>
      <c r="E194" s="100"/>
      <c r="F194" s="145"/>
      <c r="G194" s="149"/>
      <c r="H194" s="145"/>
      <c r="I194" s="146"/>
      <c r="J194" s="145"/>
      <c r="K194" s="146"/>
      <c r="L194" s="146"/>
      <c r="M194" s="147"/>
      <c r="N194" s="147"/>
      <c r="O194" s="147"/>
    </row>
    <row r="195" spans="1:15" s="148" customFormat="1" ht="25.5" hidden="1" outlineLevel="1" x14ac:dyDescent="0.2">
      <c r="A195" s="200"/>
      <c r="B195" s="95"/>
      <c r="C195" s="42" t="s">
        <v>1099</v>
      </c>
      <c r="D195" s="42" t="s">
        <v>427</v>
      </c>
      <c r="E195" s="100" t="s">
        <v>408</v>
      </c>
      <c r="F195" s="149">
        <v>1</v>
      </c>
      <c r="G195" s="149">
        <f>(1724)*(1.023*1.005-2.3%*15%)*6.99+34340*4.09</f>
        <v>152799</v>
      </c>
      <c r="H195" s="145">
        <f>$H$772</f>
        <v>1.123</v>
      </c>
      <c r="I195" s="146">
        <f t="shared" ref="I195:I199" si="62">G195*H195</f>
        <v>171593</v>
      </c>
      <c r="J195" s="145">
        <f>'[2]Расчет прогнозных дефляторов'!$D$75</f>
        <v>1.0429999999999999</v>
      </c>
      <c r="K195" s="146">
        <f t="shared" ref="K195:K199" si="63">I195*J195</f>
        <v>178971</v>
      </c>
      <c r="L195" s="146">
        <f t="shared" ref="L195:L199" si="64">I195+(K195-I195)*(1-30/100)</f>
        <v>176758</v>
      </c>
      <c r="M195" s="147"/>
      <c r="N195" s="147"/>
      <c r="O195" s="147"/>
    </row>
    <row r="196" spans="1:15" s="148" customFormat="1" ht="25.5" hidden="1" outlineLevel="1" x14ac:dyDescent="0.2">
      <c r="A196" s="200"/>
      <c r="B196" s="95"/>
      <c r="C196" s="42" t="s">
        <v>1100</v>
      </c>
      <c r="D196" s="42" t="s">
        <v>429</v>
      </c>
      <c r="E196" s="100" t="s">
        <v>408</v>
      </c>
      <c r="F196" s="149">
        <v>1</v>
      </c>
      <c r="G196" s="149">
        <f>(309)*(1.023*1.005-2.3%*15%)*6.99+49534*4.09</f>
        <v>204807</v>
      </c>
      <c r="H196" s="145">
        <f>$H$772</f>
        <v>1.123</v>
      </c>
      <c r="I196" s="146">
        <f t="shared" si="62"/>
        <v>229998</v>
      </c>
      <c r="J196" s="145">
        <f>'[2]Расчет прогнозных дефляторов'!$D$75</f>
        <v>1.0429999999999999</v>
      </c>
      <c r="K196" s="146">
        <f t="shared" si="63"/>
        <v>239888</v>
      </c>
      <c r="L196" s="146">
        <f t="shared" si="64"/>
        <v>236921</v>
      </c>
      <c r="M196" s="147"/>
      <c r="N196" s="147"/>
      <c r="O196" s="147"/>
    </row>
    <row r="197" spans="1:15" s="148" customFormat="1" ht="15.75" hidden="1" outlineLevel="1" x14ac:dyDescent="0.2">
      <c r="A197" s="200"/>
      <c r="B197" s="95"/>
      <c r="C197" s="42" t="s">
        <v>1101</v>
      </c>
      <c r="D197" s="157" t="s">
        <v>379</v>
      </c>
      <c r="E197" s="100" t="s">
        <v>292</v>
      </c>
      <c r="F197" s="149">
        <v>1</v>
      </c>
      <c r="G197" s="149">
        <f>(41497)*(1.023*1.005-2.3%*15%)*6.99+0*4.09-24</f>
        <v>297194</v>
      </c>
      <c r="H197" s="145">
        <f>$H$772</f>
        <v>1.123</v>
      </c>
      <c r="I197" s="146">
        <f t="shared" si="62"/>
        <v>333749</v>
      </c>
      <c r="J197" s="145">
        <f>'[2]Расчет прогнозных дефляторов'!$D$75</f>
        <v>1.0429999999999999</v>
      </c>
      <c r="K197" s="146">
        <f t="shared" si="63"/>
        <v>348100</v>
      </c>
      <c r="L197" s="146">
        <f t="shared" si="64"/>
        <v>343795</v>
      </c>
      <c r="M197" s="147"/>
      <c r="N197" s="147"/>
      <c r="O197" s="147"/>
    </row>
    <row r="198" spans="1:15" s="148" customFormat="1" ht="15.75" hidden="1" outlineLevel="1" x14ac:dyDescent="0.2">
      <c r="A198" s="200"/>
      <c r="B198" s="95"/>
      <c r="C198" s="42" t="s">
        <v>1103</v>
      </c>
      <c r="D198" s="157" t="s">
        <v>1102</v>
      </c>
      <c r="E198" s="100" t="s">
        <v>292</v>
      </c>
      <c r="F198" s="149">
        <v>1</v>
      </c>
      <c r="G198" s="149">
        <f>(26320)*(1.023*1.005-2.3%*15%)*6.99+0*4.09</f>
        <v>188515</v>
      </c>
      <c r="H198" s="145">
        <f>$H$772</f>
        <v>1.123</v>
      </c>
      <c r="I198" s="146">
        <f t="shared" si="62"/>
        <v>211702</v>
      </c>
      <c r="J198" s="145">
        <f>'[2]Расчет прогнозных дефляторов'!$D$75</f>
        <v>1.0429999999999999</v>
      </c>
      <c r="K198" s="146">
        <f t="shared" si="63"/>
        <v>220805</v>
      </c>
      <c r="L198" s="146">
        <f t="shared" si="64"/>
        <v>218074</v>
      </c>
      <c r="M198" s="147"/>
      <c r="N198" s="147"/>
      <c r="O198" s="147"/>
    </row>
    <row r="199" spans="1:15" s="148" customFormat="1" ht="25.5" hidden="1" outlineLevel="1" x14ac:dyDescent="0.2">
      <c r="A199" s="200"/>
      <c r="B199" s="95"/>
      <c r="C199" s="42" t="s">
        <v>1104</v>
      </c>
      <c r="D199" s="157" t="s">
        <v>1105</v>
      </c>
      <c r="E199" s="100" t="s">
        <v>408</v>
      </c>
      <c r="F199" s="149">
        <v>5</v>
      </c>
      <c r="G199" s="149">
        <f>(101)*(1.023*1.005-2.3%*15%)*6.99+0*4.09</f>
        <v>723</v>
      </c>
      <c r="H199" s="145">
        <f>$H$772</f>
        <v>1.123</v>
      </c>
      <c r="I199" s="146">
        <f t="shared" si="62"/>
        <v>812</v>
      </c>
      <c r="J199" s="145">
        <f>'[2]Расчет прогнозных дефляторов'!$D$75</f>
        <v>1.0429999999999999</v>
      </c>
      <c r="K199" s="146">
        <f t="shared" si="63"/>
        <v>847</v>
      </c>
      <c r="L199" s="146">
        <f t="shared" si="64"/>
        <v>837</v>
      </c>
      <c r="M199" s="147"/>
      <c r="N199" s="147"/>
      <c r="O199" s="147"/>
    </row>
    <row r="200" spans="1:15" s="148" customFormat="1" ht="15.75" collapsed="1" x14ac:dyDescent="0.2">
      <c r="A200" s="138"/>
      <c r="B200" s="132"/>
      <c r="C200" s="139"/>
      <c r="D200" s="180" t="s">
        <v>1775</v>
      </c>
      <c r="E200" s="134"/>
      <c r="F200" s="90"/>
      <c r="G200" s="90"/>
      <c r="H200" s="135"/>
      <c r="I200" s="136"/>
      <c r="J200" s="135"/>
      <c r="K200" s="136"/>
      <c r="L200" s="136"/>
      <c r="M200" s="147"/>
      <c r="N200" s="147"/>
      <c r="O200" s="147"/>
    </row>
    <row r="201" spans="1:15" s="243" customFormat="1" ht="15.75" x14ac:dyDescent="0.2">
      <c r="B201" s="244"/>
      <c r="C201" s="245" t="s">
        <v>160</v>
      </c>
      <c r="D201" s="245" t="s">
        <v>638</v>
      </c>
      <c r="E201" s="246" t="s">
        <v>292</v>
      </c>
      <c r="F201" s="247">
        <v>1</v>
      </c>
      <c r="G201" s="247">
        <f>SUM(G202:G278)</f>
        <v>82872073</v>
      </c>
      <c r="H201" s="248">
        <f>$H$772</f>
        <v>1.123</v>
      </c>
      <c r="I201" s="247">
        <f>SUM(I202:I278)</f>
        <v>93065336</v>
      </c>
      <c r="J201" s="248">
        <f>'[2]Расчет прогнозных дефляторов'!$D$75</f>
        <v>1.0429999999999999</v>
      </c>
      <c r="K201" s="247">
        <f>SUM(K202:K278)</f>
        <v>97067147</v>
      </c>
      <c r="L201" s="247">
        <f>SUM(L202:L278)</f>
        <v>95866608</v>
      </c>
      <c r="M201" s="269"/>
      <c r="N201" s="269"/>
      <c r="O201" s="269"/>
    </row>
    <row r="202" spans="1:15" s="148" customFormat="1" ht="15.75" hidden="1" outlineLevel="1" x14ac:dyDescent="0.2">
      <c r="A202" s="200"/>
      <c r="B202" s="95"/>
      <c r="C202" s="42"/>
      <c r="D202" s="42" t="s">
        <v>866</v>
      </c>
      <c r="E202" s="100"/>
      <c r="F202" s="168"/>
      <c r="G202" s="149"/>
      <c r="H202" s="145"/>
      <c r="I202" s="146"/>
      <c r="J202" s="145"/>
      <c r="K202" s="146"/>
      <c r="L202" s="146"/>
      <c r="M202" s="147"/>
      <c r="N202" s="147"/>
      <c r="O202" s="147"/>
    </row>
    <row r="203" spans="1:15" s="148" customFormat="1" ht="15.75" hidden="1" outlineLevel="1" x14ac:dyDescent="0.2">
      <c r="A203" s="200"/>
      <c r="B203" s="95"/>
      <c r="C203" s="42"/>
      <c r="D203" s="157" t="s">
        <v>870</v>
      </c>
      <c r="E203" s="100"/>
      <c r="F203" s="168"/>
      <c r="G203" s="149"/>
      <c r="H203" s="145"/>
      <c r="I203" s="146"/>
      <c r="J203" s="145"/>
      <c r="K203" s="146"/>
      <c r="L203" s="146"/>
      <c r="M203" s="147"/>
      <c r="N203" s="147"/>
      <c r="O203" s="147"/>
    </row>
    <row r="204" spans="1:15" s="148" customFormat="1" ht="15.75" hidden="1" outlineLevel="1" x14ac:dyDescent="0.2">
      <c r="A204" s="200"/>
      <c r="B204" s="95"/>
      <c r="C204" s="42" t="s">
        <v>867</v>
      </c>
      <c r="D204" s="42" t="s">
        <v>865</v>
      </c>
      <c r="E204" s="100" t="s">
        <v>377</v>
      </c>
      <c r="F204" s="168">
        <f>147.8</f>
        <v>147.80000000000001</v>
      </c>
      <c r="G204" s="149">
        <f>(16089+10569)*(1.023*1.005-2.3%*15%)*6.99+0*4.09</f>
        <v>190935</v>
      </c>
      <c r="H204" s="145">
        <f>$H$772</f>
        <v>1.123</v>
      </c>
      <c r="I204" s="146">
        <f t="shared" ref="I204:I206" si="65">G204*H204</f>
        <v>214420</v>
      </c>
      <c r="J204" s="145">
        <f>'[2]Расчет прогнозных дефляторов'!$D$75</f>
        <v>1.0429999999999999</v>
      </c>
      <c r="K204" s="146">
        <f t="shared" ref="K204:K206" si="66">I204*J204</f>
        <v>223640</v>
      </c>
      <c r="L204" s="146">
        <f t="shared" ref="L204:L206" si="67">I204+(K204-I204)*(1-30/100)</f>
        <v>220874</v>
      </c>
      <c r="M204" s="147"/>
      <c r="N204" s="147"/>
      <c r="O204" s="147"/>
    </row>
    <row r="205" spans="1:15" s="148" customFormat="1" ht="25.5" hidden="1" outlineLevel="1" x14ac:dyDescent="0.2">
      <c r="A205" s="200"/>
      <c r="B205" s="95"/>
      <c r="C205" s="42" t="s">
        <v>400</v>
      </c>
      <c r="D205" s="42" t="s">
        <v>868</v>
      </c>
      <c r="E205" s="100" t="s">
        <v>404</v>
      </c>
      <c r="F205" s="168">
        <v>1360</v>
      </c>
      <c r="G205" s="149">
        <f>(41932+8690+164346)*(1.023*1.005-2.3%*15%)*6.99+0*4.09</f>
        <v>1539689</v>
      </c>
      <c r="H205" s="145">
        <f>$H$772</f>
        <v>1.123</v>
      </c>
      <c r="I205" s="146">
        <f t="shared" si="65"/>
        <v>1729071</v>
      </c>
      <c r="J205" s="145">
        <f>'[2]Расчет прогнозных дефляторов'!$D$75</f>
        <v>1.0429999999999999</v>
      </c>
      <c r="K205" s="146">
        <f t="shared" si="66"/>
        <v>1803421</v>
      </c>
      <c r="L205" s="146">
        <f t="shared" si="67"/>
        <v>1781116</v>
      </c>
      <c r="M205" s="147"/>
      <c r="N205" s="147"/>
      <c r="O205" s="147"/>
    </row>
    <row r="206" spans="1:15" s="148" customFormat="1" ht="63.75" hidden="1" outlineLevel="1" x14ac:dyDescent="0.2">
      <c r="A206" s="200"/>
      <c r="B206" s="95"/>
      <c r="C206" s="42" t="s">
        <v>869</v>
      </c>
      <c r="D206" s="42" t="s">
        <v>871</v>
      </c>
      <c r="E206" s="100" t="s">
        <v>404</v>
      </c>
      <c r="F206" s="168">
        <v>57.1</v>
      </c>
      <c r="G206" s="149">
        <f>(36896)*(1.023*1.005-2.3%*15%)*6.99+0*4.09</f>
        <v>264264</v>
      </c>
      <c r="H206" s="145">
        <f>$H$772</f>
        <v>1.123</v>
      </c>
      <c r="I206" s="146">
        <f t="shared" si="65"/>
        <v>296768</v>
      </c>
      <c r="J206" s="145">
        <f>'[2]Расчет прогнозных дефляторов'!$D$75</f>
        <v>1.0429999999999999</v>
      </c>
      <c r="K206" s="146">
        <f t="shared" si="66"/>
        <v>309529</v>
      </c>
      <c r="L206" s="146">
        <f t="shared" si="67"/>
        <v>305701</v>
      </c>
      <c r="M206" s="147"/>
      <c r="N206" s="147"/>
      <c r="O206" s="147"/>
    </row>
    <row r="207" spans="1:15" s="148" customFormat="1" ht="15.75" hidden="1" outlineLevel="1" x14ac:dyDescent="0.2">
      <c r="A207" s="200"/>
      <c r="B207" s="95"/>
      <c r="C207" s="42"/>
      <c r="D207" s="157" t="s">
        <v>872</v>
      </c>
      <c r="E207" s="100"/>
      <c r="F207" s="168"/>
      <c r="G207" s="149"/>
      <c r="H207" s="145"/>
      <c r="I207" s="146"/>
      <c r="J207" s="145"/>
      <c r="K207" s="146"/>
      <c r="L207" s="146"/>
      <c r="M207" s="147"/>
      <c r="N207" s="147"/>
      <c r="O207" s="147"/>
    </row>
    <row r="208" spans="1:15" s="148" customFormat="1" ht="15.75" hidden="1" outlineLevel="1" x14ac:dyDescent="0.2">
      <c r="A208" s="200"/>
      <c r="B208" s="95"/>
      <c r="C208" s="42" t="s">
        <v>874</v>
      </c>
      <c r="D208" s="42" t="s">
        <v>873</v>
      </c>
      <c r="E208" s="100" t="s">
        <v>404</v>
      </c>
      <c r="F208" s="168">
        <v>1034.3</v>
      </c>
      <c r="G208" s="149">
        <f>(21257)*(1.023*1.005-2.3%*15%)*6.99+0*4.09</f>
        <v>152251</v>
      </c>
      <c r="H208" s="145">
        <f t="shared" ref="H208:H213" si="68">$H$772</f>
        <v>1.123</v>
      </c>
      <c r="I208" s="146">
        <f t="shared" ref="I208:I213" si="69">G208*H208</f>
        <v>170978</v>
      </c>
      <c r="J208" s="145">
        <f>'[2]Расчет прогнозных дефляторов'!$D$75</f>
        <v>1.0429999999999999</v>
      </c>
      <c r="K208" s="146">
        <f t="shared" ref="K208:K213" si="70">I208*J208</f>
        <v>178330</v>
      </c>
      <c r="L208" s="146">
        <f t="shared" ref="L208:L213" si="71">I208+(K208-I208)*(1-30/100)</f>
        <v>176124</v>
      </c>
      <c r="M208" s="147"/>
      <c r="N208" s="147"/>
      <c r="O208" s="147"/>
    </row>
    <row r="209" spans="1:15" s="148" customFormat="1" ht="51" hidden="1" outlineLevel="1" x14ac:dyDescent="0.2">
      <c r="A209" s="200"/>
      <c r="B209" s="95"/>
      <c r="C209" s="42" t="s">
        <v>876</v>
      </c>
      <c r="D209" s="42" t="s">
        <v>875</v>
      </c>
      <c r="E209" s="100" t="s">
        <v>404</v>
      </c>
      <c r="F209" s="168">
        <v>957.9</v>
      </c>
      <c r="G209" s="149">
        <f>(763776)*(1.023*1.005-2.3%*15%)*6.99+0*4.09</f>
        <v>5470476</v>
      </c>
      <c r="H209" s="145">
        <f t="shared" si="68"/>
        <v>1.123</v>
      </c>
      <c r="I209" s="146">
        <f t="shared" si="69"/>
        <v>6143345</v>
      </c>
      <c r="J209" s="145">
        <f>'[2]Расчет прогнозных дефляторов'!$D$75</f>
        <v>1.0429999999999999</v>
      </c>
      <c r="K209" s="146">
        <f t="shared" si="70"/>
        <v>6407509</v>
      </c>
      <c r="L209" s="146">
        <f t="shared" si="71"/>
        <v>6328260</v>
      </c>
      <c r="M209" s="147"/>
      <c r="N209" s="147"/>
      <c r="O209" s="147"/>
    </row>
    <row r="210" spans="1:15" s="148" customFormat="1" ht="51" hidden="1" outlineLevel="1" x14ac:dyDescent="0.2">
      <c r="A210" s="200"/>
      <c r="B210" s="95"/>
      <c r="C210" s="42" t="s">
        <v>878</v>
      </c>
      <c r="D210" s="42" t="s">
        <v>877</v>
      </c>
      <c r="E210" s="100" t="s">
        <v>404</v>
      </c>
      <c r="F210" s="168">
        <v>24.5</v>
      </c>
      <c r="G210" s="149">
        <f>(17897)*(1.023*1.005-2.3%*15%)*6.99+0*4.09</f>
        <v>128186</v>
      </c>
      <c r="H210" s="145">
        <f t="shared" si="68"/>
        <v>1.123</v>
      </c>
      <c r="I210" s="146">
        <f t="shared" si="69"/>
        <v>143953</v>
      </c>
      <c r="J210" s="145">
        <f>'[2]Расчет прогнозных дефляторов'!$D$75</f>
        <v>1.0429999999999999</v>
      </c>
      <c r="K210" s="146">
        <f t="shared" si="70"/>
        <v>150143</v>
      </c>
      <c r="L210" s="146">
        <f t="shared" si="71"/>
        <v>148286</v>
      </c>
      <c r="M210" s="147"/>
      <c r="N210" s="147"/>
      <c r="O210" s="147"/>
    </row>
    <row r="211" spans="1:15" s="148" customFormat="1" ht="15.75" hidden="1" outlineLevel="1" x14ac:dyDescent="0.2">
      <c r="A211" s="200"/>
      <c r="B211" s="95"/>
      <c r="C211" s="42" t="s">
        <v>880</v>
      </c>
      <c r="D211" s="42" t="s">
        <v>879</v>
      </c>
      <c r="E211" s="100" t="s">
        <v>404</v>
      </c>
      <c r="F211" s="100">
        <f>18.51</f>
        <v>18.510000000000002</v>
      </c>
      <c r="G211" s="149">
        <f>(2415)*(1.023*1.005-2.3%*15%)*6.99+0*4.09</f>
        <v>17297</v>
      </c>
      <c r="H211" s="145">
        <f t="shared" si="68"/>
        <v>1.123</v>
      </c>
      <c r="I211" s="146">
        <f t="shared" si="69"/>
        <v>19425</v>
      </c>
      <c r="J211" s="145">
        <f>'[2]Расчет прогнозных дефляторов'!$D$75</f>
        <v>1.0429999999999999</v>
      </c>
      <c r="K211" s="146">
        <f t="shared" si="70"/>
        <v>20260</v>
      </c>
      <c r="L211" s="146">
        <f t="shared" si="71"/>
        <v>20010</v>
      </c>
      <c r="M211" s="147"/>
      <c r="N211" s="147"/>
      <c r="O211" s="147"/>
    </row>
    <row r="212" spans="1:15" s="148" customFormat="1" ht="25.5" hidden="1" outlineLevel="1" x14ac:dyDescent="0.2">
      <c r="A212" s="200"/>
      <c r="B212" s="95"/>
      <c r="C212" s="42" t="s">
        <v>882</v>
      </c>
      <c r="D212" s="42" t="s">
        <v>881</v>
      </c>
      <c r="E212" s="100" t="s">
        <v>404</v>
      </c>
      <c r="F212" s="100">
        <f>2.56</f>
        <v>2.56</v>
      </c>
      <c r="G212" s="149">
        <f>(2610)*(1.023*1.005-2.3%*15%)*6.99+0*4.09</f>
        <v>18694</v>
      </c>
      <c r="H212" s="145">
        <f t="shared" si="68"/>
        <v>1.123</v>
      </c>
      <c r="I212" s="146">
        <f t="shared" si="69"/>
        <v>20993</v>
      </c>
      <c r="J212" s="145">
        <f>'[2]Расчет прогнозных дефляторов'!$D$75</f>
        <v>1.0429999999999999</v>
      </c>
      <c r="K212" s="146">
        <f t="shared" si="70"/>
        <v>21896</v>
      </c>
      <c r="L212" s="146">
        <f t="shared" si="71"/>
        <v>21625</v>
      </c>
      <c r="M212" s="147"/>
      <c r="N212" s="147"/>
      <c r="O212" s="147"/>
    </row>
    <row r="213" spans="1:15" s="148" customFormat="1" ht="15.75" hidden="1" outlineLevel="1" x14ac:dyDescent="0.2">
      <c r="A213" s="200"/>
      <c r="B213" s="95"/>
      <c r="C213" s="42" t="s">
        <v>884</v>
      </c>
      <c r="D213" s="42" t="s">
        <v>883</v>
      </c>
      <c r="E213" s="100" t="s">
        <v>404</v>
      </c>
      <c r="F213" s="100">
        <f>116.13</f>
        <v>116.13</v>
      </c>
      <c r="G213" s="149">
        <f>(21437)*(1.023*1.005-2.3%*15%)*6.99+0*4.09</f>
        <v>153541</v>
      </c>
      <c r="H213" s="145">
        <f t="shared" si="68"/>
        <v>1.123</v>
      </c>
      <c r="I213" s="146">
        <f t="shared" si="69"/>
        <v>172427</v>
      </c>
      <c r="J213" s="145">
        <f>'[2]Расчет прогнозных дефляторов'!$D$75</f>
        <v>1.0429999999999999</v>
      </c>
      <c r="K213" s="146">
        <f t="shared" si="70"/>
        <v>179841</v>
      </c>
      <c r="L213" s="146">
        <f t="shared" si="71"/>
        <v>177617</v>
      </c>
      <c r="M213" s="147"/>
      <c r="N213" s="147"/>
      <c r="O213" s="147"/>
    </row>
    <row r="214" spans="1:15" s="148" customFormat="1" ht="15.75" hidden="1" outlineLevel="1" x14ac:dyDescent="0.2">
      <c r="A214" s="200"/>
      <c r="B214" s="95"/>
      <c r="C214" s="42"/>
      <c r="D214" s="157" t="s">
        <v>885</v>
      </c>
      <c r="E214" s="100"/>
      <c r="F214" s="168"/>
      <c r="G214" s="149"/>
      <c r="H214" s="145"/>
      <c r="I214" s="146"/>
      <c r="J214" s="145"/>
      <c r="K214" s="146"/>
      <c r="L214" s="146"/>
      <c r="M214" s="147"/>
      <c r="N214" s="147"/>
      <c r="O214" s="147"/>
    </row>
    <row r="215" spans="1:15" s="148" customFormat="1" ht="15.75" hidden="1" outlineLevel="1" x14ac:dyDescent="0.2">
      <c r="A215" s="200"/>
      <c r="B215" s="95"/>
      <c r="C215" s="42"/>
      <c r="D215" s="42" t="s">
        <v>886</v>
      </c>
      <c r="E215" s="100"/>
      <c r="F215" s="168"/>
      <c r="G215" s="149"/>
      <c r="H215" s="145"/>
      <c r="I215" s="146"/>
      <c r="J215" s="145"/>
      <c r="K215" s="146"/>
      <c r="L215" s="146"/>
      <c r="M215" s="147"/>
      <c r="N215" s="147"/>
      <c r="O215" s="147"/>
    </row>
    <row r="216" spans="1:15" s="148" customFormat="1" ht="15.75" hidden="1" outlineLevel="1" x14ac:dyDescent="0.2">
      <c r="A216" s="200"/>
      <c r="B216" s="95"/>
      <c r="C216" s="42" t="s">
        <v>888</v>
      </c>
      <c r="D216" s="42" t="s">
        <v>887</v>
      </c>
      <c r="E216" s="100" t="s">
        <v>404</v>
      </c>
      <c r="F216" s="168">
        <f>196.4</f>
        <v>196.4</v>
      </c>
      <c r="G216" s="149">
        <f>(5245+18301)*(1.023*1.005-2.3%*15%)*6.99+0*4.09</f>
        <v>168646</v>
      </c>
      <c r="H216" s="145">
        <f>$H$772</f>
        <v>1.123</v>
      </c>
      <c r="I216" s="146">
        <f t="shared" ref="I216:I218" si="72">G216*H216</f>
        <v>189389</v>
      </c>
      <c r="J216" s="145">
        <f>'[2]Расчет прогнозных дефляторов'!$D$75</f>
        <v>1.0429999999999999</v>
      </c>
      <c r="K216" s="146">
        <f t="shared" ref="K216:K218" si="73">I216*J216</f>
        <v>197533</v>
      </c>
      <c r="L216" s="146">
        <f t="shared" ref="L216:L218" si="74">I216+(K216-I216)*(1-30/100)</f>
        <v>195090</v>
      </c>
      <c r="M216" s="147"/>
      <c r="N216" s="147"/>
      <c r="O216" s="147"/>
    </row>
    <row r="217" spans="1:15" s="148" customFormat="1" ht="15.75" hidden="1" outlineLevel="1" x14ac:dyDescent="0.2">
      <c r="A217" s="200"/>
      <c r="B217" s="95"/>
      <c r="C217" s="42" t="s">
        <v>889</v>
      </c>
      <c r="D217" s="42" t="s">
        <v>890</v>
      </c>
      <c r="E217" s="100" t="s">
        <v>377</v>
      </c>
      <c r="F217" s="168">
        <f>91.2</f>
        <v>91.2</v>
      </c>
      <c r="G217" s="149">
        <f>(17114)*(1.023*1.005-2.3%*15%)*6.99+0*4.09</f>
        <v>122577</v>
      </c>
      <c r="H217" s="145">
        <f>$H$772</f>
        <v>1.123</v>
      </c>
      <c r="I217" s="146">
        <f t="shared" si="72"/>
        <v>137654</v>
      </c>
      <c r="J217" s="145">
        <f>'[2]Расчет прогнозных дефляторов'!$D$75</f>
        <v>1.0429999999999999</v>
      </c>
      <c r="K217" s="146">
        <f t="shared" si="73"/>
        <v>143573</v>
      </c>
      <c r="L217" s="146">
        <f t="shared" si="74"/>
        <v>141797</v>
      </c>
      <c r="M217" s="147"/>
      <c r="N217" s="147"/>
      <c r="O217" s="147"/>
    </row>
    <row r="218" spans="1:15" s="148" customFormat="1" ht="38.25" hidden="1" outlineLevel="1" x14ac:dyDescent="0.2">
      <c r="A218" s="200"/>
      <c r="B218" s="95"/>
      <c r="C218" s="42" t="s">
        <v>892</v>
      </c>
      <c r="D218" s="42" t="s">
        <v>891</v>
      </c>
      <c r="E218" s="100" t="s">
        <v>404</v>
      </c>
      <c r="F218" s="168">
        <f>57.4</f>
        <v>57.4</v>
      </c>
      <c r="G218" s="149">
        <f>(6694)*(1.023*1.005-2.3%*15%)*6.99+0*4.09</f>
        <v>47945</v>
      </c>
      <c r="H218" s="145">
        <f>$H$772</f>
        <v>1.123</v>
      </c>
      <c r="I218" s="146">
        <f t="shared" si="72"/>
        <v>53842</v>
      </c>
      <c r="J218" s="145">
        <f>'[2]Расчет прогнозных дефляторов'!$D$75</f>
        <v>1.0429999999999999</v>
      </c>
      <c r="K218" s="146">
        <f t="shared" si="73"/>
        <v>56157</v>
      </c>
      <c r="L218" s="146">
        <f t="shared" si="74"/>
        <v>55463</v>
      </c>
      <c r="M218" s="147"/>
      <c r="N218" s="147"/>
      <c r="O218" s="147"/>
    </row>
    <row r="219" spans="1:15" s="148" customFormat="1" ht="15.75" hidden="1" outlineLevel="1" x14ac:dyDescent="0.2">
      <c r="A219" s="200"/>
      <c r="B219" s="95"/>
      <c r="C219" s="42"/>
      <c r="D219" s="157" t="s">
        <v>465</v>
      </c>
      <c r="E219" s="100"/>
      <c r="F219" s="168"/>
      <c r="G219" s="149"/>
      <c r="H219" s="145"/>
      <c r="I219" s="146"/>
      <c r="J219" s="145"/>
      <c r="K219" s="146"/>
      <c r="L219" s="146"/>
      <c r="M219" s="147"/>
      <c r="N219" s="147"/>
      <c r="O219" s="147"/>
    </row>
    <row r="220" spans="1:15" s="148" customFormat="1" ht="15.75" hidden="1" outlineLevel="1" x14ac:dyDescent="0.2">
      <c r="A220" s="200"/>
      <c r="B220" s="95"/>
      <c r="C220" s="42" t="s">
        <v>894</v>
      </c>
      <c r="D220" s="42" t="s">
        <v>893</v>
      </c>
      <c r="E220" s="100" t="s">
        <v>300</v>
      </c>
      <c r="F220" s="100">
        <f>938.53</f>
        <v>938.53</v>
      </c>
      <c r="G220" s="149">
        <f>(357102)*(1.023*1.005-2.3%*15%)*6.99+0*4.09</f>
        <v>2557710</v>
      </c>
      <c r="H220" s="145">
        <f>$H$772</f>
        <v>1.123</v>
      </c>
      <c r="I220" s="146">
        <f t="shared" ref="I220:I222" si="75">G220*H220</f>
        <v>2872308</v>
      </c>
      <c r="J220" s="145">
        <f>'[2]Расчет прогнозных дефляторов'!$D$75</f>
        <v>1.0429999999999999</v>
      </c>
      <c r="K220" s="146">
        <f t="shared" ref="K220:K222" si="76">I220*J220</f>
        <v>2995817</v>
      </c>
      <c r="L220" s="146">
        <f t="shared" ref="L220:L222" si="77">I220+(K220-I220)*(1-30/100)</f>
        <v>2958764</v>
      </c>
      <c r="M220" s="147"/>
      <c r="N220" s="147"/>
      <c r="O220" s="147"/>
    </row>
    <row r="221" spans="1:15" s="148" customFormat="1" ht="15.75" hidden="1" outlineLevel="1" x14ac:dyDescent="0.2">
      <c r="A221" s="200"/>
      <c r="B221" s="95"/>
      <c r="C221" s="42" t="s">
        <v>896</v>
      </c>
      <c r="D221" s="42" t="s">
        <v>895</v>
      </c>
      <c r="E221" s="100" t="s">
        <v>404</v>
      </c>
      <c r="F221" s="145">
        <f>107.894</f>
        <v>107.89400000000001</v>
      </c>
      <c r="G221" s="149">
        <f>(18233)*(1.023*1.005-2.3%*15%)*6.99+0*4.09</f>
        <v>130592</v>
      </c>
      <c r="H221" s="145">
        <f>$H$772</f>
        <v>1.123</v>
      </c>
      <c r="I221" s="146">
        <f t="shared" si="75"/>
        <v>146655</v>
      </c>
      <c r="J221" s="145">
        <f>'[2]Расчет прогнозных дефляторов'!$D$75</f>
        <v>1.0429999999999999</v>
      </c>
      <c r="K221" s="146">
        <f t="shared" si="76"/>
        <v>152961</v>
      </c>
      <c r="L221" s="146">
        <f t="shared" si="77"/>
        <v>151069</v>
      </c>
      <c r="M221" s="147"/>
      <c r="N221" s="147"/>
      <c r="O221" s="147"/>
    </row>
    <row r="222" spans="1:15" s="148" customFormat="1" ht="15.75" hidden="1" outlineLevel="1" x14ac:dyDescent="0.2">
      <c r="A222" s="200"/>
      <c r="B222" s="95"/>
      <c r="C222" s="42" t="s">
        <v>898</v>
      </c>
      <c r="D222" s="42" t="s">
        <v>897</v>
      </c>
      <c r="E222" s="100" t="s">
        <v>300</v>
      </c>
      <c r="F222" s="168">
        <f>11.7</f>
        <v>11.7</v>
      </c>
      <c r="G222" s="149">
        <f>(9898)*(1.023*1.005-2.3%*15%)*6.99+0*4.09</f>
        <v>70894</v>
      </c>
      <c r="H222" s="145">
        <f>$H$772</f>
        <v>1.123</v>
      </c>
      <c r="I222" s="146">
        <f t="shared" si="75"/>
        <v>79614</v>
      </c>
      <c r="J222" s="145">
        <f>'[2]Расчет прогнозных дефляторов'!$D$75</f>
        <v>1.0429999999999999</v>
      </c>
      <c r="K222" s="146">
        <f t="shared" si="76"/>
        <v>83037</v>
      </c>
      <c r="L222" s="146">
        <f t="shared" si="77"/>
        <v>82010</v>
      </c>
      <c r="M222" s="147"/>
      <c r="N222" s="147"/>
      <c r="O222" s="147"/>
    </row>
    <row r="223" spans="1:15" s="148" customFormat="1" ht="15.75" hidden="1" outlineLevel="1" x14ac:dyDescent="0.2">
      <c r="A223" s="200"/>
      <c r="B223" s="95"/>
      <c r="C223" s="42"/>
      <c r="D223" s="157" t="s">
        <v>414</v>
      </c>
      <c r="E223" s="100"/>
      <c r="F223" s="168"/>
      <c r="G223" s="149"/>
      <c r="H223" s="145"/>
      <c r="I223" s="146"/>
      <c r="J223" s="145"/>
      <c r="K223" s="146"/>
      <c r="L223" s="146"/>
      <c r="M223" s="147"/>
      <c r="N223" s="147"/>
      <c r="O223" s="147"/>
    </row>
    <row r="224" spans="1:15" s="148" customFormat="1" ht="102" hidden="1" outlineLevel="1" x14ac:dyDescent="0.2">
      <c r="A224" s="200"/>
      <c r="B224" s="95"/>
      <c r="C224" s="42" t="s">
        <v>899</v>
      </c>
      <c r="D224" s="42" t="s">
        <v>900</v>
      </c>
      <c r="E224" s="100" t="s">
        <v>404</v>
      </c>
      <c r="F224" s="168">
        <v>428</v>
      </c>
      <c r="G224" s="149">
        <f>(272799)*(1.023*1.005-2.3%*15%)*6.99+0*4.09</f>
        <v>1953898</v>
      </c>
      <c r="H224" s="145">
        <f t="shared" ref="H224:H230" si="78">$H$772</f>
        <v>1.123</v>
      </c>
      <c r="I224" s="146">
        <f t="shared" ref="I224:I230" si="79">G224*H224</f>
        <v>2194227</v>
      </c>
      <c r="J224" s="145">
        <f>'[2]Расчет прогнозных дефляторов'!$D$75</f>
        <v>1.0429999999999999</v>
      </c>
      <c r="K224" s="146">
        <f t="shared" ref="K224:K230" si="80">I224*J224</f>
        <v>2288579</v>
      </c>
      <c r="L224" s="146">
        <f t="shared" ref="L224:L230" si="81">I224+(K224-I224)*(1-30/100)</f>
        <v>2260273</v>
      </c>
      <c r="M224" s="147"/>
      <c r="N224" s="147"/>
      <c r="O224" s="147"/>
    </row>
    <row r="225" spans="1:15" s="148" customFormat="1" ht="76.5" hidden="1" outlineLevel="1" x14ac:dyDescent="0.2">
      <c r="A225" s="200"/>
      <c r="B225" s="95"/>
      <c r="C225" s="42" t="s">
        <v>902</v>
      </c>
      <c r="D225" s="42" t="s">
        <v>904</v>
      </c>
      <c r="E225" s="100" t="s">
        <v>404</v>
      </c>
      <c r="F225" s="168">
        <f>988.1</f>
        <v>988.1</v>
      </c>
      <c r="G225" s="149">
        <f>(215544)*(1.023*1.005-2.3%*15%)*6.99+0*4.09</f>
        <v>1543814</v>
      </c>
      <c r="H225" s="145">
        <f t="shared" si="78"/>
        <v>1.123</v>
      </c>
      <c r="I225" s="146">
        <f t="shared" si="79"/>
        <v>1733703</v>
      </c>
      <c r="J225" s="145">
        <f>'[2]Расчет прогнозных дефляторов'!$D$75</f>
        <v>1.0429999999999999</v>
      </c>
      <c r="K225" s="146">
        <f t="shared" si="80"/>
        <v>1808252</v>
      </c>
      <c r="L225" s="146">
        <f t="shared" si="81"/>
        <v>1785887</v>
      </c>
      <c r="M225" s="147"/>
      <c r="N225" s="147"/>
      <c r="O225" s="147"/>
    </row>
    <row r="226" spans="1:15" s="148" customFormat="1" ht="38.25" hidden="1" outlineLevel="1" x14ac:dyDescent="0.2">
      <c r="A226" s="200"/>
      <c r="B226" s="95"/>
      <c r="C226" s="42" t="s">
        <v>903</v>
      </c>
      <c r="D226" s="42" t="s">
        <v>901</v>
      </c>
      <c r="E226" s="100" t="s">
        <v>404</v>
      </c>
      <c r="F226" s="168">
        <f>33.2</f>
        <v>33.200000000000003</v>
      </c>
      <c r="G226" s="149">
        <f>(13596)*(1.023*1.005-2.3%*15%)*6.99+0*4.09</f>
        <v>97380</v>
      </c>
      <c r="H226" s="145">
        <f t="shared" si="78"/>
        <v>1.123</v>
      </c>
      <c r="I226" s="146">
        <f t="shared" si="79"/>
        <v>109358</v>
      </c>
      <c r="J226" s="145">
        <f>'[2]Расчет прогнозных дефляторов'!$D$75</f>
        <v>1.0429999999999999</v>
      </c>
      <c r="K226" s="146">
        <f t="shared" si="80"/>
        <v>114060</v>
      </c>
      <c r="L226" s="146">
        <f t="shared" si="81"/>
        <v>112649</v>
      </c>
      <c r="M226" s="147"/>
      <c r="N226" s="147"/>
      <c r="O226" s="147"/>
    </row>
    <row r="227" spans="1:15" s="148" customFormat="1" ht="15.75" hidden="1" outlineLevel="1" x14ac:dyDescent="0.2">
      <c r="A227" s="200"/>
      <c r="B227" s="95"/>
      <c r="C227" s="42" t="s">
        <v>906</v>
      </c>
      <c r="D227" s="42" t="s">
        <v>905</v>
      </c>
      <c r="E227" s="100" t="s">
        <v>377</v>
      </c>
      <c r="F227" s="168">
        <f>147</f>
        <v>147</v>
      </c>
      <c r="G227" s="149">
        <f>(17188)*(1.023*1.005-2.3%*15%)*6.99+0*4.09</f>
        <v>123107</v>
      </c>
      <c r="H227" s="145">
        <f t="shared" si="78"/>
        <v>1.123</v>
      </c>
      <c r="I227" s="146">
        <f t="shared" si="79"/>
        <v>138249</v>
      </c>
      <c r="J227" s="145">
        <f>'[2]Расчет прогнозных дефляторов'!$D$75</f>
        <v>1.0429999999999999</v>
      </c>
      <c r="K227" s="146">
        <f t="shared" si="80"/>
        <v>144194</v>
      </c>
      <c r="L227" s="146">
        <f t="shared" si="81"/>
        <v>142411</v>
      </c>
      <c r="M227" s="147"/>
      <c r="N227" s="147"/>
      <c r="O227" s="147"/>
    </row>
    <row r="228" spans="1:15" s="148" customFormat="1" ht="15.75" hidden="1" outlineLevel="1" x14ac:dyDescent="0.2">
      <c r="A228" s="200"/>
      <c r="B228" s="95"/>
      <c r="C228" s="42" t="s">
        <v>907</v>
      </c>
      <c r="D228" s="42" t="s">
        <v>908</v>
      </c>
      <c r="E228" s="100" t="s">
        <v>408</v>
      </c>
      <c r="F228" s="168">
        <v>1</v>
      </c>
      <c r="G228" s="149">
        <f>(2642)*(1.023*1.005-2.3%*15%)*6.99+0*4.09</f>
        <v>18923</v>
      </c>
      <c r="H228" s="145">
        <f t="shared" si="78"/>
        <v>1.123</v>
      </c>
      <c r="I228" s="146">
        <f t="shared" si="79"/>
        <v>21251</v>
      </c>
      <c r="J228" s="145">
        <f>'[2]Расчет прогнозных дефляторов'!$D$75</f>
        <v>1.0429999999999999</v>
      </c>
      <c r="K228" s="146">
        <f t="shared" si="80"/>
        <v>22165</v>
      </c>
      <c r="L228" s="146">
        <f t="shared" si="81"/>
        <v>21891</v>
      </c>
      <c r="M228" s="147"/>
      <c r="N228" s="147"/>
      <c r="O228" s="147"/>
    </row>
    <row r="229" spans="1:15" s="148" customFormat="1" ht="15.75" hidden="1" outlineLevel="1" x14ac:dyDescent="0.2">
      <c r="A229" s="200"/>
      <c r="B229" s="95"/>
      <c r="C229" s="42" t="s">
        <v>910</v>
      </c>
      <c r="D229" s="42" t="s">
        <v>909</v>
      </c>
      <c r="E229" s="100" t="s">
        <v>292</v>
      </c>
      <c r="F229" s="168">
        <v>1</v>
      </c>
      <c r="G229" s="149">
        <f>(6275)*(1.023*1.005-2.3%*15%)*6.99+0*4.09</f>
        <v>44944</v>
      </c>
      <c r="H229" s="145">
        <f t="shared" si="78"/>
        <v>1.123</v>
      </c>
      <c r="I229" s="146">
        <f t="shared" si="79"/>
        <v>50472</v>
      </c>
      <c r="J229" s="145">
        <f>'[2]Расчет прогнозных дефляторов'!$D$75</f>
        <v>1.0429999999999999</v>
      </c>
      <c r="K229" s="146">
        <f t="shared" si="80"/>
        <v>52642</v>
      </c>
      <c r="L229" s="146">
        <f t="shared" si="81"/>
        <v>51991</v>
      </c>
      <c r="M229" s="147"/>
      <c r="N229" s="147"/>
      <c r="O229" s="147"/>
    </row>
    <row r="230" spans="1:15" s="148" customFormat="1" ht="38.25" hidden="1" outlineLevel="1" x14ac:dyDescent="0.2">
      <c r="A230" s="200"/>
      <c r="B230" s="95"/>
      <c r="C230" s="42" t="s">
        <v>912</v>
      </c>
      <c r="D230" s="42" t="s">
        <v>911</v>
      </c>
      <c r="E230" s="100" t="s">
        <v>292</v>
      </c>
      <c r="F230" s="168">
        <v>1</v>
      </c>
      <c r="G230" s="149">
        <f>(19205)*(1.023*1.005-2.3%*15%)*6.99+0*4.09</f>
        <v>137554</v>
      </c>
      <c r="H230" s="145">
        <f t="shared" si="78"/>
        <v>1.123</v>
      </c>
      <c r="I230" s="146">
        <f t="shared" si="79"/>
        <v>154473</v>
      </c>
      <c r="J230" s="145">
        <f>'[2]Расчет прогнозных дефляторов'!$D$75</f>
        <v>1.0429999999999999</v>
      </c>
      <c r="K230" s="146">
        <f t="shared" si="80"/>
        <v>161115</v>
      </c>
      <c r="L230" s="146">
        <f t="shared" si="81"/>
        <v>159122</v>
      </c>
      <c r="M230" s="147"/>
      <c r="N230" s="147"/>
      <c r="O230" s="147"/>
    </row>
    <row r="231" spans="1:15" s="148" customFormat="1" ht="15.75" hidden="1" outlineLevel="1" x14ac:dyDescent="0.2">
      <c r="A231" s="200"/>
      <c r="B231" s="95"/>
      <c r="C231" s="42"/>
      <c r="D231" s="157" t="s">
        <v>913</v>
      </c>
      <c r="E231" s="100"/>
      <c r="F231" s="168"/>
      <c r="G231" s="149"/>
      <c r="H231" s="145"/>
      <c r="I231" s="146"/>
      <c r="J231" s="145"/>
      <c r="K231" s="146"/>
      <c r="L231" s="146"/>
      <c r="M231" s="147"/>
      <c r="N231" s="147"/>
      <c r="O231" s="147"/>
    </row>
    <row r="232" spans="1:15" s="148" customFormat="1" ht="15.75" hidden="1" outlineLevel="1" x14ac:dyDescent="0.2">
      <c r="A232" s="200"/>
      <c r="B232" s="95"/>
      <c r="C232" s="42" t="s">
        <v>915</v>
      </c>
      <c r="D232" s="42" t="s">
        <v>914</v>
      </c>
      <c r="E232" s="100" t="s">
        <v>404</v>
      </c>
      <c r="F232" s="168">
        <f>378.1</f>
        <v>378.1</v>
      </c>
      <c r="G232" s="149">
        <f>(5683171)*(1.023*1.005-2.3%*15%)*6.99+0*4.09</f>
        <v>40705191</v>
      </c>
      <c r="H232" s="145">
        <f>$H$772</f>
        <v>1.123</v>
      </c>
      <c r="I232" s="146">
        <f t="shared" ref="I232:I236" si="82">G232*H232</f>
        <v>45711929</v>
      </c>
      <c r="J232" s="145">
        <f>'[2]Расчет прогнозных дефляторов'!$D$75</f>
        <v>1.0429999999999999</v>
      </c>
      <c r="K232" s="146">
        <f t="shared" ref="K232:K236" si="83">I232*J232</f>
        <v>47677542</v>
      </c>
      <c r="L232" s="146">
        <f t="shared" ref="L232:L236" si="84">I232+(K232-I232)*(1-30/100)</f>
        <v>47087858</v>
      </c>
      <c r="M232" s="147" t="s">
        <v>916</v>
      </c>
      <c r="N232" s="147"/>
      <c r="O232" s="147"/>
    </row>
    <row r="233" spans="1:15" s="148" customFormat="1" ht="15.75" hidden="1" outlineLevel="1" x14ac:dyDescent="0.2">
      <c r="A233" s="200"/>
      <c r="B233" s="95"/>
      <c r="C233" s="42" t="s">
        <v>918</v>
      </c>
      <c r="D233" s="42" t="s">
        <v>917</v>
      </c>
      <c r="E233" s="100" t="s">
        <v>404</v>
      </c>
      <c r="F233" s="100">
        <f>60.22+16.28+20.72</f>
        <v>97.22</v>
      </c>
      <c r="G233" s="149">
        <f>(427374)*(1.023*1.005-2.3%*15%)*6.99+0*4.09</f>
        <v>3061027</v>
      </c>
      <c r="H233" s="145">
        <f>$H$772</f>
        <v>1.123</v>
      </c>
      <c r="I233" s="146">
        <f t="shared" si="82"/>
        <v>3437533</v>
      </c>
      <c r="J233" s="145">
        <f>'[2]Расчет прогнозных дефляторов'!$D$75</f>
        <v>1.0429999999999999</v>
      </c>
      <c r="K233" s="146">
        <f t="shared" si="83"/>
        <v>3585347</v>
      </c>
      <c r="L233" s="146">
        <f t="shared" si="84"/>
        <v>3541003</v>
      </c>
      <c r="M233" s="147" t="s">
        <v>916</v>
      </c>
      <c r="N233" s="147"/>
      <c r="O233" s="147"/>
    </row>
    <row r="234" spans="1:15" s="148" customFormat="1" ht="15.75" hidden="1" outlineLevel="1" x14ac:dyDescent="0.2">
      <c r="A234" s="200"/>
      <c r="B234" s="95"/>
      <c r="C234" s="42" t="s">
        <v>920</v>
      </c>
      <c r="D234" s="42" t="s">
        <v>919</v>
      </c>
      <c r="E234" s="100" t="s">
        <v>377</v>
      </c>
      <c r="F234" s="168">
        <f>24.8</f>
        <v>24.8</v>
      </c>
      <c r="G234" s="149">
        <f>(2086)*(1.023*1.005-2.3%*15%)*6.99+0*4.09</f>
        <v>14941</v>
      </c>
      <c r="H234" s="145">
        <f>$H$772</f>
        <v>1.123</v>
      </c>
      <c r="I234" s="146">
        <f t="shared" si="82"/>
        <v>16779</v>
      </c>
      <c r="J234" s="145">
        <f>'[2]Расчет прогнозных дефляторов'!$D$75</f>
        <v>1.0429999999999999</v>
      </c>
      <c r="K234" s="146">
        <f t="shared" si="83"/>
        <v>17500</v>
      </c>
      <c r="L234" s="146">
        <f t="shared" si="84"/>
        <v>17284</v>
      </c>
      <c r="M234" s="147"/>
      <c r="N234" s="147"/>
      <c r="O234" s="147"/>
    </row>
    <row r="235" spans="1:15" s="148" customFormat="1" ht="15.75" hidden="1" outlineLevel="1" x14ac:dyDescent="0.2">
      <c r="A235" s="200"/>
      <c r="B235" s="95"/>
      <c r="C235" s="42" t="s">
        <v>922</v>
      </c>
      <c r="D235" s="42" t="s">
        <v>921</v>
      </c>
      <c r="E235" s="100" t="s">
        <v>404</v>
      </c>
      <c r="F235" s="100">
        <f>37.66</f>
        <v>37.659999999999997</v>
      </c>
      <c r="G235" s="149">
        <f>(68279)*(1.023*1.005-2.3%*15%)*6.99+0*4.09</f>
        <v>489042</v>
      </c>
      <c r="H235" s="145">
        <f>$H$772</f>
        <v>1.123</v>
      </c>
      <c r="I235" s="146">
        <f t="shared" si="82"/>
        <v>549194</v>
      </c>
      <c r="J235" s="145">
        <f>'[2]Расчет прогнозных дефляторов'!$D$75</f>
        <v>1.0429999999999999</v>
      </c>
      <c r="K235" s="146">
        <f t="shared" si="83"/>
        <v>572809</v>
      </c>
      <c r="L235" s="146">
        <f t="shared" si="84"/>
        <v>565725</v>
      </c>
      <c r="M235" s="147"/>
      <c r="N235" s="147"/>
      <c r="O235" s="147"/>
    </row>
    <row r="236" spans="1:15" s="148" customFormat="1" ht="15.75" hidden="1" outlineLevel="1" x14ac:dyDescent="0.2">
      <c r="A236" s="200"/>
      <c r="B236" s="95"/>
      <c r="C236" s="42" t="s">
        <v>924</v>
      </c>
      <c r="D236" s="42" t="s">
        <v>923</v>
      </c>
      <c r="E236" s="100" t="s">
        <v>404</v>
      </c>
      <c r="F236" s="100">
        <f>64.14+29.88+38.96+55.09</f>
        <v>188.07</v>
      </c>
      <c r="G236" s="149">
        <f>(302436)*(1.023*1.005-2.3%*15%)*6.99+0*4.09</f>
        <v>2166170</v>
      </c>
      <c r="H236" s="145">
        <f>$H$772</f>
        <v>1.123</v>
      </c>
      <c r="I236" s="146">
        <f t="shared" si="82"/>
        <v>2432609</v>
      </c>
      <c r="J236" s="145">
        <f>'[2]Расчет прогнозных дефляторов'!$D$75</f>
        <v>1.0429999999999999</v>
      </c>
      <c r="K236" s="146">
        <f t="shared" si="83"/>
        <v>2537211</v>
      </c>
      <c r="L236" s="146">
        <f t="shared" si="84"/>
        <v>2505830</v>
      </c>
      <c r="M236" s="147"/>
      <c r="N236" s="147"/>
      <c r="O236" s="147"/>
    </row>
    <row r="237" spans="1:15" s="148" customFormat="1" ht="15.75" hidden="1" outlineLevel="1" x14ac:dyDescent="0.2">
      <c r="A237" s="200"/>
      <c r="B237" s="95"/>
      <c r="C237" s="42"/>
      <c r="D237" s="157" t="s">
        <v>925</v>
      </c>
      <c r="E237" s="100"/>
      <c r="F237" s="168"/>
      <c r="G237" s="149"/>
      <c r="H237" s="145"/>
      <c r="I237" s="146"/>
      <c r="J237" s="145"/>
      <c r="K237" s="146"/>
      <c r="L237" s="146"/>
      <c r="M237" s="147"/>
      <c r="N237" s="147"/>
      <c r="O237" s="147"/>
    </row>
    <row r="238" spans="1:15" s="148" customFormat="1" ht="15.75" hidden="1" outlineLevel="1" x14ac:dyDescent="0.2">
      <c r="A238" s="200"/>
      <c r="B238" s="95"/>
      <c r="C238" s="42"/>
      <c r="D238" s="42" t="s">
        <v>926</v>
      </c>
      <c r="E238" s="100"/>
      <c r="F238" s="168"/>
      <c r="G238" s="149"/>
      <c r="H238" s="145"/>
      <c r="I238" s="146"/>
      <c r="J238" s="145"/>
      <c r="K238" s="146"/>
      <c r="L238" s="146"/>
      <c r="M238" s="147"/>
      <c r="N238" s="147"/>
      <c r="O238" s="147"/>
    </row>
    <row r="239" spans="1:15" s="148" customFormat="1" ht="76.5" hidden="1" outlineLevel="1" x14ac:dyDescent="0.2">
      <c r="A239" s="200"/>
      <c r="B239" s="95"/>
      <c r="C239" s="42" t="s">
        <v>928</v>
      </c>
      <c r="D239" s="42" t="s">
        <v>927</v>
      </c>
      <c r="E239" s="100" t="s">
        <v>404</v>
      </c>
      <c r="F239" s="100">
        <f>86.64</f>
        <v>86.64</v>
      </c>
      <c r="G239" s="149">
        <f>(27015)*(1.023*1.005-2.3%*15%)*6.99+0*4.09</f>
        <v>193492</v>
      </c>
      <c r="H239" s="145">
        <f t="shared" ref="H239:H249" si="85">$H$772</f>
        <v>1.123</v>
      </c>
      <c r="I239" s="146">
        <f t="shared" ref="I239:I249" si="86">G239*H239</f>
        <v>217292</v>
      </c>
      <c r="J239" s="145">
        <f>'[2]Расчет прогнозных дефляторов'!$D$75</f>
        <v>1.0429999999999999</v>
      </c>
      <c r="K239" s="146">
        <f t="shared" ref="K239:K249" si="87">I239*J239</f>
        <v>226636</v>
      </c>
      <c r="L239" s="146">
        <f t="shared" ref="L239:L249" si="88">I239+(K239-I239)*(1-30/100)</f>
        <v>223833</v>
      </c>
      <c r="M239" s="147"/>
      <c r="N239" s="147"/>
      <c r="O239" s="147"/>
    </row>
    <row r="240" spans="1:15" s="148" customFormat="1" ht="114.75" hidden="1" outlineLevel="1" x14ac:dyDescent="0.2">
      <c r="A240" s="200"/>
      <c r="B240" s="95"/>
      <c r="C240" s="42" t="s">
        <v>930</v>
      </c>
      <c r="D240" s="42" t="s">
        <v>929</v>
      </c>
      <c r="E240" s="100" t="s">
        <v>404</v>
      </c>
      <c r="F240" s="100">
        <f>254.58</f>
        <v>254.58</v>
      </c>
      <c r="G240" s="149">
        <f>(91784)*(1.023*1.005-2.3%*15%)*6.99+0*4.09</f>
        <v>657394</v>
      </c>
      <c r="H240" s="145">
        <f t="shared" si="85"/>
        <v>1.123</v>
      </c>
      <c r="I240" s="146">
        <f t="shared" si="86"/>
        <v>738253</v>
      </c>
      <c r="J240" s="145">
        <f>'[2]Расчет прогнозных дефляторов'!$D$75</f>
        <v>1.0429999999999999</v>
      </c>
      <c r="K240" s="146">
        <f t="shared" si="87"/>
        <v>769998</v>
      </c>
      <c r="L240" s="146">
        <f t="shared" si="88"/>
        <v>760475</v>
      </c>
      <c r="M240" s="147"/>
      <c r="N240" s="147"/>
      <c r="O240" s="147"/>
    </row>
    <row r="241" spans="1:15" s="148" customFormat="1" ht="127.5" hidden="1" outlineLevel="1" x14ac:dyDescent="0.2">
      <c r="A241" s="200"/>
      <c r="B241" s="95"/>
      <c r="C241" s="42" t="s">
        <v>931</v>
      </c>
      <c r="D241" s="42" t="s">
        <v>932</v>
      </c>
      <c r="E241" s="100" t="s">
        <v>404</v>
      </c>
      <c r="F241" s="168">
        <f>25</f>
        <v>25</v>
      </c>
      <c r="G241" s="149">
        <f>(11088)*(1.023*1.005-2.3%*15%)*6.99+0*4.09</f>
        <v>79417</v>
      </c>
      <c r="H241" s="145">
        <f t="shared" si="85"/>
        <v>1.123</v>
      </c>
      <c r="I241" s="146">
        <f t="shared" si="86"/>
        <v>89185</v>
      </c>
      <c r="J241" s="145">
        <f>'[2]Расчет прогнозных дефляторов'!$D$75</f>
        <v>1.0429999999999999</v>
      </c>
      <c r="K241" s="146">
        <f t="shared" si="87"/>
        <v>93020</v>
      </c>
      <c r="L241" s="146">
        <f t="shared" si="88"/>
        <v>91870</v>
      </c>
      <c r="M241" s="147"/>
      <c r="N241" s="147"/>
      <c r="O241" s="147"/>
    </row>
    <row r="242" spans="1:15" s="148" customFormat="1" ht="114.75" hidden="1" outlineLevel="1" x14ac:dyDescent="0.2">
      <c r="A242" s="200"/>
      <c r="B242" s="95"/>
      <c r="C242" s="42" t="s">
        <v>934</v>
      </c>
      <c r="D242" s="42" t="s">
        <v>933</v>
      </c>
      <c r="E242" s="100" t="s">
        <v>404</v>
      </c>
      <c r="F242" s="100">
        <f>252.25</f>
        <v>252.25</v>
      </c>
      <c r="G242" s="149">
        <f>(106857)*(1.023*1.005-2.3%*15%)*6.99+0*4.09</f>
        <v>765353</v>
      </c>
      <c r="H242" s="145">
        <f t="shared" si="85"/>
        <v>1.123</v>
      </c>
      <c r="I242" s="146">
        <f t="shared" si="86"/>
        <v>859491</v>
      </c>
      <c r="J242" s="145">
        <f>'[2]Расчет прогнозных дефляторов'!$D$75</f>
        <v>1.0429999999999999</v>
      </c>
      <c r="K242" s="146">
        <f t="shared" si="87"/>
        <v>896449</v>
      </c>
      <c r="L242" s="146">
        <f t="shared" si="88"/>
        <v>885362</v>
      </c>
      <c r="M242" s="147"/>
      <c r="N242" s="147"/>
      <c r="O242" s="147"/>
    </row>
    <row r="243" spans="1:15" s="148" customFormat="1" ht="89.25" hidden="1" outlineLevel="1" x14ac:dyDescent="0.2">
      <c r="A243" s="200"/>
      <c r="B243" s="95"/>
      <c r="C243" s="42" t="s">
        <v>936</v>
      </c>
      <c r="D243" s="42" t="s">
        <v>935</v>
      </c>
      <c r="E243" s="100" t="s">
        <v>404</v>
      </c>
      <c r="F243" s="100">
        <f>65.52</f>
        <v>65.52</v>
      </c>
      <c r="G243" s="149">
        <f>(26746)*(1.023*1.005-2.3%*15%)*6.99+0*4.09</f>
        <v>191566</v>
      </c>
      <c r="H243" s="145">
        <f t="shared" si="85"/>
        <v>1.123</v>
      </c>
      <c r="I243" s="146">
        <f t="shared" si="86"/>
        <v>215129</v>
      </c>
      <c r="J243" s="145">
        <f>'[2]Расчет прогнозных дефляторов'!$D$75</f>
        <v>1.0429999999999999</v>
      </c>
      <c r="K243" s="146">
        <f t="shared" si="87"/>
        <v>224380</v>
      </c>
      <c r="L243" s="146">
        <f t="shared" si="88"/>
        <v>221605</v>
      </c>
      <c r="M243" s="147"/>
      <c r="N243" s="147"/>
      <c r="O243" s="147"/>
    </row>
    <row r="244" spans="1:15" s="148" customFormat="1" ht="102" hidden="1" outlineLevel="1" x14ac:dyDescent="0.2">
      <c r="A244" s="200"/>
      <c r="B244" s="95"/>
      <c r="C244" s="42" t="s">
        <v>938</v>
      </c>
      <c r="D244" s="42" t="s">
        <v>937</v>
      </c>
      <c r="E244" s="100" t="s">
        <v>404</v>
      </c>
      <c r="F244" s="100">
        <f>80.27</f>
        <v>80.27</v>
      </c>
      <c r="G244" s="149">
        <f>(32198)*(1.023*1.005-2.3%*15%)*6.99+0*4.09</f>
        <v>230615</v>
      </c>
      <c r="H244" s="145">
        <f t="shared" si="85"/>
        <v>1.123</v>
      </c>
      <c r="I244" s="146">
        <f t="shared" si="86"/>
        <v>258981</v>
      </c>
      <c r="J244" s="145">
        <f>'[2]Расчет прогнозных дефляторов'!$D$75</f>
        <v>1.0429999999999999</v>
      </c>
      <c r="K244" s="146">
        <f t="shared" si="87"/>
        <v>270117</v>
      </c>
      <c r="L244" s="146">
        <f t="shared" si="88"/>
        <v>266776</v>
      </c>
      <c r="M244" s="147"/>
      <c r="N244" s="147"/>
      <c r="O244" s="147"/>
    </row>
    <row r="245" spans="1:15" s="148" customFormat="1" ht="114.75" hidden="1" outlineLevel="1" x14ac:dyDescent="0.2">
      <c r="A245" s="200"/>
      <c r="B245" s="95"/>
      <c r="C245" s="42" t="s">
        <v>940</v>
      </c>
      <c r="D245" s="42" t="s">
        <v>939</v>
      </c>
      <c r="E245" s="100" t="s">
        <v>404</v>
      </c>
      <c r="F245" s="100">
        <f>85.07</f>
        <v>85.07</v>
      </c>
      <c r="G245" s="149">
        <f>(36045)*(1.023*1.005-2.3%*15%)*6.99+0*4.09</f>
        <v>258169</v>
      </c>
      <c r="H245" s="145">
        <f t="shared" si="85"/>
        <v>1.123</v>
      </c>
      <c r="I245" s="146">
        <f t="shared" si="86"/>
        <v>289924</v>
      </c>
      <c r="J245" s="145">
        <f>'[2]Расчет прогнозных дефляторов'!$D$75</f>
        <v>1.0429999999999999</v>
      </c>
      <c r="K245" s="146">
        <f t="shared" si="87"/>
        <v>302391</v>
      </c>
      <c r="L245" s="146">
        <f t="shared" si="88"/>
        <v>298651</v>
      </c>
      <c r="M245" s="147"/>
      <c r="N245" s="147"/>
      <c r="O245" s="147"/>
    </row>
    <row r="246" spans="1:15" s="148" customFormat="1" ht="127.5" hidden="1" outlineLevel="1" x14ac:dyDescent="0.2">
      <c r="A246" s="200"/>
      <c r="B246" s="95"/>
      <c r="C246" s="42" t="s">
        <v>942</v>
      </c>
      <c r="D246" s="42" t="s">
        <v>941</v>
      </c>
      <c r="E246" s="100" t="s">
        <v>404</v>
      </c>
      <c r="F246" s="100">
        <f>122.32</f>
        <v>122.32</v>
      </c>
      <c r="G246" s="149">
        <f>(54241)*(1.023*1.005-2.3%*15%)*6.99+0*4.09</f>
        <v>388496</v>
      </c>
      <c r="H246" s="145">
        <f t="shared" si="85"/>
        <v>1.123</v>
      </c>
      <c r="I246" s="146">
        <f t="shared" si="86"/>
        <v>436281</v>
      </c>
      <c r="J246" s="145">
        <f>'[2]Расчет прогнозных дефляторов'!$D$75</f>
        <v>1.0429999999999999</v>
      </c>
      <c r="K246" s="146">
        <f t="shared" si="87"/>
        <v>455041</v>
      </c>
      <c r="L246" s="146">
        <f t="shared" si="88"/>
        <v>449413</v>
      </c>
      <c r="M246" s="147"/>
      <c r="N246" s="147"/>
      <c r="O246" s="147"/>
    </row>
    <row r="247" spans="1:15" s="148" customFormat="1" ht="127.5" hidden="1" outlineLevel="1" x14ac:dyDescent="0.2">
      <c r="A247" s="200"/>
      <c r="B247" s="95"/>
      <c r="C247" s="42" t="s">
        <v>944</v>
      </c>
      <c r="D247" s="42" t="s">
        <v>943</v>
      </c>
      <c r="E247" s="100" t="s">
        <v>404</v>
      </c>
      <c r="F247" s="168">
        <f>109.6</f>
        <v>109.6</v>
      </c>
      <c r="G247" s="149">
        <f>(48617)*(1.023*1.005-2.3%*15%)*6.99+0*4.09</f>
        <v>348215</v>
      </c>
      <c r="H247" s="145">
        <f t="shared" si="85"/>
        <v>1.123</v>
      </c>
      <c r="I247" s="146">
        <f t="shared" si="86"/>
        <v>391045</v>
      </c>
      <c r="J247" s="145">
        <f>'[2]Расчет прогнозных дефляторов'!$D$75</f>
        <v>1.0429999999999999</v>
      </c>
      <c r="K247" s="146">
        <f t="shared" si="87"/>
        <v>407860</v>
      </c>
      <c r="L247" s="146">
        <f t="shared" si="88"/>
        <v>402816</v>
      </c>
      <c r="M247" s="147"/>
      <c r="N247" s="147"/>
      <c r="O247" s="147"/>
    </row>
    <row r="248" spans="1:15" s="148" customFormat="1" ht="127.5" hidden="1" outlineLevel="1" x14ac:dyDescent="0.2">
      <c r="A248" s="200"/>
      <c r="B248" s="95"/>
      <c r="C248" s="42" t="s">
        <v>946</v>
      </c>
      <c r="D248" s="42" t="s">
        <v>945</v>
      </c>
      <c r="E248" s="100" t="s">
        <v>404</v>
      </c>
      <c r="F248" s="100">
        <f>50.92</f>
        <v>50.92</v>
      </c>
      <c r="G248" s="149">
        <f>(22583)*(1.023*1.005-2.3%*15%)*6.99+0*4.09</f>
        <v>161749</v>
      </c>
      <c r="H248" s="145">
        <f t="shared" si="85"/>
        <v>1.123</v>
      </c>
      <c r="I248" s="146">
        <f t="shared" si="86"/>
        <v>181644</v>
      </c>
      <c r="J248" s="145">
        <f>'[2]Расчет прогнозных дефляторов'!$D$75</f>
        <v>1.0429999999999999</v>
      </c>
      <c r="K248" s="146">
        <f t="shared" si="87"/>
        <v>189455</v>
      </c>
      <c r="L248" s="146">
        <f t="shared" si="88"/>
        <v>187112</v>
      </c>
      <c r="M248" s="147"/>
      <c r="N248" s="147"/>
      <c r="O248" s="147"/>
    </row>
    <row r="249" spans="1:15" s="148" customFormat="1" ht="89.25" hidden="1" outlineLevel="1" x14ac:dyDescent="0.2">
      <c r="A249" s="200"/>
      <c r="B249" s="95"/>
      <c r="C249" s="42" t="s">
        <v>948</v>
      </c>
      <c r="D249" s="42" t="s">
        <v>947</v>
      </c>
      <c r="E249" s="100" t="s">
        <v>404</v>
      </c>
      <c r="F249" s="100">
        <f>51.75</f>
        <v>51.75</v>
      </c>
      <c r="G249" s="149">
        <f>(25065)*(1.023*1.005-2.3%*15%)*6.99+0*4.09</f>
        <v>179526</v>
      </c>
      <c r="H249" s="145">
        <f t="shared" si="85"/>
        <v>1.123</v>
      </c>
      <c r="I249" s="146">
        <f t="shared" si="86"/>
        <v>201608</v>
      </c>
      <c r="J249" s="145">
        <f>'[2]Расчет прогнозных дефляторов'!$D$75</f>
        <v>1.0429999999999999</v>
      </c>
      <c r="K249" s="146">
        <f t="shared" si="87"/>
        <v>210277</v>
      </c>
      <c r="L249" s="146">
        <f t="shared" si="88"/>
        <v>207676</v>
      </c>
      <c r="M249" s="147"/>
      <c r="N249" s="147"/>
      <c r="O249" s="147"/>
    </row>
    <row r="250" spans="1:15" s="148" customFormat="1" ht="15.75" hidden="1" outlineLevel="1" x14ac:dyDescent="0.2">
      <c r="A250" s="200"/>
      <c r="B250" s="95"/>
      <c r="C250" s="42"/>
      <c r="D250" s="42" t="s">
        <v>949</v>
      </c>
      <c r="E250" s="100"/>
      <c r="F250" s="168"/>
      <c r="G250" s="149"/>
      <c r="H250" s="145"/>
      <c r="I250" s="146"/>
      <c r="J250" s="145"/>
      <c r="K250" s="146"/>
      <c r="L250" s="146"/>
      <c r="M250" s="147"/>
      <c r="N250" s="147"/>
      <c r="O250" s="147"/>
    </row>
    <row r="251" spans="1:15" s="148" customFormat="1" ht="114.75" hidden="1" outlineLevel="1" x14ac:dyDescent="0.2">
      <c r="A251" s="200"/>
      <c r="B251" s="95"/>
      <c r="C251" s="42" t="s">
        <v>951</v>
      </c>
      <c r="D251" s="42" t="s">
        <v>950</v>
      </c>
      <c r="E251" s="100" t="s">
        <v>404</v>
      </c>
      <c r="F251" s="168">
        <f>318.7</f>
        <v>318.7</v>
      </c>
      <c r="G251" s="149">
        <f>(114665)*(1.023*1.005-2.3%*15%)*6.99+0*4.09</f>
        <v>821278</v>
      </c>
      <c r="H251" s="145">
        <f t="shared" ref="H251:H256" si="89">$H$772</f>
        <v>1.123</v>
      </c>
      <c r="I251" s="146">
        <f t="shared" ref="I251:I256" si="90">G251*H251</f>
        <v>922295</v>
      </c>
      <c r="J251" s="145">
        <f>'[2]Расчет прогнозных дефляторов'!$D$75</f>
        <v>1.0429999999999999</v>
      </c>
      <c r="K251" s="146">
        <f t="shared" ref="K251:K256" si="91">I251*J251</f>
        <v>961954</v>
      </c>
      <c r="L251" s="146">
        <f t="shared" ref="L251:L256" si="92">I251+(K251-I251)*(1-30/100)</f>
        <v>950056</v>
      </c>
      <c r="M251" s="147"/>
      <c r="N251" s="147"/>
      <c r="O251" s="147"/>
    </row>
    <row r="252" spans="1:15" s="148" customFormat="1" ht="114.75" hidden="1" outlineLevel="1" x14ac:dyDescent="0.2">
      <c r="A252" s="200"/>
      <c r="B252" s="95"/>
      <c r="C252" s="42" t="s">
        <v>953</v>
      </c>
      <c r="D252" s="42" t="s">
        <v>952</v>
      </c>
      <c r="E252" s="100" t="s">
        <v>404</v>
      </c>
      <c r="F252" s="168">
        <f>34.8</f>
        <v>34.799999999999997</v>
      </c>
      <c r="G252" s="149">
        <f>(12523)*(1.023*1.005-2.3%*15%)*6.99+0*4.09</f>
        <v>89695</v>
      </c>
      <c r="H252" s="145">
        <f t="shared" si="89"/>
        <v>1.123</v>
      </c>
      <c r="I252" s="146">
        <f t="shared" si="90"/>
        <v>100727</v>
      </c>
      <c r="J252" s="145">
        <f>'[2]Расчет прогнозных дефляторов'!$D$75</f>
        <v>1.0429999999999999</v>
      </c>
      <c r="K252" s="146">
        <f t="shared" si="91"/>
        <v>105058</v>
      </c>
      <c r="L252" s="146">
        <f t="shared" si="92"/>
        <v>103759</v>
      </c>
      <c r="M252" s="147"/>
      <c r="N252" s="147"/>
      <c r="O252" s="147"/>
    </row>
    <row r="253" spans="1:15" s="148" customFormat="1" ht="114.75" hidden="1" outlineLevel="1" x14ac:dyDescent="0.2">
      <c r="A253" s="200"/>
      <c r="B253" s="95"/>
      <c r="C253" s="42" t="s">
        <v>955</v>
      </c>
      <c r="D253" s="42" t="s">
        <v>954</v>
      </c>
      <c r="E253" s="100" t="s">
        <v>404</v>
      </c>
      <c r="F253" s="100">
        <f>258.83</f>
        <v>258.83</v>
      </c>
      <c r="G253" s="149">
        <f>(93116)*(1.023*1.005-2.3%*15%)*6.99+0*4.09</f>
        <v>666935</v>
      </c>
      <c r="H253" s="145">
        <f t="shared" si="89"/>
        <v>1.123</v>
      </c>
      <c r="I253" s="146">
        <f t="shared" si="90"/>
        <v>748968</v>
      </c>
      <c r="J253" s="145">
        <f>'[2]Расчет прогнозных дефляторов'!$D$75</f>
        <v>1.0429999999999999</v>
      </c>
      <c r="K253" s="146">
        <f t="shared" si="91"/>
        <v>781174</v>
      </c>
      <c r="L253" s="146">
        <f t="shared" si="92"/>
        <v>771512</v>
      </c>
      <c r="M253" s="147"/>
      <c r="N253" s="147"/>
      <c r="O253" s="147"/>
    </row>
    <row r="254" spans="1:15" s="148" customFormat="1" ht="114.75" hidden="1" outlineLevel="1" x14ac:dyDescent="0.2">
      <c r="A254" s="200"/>
      <c r="B254" s="95"/>
      <c r="C254" s="42" t="s">
        <v>957</v>
      </c>
      <c r="D254" s="42" t="s">
        <v>956</v>
      </c>
      <c r="E254" s="100" t="s">
        <v>404</v>
      </c>
      <c r="F254" s="100">
        <f>69.84</f>
        <v>69.84</v>
      </c>
      <c r="G254" s="149">
        <f>(25113)*(1.023*1.005-2.3%*15%)*6.99+0*4.09</f>
        <v>179870</v>
      </c>
      <c r="H254" s="145">
        <f t="shared" si="89"/>
        <v>1.123</v>
      </c>
      <c r="I254" s="146">
        <f t="shared" si="90"/>
        <v>201994</v>
      </c>
      <c r="J254" s="145">
        <f>'[2]Расчет прогнозных дефляторов'!$D$75</f>
        <v>1.0429999999999999</v>
      </c>
      <c r="K254" s="146">
        <f t="shared" si="91"/>
        <v>210680</v>
      </c>
      <c r="L254" s="146">
        <f t="shared" si="92"/>
        <v>208074</v>
      </c>
      <c r="M254" s="147"/>
      <c r="N254" s="147"/>
      <c r="O254" s="147"/>
    </row>
    <row r="255" spans="1:15" s="148" customFormat="1" ht="140.25" hidden="1" outlineLevel="1" x14ac:dyDescent="0.2">
      <c r="A255" s="200"/>
      <c r="B255" s="95"/>
      <c r="C255" s="42" t="s">
        <v>959</v>
      </c>
      <c r="D255" s="42" t="s">
        <v>962</v>
      </c>
      <c r="E255" s="100" t="s">
        <v>404</v>
      </c>
      <c r="F255" s="100">
        <f>99.64</f>
        <v>99.64</v>
      </c>
      <c r="G255" s="149">
        <f>(49975)*(1.023*1.005-2.3%*15%)*6.99+0*4.09</f>
        <v>357941</v>
      </c>
      <c r="H255" s="145">
        <f t="shared" si="89"/>
        <v>1.123</v>
      </c>
      <c r="I255" s="146">
        <f t="shared" si="90"/>
        <v>401968</v>
      </c>
      <c r="J255" s="145">
        <f>'[2]Расчет прогнозных дефляторов'!$D$75</f>
        <v>1.0429999999999999</v>
      </c>
      <c r="K255" s="146">
        <f t="shared" si="91"/>
        <v>419253</v>
      </c>
      <c r="L255" s="146">
        <f t="shared" si="92"/>
        <v>414068</v>
      </c>
      <c r="M255" s="147"/>
      <c r="N255" s="147"/>
      <c r="O255" s="147"/>
    </row>
    <row r="256" spans="1:15" s="148" customFormat="1" ht="51" hidden="1" outlineLevel="1" x14ac:dyDescent="0.2">
      <c r="A256" s="200"/>
      <c r="B256" s="95"/>
      <c r="C256" s="42" t="s">
        <v>960</v>
      </c>
      <c r="D256" s="42" t="s">
        <v>961</v>
      </c>
      <c r="E256" s="100" t="s">
        <v>404</v>
      </c>
      <c r="F256" s="168">
        <f>688</f>
        <v>688</v>
      </c>
      <c r="G256" s="149">
        <f>(80037)*(1.023*1.005-2.3%*15%)*6.99+0*4.09</f>
        <v>573258</v>
      </c>
      <c r="H256" s="145">
        <f t="shared" si="89"/>
        <v>1.123</v>
      </c>
      <c r="I256" s="146">
        <f t="shared" si="90"/>
        <v>643769</v>
      </c>
      <c r="J256" s="145">
        <f>'[2]Расчет прогнозных дефляторов'!$D$75</f>
        <v>1.0429999999999999</v>
      </c>
      <c r="K256" s="146">
        <f t="shared" si="91"/>
        <v>671451</v>
      </c>
      <c r="L256" s="146">
        <f t="shared" si="92"/>
        <v>663146</v>
      </c>
      <c r="M256" s="172" t="s">
        <v>958</v>
      </c>
      <c r="N256" s="147"/>
      <c r="O256" s="147"/>
    </row>
    <row r="257" spans="1:15" s="148" customFormat="1" ht="15.75" hidden="1" outlineLevel="1" x14ac:dyDescent="0.2">
      <c r="A257" s="200"/>
      <c r="B257" s="95"/>
      <c r="C257" s="42"/>
      <c r="D257" s="157" t="s">
        <v>963</v>
      </c>
      <c r="E257" s="100"/>
      <c r="F257" s="168"/>
      <c r="G257" s="149"/>
      <c r="H257" s="145"/>
      <c r="I257" s="146"/>
      <c r="J257" s="145"/>
      <c r="K257" s="146"/>
      <c r="L257" s="146"/>
      <c r="M257" s="147"/>
      <c r="N257" s="147"/>
      <c r="O257" s="147"/>
    </row>
    <row r="258" spans="1:15" s="148" customFormat="1" ht="25.5" hidden="1" outlineLevel="1" x14ac:dyDescent="0.2">
      <c r="A258" s="200"/>
      <c r="B258" s="95"/>
      <c r="C258" s="42" t="s">
        <v>964</v>
      </c>
      <c r="D258" s="42" t="s">
        <v>965</v>
      </c>
      <c r="E258" s="100" t="s">
        <v>404</v>
      </c>
      <c r="F258" s="100">
        <f>432.57</f>
        <v>432.57</v>
      </c>
      <c r="G258" s="149">
        <f>(38987)*(1.023*1.005-2.3%*15%)*6.99+0*4.09</f>
        <v>279241</v>
      </c>
      <c r="H258" s="145">
        <f t="shared" ref="H258:H270" si="93">$H$772</f>
        <v>1.123</v>
      </c>
      <c r="I258" s="146">
        <f t="shared" ref="I258:I270" si="94">G258*H258</f>
        <v>313588</v>
      </c>
      <c r="J258" s="145">
        <f>'[2]Расчет прогнозных дефляторов'!$D$75</f>
        <v>1.0429999999999999</v>
      </c>
      <c r="K258" s="146">
        <f t="shared" ref="K258:K270" si="95">I258*J258</f>
        <v>327072</v>
      </c>
      <c r="L258" s="146">
        <f t="shared" ref="L258:L270" si="96">I258+(K258-I258)*(1-30/100)</f>
        <v>323027</v>
      </c>
      <c r="M258" s="147"/>
      <c r="N258" s="147"/>
      <c r="O258" s="147"/>
    </row>
    <row r="259" spans="1:15" s="148" customFormat="1" ht="89.25" hidden="1" outlineLevel="1" x14ac:dyDescent="0.2">
      <c r="A259" s="200"/>
      <c r="B259" s="95"/>
      <c r="C259" s="42" t="s">
        <v>966</v>
      </c>
      <c r="D259" s="42" t="s">
        <v>971</v>
      </c>
      <c r="E259" s="100" t="s">
        <v>404</v>
      </c>
      <c r="F259" s="100">
        <f>2224.93</f>
        <v>2224.9299999999998</v>
      </c>
      <c r="G259" s="149">
        <f>(300552)*(1.023*1.005-2.3%*15%)*6.99+0*4.09</f>
        <v>2152676</v>
      </c>
      <c r="H259" s="145">
        <f t="shared" si="93"/>
        <v>1.123</v>
      </c>
      <c r="I259" s="146">
        <f t="shared" si="94"/>
        <v>2417455</v>
      </c>
      <c r="J259" s="145">
        <f>'[2]Расчет прогнозных дефляторов'!$D$75</f>
        <v>1.0429999999999999</v>
      </c>
      <c r="K259" s="146">
        <f t="shared" si="95"/>
        <v>2521406</v>
      </c>
      <c r="L259" s="146">
        <f t="shared" si="96"/>
        <v>2490221</v>
      </c>
      <c r="M259" s="147"/>
      <c r="N259" s="147"/>
      <c r="O259" s="147"/>
    </row>
    <row r="260" spans="1:15" s="148" customFormat="1" ht="25.5" hidden="1" outlineLevel="1" x14ac:dyDescent="0.2">
      <c r="A260" s="200"/>
      <c r="B260" s="95"/>
      <c r="C260" s="42" t="s">
        <v>968</v>
      </c>
      <c r="D260" s="42" t="s">
        <v>967</v>
      </c>
      <c r="E260" s="100" t="s">
        <v>404</v>
      </c>
      <c r="F260" s="145">
        <f>204.491</f>
        <v>204.49100000000001</v>
      </c>
      <c r="G260" s="149">
        <f>(18431)*(1.023*1.005-2.3%*15%)*6.99+0*4.09</f>
        <v>132010</v>
      </c>
      <c r="H260" s="145">
        <f t="shared" si="93"/>
        <v>1.123</v>
      </c>
      <c r="I260" s="146">
        <f t="shared" si="94"/>
        <v>148247</v>
      </c>
      <c r="J260" s="145">
        <f>'[2]Расчет прогнозных дефляторов'!$D$75</f>
        <v>1.0429999999999999</v>
      </c>
      <c r="K260" s="146">
        <f t="shared" si="95"/>
        <v>154622</v>
      </c>
      <c r="L260" s="146">
        <f t="shared" si="96"/>
        <v>152710</v>
      </c>
      <c r="M260" s="147"/>
      <c r="N260" s="147"/>
      <c r="O260" s="147"/>
    </row>
    <row r="261" spans="1:15" s="148" customFormat="1" ht="89.25" hidden="1" outlineLevel="1" x14ac:dyDescent="0.2">
      <c r="A261" s="200"/>
      <c r="B261" s="95"/>
      <c r="C261" s="42" t="s">
        <v>969</v>
      </c>
      <c r="D261" s="42" t="s">
        <v>970</v>
      </c>
      <c r="E261" s="100" t="s">
        <v>404</v>
      </c>
      <c r="F261" s="100">
        <f>154.71</f>
        <v>154.71</v>
      </c>
      <c r="G261" s="149">
        <f>(20901)*(1.023*1.005-2.3%*15%)*6.99+0*4.09</f>
        <v>149701</v>
      </c>
      <c r="H261" s="145">
        <f t="shared" si="93"/>
        <v>1.123</v>
      </c>
      <c r="I261" s="146">
        <f t="shared" si="94"/>
        <v>168114</v>
      </c>
      <c r="J261" s="145">
        <f>'[2]Расчет прогнозных дефляторов'!$D$75</f>
        <v>1.0429999999999999</v>
      </c>
      <c r="K261" s="146">
        <f t="shared" si="95"/>
        <v>175343</v>
      </c>
      <c r="L261" s="146">
        <f t="shared" si="96"/>
        <v>173174</v>
      </c>
      <c r="M261" s="147"/>
      <c r="N261" s="147"/>
      <c r="O261" s="147"/>
    </row>
    <row r="262" spans="1:15" s="148" customFormat="1" ht="25.5" hidden="1" outlineLevel="1" x14ac:dyDescent="0.2">
      <c r="A262" s="200"/>
      <c r="B262" s="95"/>
      <c r="C262" s="42" t="s">
        <v>972</v>
      </c>
      <c r="D262" s="42" t="s">
        <v>973</v>
      </c>
      <c r="E262" s="100" t="s">
        <v>404</v>
      </c>
      <c r="F262" s="145">
        <f>580.553</f>
        <v>580.553</v>
      </c>
      <c r="G262" s="149">
        <f>(119993)*(1.023*1.005-2.3%*15%)*6.99+0*4.09</f>
        <v>859439</v>
      </c>
      <c r="H262" s="145">
        <f t="shared" si="93"/>
        <v>1.123</v>
      </c>
      <c r="I262" s="146">
        <f t="shared" si="94"/>
        <v>965150</v>
      </c>
      <c r="J262" s="145">
        <f>'[2]Расчет прогнозных дефляторов'!$D$75</f>
        <v>1.0429999999999999</v>
      </c>
      <c r="K262" s="146">
        <f t="shared" si="95"/>
        <v>1006651</v>
      </c>
      <c r="L262" s="146">
        <f t="shared" si="96"/>
        <v>994201</v>
      </c>
      <c r="M262" s="147"/>
      <c r="N262" s="147"/>
      <c r="O262" s="147"/>
    </row>
    <row r="263" spans="1:15" s="148" customFormat="1" ht="89.25" hidden="1" outlineLevel="1" x14ac:dyDescent="0.2">
      <c r="A263" s="200"/>
      <c r="B263" s="95"/>
      <c r="C263" s="42" t="s">
        <v>974</v>
      </c>
      <c r="D263" s="42" t="s">
        <v>975</v>
      </c>
      <c r="E263" s="100" t="s">
        <v>404</v>
      </c>
      <c r="F263" s="100">
        <f>403.71</f>
        <v>403.71</v>
      </c>
      <c r="G263" s="149">
        <f>(54531)*(1.023*1.005-2.3%*15%)*6.99+0*4.09</f>
        <v>390573</v>
      </c>
      <c r="H263" s="145">
        <f t="shared" si="93"/>
        <v>1.123</v>
      </c>
      <c r="I263" s="146">
        <f t="shared" si="94"/>
        <v>438613</v>
      </c>
      <c r="J263" s="145">
        <f>'[2]Расчет прогнозных дефляторов'!$D$75</f>
        <v>1.0429999999999999</v>
      </c>
      <c r="K263" s="146">
        <f t="shared" si="95"/>
        <v>457473</v>
      </c>
      <c r="L263" s="146">
        <f t="shared" si="96"/>
        <v>451815</v>
      </c>
      <c r="M263" s="147"/>
      <c r="N263" s="147"/>
      <c r="O263" s="147"/>
    </row>
    <row r="264" spans="1:15" s="148" customFormat="1" ht="25.5" hidden="1" outlineLevel="1" x14ac:dyDescent="0.2">
      <c r="A264" s="200"/>
      <c r="B264" s="95"/>
      <c r="C264" s="42" t="s">
        <v>976</v>
      </c>
      <c r="D264" s="42" t="s">
        <v>977</v>
      </c>
      <c r="E264" s="100" t="s">
        <v>404</v>
      </c>
      <c r="F264" s="100">
        <f>487.169*0.12</f>
        <v>58.46</v>
      </c>
      <c r="G264" s="149">
        <f>(16205)*(1.023*1.005-2.3%*15%)*6.99+0*4.09</f>
        <v>116067</v>
      </c>
      <c r="H264" s="145">
        <f t="shared" si="93"/>
        <v>1.123</v>
      </c>
      <c r="I264" s="146">
        <f t="shared" si="94"/>
        <v>130343</v>
      </c>
      <c r="J264" s="145">
        <f>'[2]Расчет прогнозных дефляторов'!$D$75</f>
        <v>1.0429999999999999</v>
      </c>
      <c r="K264" s="146">
        <f t="shared" si="95"/>
        <v>135948</v>
      </c>
      <c r="L264" s="146">
        <f t="shared" si="96"/>
        <v>134267</v>
      </c>
      <c r="M264" s="147"/>
      <c r="N264" s="147"/>
      <c r="O264" s="147"/>
    </row>
    <row r="265" spans="1:15" s="148" customFormat="1" ht="38.25" hidden="1" outlineLevel="1" x14ac:dyDescent="0.2">
      <c r="A265" s="200"/>
      <c r="B265" s="95"/>
      <c r="C265" s="42" t="s">
        <v>978</v>
      </c>
      <c r="D265" s="42" t="s">
        <v>979</v>
      </c>
      <c r="E265" s="100" t="s">
        <v>404</v>
      </c>
      <c r="F265" s="100">
        <f>174.99</f>
        <v>174.99</v>
      </c>
      <c r="G265" s="149">
        <f>(8111)*(1.023*1.005-2.3%*15%)*6.99+0*4.09</f>
        <v>58094</v>
      </c>
      <c r="H265" s="145">
        <f t="shared" si="93"/>
        <v>1.123</v>
      </c>
      <c r="I265" s="146">
        <f t="shared" si="94"/>
        <v>65240</v>
      </c>
      <c r="J265" s="145">
        <f>'[2]Расчет прогнозных дефляторов'!$D$75</f>
        <v>1.0429999999999999</v>
      </c>
      <c r="K265" s="146">
        <f t="shared" si="95"/>
        <v>68045</v>
      </c>
      <c r="L265" s="146">
        <f t="shared" si="96"/>
        <v>67204</v>
      </c>
      <c r="M265" s="147"/>
      <c r="N265" s="147"/>
      <c r="O265" s="147"/>
    </row>
    <row r="266" spans="1:15" s="148" customFormat="1" ht="89.25" hidden="1" outlineLevel="1" x14ac:dyDescent="0.2">
      <c r="A266" s="200"/>
      <c r="B266" s="95"/>
      <c r="C266" s="42" t="s">
        <v>980</v>
      </c>
      <c r="D266" s="42" t="s">
        <v>981</v>
      </c>
      <c r="E266" s="100" t="s">
        <v>404</v>
      </c>
      <c r="F266" s="145">
        <f>392.145</f>
        <v>392.14499999999998</v>
      </c>
      <c r="G266" s="149">
        <f>(40345)*(1.023*1.005-2.3%*15%)*6.99+0*4.09</f>
        <v>288967</v>
      </c>
      <c r="H266" s="145">
        <f t="shared" si="93"/>
        <v>1.123</v>
      </c>
      <c r="I266" s="146">
        <f t="shared" si="94"/>
        <v>324510</v>
      </c>
      <c r="J266" s="145">
        <f>'[2]Расчет прогнозных дефляторов'!$D$75</f>
        <v>1.0429999999999999</v>
      </c>
      <c r="K266" s="146">
        <f t="shared" si="95"/>
        <v>338464</v>
      </c>
      <c r="L266" s="146">
        <f t="shared" si="96"/>
        <v>334278</v>
      </c>
      <c r="M266" s="147"/>
      <c r="N266" s="147"/>
      <c r="O266" s="147"/>
    </row>
    <row r="267" spans="1:15" s="148" customFormat="1" ht="38.25" hidden="1" outlineLevel="1" x14ac:dyDescent="0.2">
      <c r="A267" s="200"/>
      <c r="B267" s="95"/>
      <c r="C267" s="42" t="s">
        <v>982</v>
      </c>
      <c r="D267" s="42" t="s">
        <v>983</v>
      </c>
      <c r="E267" s="100" t="s">
        <v>404</v>
      </c>
      <c r="F267" s="145">
        <f>448.285</f>
        <v>448.28500000000003</v>
      </c>
      <c r="G267" s="149">
        <f>(24747)*(1.023*1.005-2.3%*15%)*6.99+0*4.09</f>
        <v>177248</v>
      </c>
      <c r="H267" s="145">
        <f t="shared" si="93"/>
        <v>1.123</v>
      </c>
      <c r="I267" s="146">
        <f t="shared" si="94"/>
        <v>199050</v>
      </c>
      <c r="J267" s="145">
        <f>'[2]Расчет прогнозных дефляторов'!$D$75</f>
        <v>1.0429999999999999</v>
      </c>
      <c r="K267" s="146">
        <f t="shared" si="95"/>
        <v>207609</v>
      </c>
      <c r="L267" s="146">
        <f t="shared" si="96"/>
        <v>205041</v>
      </c>
      <c r="M267" s="147"/>
      <c r="N267" s="147"/>
      <c r="O267" s="147"/>
    </row>
    <row r="268" spans="1:15" s="148" customFormat="1" ht="25.5" hidden="1" outlineLevel="1" x14ac:dyDescent="0.2">
      <c r="A268" s="200"/>
      <c r="B268" s="95"/>
      <c r="C268" s="42" t="s">
        <v>984</v>
      </c>
      <c r="D268" s="42" t="s">
        <v>985</v>
      </c>
      <c r="E268" s="100" t="s">
        <v>404</v>
      </c>
      <c r="F268" s="100">
        <f>195.32</f>
        <v>195.32</v>
      </c>
      <c r="G268" s="149">
        <f>(17598)*(1.023*1.005-2.3%*15%)*6.99+0*4.09</f>
        <v>126044</v>
      </c>
      <c r="H268" s="145">
        <f t="shared" si="93"/>
        <v>1.123</v>
      </c>
      <c r="I268" s="146">
        <f t="shared" si="94"/>
        <v>141547</v>
      </c>
      <c r="J268" s="145">
        <f>'[2]Расчет прогнозных дефляторов'!$D$75</f>
        <v>1.0429999999999999</v>
      </c>
      <c r="K268" s="146">
        <f t="shared" si="95"/>
        <v>147634</v>
      </c>
      <c r="L268" s="146">
        <f t="shared" si="96"/>
        <v>145808</v>
      </c>
      <c r="M268" s="147"/>
      <c r="N268" s="147"/>
      <c r="O268" s="147"/>
    </row>
    <row r="269" spans="1:15" s="148" customFormat="1" ht="76.5" hidden="1" outlineLevel="1" x14ac:dyDescent="0.2">
      <c r="A269" s="200"/>
      <c r="B269" s="95"/>
      <c r="C269" s="42" t="s">
        <v>986</v>
      </c>
      <c r="D269" s="42" t="s">
        <v>990</v>
      </c>
      <c r="E269" s="100" t="s">
        <v>404</v>
      </c>
      <c r="F269" s="100">
        <f>93.14</f>
        <v>93.14</v>
      </c>
      <c r="G269" s="149">
        <f>(65900)*(1.023*1.005-2.3%*15%)*6.99+0*4.09</f>
        <v>472003</v>
      </c>
      <c r="H269" s="145">
        <f t="shared" si="93"/>
        <v>1.123</v>
      </c>
      <c r="I269" s="146">
        <f t="shared" si="94"/>
        <v>530059</v>
      </c>
      <c r="J269" s="145">
        <f>'[2]Расчет прогнозных дефляторов'!$D$75</f>
        <v>1.0429999999999999</v>
      </c>
      <c r="K269" s="146">
        <f t="shared" si="95"/>
        <v>552852</v>
      </c>
      <c r="L269" s="146">
        <f t="shared" si="96"/>
        <v>546014</v>
      </c>
      <c r="M269" s="147"/>
      <c r="N269" s="147"/>
      <c r="O269" s="147"/>
    </row>
    <row r="270" spans="1:15" s="148" customFormat="1" ht="63.75" hidden="1" outlineLevel="1" x14ac:dyDescent="0.2">
      <c r="A270" s="200"/>
      <c r="B270" s="95"/>
      <c r="C270" s="42" t="s">
        <v>987</v>
      </c>
      <c r="D270" s="42" t="s">
        <v>988</v>
      </c>
      <c r="E270" s="100" t="s">
        <v>404</v>
      </c>
      <c r="F270" s="100">
        <f>171.75</f>
        <v>171.75</v>
      </c>
      <c r="G270" s="149">
        <f>(50262)*(1.023*1.005-2.3%*15%)*6.99+0*4.09</f>
        <v>359997</v>
      </c>
      <c r="H270" s="145">
        <f t="shared" si="93"/>
        <v>1.123</v>
      </c>
      <c r="I270" s="146">
        <f t="shared" si="94"/>
        <v>404277</v>
      </c>
      <c r="J270" s="145">
        <f>'[2]Расчет прогнозных дефляторов'!$D$75</f>
        <v>1.0429999999999999</v>
      </c>
      <c r="K270" s="146">
        <f t="shared" si="95"/>
        <v>421661</v>
      </c>
      <c r="L270" s="146">
        <f t="shared" si="96"/>
        <v>416446</v>
      </c>
      <c r="M270" s="147"/>
      <c r="N270" s="147"/>
      <c r="O270" s="147"/>
    </row>
    <row r="271" spans="1:15" s="148" customFormat="1" ht="15.75" hidden="1" outlineLevel="1" x14ac:dyDescent="0.2">
      <c r="A271" s="200"/>
      <c r="B271" s="95"/>
      <c r="C271" s="42"/>
      <c r="D271" s="157" t="s">
        <v>989</v>
      </c>
      <c r="E271" s="100"/>
      <c r="F271" s="168"/>
      <c r="G271" s="149"/>
      <c r="H271" s="145"/>
      <c r="I271" s="146"/>
      <c r="J271" s="145"/>
      <c r="K271" s="146"/>
      <c r="L271" s="146"/>
      <c r="M271" s="147"/>
      <c r="N271" s="147"/>
      <c r="O271" s="147"/>
    </row>
    <row r="272" spans="1:15" s="148" customFormat="1" ht="63.75" hidden="1" outlineLevel="1" x14ac:dyDescent="0.2">
      <c r="A272" s="200"/>
      <c r="B272" s="95"/>
      <c r="C272" s="42" t="s">
        <v>991</v>
      </c>
      <c r="D272" s="42" t="s">
        <v>992</v>
      </c>
      <c r="E272" s="100" t="s">
        <v>404</v>
      </c>
      <c r="F272" s="100">
        <f>706.52</f>
        <v>706.52</v>
      </c>
      <c r="G272" s="149">
        <f>(83188)*(1.023*1.005-2.3%*15%)*6.99+0*4.09</f>
        <v>595826</v>
      </c>
      <c r="H272" s="145">
        <f t="shared" ref="H272:H279" si="97">$H$772</f>
        <v>1.123</v>
      </c>
      <c r="I272" s="146">
        <f t="shared" ref="I272:I278" si="98">G272*H272</f>
        <v>669113</v>
      </c>
      <c r="J272" s="145">
        <f>'[2]Расчет прогнозных дефляторов'!$D$75</f>
        <v>1.0429999999999999</v>
      </c>
      <c r="K272" s="146">
        <f t="shared" ref="K272:K278" si="99">I272*J272</f>
        <v>697885</v>
      </c>
      <c r="L272" s="146">
        <f t="shared" ref="L272:L278" si="100">I272+(K272-I272)*(1-30/100)</f>
        <v>689253</v>
      </c>
      <c r="M272" s="147"/>
      <c r="N272" s="147"/>
      <c r="O272" s="147"/>
    </row>
    <row r="273" spans="1:15" s="148" customFormat="1" ht="25.5" hidden="1" outlineLevel="1" x14ac:dyDescent="0.2">
      <c r="A273" s="200"/>
      <c r="B273" s="95"/>
      <c r="C273" s="42" t="s">
        <v>993</v>
      </c>
      <c r="D273" s="42" t="s">
        <v>995</v>
      </c>
      <c r="E273" s="100" t="s">
        <v>404</v>
      </c>
      <c r="F273" s="168">
        <f>150.5</f>
        <v>150.5</v>
      </c>
      <c r="G273" s="149">
        <f>(381275)*(1.023*1.005-2.3%*15%)*6.99+0*4.09</f>
        <v>2730847</v>
      </c>
      <c r="H273" s="145">
        <f t="shared" si="97"/>
        <v>1.123</v>
      </c>
      <c r="I273" s="146">
        <f t="shared" si="98"/>
        <v>3066741</v>
      </c>
      <c r="J273" s="145">
        <f>'[2]Расчет прогнозных дефляторов'!$D$75</f>
        <v>1.0429999999999999</v>
      </c>
      <c r="K273" s="146">
        <f t="shared" si="99"/>
        <v>3198611</v>
      </c>
      <c r="L273" s="146">
        <f t="shared" si="100"/>
        <v>3159050</v>
      </c>
      <c r="M273" s="147" t="s">
        <v>994</v>
      </c>
      <c r="N273" s="147"/>
      <c r="O273" s="147"/>
    </row>
    <row r="274" spans="1:15" s="148" customFormat="1" ht="38.25" hidden="1" outlineLevel="1" x14ac:dyDescent="0.2">
      <c r="A274" s="200"/>
      <c r="B274" s="95"/>
      <c r="C274" s="42" t="s">
        <v>996</v>
      </c>
      <c r="D274" s="42" t="s">
        <v>997</v>
      </c>
      <c r="E274" s="100" t="s">
        <v>404</v>
      </c>
      <c r="F274" s="100">
        <f>108.05</f>
        <v>108.05</v>
      </c>
      <c r="G274" s="149">
        <f>(620646)*(1.023*1.005-2.3%*15%)*6.99+0*4.09</f>
        <v>4445320</v>
      </c>
      <c r="H274" s="145">
        <f t="shared" si="97"/>
        <v>1.123</v>
      </c>
      <c r="I274" s="146">
        <f t="shared" si="98"/>
        <v>4992094</v>
      </c>
      <c r="J274" s="145">
        <f>'[2]Расчет прогнозных дефляторов'!$D$75</f>
        <v>1.0429999999999999</v>
      </c>
      <c r="K274" s="146">
        <f t="shared" si="99"/>
        <v>5206754</v>
      </c>
      <c r="L274" s="146">
        <f t="shared" si="100"/>
        <v>5142356</v>
      </c>
      <c r="M274" s="147" t="s">
        <v>994</v>
      </c>
      <c r="N274" s="147"/>
      <c r="O274" s="147"/>
    </row>
    <row r="275" spans="1:15" s="148" customFormat="1" ht="38.25" hidden="1" outlineLevel="1" x14ac:dyDescent="0.2">
      <c r="A275" s="200"/>
      <c r="B275" s="95"/>
      <c r="C275" s="42" t="s">
        <v>998</v>
      </c>
      <c r="D275" s="42" t="s">
        <v>999</v>
      </c>
      <c r="E275" s="100" t="s">
        <v>404</v>
      </c>
      <c r="F275" s="100">
        <f>387.56</f>
        <v>387.56</v>
      </c>
      <c r="G275" s="149">
        <f>(24176)*(1.023*1.005-2.3%*15%)*6.99+0*4.09</f>
        <v>173158</v>
      </c>
      <c r="H275" s="145">
        <f t="shared" si="97"/>
        <v>1.123</v>
      </c>
      <c r="I275" s="146">
        <f t="shared" si="98"/>
        <v>194456</v>
      </c>
      <c r="J275" s="145">
        <f>'[2]Расчет прогнозных дефляторов'!$D$75</f>
        <v>1.0429999999999999</v>
      </c>
      <c r="K275" s="146">
        <f t="shared" si="99"/>
        <v>202818</v>
      </c>
      <c r="L275" s="146">
        <f t="shared" si="100"/>
        <v>200309</v>
      </c>
      <c r="M275" s="147"/>
      <c r="N275" s="147"/>
      <c r="O275" s="147"/>
    </row>
    <row r="276" spans="1:15" s="148" customFormat="1" ht="38.25" hidden="1" outlineLevel="1" x14ac:dyDescent="0.2">
      <c r="A276" s="200"/>
      <c r="B276" s="95"/>
      <c r="C276" s="42" t="s">
        <v>1001</v>
      </c>
      <c r="D276" s="42" t="s">
        <v>1000</v>
      </c>
      <c r="E276" s="100" t="s">
        <v>404</v>
      </c>
      <c r="F276" s="100">
        <f>102.03</f>
        <v>102.03</v>
      </c>
      <c r="G276" s="149">
        <f>(154002)*(1.023*1.005-2.3%*15%)*6.99+0*4.09</f>
        <v>1103025</v>
      </c>
      <c r="H276" s="145">
        <f t="shared" si="97"/>
        <v>1.123</v>
      </c>
      <c r="I276" s="146">
        <f t="shared" si="98"/>
        <v>1238697</v>
      </c>
      <c r="J276" s="145">
        <f>'[2]Расчет прогнозных дефляторов'!$D$75</f>
        <v>1.0429999999999999</v>
      </c>
      <c r="K276" s="146">
        <f t="shared" si="99"/>
        <v>1291961</v>
      </c>
      <c r="L276" s="146">
        <f t="shared" si="100"/>
        <v>1275982</v>
      </c>
      <c r="M276" s="147"/>
      <c r="N276" s="147"/>
      <c r="O276" s="147"/>
    </row>
    <row r="277" spans="1:15" s="148" customFormat="1" ht="38.25" hidden="1" outlineLevel="1" x14ac:dyDescent="0.2">
      <c r="A277" s="200"/>
      <c r="B277" s="95"/>
      <c r="C277" s="42" t="s">
        <v>1003</v>
      </c>
      <c r="D277" s="42" t="s">
        <v>1002</v>
      </c>
      <c r="E277" s="100" t="s">
        <v>404</v>
      </c>
      <c r="F277" s="100">
        <f>145.22</f>
        <v>145.22</v>
      </c>
      <c r="G277" s="149">
        <f>(65316)*(1.023*1.005-2.3%*15%)*6.99+0*4.09</f>
        <v>467820</v>
      </c>
      <c r="H277" s="145">
        <f t="shared" si="97"/>
        <v>1.123</v>
      </c>
      <c r="I277" s="146">
        <f t="shared" si="98"/>
        <v>525362</v>
      </c>
      <c r="J277" s="145">
        <f>'[2]Расчет прогнозных дефляторов'!$D$75</f>
        <v>1.0429999999999999</v>
      </c>
      <c r="K277" s="146">
        <f t="shared" si="99"/>
        <v>547953</v>
      </c>
      <c r="L277" s="146">
        <f t="shared" si="100"/>
        <v>541176</v>
      </c>
      <c r="M277" s="147"/>
      <c r="N277" s="147"/>
      <c r="O277" s="147"/>
    </row>
    <row r="278" spans="1:15" s="148" customFormat="1" ht="25.5" hidden="1" outlineLevel="1" x14ac:dyDescent="0.2">
      <c r="A278" s="200"/>
      <c r="B278" s="95"/>
      <c r="C278" s="42" t="s">
        <v>1004</v>
      </c>
      <c r="D278" s="42" t="s">
        <v>1005</v>
      </c>
      <c r="E278" s="100" t="s">
        <v>404</v>
      </c>
      <c r="F278" s="100">
        <f>371.74</f>
        <v>371.74</v>
      </c>
      <c r="G278" s="149">
        <f>(36491)*(1.023*1.005-2.3%*15%)*6.99+0*4.09-3</f>
        <v>261360</v>
      </c>
      <c r="H278" s="145">
        <f t="shared" si="97"/>
        <v>1.123</v>
      </c>
      <c r="I278" s="146">
        <f t="shared" si="98"/>
        <v>293507</v>
      </c>
      <c r="J278" s="145">
        <f>'[2]Расчет прогнозных дефляторов'!$D$75</f>
        <v>1.0429999999999999</v>
      </c>
      <c r="K278" s="146">
        <f t="shared" si="99"/>
        <v>306128</v>
      </c>
      <c r="L278" s="146">
        <f t="shared" si="100"/>
        <v>302342</v>
      </c>
      <c r="M278" s="147"/>
      <c r="N278" s="147"/>
      <c r="O278" s="147"/>
    </row>
    <row r="279" spans="1:15" s="243" customFormat="1" ht="15.75" collapsed="1" x14ac:dyDescent="0.2">
      <c r="B279" s="244"/>
      <c r="C279" s="245" t="s">
        <v>164</v>
      </c>
      <c r="D279" s="245" t="s">
        <v>1776</v>
      </c>
      <c r="E279" s="246" t="s">
        <v>292</v>
      </c>
      <c r="F279" s="247">
        <v>1</v>
      </c>
      <c r="G279" s="247">
        <f>SUM(G280:G302)</f>
        <v>72287036</v>
      </c>
      <c r="H279" s="248">
        <f t="shared" si="97"/>
        <v>1.123</v>
      </c>
      <c r="I279" s="247">
        <f>SUM(I280:I302)</f>
        <v>81178343</v>
      </c>
      <c r="J279" s="248">
        <f>'[2]Расчет прогнозных дефляторов'!$D$75</f>
        <v>1.0429999999999999</v>
      </c>
      <c r="K279" s="247">
        <f>SUM(K280:K302)</f>
        <v>84669012</v>
      </c>
      <c r="L279" s="247">
        <f>SUM(L280:L302)</f>
        <v>83621813</v>
      </c>
      <c r="M279" s="269"/>
      <c r="N279" s="269"/>
      <c r="O279" s="269"/>
    </row>
    <row r="280" spans="1:15" s="148" customFormat="1" ht="15.75" hidden="1" outlineLevel="1" x14ac:dyDescent="0.2">
      <c r="A280" s="200"/>
      <c r="B280" s="95"/>
      <c r="C280" s="42"/>
      <c r="D280" s="157" t="s">
        <v>367</v>
      </c>
      <c r="E280" s="100"/>
      <c r="F280" s="100"/>
      <c r="G280" s="149"/>
      <c r="H280" s="145"/>
      <c r="I280" s="146"/>
      <c r="J280" s="145"/>
      <c r="K280" s="146"/>
      <c r="L280" s="146"/>
      <c r="M280" s="147"/>
      <c r="N280" s="147"/>
      <c r="O280" s="147"/>
    </row>
    <row r="281" spans="1:15" s="148" customFormat="1" ht="25.5" hidden="1" outlineLevel="1" x14ac:dyDescent="0.2">
      <c r="A281" s="200"/>
      <c r="B281" s="95"/>
      <c r="C281" s="42" t="s">
        <v>1047</v>
      </c>
      <c r="D281" s="42" t="s">
        <v>356</v>
      </c>
      <c r="E281" s="100" t="s">
        <v>300</v>
      </c>
      <c r="F281" s="100">
        <f>4472.5</f>
        <v>4472.5</v>
      </c>
      <c r="G281" s="149">
        <f>(891857)*(1.023*1.005-2.3%*15%)*6.99+0*4.09-28</f>
        <v>6387816</v>
      </c>
      <c r="H281" s="145">
        <f t="shared" ref="H281:H288" si="101">$H$772</f>
        <v>1.123</v>
      </c>
      <c r="I281" s="146">
        <f t="shared" ref="I281:I288" si="102">G281*H281</f>
        <v>7173517</v>
      </c>
      <c r="J281" s="145">
        <f>'[2]Расчет прогнозных дефляторов'!$D$75</f>
        <v>1.0429999999999999</v>
      </c>
      <c r="K281" s="146">
        <f t="shared" ref="K281:K288" si="103">I281*J281</f>
        <v>7481978</v>
      </c>
      <c r="L281" s="146">
        <f t="shared" ref="L281:L288" si="104">I281+(K281-I281)*(1-30/100)</f>
        <v>7389440</v>
      </c>
      <c r="M281" s="147"/>
      <c r="N281" s="147"/>
      <c r="O281" s="147"/>
    </row>
    <row r="282" spans="1:15" s="148" customFormat="1" ht="15.75" hidden="1" outlineLevel="1" x14ac:dyDescent="0.2">
      <c r="A282" s="200"/>
      <c r="B282" s="95"/>
      <c r="C282" s="42" t="s">
        <v>1053</v>
      </c>
      <c r="D282" s="42" t="s">
        <v>1048</v>
      </c>
      <c r="E282" s="100" t="s">
        <v>300</v>
      </c>
      <c r="F282" s="100">
        <f>3261.5</f>
        <v>3261.5</v>
      </c>
      <c r="G282" s="149">
        <f>(41760)*(1.023*1.005-2.3%*15%)*6.99+0*4.09</f>
        <v>299102</v>
      </c>
      <c r="H282" s="145">
        <f t="shared" si="101"/>
        <v>1.123</v>
      </c>
      <c r="I282" s="146">
        <f t="shared" si="102"/>
        <v>335892</v>
      </c>
      <c r="J282" s="145">
        <f>'[2]Расчет прогнозных дефляторов'!$D$75</f>
        <v>1.0429999999999999</v>
      </c>
      <c r="K282" s="146">
        <f t="shared" si="103"/>
        <v>350335</v>
      </c>
      <c r="L282" s="146">
        <f t="shared" si="104"/>
        <v>346002</v>
      </c>
      <c r="M282" s="147"/>
      <c r="N282" s="147"/>
      <c r="O282" s="147"/>
    </row>
    <row r="283" spans="1:15" s="148" customFormat="1" ht="25.5" hidden="1" outlineLevel="1" x14ac:dyDescent="0.2">
      <c r="A283" s="200"/>
      <c r="B283" s="95"/>
      <c r="C283" s="42" t="s">
        <v>1054</v>
      </c>
      <c r="D283" s="42" t="s">
        <v>1049</v>
      </c>
      <c r="E283" s="100" t="s">
        <v>300</v>
      </c>
      <c r="F283" s="100">
        <f>1211</f>
        <v>1211</v>
      </c>
      <c r="G283" s="149">
        <f>(52707)*(1.023*1.005-2.3%*15%)*6.99+0*4.09</f>
        <v>377509</v>
      </c>
      <c r="H283" s="145">
        <f t="shared" si="101"/>
        <v>1.123</v>
      </c>
      <c r="I283" s="146">
        <f t="shared" si="102"/>
        <v>423943</v>
      </c>
      <c r="J283" s="145">
        <f>'[2]Расчет прогнозных дефляторов'!$D$75</f>
        <v>1.0429999999999999</v>
      </c>
      <c r="K283" s="146">
        <f t="shared" si="103"/>
        <v>442173</v>
      </c>
      <c r="L283" s="146">
        <f t="shared" si="104"/>
        <v>436704</v>
      </c>
      <c r="M283" s="147" t="s">
        <v>1050</v>
      </c>
      <c r="N283" s="147"/>
      <c r="O283" s="147"/>
    </row>
    <row r="284" spans="1:15" s="148" customFormat="1" ht="25.5" hidden="1" outlineLevel="1" x14ac:dyDescent="0.2">
      <c r="A284" s="200"/>
      <c r="B284" s="95"/>
      <c r="C284" s="42" t="s">
        <v>1055</v>
      </c>
      <c r="D284" s="42" t="s">
        <v>1052</v>
      </c>
      <c r="E284" s="100" t="s">
        <v>300</v>
      </c>
      <c r="F284" s="100">
        <f>3261.5</f>
        <v>3261.5</v>
      </c>
      <c r="G284" s="149">
        <f>(53926)*(1.023*1.005-2.3%*15%)*6.99+0*4.09</f>
        <v>386240</v>
      </c>
      <c r="H284" s="145">
        <f t="shared" si="101"/>
        <v>1.123</v>
      </c>
      <c r="I284" s="146">
        <f t="shared" si="102"/>
        <v>433748</v>
      </c>
      <c r="J284" s="145">
        <f>'[2]Расчет прогнозных дефляторов'!$D$75</f>
        <v>1.0429999999999999</v>
      </c>
      <c r="K284" s="146">
        <f t="shared" si="103"/>
        <v>452399</v>
      </c>
      <c r="L284" s="146">
        <f t="shared" si="104"/>
        <v>446804</v>
      </c>
      <c r="M284" s="147"/>
      <c r="N284" s="147"/>
      <c r="O284" s="147"/>
    </row>
    <row r="285" spans="1:15" s="148" customFormat="1" ht="15.75" hidden="1" outlineLevel="1" x14ac:dyDescent="0.2">
      <c r="A285" s="200"/>
      <c r="B285" s="95"/>
      <c r="C285" s="42" t="s">
        <v>1057</v>
      </c>
      <c r="D285" s="42" t="s">
        <v>1056</v>
      </c>
      <c r="E285" s="100" t="s">
        <v>300</v>
      </c>
      <c r="F285" s="100">
        <f>860.9</f>
        <v>860.9</v>
      </c>
      <c r="G285" s="149">
        <f>(1232562)*(1.023*1.005-2.3%*15%)*6.99+0*4.09</f>
        <v>8828112</v>
      </c>
      <c r="H285" s="145">
        <f t="shared" si="101"/>
        <v>1.123</v>
      </c>
      <c r="I285" s="146">
        <f t="shared" si="102"/>
        <v>9913970</v>
      </c>
      <c r="J285" s="145">
        <f>'[2]Расчет прогнозных дефляторов'!$D$75</f>
        <v>1.0429999999999999</v>
      </c>
      <c r="K285" s="146">
        <f t="shared" si="103"/>
        <v>10340271</v>
      </c>
      <c r="L285" s="146">
        <f t="shared" si="104"/>
        <v>10212381</v>
      </c>
      <c r="M285" s="147" t="s">
        <v>1058</v>
      </c>
      <c r="N285" s="147"/>
      <c r="O285" s="147"/>
    </row>
    <row r="286" spans="1:15" s="148" customFormat="1" ht="15.75" hidden="1" outlineLevel="1" x14ac:dyDescent="0.2">
      <c r="A286" s="200"/>
      <c r="B286" s="95"/>
      <c r="C286" s="42" t="s">
        <v>1060</v>
      </c>
      <c r="D286" s="42" t="s">
        <v>1059</v>
      </c>
      <c r="E286" s="100" t="s">
        <v>300</v>
      </c>
      <c r="F286" s="100">
        <v>378</v>
      </c>
      <c r="G286" s="149">
        <f>(939689)*(1.023*1.005-2.3%*15%)*6.99+0*4.09</f>
        <v>6730436</v>
      </c>
      <c r="H286" s="145">
        <f t="shared" si="101"/>
        <v>1.123</v>
      </c>
      <c r="I286" s="146">
        <f t="shared" si="102"/>
        <v>7558280</v>
      </c>
      <c r="J286" s="145">
        <f>'[2]Расчет прогнозных дефляторов'!$D$75</f>
        <v>1.0429999999999999</v>
      </c>
      <c r="K286" s="146">
        <f t="shared" si="103"/>
        <v>7883286</v>
      </c>
      <c r="L286" s="146">
        <f t="shared" si="104"/>
        <v>7785784</v>
      </c>
      <c r="M286" s="147" t="s">
        <v>1061</v>
      </c>
      <c r="N286" s="147"/>
      <c r="O286" s="147"/>
    </row>
    <row r="287" spans="1:15" s="148" customFormat="1" ht="15.75" hidden="1" outlineLevel="1" x14ac:dyDescent="0.2">
      <c r="A287" s="200"/>
      <c r="B287" s="95"/>
      <c r="C287" s="42" t="s">
        <v>1063</v>
      </c>
      <c r="D287" s="42" t="s">
        <v>1062</v>
      </c>
      <c r="E287" s="100" t="s">
        <v>300</v>
      </c>
      <c r="F287" s="100">
        <f>175.7</f>
        <v>175.7</v>
      </c>
      <c r="G287" s="149">
        <f>(433264)*(1.023*1.005-2.3%*15%)*6.99+0*4.09</f>
        <v>3103214</v>
      </c>
      <c r="H287" s="145">
        <f t="shared" si="101"/>
        <v>1.123</v>
      </c>
      <c r="I287" s="146">
        <f t="shared" si="102"/>
        <v>3484909</v>
      </c>
      <c r="J287" s="145">
        <f>'[2]Расчет прогнозных дефляторов'!$D$75</f>
        <v>1.0429999999999999</v>
      </c>
      <c r="K287" s="146">
        <f t="shared" si="103"/>
        <v>3634760</v>
      </c>
      <c r="L287" s="146">
        <f t="shared" si="104"/>
        <v>3589805</v>
      </c>
      <c r="M287" s="147" t="s">
        <v>1064</v>
      </c>
      <c r="N287" s="147"/>
      <c r="O287" s="147"/>
    </row>
    <row r="288" spans="1:15" s="148" customFormat="1" ht="15.75" hidden="1" outlineLevel="1" x14ac:dyDescent="0.2">
      <c r="A288" s="200"/>
      <c r="B288" s="95"/>
      <c r="C288" s="42" t="s">
        <v>1066</v>
      </c>
      <c r="D288" s="42" t="s">
        <v>1065</v>
      </c>
      <c r="E288" s="100" t="s">
        <v>300</v>
      </c>
      <c r="F288" s="100">
        <f>165.6</f>
        <v>165.6</v>
      </c>
      <c r="G288" s="149">
        <f>(406848)*(1.023*1.005-2.3%*15%)*6.99+0*4.09</f>
        <v>2914012</v>
      </c>
      <c r="H288" s="145">
        <f t="shared" si="101"/>
        <v>1.123</v>
      </c>
      <c r="I288" s="146">
        <f t="shared" si="102"/>
        <v>3272435</v>
      </c>
      <c r="J288" s="145">
        <f>'[2]Расчет прогнозных дефляторов'!$D$75</f>
        <v>1.0429999999999999</v>
      </c>
      <c r="K288" s="146">
        <f t="shared" si="103"/>
        <v>3413150</v>
      </c>
      <c r="L288" s="146">
        <f t="shared" si="104"/>
        <v>3370936</v>
      </c>
      <c r="M288" s="147" t="s">
        <v>1067</v>
      </c>
      <c r="N288" s="147"/>
      <c r="O288" s="147"/>
    </row>
    <row r="289" spans="1:15" s="148" customFormat="1" ht="15.75" hidden="1" outlineLevel="1" x14ac:dyDescent="0.2">
      <c r="A289" s="200"/>
      <c r="B289" s="95"/>
      <c r="C289" s="42"/>
      <c r="D289" s="157" t="s">
        <v>1068</v>
      </c>
      <c r="E289" s="100"/>
      <c r="F289" s="100"/>
      <c r="G289" s="149"/>
      <c r="H289" s="145"/>
      <c r="I289" s="146"/>
      <c r="J289" s="145"/>
      <c r="K289" s="146"/>
      <c r="L289" s="146"/>
      <c r="M289" s="147"/>
      <c r="N289" s="147"/>
      <c r="O289" s="147"/>
    </row>
    <row r="290" spans="1:15" s="148" customFormat="1" ht="15.75" hidden="1" outlineLevel="1" x14ac:dyDescent="0.2">
      <c r="A290" s="200"/>
      <c r="B290" s="95"/>
      <c r="C290" s="42" t="s">
        <v>1070</v>
      </c>
      <c r="D290" s="42" t="s">
        <v>1069</v>
      </c>
      <c r="E290" s="100" t="s">
        <v>300</v>
      </c>
      <c r="F290" s="100">
        <v>605</v>
      </c>
      <c r="G290" s="149">
        <f>(1249894)*(1.023*1.005-2.3%*15%)*6.99+0*4.09</f>
        <v>8952251</v>
      </c>
      <c r="H290" s="145">
        <f>$H$772</f>
        <v>1.123</v>
      </c>
      <c r="I290" s="146">
        <f t="shared" ref="I290:I293" si="105">G290*H290</f>
        <v>10053378</v>
      </c>
      <c r="J290" s="145">
        <f>'[2]Расчет прогнозных дефляторов'!$D$75</f>
        <v>1.0429999999999999</v>
      </c>
      <c r="K290" s="146">
        <f t="shared" ref="K290:K293" si="106">I290*J290</f>
        <v>10485673</v>
      </c>
      <c r="L290" s="146">
        <f t="shared" ref="L290:L293" si="107">I290+(K290-I290)*(1-30/100)</f>
        <v>10355985</v>
      </c>
      <c r="M290" s="147"/>
      <c r="N290" s="147"/>
      <c r="O290" s="147"/>
    </row>
    <row r="291" spans="1:15" s="148" customFormat="1" ht="15.75" hidden="1" outlineLevel="1" x14ac:dyDescent="0.2">
      <c r="A291" s="200"/>
      <c r="B291" s="95"/>
      <c r="C291" s="42" t="s">
        <v>1072</v>
      </c>
      <c r="D291" s="42" t="s">
        <v>1071</v>
      </c>
      <c r="E291" s="100" t="s">
        <v>300</v>
      </c>
      <c r="F291" s="100">
        <f>480.7+623</f>
        <v>1103.7</v>
      </c>
      <c r="G291" s="149">
        <f>(3058478)*(1.023*1.005-2.3%*15%)*6.99+0*4.09</f>
        <v>21906068</v>
      </c>
      <c r="H291" s="145">
        <f>$H$772</f>
        <v>1.123</v>
      </c>
      <c r="I291" s="146">
        <f t="shared" si="105"/>
        <v>24600514</v>
      </c>
      <c r="J291" s="145">
        <f>'[2]Расчет прогнозных дефляторов'!$D$75</f>
        <v>1.0429999999999999</v>
      </c>
      <c r="K291" s="146">
        <f t="shared" si="106"/>
        <v>25658336</v>
      </c>
      <c r="L291" s="146">
        <f t="shared" si="107"/>
        <v>25340989</v>
      </c>
      <c r="M291" s="147"/>
      <c r="N291" s="147"/>
      <c r="O291" s="147"/>
    </row>
    <row r="292" spans="1:15" s="148" customFormat="1" ht="15.75" hidden="1" outlineLevel="1" x14ac:dyDescent="0.2">
      <c r="A292" s="200"/>
      <c r="B292" s="95"/>
      <c r="C292" s="42" t="s">
        <v>1073</v>
      </c>
      <c r="D292" s="42" t="s">
        <v>1074</v>
      </c>
      <c r="E292" s="100" t="s">
        <v>300</v>
      </c>
      <c r="F292" s="100">
        <v>15</v>
      </c>
      <c r="G292" s="149">
        <f>(33483)*(1.023*1.005-2.3%*15%)*6.99+0*4.09</f>
        <v>239819</v>
      </c>
      <c r="H292" s="145">
        <f>$H$772</f>
        <v>1.123</v>
      </c>
      <c r="I292" s="146">
        <f t="shared" si="105"/>
        <v>269317</v>
      </c>
      <c r="J292" s="145">
        <f>'[2]Расчет прогнозных дефляторов'!$D$75</f>
        <v>1.0429999999999999</v>
      </c>
      <c r="K292" s="146">
        <f t="shared" si="106"/>
        <v>280898</v>
      </c>
      <c r="L292" s="146">
        <f t="shared" si="107"/>
        <v>277424</v>
      </c>
      <c r="M292" s="147"/>
      <c r="N292" s="147"/>
      <c r="O292" s="147"/>
    </row>
    <row r="293" spans="1:15" s="148" customFormat="1" ht="25.5" hidden="1" outlineLevel="1" x14ac:dyDescent="0.2">
      <c r="A293" s="200"/>
      <c r="B293" s="95"/>
      <c r="C293" s="42" t="s">
        <v>1075</v>
      </c>
      <c r="D293" s="42" t="s">
        <v>1019</v>
      </c>
      <c r="E293" s="100" t="s">
        <v>292</v>
      </c>
      <c r="F293" s="100">
        <v>1</v>
      </c>
      <c r="G293" s="149">
        <f>(97099)*(1.023*1.005-2.3%*15%)*6.99+0*4.09</f>
        <v>695463</v>
      </c>
      <c r="H293" s="145">
        <f>$H$772</f>
        <v>1.123</v>
      </c>
      <c r="I293" s="146">
        <f t="shared" si="105"/>
        <v>781005</v>
      </c>
      <c r="J293" s="145">
        <f>'[2]Расчет прогнозных дефляторов'!$D$75</f>
        <v>1.0429999999999999</v>
      </c>
      <c r="K293" s="146">
        <f t="shared" si="106"/>
        <v>814588</v>
      </c>
      <c r="L293" s="146">
        <f t="shared" si="107"/>
        <v>804513</v>
      </c>
      <c r="M293" s="147"/>
      <c r="N293" s="147"/>
      <c r="O293" s="147"/>
    </row>
    <row r="294" spans="1:15" s="148" customFormat="1" ht="15.75" hidden="1" outlineLevel="1" x14ac:dyDescent="0.2">
      <c r="A294" s="200"/>
      <c r="B294" s="95"/>
      <c r="C294" s="42"/>
      <c r="D294" s="157" t="s">
        <v>1026</v>
      </c>
      <c r="E294" s="100"/>
      <c r="F294" s="100"/>
      <c r="G294" s="149"/>
      <c r="H294" s="145"/>
      <c r="I294" s="146"/>
      <c r="J294" s="145"/>
      <c r="K294" s="146"/>
      <c r="L294" s="146"/>
      <c r="M294" s="147"/>
      <c r="N294" s="147"/>
      <c r="O294" s="147"/>
    </row>
    <row r="295" spans="1:15" s="148" customFormat="1" ht="15.75" hidden="1" outlineLevel="1" x14ac:dyDescent="0.2">
      <c r="A295" s="200"/>
      <c r="B295" s="95"/>
      <c r="C295" s="42" t="s">
        <v>1077</v>
      </c>
      <c r="D295" s="42" t="s">
        <v>1076</v>
      </c>
      <c r="E295" s="100" t="s">
        <v>637</v>
      </c>
      <c r="F295" s="100">
        <v>70.47</v>
      </c>
      <c r="G295" s="149">
        <f>(632505)*(1.023*1.005-2.3%*15%)*6.99+0*4.09</f>
        <v>4530259</v>
      </c>
      <c r="H295" s="145">
        <f>$H$772</f>
        <v>1.123</v>
      </c>
      <c r="I295" s="146">
        <f t="shared" ref="I295" si="108">G295*H295</f>
        <v>5087481</v>
      </c>
      <c r="J295" s="145">
        <f>'[2]Расчет прогнозных дефляторов'!$D$75</f>
        <v>1.0429999999999999</v>
      </c>
      <c r="K295" s="146">
        <f t="shared" ref="K295" si="109">I295*J295</f>
        <v>5306243</v>
      </c>
      <c r="L295" s="146">
        <f t="shared" ref="L295" si="110">I295+(K295-I295)*(1-30/100)</f>
        <v>5240614</v>
      </c>
      <c r="M295" s="147"/>
      <c r="N295" s="147"/>
      <c r="O295" s="147"/>
    </row>
    <row r="296" spans="1:15" s="148" customFormat="1" ht="15.75" hidden="1" outlineLevel="1" x14ac:dyDescent="0.2">
      <c r="A296" s="200"/>
      <c r="B296" s="95"/>
      <c r="C296" s="42"/>
      <c r="D296" s="157" t="s">
        <v>1078</v>
      </c>
      <c r="E296" s="100"/>
      <c r="F296" s="100"/>
      <c r="G296" s="149"/>
      <c r="H296" s="145"/>
      <c r="I296" s="146"/>
      <c r="J296" s="145"/>
      <c r="K296" s="146"/>
      <c r="L296" s="146"/>
      <c r="M296" s="147"/>
      <c r="N296" s="147"/>
      <c r="O296" s="147"/>
    </row>
    <row r="297" spans="1:15" s="148" customFormat="1" ht="15.75" hidden="1" outlineLevel="1" x14ac:dyDescent="0.2">
      <c r="A297" s="200"/>
      <c r="B297" s="95"/>
      <c r="C297" s="42" t="s">
        <v>1080</v>
      </c>
      <c r="D297" s="42" t="s">
        <v>1079</v>
      </c>
      <c r="E297" s="100" t="s">
        <v>637</v>
      </c>
      <c r="F297" s="145">
        <f>7.149+0.678</f>
        <v>7.827</v>
      </c>
      <c r="G297" s="149">
        <f>(70535)*(1.023*1.005-2.3%*15%)*6.99+0*4.09</f>
        <v>505200</v>
      </c>
      <c r="H297" s="145">
        <f t="shared" ref="H297:H309" si="111">$H$772</f>
        <v>1.123</v>
      </c>
      <c r="I297" s="146">
        <f t="shared" ref="I297:I302" si="112">G297*H297</f>
        <v>567340</v>
      </c>
      <c r="J297" s="145">
        <f>'[2]Расчет прогнозных дефляторов'!$D$75</f>
        <v>1.0429999999999999</v>
      </c>
      <c r="K297" s="146">
        <f t="shared" ref="K297:K302" si="113">I297*J297</f>
        <v>591736</v>
      </c>
      <c r="L297" s="146">
        <f t="shared" ref="L297:L302" si="114">I297+(K297-I297)*(1-30/100)</f>
        <v>584417</v>
      </c>
      <c r="M297" s="147"/>
      <c r="N297" s="147"/>
      <c r="O297" s="147"/>
    </row>
    <row r="298" spans="1:15" s="148" customFormat="1" ht="15.75" hidden="1" outlineLevel="1" x14ac:dyDescent="0.2">
      <c r="A298" s="200"/>
      <c r="B298" s="95"/>
      <c r="C298" s="42" t="s">
        <v>1082</v>
      </c>
      <c r="D298" s="42" t="s">
        <v>1081</v>
      </c>
      <c r="E298" s="100" t="s">
        <v>637</v>
      </c>
      <c r="F298" s="100">
        <v>2.1</v>
      </c>
      <c r="G298" s="149">
        <f>(25909)*(1.023*1.005-2.3%*15%)*6.99+0*4.09</f>
        <v>185571</v>
      </c>
      <c r="H298" s="145">
        <f t="shared" si="111"/>
        <v>1.123</v>
      </c>
      <c r="I298" s="146">
        <f t="shared" si="112"/>
        <v>208396</v>
      </c>
      <c r="J298" s="145">
        <f>'[2]Расчет прогнозных дефляторов'!$D$75</f>
        <v>1.0429999999999999</v>
      </c>
      <c r="K298" s="146">
        <f t="shared" si="113"/>
        <v>217357</v>
      </c>
      <c r="L298" s="146">
        <f t="shared" si="114"/>
        <v>214669</v>
      </c>
      <c r="M298" s="147"/>
      <c r="N298" s="147"/>
      <c r="O298" s="147"/>
    </row>
    <row r="299" spans="1:15" s="148" customFormat="1" ht="15.75" hidden="1" outlineLevel="1" x14ac:dyDescent="0.2">
      <c r="A299" s="200"/>
      <c r="B299" s="95"/>
      <c r="C299" s="42" t="s">
        <v>1084</v>
      </c>
      <c r="D299" s="42" t="s">
        <v>1083</v>
      </c>
      <c r="E299" s="100" t="s">
        <v>637</v>
      </c>
      <c r="F299" s="145">
        <f>65.191</f>
        <v>65.191000000000003</v>
      </c>
      <c r="G299" s="149">
        <f>(632831)*(1.023*1.005-2.3%*15%)*6.99+0*4.09</f>
        <v>4532594</v>
      </c>
      <c r="H299" s="145">
        <f t="shared" si="111"/>
        <v>1.123</v>
      </c>
      <c r="I299" s="146">
        <f t="shared" si="112"/>
        <v>5090103</v>
      </c>
      <c r="J299" s="145">
        <f>'[2]Расчет прогнозных дефляторов'!$D$75</f>
        <v>1.0429999999999999</v>
      </c>
      <c r="K299" s="146">
        <f t="shared" si="113"/>
        <v>5308977</v>
      </c>
      <c r="L299" s="146">
        <f t="shared" si="114"/>
        <v>5243315</v>
      </c>
      <c r="M299" s="147"/>
      <c r="N299" s="147"/>
      <c r="O299" s="147"/>
    </row>
    <row r="300" spans="1:15" s="148" customFormat="1" ht="15.75" hidden="1" outlineLevel="1" x14ac:dyDescent="0.2">
      <c r="A300" s="200"/>
      <c r="B300" s="95"/>
      <c r="C300" s="42" t="s">
        <v>1086</v>
      </c>
      <c r="D300" s="42" t="s">
        <v>1085</v>
      </c>
      <c r="E300" s="100" t="s">
        <v>637</v>
      </c>
      <c r="F300" s="145">
        <f>21.534</f>
        <v>21.533999999999999</v>
      </c>
      <c r="G300" s="149">
        <f>(193888)*(1.023*1.005-2.3%*15%)*6.99+0*4.09</f>
        <v>1388705</v>
      </c>
      <c r="H300" s="145">
        <f t="shared" si="111"/>
        <v>1.123</v>
      </c>
      <c r="I300" s="146">
        <f t="shared" si="112"/>
        <v>1559516</v>
      </c>
      <c r="J300" s="145">
        <f>'[2]Расчет прогнозных дефляторов'!$D$75</f>
        <v>1.0429999999999999</v>
      </c>
      <c r="K300" s="146">
        <f t="shared" si="113"/>
        <v>1626575</v>
      </c>
      <c r="L300" s="146">
        <f t="shared" si="114"/>
        <v>1606457</v>
      </c>
      <c r="M300" s="147"/>
      <c r="N300" s="147"/>
      <c r="O300" s="147"/>
    </row>
    <row r="301" spans="1:15" s="148" customFormat="1" ht="15.75" hidden="1" outlineLevel="1" x14ac:dyDescent="0.2">
      <c r="A301" s="200"/>
      <c r="B301" s="95"/>
      <c r="C301" s="42" t="s">
        <v>1088</v>
      </c>
      <c r="D301" s="42" t="s">
        <v>1087</v>
      </c>
      <c r="E301" s="100" t="s">
        <v>637</v>
      </c>
      <c r="F301" s="145">
        <f>2.929</f>
        <v>2.9289999999999998</v>
      </c>
      <c r="G301" s="149">
        <f>(26372)*(1.023*1.005-2.3%*15%)*6.99+0*4.09</f>
        <v>188887</v>
      </c>
      <c r="H301" s="145">
        <f t="shared" si="111"/>
        <v>1.123</v>
      </c>
      <c r="I301" s="146">
        <f t="shared" si="112"/>
        <v>212120</v>
      </c>
      <c r="J301" s="145">
        <f>'[2]Расчет прогнозных дефляторов'!$D$75</f>
        <v>1.0429999999999999</v>
      </c>
      <c r="K301" s="146">
        <f t="shared" si="113"/>
        <v>221241</v>
      </c>
      <c r="L301" s="146">
        <f t="shared" si="114"/>
        <v>218505</v>
      </c>
      <c r="M301" s="147"/>
      <c r="N301" s="147"/>
      <c r="O301" s="147"/>
    </row>
    <row r="302" spans="1:15" s="148" customFormat="1" ht="15.75" hidden="1" outlineLevel="1" x14ac:dyDescent="0.2">
      <c r="A302" s="200"/>
      <c r="B302" s="95"/>
      <c r="C302" s="42" t="s">
        <v>1090</v>
      </c>
      <c r="D302" s="42" t="s">
        <v>1089</v>
      </c>
      <c r="E302" s="100" t="s">
        <v>404</v>
      </c>
      <c r="F302" s="149">
        <f>136</f>
        <v>136</v>
      </c>
      <c r="G302" s="149">
        <f>(18957)*(1.023*1.005-2.3%*15%)*6.99+0*4.09</f>
        <v>135778</v>
      </c>
      <c r="H302" s="145">
        <f t="shared" si="111"/>
        <v>1.123</v>
      </c>
      <c r="I302" s="146">
        <f t="shared" si="112"/>
        <v>152479</v>
      </c>
      <c r="J302" s="145">
        <f>'[2]Расчет прогнозных дефляторов'!$D$75</f>
        <v>1.0429999999999999</v>
      </c>
      <c r="K302" s="146">
        <f t="shared" si="113"/>
        <v>159036</v>
      </c>
      <c r="L302" s="146">
        <f t="shared" si="114"/>
        <v>157069</v>
      </c>
      <c r="M302" s="147"/>
      <c r="N302" s="147"/>
      <c r="O302" s="147"/>
    </row>
    <row r="303" spans="1:15" s="243" customFormat="1" ht="15.75" collapsed="1" x14ac:dyDescent="0.2">
      <c r="B303" s="244"/>
      <c r="C303" s="245" t="s">
        <v>166</v>
      </c>
      <c r="D303" s="245" t="s">
        <v>599</v>
      </c>
      <c r="E303" s="246" t="s">
        <v>292</v>
      </c>
      <c r="F303" s="247">
        <v>1</v>
      </c>
      <c r="G303" s="247">
        <f>SUM(G304:G308)</f>
        <v>2441220</v>
      </c>
      <c r="H303" s="248">
        <f t="shared" si="111"/>
        <v>1.123</v>
      </c>
      <c r="I303" s="247">
        <f>SUM(I304:I308)</f>
        <v>2741489</v>
      </c>
      <c r="J303" s="248">
        <f>'[2]Расчет прогнозных дефляторов'!$D$75</f>
        <v>1.0429999999999999</v>
      </c>
      <c r="K303" s="247">
        <f>SUM(K304:K308)</f>
        <v>2859373</v>
      </c>
      <c r="L303" s="247">
        <f>SUM(L304:L308)</f>
        <v>2824008</v>
      </c>
      <c r="M303" s="269"/>
      <c r="N303" s="269"/>
      <c r="O303" s="269"/>
    </row>
    <row r="304" spans="1:15" s="148" customFormat="1" ht="15.75" hidden="1" outlineLevel="1" x14ac:dyDescent="0.2">
      <c r="A304" s="200"/>
      <c r="B304" s="95"/>
      <c r="C304" s="42" t="s">
        <v>1091</v>
      </c>
      <c r="D304" s="42" t="s">
        <v>601</v>
      </c>
      <c r="E304" s="100" t="s">
        <v>292</v>
      </c>
      <c r="F304" s="149">
        <v>1</v>
      </c>
      <c r="G304" s="149">
        <f>(21358)*(1.023*1.005-2.3%*15%)*6.99+236956*4.09+30</f>
        <v>1122155</v>
      </c>
      <c r="H304" s="145">
        <f t="shared" si="111"/>
        <v>1.123</v>
      </c>
      <c r="I304" s="146">
        <f t="shared" ref="I304:I308" si="115">G304*H304</f>
        <v>1260180</v>
      </c>
      <c r="J304" s="145">
        <f>'[2]Расчет прогнозных дефляторов'!$D$75</f>
        <v>1.0429999999999999</v>
      </c>
      <c r="K304" s="146">
        <f t="shared" ref="K304:K308" si="116">I304*J304</f>
        <v>1314368</v>
      </c>
      <c r="L304" s="146">
        <f t="shared" ref="L304:L308" si="117">I304+(K304-I304)*(1-30/100)</f>
        <v>1298112</v>
      </c>
      <c r="M304" s="147"/>
      <c r="N304" s="147"/>
      <c r="O304" s="147"/>
    </row>
    <row r="305" spans="1:15" s="148" customFormat="1" ht="15.75" hidden="1" outlineLevel="1" x14ac:dyDescent="0.2">
      <c r="A305" s="200"/>
      <c r="B305" s="95"/>
      <c r="C305" s="42" t="s">
        <v>1092</v>
      </c>
      <c r="D305" s="42" t="s">
        <v>603</v>
      </c>
      <c r="E305" s="100" t="s">
        <v>292</v>
      </c>
      <c r="F305" s="149">
        <v>1</v>
      </c>
      <c r="G305" s="149">
        <f>(22317)*(1.023*1.005-2.3%*15%)*6.99+15464*4.09</f>
        <v>223091</v>
      </c>
      <c r="H305" s="145">
        <f t="shared" si="111"/>
        <v>1.123</v>
      </c>
      <c r="I305" s="146">
        <f t="shared" si="115"/>
        <v>250531</v>
      </c>
      <c r="J305" s="145">
        <f>'[2]Расчет прогнозных дефляторов'!$D$75</f>
        <v>1.0429999999999999</v>
      </c>
      <c r="K305" s="146">
        <f t="shared" si="116"/>
        <v>261304</v>
      </c>
      <c r="L305" s="146">
        <f t="shared" si="117"/>
        <v>258072</v>
      </c>
      <c r="M305" s="147"/>
      <c r="N305" s="147"/>
      <c r="O305" s="147"/>
    </row>
    <row r="306" spans="1:15" s="148" customFormat="1" ht="15.75" hidden="1" outlineLevel="1" x14ac:dyDescent="0.2">
      <c r="A306" s="200"/>
      <c r="B306" s="95"/>
      <c r="C306" s="42" t="s">
        <v>1093</v>
      </c>
      <c r="D306" s="42" t="s">
        <v>808</v>
      </c>
      <c r="E306" s="100" t="s">
        <v>292</v>
      </c>
      <c r="F306" s="149">
        <v>1</v>
      </c>
      <c r="G306" s="149">
        <f>(33441)*(1.023*1.005-2.3%*15%)*6.99+18599*4.09</f>
        <v>315588</v>
      </c>
      <c r="H306" s="145">
        <f t="shared" si="111"/>
        <v>1.123</v>
      </c>
      <c r="I306" s="146">
        <f t="shared" si="115"/>
        <v>354405</v>
      </c>
      <c r="J306" s="145">
        <f>'[2]Расчет прогнозных дефляторов'!$D$75</f>
        <v>1.0429999999999999</v>
      </c>
      <c r="K306" s="146">
        <f t="shared" si="116"/>
        <v>369644</v>
      </c>
      <c r="L306" s="146">
        <f t="shared" si="117"/>
        <v>365072</v>
      </c>
      <c r="M306" s="147"/>
      <c r="N306" s="147"/>
      <c r="O306" s="147"/>
    </row>
    <row r="307" spans="1:15" s="148" customFormat="1" ht="15.75" hidden="1" outlineLevel="1" x14ac:dyDescent="0.2">
      <c r="A307" s="200"/>
      <c r="B307" s="95"/>
      <c r="C307" s="42" t="s">
        <v>1095</v>
      </c>
      <c r="D307" s="42" t="s">
        <v>1094</v>
      </c>
      <c r="E307" s="100" t="s">
        <v>292</v>
      </c>
      <c r="F307" s="149">
        <v>1</v>
      </c>
      <c r="G307" s="149">
        <f>(2301)*(1.023*1.005-2.3%*15%)*6.99+11587*4.09</f>
        <v>63872</v>
      </c>
      <c r="H307" s="145">
        <f t="shared" si="111"/>
        <v>1.123</v>
      </c>
      <c r="I307" s="146">
        <f t="shared" si="115"/>
        <v>71728</v>
      </c>
      <c r="J307" s="145">
        <f>'[2]Расчет прогнозных дефляторов'!$D$75</f>
        <v>1.0429999999999999</v>
      </c>
      <c r="K307" s="146">
        <f t="shared" si="116"/>
        <v>74812</v>
      </c>
      <c r="L307" s="146">
        <f t="shared" si="117"/>
        <v>73887</v>
      </c>
      <c r="M307" s="147"/>
      <c r="N307" s="147"/>
      <c r="O307" s="147"/>
    </row>
    <row r="308" spans="1:15" s="148" customFormat="1" ht="15.75" hidden="1" outlineLevel="1" x14ac:dyDescent="0.2">
      <c r="A308" s="200"/>
      <c r="B308" s="95"/>
      <c r="C308" s="42" t="s">
        <v>1097</v>
      </c>
      <c r="D308" s="42" t="s">
        <v>1096</v>
      </c>
      <c r="E308" s="100" t="s">
        <v>292</v>
      </c>
      <c r="F308" s="149">
        <v>1</v>
      </c>
      <c r="G308" s="149">
        <f>(2107)*(1.023*1.005-2.3%*15%)*6.99+171497*4.09</f>
        <v>716514</v>
      </c>
      <c r="H308" s="145">
        <f t="shared" si="111"/>
        <v>1.123</v>
      </c>
      <c r="I308" s="146">
        <f t="shared" si="115"/>
        <v>804645</v>
      </c>
      <c r="J308" s="145">
        <f>'[2]Расчет прогнозных дефляторов'!$D$75</f>
        <v>1.0429999999999999</v>
      </c>
      <c r="K308" s="146">
        <f t="shared" si="116"/>
        <v>839245</v>
      </c>
      <c r="L308" s="146">
        <f t="shared" si="117"/>
        <v>828865</v>
      </c>
      <c r="M308" s="147"/>
      <c r="N308" s="147"/>
      <c r="O308" s="147"/>
    </row>
    <row r="309" spans="1:15" s="243" customFormat="1" ht="15.75" collapsed="1" x14ac:dyDescent="0.2">
      <c r="B309" s="244"/>
      <c r="C309" s="245" t="s">
        <v>170</v>
      </c>
      <c r="D309" s="245" t="s">
        <v>1777</v>
      </c>
      <c r="E309" s="246" t="s">
        <v>292</v>
      </c>
      <c r="F309" s="247">
        <v>1</v>
      </c>
      <c r="G309" s="247">
        <f>SUM(G310:G358)</f>
        <v>28157646</v>
      </c>
      <c r="H309" s="248">
        <f t="shared" si="111"/>
        <v>1.123</v>
      </c>
      <c r="I309" s="247">
        <f>SUM(I310:I358)</f>
        <v>31621034</v>
      </c>
      <c r="J309" s="248">
        <f>'[2]Расчет прогнозных дефляторов'!$D$75</f>
        <v>1.0429999999999999</v>
      </c>
      <c r="K309" s="247">
        <f>SUM(K310:K358)</f>
        <v>32980733</v>
      </c>
      <c r="L309" s="247">
        <f>SUM(L310:L358)</f>
        <v>32572825</v>
      </c>
      <c r="M309" s="269"/>
      <c r="N309" s="269"/>
      <c r="O309" s="269"/>
    </row>
    <row r="310" spans="1:15" s="148" customFormat="1" ht="15.75" hidden="1" outlineLevel="1" x14ac:dyDescent="0.2">
      <c r="A310" s="200"/>
      <c r="B310" s="95"/>
      <c r="C310" s="42"/>
      <c r="D310" s="42" t="s">
        <v>379</v>
      </c>
      <c r="E310" s="100"/>
      <c r="F310" s="145"/>
      <c r="G310" s="149"/>
      <c r="H310" s="145"/>
      <c r="I310" s="146"/>
      <c r="J310" s="145"/>
      <c r="K310" s="146"/>
      <c r="L310" s="146"/>
      <c r="M310" s="147"/>
      <c r="N310" s="147"/>
      <c r="O310" s="147"/>
    </row>
    <row r="311" spans="1:15" s="148" customFormat="1" ht="15.75" hidden="1" outlineLevel="1" x14ac:dyDescent="0.2">
      <c r="A311" s="200"/>
      <c r="B311" s="95"/>
      <c r="C311" s="42"/>
      <c r="D311" s="157" t="s">
        <v>1098</v>
      </c>
      <c r="E311" s="100"/>
      <c r="F311" s="145"/>
      <c r="G311" s="149"/>
      <c r="H311" s="145"/>
      <c r="I311" s="146"/>
      <c r="J311" s="145"/>
      <c r="K311" s="146"/>
      <c r="L311" s="146"/>
      <c r="M311" s="147"/>
      <c r="N311" s="147"/>
      <c r="O311" s="147"/>
    </row>
    <row r="312" spans="1:15" s="148" customFormat="1" ht="15.75" hidden="1" outlineLevel="1" x14ac:dyDescent="0.2">
      <c r="A312" s="200"/>
      <c r="B312" s="95"/>
      <c r="C312" s="42" t="s">
        <v>1154</v>
      </c>
      <c r="D312" s="42" t="s">
        <v>1106</v>
      </c>
      <c r="E312" s="100" t="s">
        <v>408</v>
      </c>
      <c r="F312" s="149">
        <v>1</v>
      </c>
      <c r="G312" s="149">
        <f>(2212)*(1.023*1.005-2.3%*15%)*6.99+1119896*4.09</f>
        <v>4596218</v>
      </c>
      <c r="H312" s="145">
        <f t="shared" ref="H312:H325" si="118">$H$772</f>
        <v>1.123</v>
      </c>
      <c r="I312" s="146">
        <f t="shared" ref="I312:I325" si="119">G312*H312</f>
        <v>5161553</v>
      </c>
      <c r="J312" s="145">
        <f>'[2]Расчет прогнозных дефляторов'!$D$75</f>
        <v>1.0429999999999999</v>
      </c>
      <c r="K312" s="146">
        <f t="shared" ref="K312:K325" si="120">I312*J312</f>
        <v>5383500</v>
      </c>
      <c r="L312" s="146">
        <f t="shared" ref="L312:L325" si="121">I312+(K312-I312)*(1-30/100)</f>
        <v>5316916</v>
      </c>
      <c r="M312" s="147" t="s">
        <v>1197</v>
      </c>
      <c r="N312" s="147"/>
      <c r="O312" s="147"/>
    </row>
    <row r="313" spans="1:15" s="148" customFormat="1" ht="15.75" hidden="1" outlineLevel="1" x14ac:dyDescent="0.2">
      <c r="A313" s="200"/>
      <c r="B313" s="95"/>
      <c r="C313" s="42" t="s">
        <v>1155</v>
      </c>
      <c r="D313" s="42" t="s">
        <v>1107</v>
      </c>
      <c r="E313" s="100" t="s">
        <v>408</v>
      </c>
      <c r="F313" s="149">
        <v>1</v>
      </c>
      <c r="G313" s="149">
        <f t="shared" ref="G313:G321" si="122">(145)*(1.023*1.005-2.3%*15%)*6.99+10194*4.09</f>
        <v>42732</v>
      </c>
      <c r="H313" s="145">
        <f t="shared" si="118"/>
        <v>1.123</v>
      </c>
      <c r="I313" s="146">
        <f t="shared" si="119"/>
        <v>47988</v>
      </c>
      <c r="J313" s="145">
        <f>'[2]Расчет прогнозных дефляторов'!$D$75</f>
        <v>1.0429999999999999</v>
      </c>
      <c r="K313" s="146">
        <f t="shared" si="120"/>
        <v>50051</v>
      </c>
      <c r="L313" s="146">
        <f t="shared" si="121"/>
        <v>49432</v>
      </c>
      <c r="M313" s="147"/>
      <c r="N313" s="147"/>
      <c r="O313" s="147"/>
    </row>
    <row r="314" spans="1:15" s="148" customFormat="1" ht="15.75" hidden="1" outlineLevel="1" x14ac:dyDescent="0.2">
      <c r="A314" s="200"/>
      <c r="B314" s="95"/>
      <c r="C314" s="42" t="s">
        <v>1156</v>
      </c>
      <c r="D314" s="42" t="s">
        <v>1108</v>
      </c>
      <c r="E314" s="100" t="s">
        <v>408</v>
      </c>
      <c r="F314" s="149">
        <v>1</v>
      </c>
      <c r="G314" s="149">
        <f t="shared" si="122"/>
        <v>42732</v>
      </c>
      <c r="H314" s="145">
        <f t="shared" si="118"/>
        <v>1.123</v>
      </c>
      <c r="I314" s="146">
        <f t="shared" si="119"/>
        <v>47988</v>
      </c>
      <c r="J314" s="145">
        <f>'[2]Расчет прогнозных дефляторов'!$D$75</f>
        <v>1.0429999999999999</v>
      </c>
      <c r="K314" s="146">
        <f t="shared" si="120"/>
        <v>50051</v>
      </c>
      <c r="L314" s="146">
        <f t="shared" si="121"/>
        <v>49432</v>
      </c>
      <c r="M314" s="147"/>
      <c r="N314" s="147"/>
      <c r="O314" s="147"/>
    </row>
    <row r="315" spans="1:15" s="148" customFormat="1" ht="15.75" hidden="1" outlineLevel="1" x14ac:dyDescent="0.2">
      <c r="A315" s="200"/>
      <c r="B315" s="95"/>
      <c r="C315" s="42" t="s">
        <v>1157</v>
      </c>
      <c r="D315" s="42" t="s">
        <v>1109</v>
      </c>
      <c r="E315" s="100" t="s">
        <v>408</v>
      </c>
      <c r="F315" s="149">
        <v>1</v>
      </c>
      <c r="G315" s="149">
        <f t="shared" si="122"/>
        <v>42732</v>
      </c>
      <c r="H315" s="145">
        <f t="shared" si="118"/>
        <v>1.123</v>
      </c>
      <c r="I315" s="146">
        <f t="shared" si="119"/>
        <v>47988</v>
      </c>
      <c r="J315" s="145">
        <f>'[2]Расчет прогнозных дефляторов'!$D$75</f>
        <v>1.0429999999999999</v>
      </c>
      <c r="K315" s="146">
        <f t="shared" si="120"/>
        <v>50051</v>
      </c>
      <c r="L315" s="146">
        <f t="shared" si="121"/>
        <v>49432</v>
      </c>
      <c r="M315" s="147"/>
      <c r="N315" s="147"/>
      <c r="O315" s="147"/>
    </row>
    <row r="316" spans="1:15" s="148" customFormat="1" ht="15.75" hidden="1" outlineLevel="1" x14ac:dyDescent="0.2">
      <c r="A316" s="200"/>
      <c r="B316" s="95"/>
      <c r="C316" s="42" t="s">
        <v>1158</v>
      </c>
      <c r="D316" s="42" t="s">
        <v>1110</v>
      </c>
      <c r="E316" s="100" t="s">
        <v>408</v>
      </c>
      <c r="F316" s="149">
        <v>1</v>
      </c>
      <c r="G316" s="149">
        <f t="shared" si="122"/>
        <v>42732</v>
      </c>
      <c r="H316" s="145">
        <f t="shared" si="118"/>
        <v>1.123</v>
      </c>
      <c r="I316" s="146">
        <f t="shared" si="119"/>
        <v>47988</v>
      </c>
      <c r="J316" s="145">
        <f>'[2]Расчет прогнозных дефляторов'!$D$75</f>
        <v>1.0429999999999999</v>
      </c>
      <c r="K316" s="146">
        <f t="shared" si="120"/>
        <v>50051</v>
      </c>
      <c r="L316" s="146">
        <f t="shared" si="121"/>
        <v>49432</v>
      </c>
      <c r="M316" s="147"/>
      <c r="N316" s="147"/>
      <c r="O316" s="147"/>
    </row>
    <row r="317" spans="1:15" s="148" customFormat="1" ht="15.75" hidden="1" outlineLevel="1" x14ac:dyDescent="0.2">
      <c r="A317" s="200"/>
      <c r="B317" s="95"/>
      <c r="C317" s="42" t="s">
        <v>1159</v>
      </c>
      <c r="D317" s="42" t="s">
        <v>1111</v>
      </c>
      <c r="E317" s="100" t="s">
        <v>408</v>
      </c>
      <c r="F317" s="149">
        <v>1</v>
      </c>
      <c r="G317" s="149">
        <f t="shared" si="122"/>
        <v>42732</v>
      </c>
      <c r="H317" s="145">
        <f t="shared" si="118"/>
        <v>1.123</v>
      </c>
      <c r="I317" s="146">
        <f t="shared" si="119"/>
        <v>47988</v>
      </c>
      <c r="J317" s="145">
        <f>'[2]Расчет прогнозных дефляторов'!$D$75</f>
        <v>1.0429999999999999</v>
      </c>
      <c r="K317" s="146">
        <f t="shared" si="120"/>
        <v>50051</v>
      </c>
      <c r="L317" s="146">
        <f t="shared" si="121"/>
        <v>49432</v>
      </c>
      <c r="M317" s="147"/>
      <c r="N317" s="147"/>
      <c r="O317" s="147"/>
    </row>
    <row r="318" spans="1:15" s="148" customFormat="1" ht="15.75" hidden="1" outlineLevel="1" x14ac:dyDescent="0.2">
      <c r="A318" s="200"/>
      <c r="B318" s="95"/>
      <c r="C318" s="42" t="s">
        <v>1160</v>
      </c>
      <c r="D318" s="42" t="s">
        <v>1112</v>
      </c>
      <c r="E318" s="100" t="s">
        <v>408</v>
      </c>
      <c r="F318" s="149">
        <v>1</v>
      </c>
      <c r="G318" s="149">
        <f t="shared" si="122"/>
        <v>42732</v>
      </c>
      <c r="H318" s="145">
        <f t="shared" si="118"/>
        <v>1.123</v>
      </c>
      <c r="I318" s="146">
        <f t="shared" si="119"/>
        <v>47988</v>
      </c>
      <c r="J318" s="145">
        <f>'[2]Расчет прогнозных дефляторов'!$D$75</f>
        <v>1.0429999999999999</v>
      </c>
      <c r="K318" s="146">
        <f t="shared" si="120"/>
        <v>50051</v>
      </c>
      <c r="L318" s="146">
        <f t="shared" si="121"/>
        <v>49432</v>
      </c>
      <c r="M318" s="147"/>
      <c r="N318" s="147"/>
      <c r="O318" s="147"/>
    </row>
    <row r="319" spans="1:15" s="148" customFormat="1" ht="15.75" hidden="1" outlineLevel="1" x14ac:dyDescent="0.2">
      <c r="A319" s="200"/>
      <c r="B319" s="95"/>
      <c r="C319" s="42" t="s">
        <v>1161</v>
      </c>
      <c r="D319" s="42" t="s">
        <v>1113</v>
      </c>
      <c r="E319" s="100" t="s">
        <v>408</v>
      </c>
      <c r="F319" s="149">
        <v>1</v>
      </c>
      <c r="G319" s="149">
        <f t="shared" si="122"/>
        <v>42732</v>
      </c>
      <c r="H319" s="145">
        <f t="shared" si="118"/>
        <v>1.123</v>
      </c>
      <c r="I319" s="146">
        <f t="shared" si="119"/>
        <v>47988</v>
      </c>
      <c r="J319" s="145">
        <f>'[2]Расчет прогнозных дефляторов'!$D$75</f>
        <v>1.0429999999999999</v>
      </c>
      <c r="K319" s="146">
        <f t="shared" si="120"/>
        <v>50051</v>
      </c>
      <c r="L319" s="146">
        <f t="shared" si="121"/>
        <v>49432</v>
      </c>
      <c r="M319" s="147"/>
      <c r="N319" s="147"/>
      <c r="O319" s="147"/>
    </row>
    <row r="320" spans="1:15" s="148" customFormat="1" ht="15.75" hidden="1" outlineLevel="1" x14ac:dyDescent="0.2">
      <c r="A320" s="200"/>
      <c r="B320" s="95"/>
      <c r="C320" s="42" t="s">
        <v>1162</v>
      </c>
      <c r="D320" s="42" t="s">
        <v>1114</v>
      </c>
      <c r="E320" s="100" t="s">
        <v>408</v>
      </c>
      <c r="F320" s="149">
        <v>1</v>
      </c>
      <c r="G320" s="149">
        <f t="shared" si="122"/>
        <v>42732</v>
      </c>
      <c r="H320" s="145">
        <f t="shared" si="118"/>
        <v>1.123</v>
      </c>
      <c r="I320" s="146">
        <f t="shared" si="119"/>
        <v>47988</v>
      </c>
      <c r="J320" s="145">
        <f>'[2]Расчет прогнозных дефляторов'!$D$75</f>
        <v>1.0429999999999999</v>
      </c>
      <c r="K320" s="146">
        <f t="shared" si="120"/>
        <v>50051</v>
      </c>
      <c r="L320" s="146">
        <f t="shared" si="121"/>
        <v>49432</v>
      </c>
      <c r="M320" s="147"/>
      <c r="N320" s="147"/>
      <c r="O320" s="147"/>
    </row>
    <row r="321" spans="1:15" s="148" customFormat="1" ht="15.75" hidden="1" outlineLevel="1" x14ac:dyDescent="0.2">
      <c r="A321" s="200"/>
      <c r="B321" s="95"/>
      <c r="C321" s="42" t="s">
        <v>1163</v>
      </c>
      <c r="D321" s="42" t="s">
        <v>1115</v>
      </c>
      <c r="E321" s="100" t="s">
        <v>408</v>
      </c>
      <c r="F321" s="149">
        <v>1</v>
      </c>
      <c r="G321" s="149">
        <f t="shared" si="122"/>
        <v>42732</v>
      </c>
      <c r="H321" s="145">
        <f t="shared" si="118"/>
        <v>1.123</v>
      </c>
      <c r="I321" s="146">
        <f t="shared" si="119"/>
        <v>47988</v>
      </c>
      <c r="J321" s="145">
        <f>'[2]Расчет прогнозных дефляторов'!$D$75</f>
        <v>1.0429999999999999</v>
      </c>
      <c r="K321" s="146">
        <f t="shared" si="120"/>
        <v>50051</v>
      </c>
      <c r="L321" s="146">
        <f t="shared" si="121"/>
        <v>49432</v>
      </c>
      <c r="M321" s="147"/>
      <c r="N321" s="147"/>
      <c r="O321" s="147"/>
    </row>
    <row r="322" spans="1:15" s="148" customFormat="1" ht="15.75" hidden="1" outlineLevel="1" x14ac:dyDescent="0.2">
      <c r="A322" s="200"/>
      <c r="B322" s="95"/>
      <c r="C322" s="42" t="s">
        <v>1164</v>
      </c>
      <c r="D322" s="42" t="s">
        <v>1116</v>
      </c>
      <c r="E322" s="100" t="s">
        <v>408</v>
      </c>
      <c r="F322" s="149">
        <v>1</v>
      </c>
      <c r="G322" s="149">
        <f>(145)*(1.023*1.005-2.3%*15%)*6.99+148772*4.09</f>
        <v>609516</v>
      </c>
      <c r="H322" s="145">
        <f t="shared" si="118"/>
        <v>1.123</v>
      </c>
      <c r="I322" s="146">
        <f t="shared" si="119"/>
        <v>684486</v>
      </c>
      <c r="J322" s="145">
        <f>'[2]Расчет прогнозных дефляторов'!$D$75</f>
        <v>1.0429999999999999</v>
      </c>
      <c r="K322" s="146">
        <f t="shared" si="120"/>
        <v>713919</v>
      </c>
      <c r="L322" s="146">
        <f t="shared" si="121"/>
        <v>705089</v>
      </c>
      <c r="M322" s="147" t="s">
        <v>1199</v>
      </c>
      <c r="N322" s="147"/>
      <c r="O322" s="147"/>
    </row>
    <row r="323" spans="1:15" s="148" customFormat="1" ht="15.75" hidden="1" outlineLevel="1" x14ac:dyDescent="0.2">
      <c r="A323" s="200"/>
      <c r="B323" s="95"/>
      <c r="C323" s="42" t="s">
        <v>1165</v>
      </c>
      <c r="D323" s="42" t="s">
        <v>1117</v>
      </c>
      <c r="E323" s="100" t="s">
        <v>408</v>
      </c>
      <c r="F323" s="149">
        <v>1</v>
      </c>
      <c r="G323" s="149">
        <f>(145)*(1.023*1.005-2.3%*15%)*6.99+10194*4.09</f>
        <v>42732</v>
      </c>
      <c r="H323" s="145">
        <f t="shared" si="118"/>
        <v>1.123</v>
      </c>
      <c r="I323" s="146">
        <f t="shared" si="119"/>
        <v>47988</v>
      </c>
      <c r="J323" s="145">
        <f>'[2]Расчет прогнозных дефляторов'!$D$75</f>
        <v>1.0429999999999999</v>
      </c>
      <c r="K323" s="146">
        <f t="shared" si="120"/>
        <v>50051</v>
      </c>
      <c r="L323" s="146">
        <f t="shared" si="121"/>
        <v>49432</v>
      </c>
      <c r="M323" s="147"/>
      <c r="N323" s="147"/>
      <c r="O323" s="147"/>
    </row>
    <row r="324" spans="1:15" s="148" customFormat="1" ht="15.75" hidden="1" outlineLevel="1" x14ac:dyDescent="0.2">
      <c r="A324" s="200"/>
      <c r="B324" s="95"/>
      <c r="C324" s="42" t="s">
        <v>1166</v>
      </c>
      <c r="D324" s="42" t="s">
        <v>1118</v>
      </c>
      <c r="E324" s="100" t="s">
        <v>408</v>
      </c>
      <c r="F324" s="149">
        <v>1</v>
      </c>
      <c r="G324" s="149">
        <f>(145)*(1.023*1.005-2.3%*15%)*6.99+15716*4.09</f>
        <v>65317</v>
      </c>
      <c r="H324" s="145">
        <f t="shared" si="118"/>
        <v>1.123</v>
      </c>
      <c r="I324" s="146">
        <f t="shared" si="119"/>
        <v>73351</v>
      </c>
      <c r="J324" s="145">
        <f>'[2]Расчет прогнозных дефляторов'!$D$75</f>
        <v>1.0429999999999999</v>
      </c>
      <c r="K324" s="146">
        <f t="shared" si="120"/>
        <v>76505</v>
      </c>
      <c r="L324" s="146">
        <f t="shared" si="121"/>
        <v>75559</v>
      </c>
      <c r="M324" s="147"/>
      <c r="N324" s="147"/>
      <c r="O324" s="147"/>
    </row>
    <row r="325" spans="1:15" s="148" customFormat="1" ht="15.75" hidden="1" outlineLevel="1" x14ac:dyDescent="0.2">
      <c r="A325" s="200"/>
      <c r="B325" s="95"/>
      <c r="C325" s="42" t="s">
        <v>1167</v>
      </c>
      <c r="D325" s="42" t="s">
        <v>1119</v>
      </c>
      <c r="E325" s="100" t="s">
        <v>408</v>
      </c>
      <c r="F325" s="149">
        <v>1</v>
      </c>
      <c r="G325" s="149">
        <f>(145)*(1.023*1.005-2.3%*15%)*6.99+15716*4.09</f>
        <v>65317</v>
      </c>
      <c r="H325" s="145">
        <f t="shared" si="118"/>
        <v>1.123</v>
      </c>
      <c r="I325" s="146">
        <f t="shared" si="119"/>
        <v>73351</v>
      </c>
      <c r="J325" s="145">
        <f>'[2]Расчет прогнозных дефляторов'!$D$75</f>
        <v>1.0429999999999999</v>
      </c>
      <c r="K325" s="146">
        <f t="shared" si="120"/>
        <v>76505</v>
      </c>
      <c r="L325" s="146">
        <f t="shared" si="121"/>
        <v>75559</v>
      </c>
      <c r="M325" s="147"/>
      <c r="N325" s="147"/>
      <c r="O325" s="147"/>
    </row>
    <row r="326" spans="1:15" s="148" customFormat="1" ht="15.75" hidden="1" outlineLevel="1" x14ac:dyDescent="0.2">
      <c r="A326" s="200"/>
      <c r="B326" s="95"/>
      <c r="C326" s="42"/>
      <c r="D326" s="157" t="s">
        <v>1120</v>
      </c>
      <c r="E326" s="100"/>
      <c r="F326" s="145"/>
      <c r="G326" s="149"/>
      <c r="H326" s="145"/>
      <c r="I326" s="146"/>
      <c r="J326" s="145"/>
      <c r="K326" s="146"/>
      <c r="L326" s="146"/>
      <c r="M326" s="147"/>
      <c r="N326" s="147"/>
      <c r="O326" s="147"/>
    </row>
    <row r="327" spans="1:15" s="148" customFormat="1" ht="15.75" hidden="1" outlineLevel="1" x14ac:dyDescent="0.2">
      <c r="A327" s="200"/>
      <c r="B327" s="95"/>
      <c r="C327" s="42" t="s">
        <v>1168</v>
      </c>
      <c r="D327" s="42" t="s">
        <v>1122</v>
      </c>
      <c r="E327" s="100" t="s">
        <v>408</v>
      </c>
      <c r="F327" s="149">
        <v>363</v>
      </c>
      <c r="G327" s="149">
        <f>(8399)*(1.023*1.005-2.3%*15%)*6.99+0*4.09</f>
        <v>60157</v>
      </c>
      <c r="H327" s="145">
        <f t="shared" ref="H327:H333" si="123">$H$772</f>
        <v>1.123</v>
      </c>
      <c r="I327" s="146">
        <f t="shared" ref="I327:I333" si="124">G327*H327</f>
        <v>67556</v>
      </c>
      <c r="J327" s="145">
        <f>'[2]Расчет прогнозных дефляторов'!$D$75</f>
        <v>1.0429999999999999</v>
      </c>
      <c r="K327" s="146">
        <f t="shared" ref="K327:K333" si="125">I327*J327</f>
        <v>70461</v>
      </c>
      <c r="L327" s="146">
        <f t="shared" ref="L327:L333" si="126">I327+(K327-I327)*(1-30/100)</f>
        <v>69590</v>
      </c>
      <c r="M327" s="147"/>
      <c r="N327" s="147"/>
      <c r="O327" s="147"/>
    </row>
    <row r="328" spans="1:15" s="148" customFormat="1" ht="15.75" hidden="1" outlineLevel="1" x14ac:dyDescent="0.2">
      <c r="A328" s="200"/>
      <c r="B328" s="95"/>
      <c r="C328" s="42" t="s">
        <v>1169</v>
      </c>
      <c r="D328" s="42" t="s">
        <v>1121</v>
      </c>
      <c r="E328" s="100" t="s">
        <v>408</v>
      </c>
      <c r="F328" s="149">
        <v>87</v>
      </c>
      <c r="G328" s="149">
        <f>(4648)*(1.023*1.005-2.3%*15%)*6.99+0*4.09</f>
        <v>33291</v>
      </c>
      <c r="H328" s="145">
        <f t="shared" si="123"/>
        <v>1.123</v>
      </c>
      <c r="I328" s="146">
        <f t="shared" si="124"/>
        <v>37386</v>
      </c>
      <c r="J328" s="145">
        <f>'[2]Расчет прогнозных дефляторов'!$D$75</f>
        <v>1.0429999999999999</v>
      </c>
      <c r="K328" s="146">
        <f t="shared" si="125"/>
        <v>38994</v>
      </c>
      <c r="L328" s="146">
        <f t="shared" si="126"/>
        <v>38512</v>
      </c>
      <c r="M328" s="147"/>
      <c r="N328" s="147"/>
      <c r="O328" s="147"/>
    </row>
    <row r="329" spans="1:15" s="148" customFormat="1" ht="15.75" hidden="1" outlineLevel="1" x14ac:dyDescent="0.2">
      <c r="A329" s="200"/>
      <c r="B329" s="95"/>
      <c r="C329" s="42" t="s">
        <v>1170</v>
      </c>
      <c r="D329" s="42" t="s">
        <v>1123</v>
      </c>
      <c r="E329" s="100" t="s">
        <v>408</v>
      </c>
      <c r="F329" s="149">
        <v>611</v>
      </c>
      <c r="G329" s="149">
        <f>(16661)*(1.023*1.005-2.3%*15%)*6.99+0*4.09</f>
        <v>119333</v>
      </c>
      <c r="H329" s="145">
        <f t="shared" si="123"/>
        <v>1.123</v>
      </c>
      <c r="I329" s="146">
        <f t="shared" si="124"/>
        <v>134011</v>
      </c>
      <c r="J329" s="145">
        <f>'[2]Расчет прогнозных дефляторов'!$D$75</f>
        <v>1.0429999999999999</v>
      </c>
      <c r="K329" s="146">
        <f t="shared" si="125"/>
        <v>139773</v>
      </c>
      <c r="L329" s="146">
        <f t="shared" si="126"/>
        <v>138044</v>
      </c>
      <c r="M329" s="147"/>
      <c r="N329" s="147"/>
      <c r="O329" s="147"/>
    </row>
    <row r="330" spans="1:15" s="148" customFormat="1" ht="15.75" hidden="1" outlineLevel="1" x14ac:dyDescent="0.2">
      <c r="A330" s="200"/>
      <c r="B330" s="95"/>
      <c r="C330" s="42" t="s">
        <v>1171</v>
      </c>
      <c r="D330" s="42" t="s">
        <v>1124</v>
      </c>
      <c r="E330" s="100" t="s">
        <v>408</v>
      </c>
      <c r="F330" s="149">
        <v>9</v>
      </c>
      <c r="G330" s="149">
        <f>(201)*(1.023*1.005-2.3%*15%)*6.99+0*4.09</f>
        <v>1440</v>
      </c>
      <c r="H330" s="145">
        <f t="shared" si="123"/>
        <v>1.123</v>
      </c>
      <c r="I330" s="146">
        <f t="shared" si="124"/>
        <v>1617</v>
      </c>
      <c r="J330" s="145">
        <f>'[2]Расчет прогнозных дефляторов'!$D$75</f>
        <v>1.0429999999999999</v>
      </c>
      <c r="K330" s="146">
        <f t="shared" si="125"/>
        <v>1687</v>
      </c>
      <c r="L330" s="146">
        <f t="shared" si="126"/>
        <v>1666</v>
      </c>
      <c r="M330" s="147"/>
      <c r="N330" s="147"/>
      <c r="O330" s="147"/>
    </row>
    <row r="331" spans="1:15" s="148" customFormat="1" ht="15.75" hidden="1" outlineLevel="1" x14ac:dyDescent="0.2">
      <c r="A331" s="200"/>
      <c r="B331" s="95"/>
      <c r="C331" s="42" t="s">
        <v>1172</v>
      </c>
      <c r="D331" s="42" t="s">
        <v>1125</v>
      </c>
      <c r="E331" s="100" t="s">
        <v>408</v>
      </c>
      <c r="F331" s="149">
        <v>38</v>
      </c>
      <c r="G331" s="149">
        <f>(2795)*(1.023*1.005-2.3%*15%)*6.99+0*4.09</f>
        <v>20019</v>
      </c>
      <c r="H331" s="145">
        <f t="shared" si="123"/>
        <v>1.123</v>
      </c>
      <c r="I331" s="146">
        <f t="shared" si="124"/>
        <v>22481</v>
      </c>
      <c r="J331" s="145">
        <f>'[2]Расчет прогнозных дефляторов'!$D$75</f>
        <v>1.0429999999999999</v>
      </c>
      <c r="K331" s="146">
        <f t="shared" si="125"/>
        <v>23448</v>
      </c>
      <c r="L331" s="146">
        <f t="shared" si="126"/>
        <v>23158</v>
      </c>
      <c r="M331" s="147"/>
      <c r="N331" s="147"/>
      <c r="O331" s="147"/>
    </row>
    <row r="332" spans="1:15" s="148" customFormat="1" ht="15.75" hidden="1" outlineLevel="1" x14ac:dyDescent="0.2">
      <c r="A332" s="200"/>
      <c r="B332" s="95"/>
      <c r="C332" s="42" t="s">
        <v>1173</v>
      </c>
      <c r="D332" s="42" t="s">
        <v>1126</v>
      </c>
      <c r="E332" s="100" t="s">
        <v>408</v>
      </c>
      <c r="F332" s="149">
        <v>40</v>
      </c>
      <c r="G332" s="149">
        <f>(892)*(1.023*1.005-2.3%*15%)*6.99+0*4.09</f>
        <v>6389</v>
      </c>
      <c r="H332" s="145">
        <f t="shared" si="123"/>
        <v>1.123</v>
      </c>
      <c r="I332" s="146">
        <f t="shared" si="124"/>
        <v>7175</v>
      </c>
      <c r="J332" s="145">
        <f>'[2]Расчет прогнозных дефляторов'!$D$75</f>
        <v>1.0429999999999999</v>
      </c>
      <c r="K332" s="146">
        <f t="shared" si="125"/>
        <v>7484</v>
      </c>
      <c r="L332" s="146">
        <f t="shared" si="126"/>
        <v>7391</v>
      </c>
      <c r="M332" s="147"/>
      <c r="N332" s="147"/>
      <c r="O332" s="147"/>
    </row>
    <row r="333" spans="1:15" s="148" customFormat="1" ht="15.75" hidden="1" outlineLevel="1" x14ac:dyDescent="0.2">
      <c r="A333" s="200"/>
      <c r="B333" s="95"/>
      <c r="C333" s="42" t="s">
        <v>1174</v>
      </c>
      <c r="D333" s="42" t="s">
        <v>1127</v>
      </c>
      <c r="E333" s="100" t="s">
        <v>408</v>
      </c>
      <c r="F333" s="149">
        <v>10</v>
      </c>
      <c r="G333" s="149">
        <f>(534)*(1.023*1.005-2.3%*15%)*6.99+0*4.09</f>
        <v>3825</v>
      </c>
      <c r="H333" s="145">
        <f t="shared" si="123"/>
        <v>1.123</v>
      </c>
      <c r="I333" s="146">
        <f t="shared" si="124"/>
        <v>4295</v>
      </c>
      <c r="J333" s="145">
        <f>'[2]Расчет прогнозных дефляторов'!$D$75</f>
        <v>1.0429999999999999</v>
      </c>
      <c r="K333" s="146">
        <f t="shared" si="125"/>
        <v>4480</v>
      </c>
      <c r="L333" s="146">
        <f t="shared" si="126"/>
        <v>4425</v>
      </c>
      <c r="M333" s="147"/>
      <c r="N333" s="147"/>
      <c r="O333" s="147"/>
    </row>
    <row r="334" spans="1:15" s="148" customFormat="1" ht="15.75" hidden="1" outlineLevel="1" x14ac:dyDescent="0.2">
      <c r="A334" s="200"/>
      <c r="B334" s="95"/>
      <c r="C334" s="42"/>
      <c r="D334" s="157" t="s">
        <v>1128</v>
      </c>
      <c r="E334" s="100"/>
      <c r="F334" s="149"/>
      <c r="G334" s="149"/>
      <c r="H334" s="145"/>
      <c r="I334" s="146"/>
      <c r="J334" s="145"/>
      <c r="K334" s="146"/>
      <c r="L334" s="146"/>
      <c r="M334" s="147"/>
      <c r="N334" s="147"/>
      <c r="O334" s="147"/>
    </row>
    <row r="335" spans="1:15" s="148" customFormat="1" ht="204" hidden="1" outlineLevel="1" x14ac:dyDescent="0.2">
      <c r="A335" s="200"/>
      <c r="B335" s="95"/>
      <c r="C335" s="42" t="s">
        <v>1175</v>
      </c>
      <c r="D335" s="42" t="s">
        <v>1129</v>
      </c>
      <c r="E335" s="100" t="s">
        <v>408</v>
      </c>
      <c r="F335" s="149">
        <v>1</v>
      </c>
      <c r="G335" s="149">
        <f>(521)*(1.023*1.005-2.3%*15%)*6.99+3409444*4.09-32</f>
        <v>13948326</v>
      </c>
      <c r="H335" s="145">
        <f>$H$772</f>
        <v>1.123</v>
      </c>
      <c r="I335" s="146">
        <f t="shared" ref="I335:I336" si="127">G335*H335</f>
        <v>15663970</v>
      </c>
      <c r="J335" s="145">
        <f>'[2]Расчет прогнозных дефляторов'!$D$75</f>
        <v>1.0429999999999999</v>
      </c>
      <c r="K335" s="146">
        <f t="shared" ref="K335:K336" si="128">I335*J335</f>
        <v>16337521</v>
      </c>
      <c r="L335" s="146">
        <f t="shared" ref="L335:L336" si="129">I335+(K335-I335)*(1-30/100)</f>
        <v>16135456</v>
      </c>
      <c r="M335" s="172" t="s">
        <v>1198</v>
      </c>
      <c r="N335" s="147"/>
      <c r="O335" s="147"/>
    </row>
    <row r="336" spans="1:15" s="148" customFormat="1" ht="127.5" hidden="1" outlineLevel="1" x14ac:dyDescent="0.2">
      <c r="A336" s="200"/>
      <c r="B336" s="95"/>
      <c r="C336" s="42" t="s">
        <v>1176</v>
      </c>
      <c r="D336" s="42" t="s">
        <v>1130</v>
      </c>
      <c r="E336" s="100" t="s">
        <v>408</v>
      </c>
      <c r="F336" s="149">
        <v>1</v>
      </c>
      <c r="G336" s="149">
        <f>(521)*(1.023*1.005-2.3%*15%)*6.99+274384*4.09</f>
        <v>1125962</v>
      </c>
      <c r="H336" s="145">
        <f>$H$772</f>
        <v>1.123</v>
      </c>
      <c r="I336" s="146">
        <f t="shared" si="127"/>
        <v>1264455</v>
      </c>
      <c r="J336" s="145">
        <f>'[2]Расчет прогнозных дефляторов'!$D$75</f>
        <v>1.0429999999999999</v>
      </c>
      <c r="K336" s="146">
        <f t="shared" si="128"/>
        <v>1318827</v>
      </c>
      <c r="L336" s="146">
        <f t="shared" si="129"/>
        <v>1302515</v>
      </c>
      <c r="M336" s="147"/>
      <c r="N336" s="147"/>
      <c r="O336" s="147"/>
    </row>
    <row r="337" spans="1:15" s="148" customFormat="1" ht="15.75" hidden="1" outlineLevel="1" x14ac:dyDescent="0.2">
      <c r="A337" s="200"/>
      <c r="B337" s="95"/>
      <c r="C337" s="42"/>
      <c r="D337" s="157" t="s">
        <v>1131</v>
      </c>
      <c r="E337" s="100"/>
      <c r="F337" s="149"/>
      <c r="G337" s="149"/>
      <c r="H337" s="145"/>
      <c r="I337" s="146"/>
      <c r="J337" s="145"/>
      <c r="K337" s="146"/>
      <c r="L337" s="146"/>
      <c r="M337" s="147"/>
      <c r="N337" s="147"/>
      <c r="O337" s="147"/>
    </row>
    <row r="338" spans="1:15" s="148" customFormat="1" ht="25.5" hidden="1" outlineLevel="1" x14ac:dyDescent="0.2">
      <c r="A338" s="200"/>
      <c r="B338" s="95"/>
      <c r="C338" s="42" t="s">
        <v>1177</v>
      </c>
      <c r="D338" s="42" t="s">
        <v>1132</v>
      </c>
      <c r="E338" s="100" t="s">
        <v>408</v>
      </c>
      <c r="F338" s="149">
        <v>176</v>
      </c>
      <c r="G338" s="149">
        <f>(214096)*(1.023*1.005-2.3%*15%)*6.99+0*4.09</f>
        <v>1533443</v>
      </c>
      <c r="H338" s="145">
        <f t="shared" ref="H338:H348" si="130">$H$772</f>
        <v>1.123</v>
      </c>
      <c r="I338" s="146">
        <f t="shared" ref="I338:I358" si="131">G338*H338</f>
        <v>1722056</v>
      </c>
      <c r="J338" s="145">
        <f>'[2]Расчет прогнозных дефляторов'!$D$75</f>
        <v>1.0429999999999999</v>
      </c>
      <c r="K338" s="146">
        <f t="shared" ref="K338:K358" si="132">I338*J338</f>
        <v>1796104</v>
      </c>
      <c r="L338" s="146">
        <f t="shared" ref="L338:L358" si="133">I338+(K338-I338)*(1-30/100)</f>
        <v>1773890</v>
      </c>
      <c r="M338" s="147"/>
      <c r="N338" s="147"/>
      <c r="O338" s="147"/>
    </row>
    <row r="339" spans="1:15" s="148" customFormat="1" ht="25.5" hidden="1" outlineLevel="1" x14ac:dyDescent="0.2">
      <c r="A339" s="200"/>
      <c r="B339" s="95"/>
      <c r="C339" s="42" t="s">
        <v>1178</v>
      </c>
      <c r="D339" s="42" t="s">
        <v>1133</v>
      </c>
      <c r="E339" s="100" t="s">
        <v>408</v>
      </c>
      <c r="F339" s="149">
        <v>87</v>
      </c>
      <c r="G339" s="149">
        <f>(70788)*(1.023*1.005-2.3%*15%)*6.99+0*4.09</f>
        <v>507013</v>
      </c>
      <c r="H339" s="145">
        <f t="shared" si="130"/>
        <v>1.123</v>
      </c>
      <c r="I339" s="146">
        <f t="shared" si="131"/>
        <v>569376</v>
      </c>
      <c r="J339" s="145">
        <f>'[2]Расчет прогнозных дефляторов'!$D$75</f>
        <v>1.0429999999999999</v>
      </c>
      <c r="K339" s="146">
        <f t="shared" si="132"/>
        <v>593859</v>
      </c>
      <c r="L339" s="146">
        <f t="shared" si="133"/>
        <v>586514</v>
      </c>
      <c r="M339" s="147"/>
      <c r="N339" s="147"/>
      <c r="O339" s="147"/>
    </row>
    <row r="340" spans="1:15" s="148" customFormat="1" ht="25.5" hidden="1" outlineLevel="1" x14ac:dyDescent="0.2">
      <c r="A340" s="200"/>
      <c r="B340" s="95"/>
      <c r="C340" s="42" t="s">
        <v>1179</v>
      </c>
      <c r="D340" s="42" t="s">
        <v>1134</v>
      </c>
      <c r="E340" s="100" t="s">
        <v>408</v>
      </c>
      <c r="F340" s="149">
        <v>8</v>
      </c>
      <c r="G340" s="149">
        <f>(43185)*(1.023*1.005-2.3%*15%)*6.99+0*4.09</f>
        <v>309309</v>
      </c>
      <c r="H340" s="145">
        <f t="shared" si="130"/>
        <v>1.123</v>
      </c>
      <c r="I340" s="146">
        <f t="shared" si="131"/>
        <v>347354</v>
      </c>
      <c r="J340" s="145">
        <f>'[2]Расчет прогнозных дефляторов'!$D$75</f>
        <v>1.0429999999999999</v>
      </c>
      <c r="K340" s="146">
        <f t="shared" si="132"/>
        <v>362290</v>
      </c>
      <c r="L340" s="146">
        <f t="shared" si="133"/>
        <v>357809</v>
      </c>
      <c r="M340" s="147"/>
      <c r="N340" s="147"/>
      <c r="O340" s="147"/>
    </row>
    <row r="341" spans="1:15" s="148" customFormat="1" ht="15.75" hidden="1" outlineLevel="1" x14ac:dyDescent="0.2">
      <c r="A341" s="200"/>
      <c r="B341" s="95"/>
      <c r="C341" s="42" t="s">
        <v>1180</v>
      </c>
      <c r="D341" s="42" t="s">
        <v>1135</v>
      </c>
      <c r="E341" s="100" t="s">
        <v>408</v>
      </c>
      <c r="F341" s="149">
        <v>11</v>
      </c>
      <c r="G341" s="149">
        <f>(96817)*(1.023*1.005-2.3%*15%)*6.99+0*4.09</f>
        <v>693443</v>
      </c>
      <c r="H341" s="145">
        <f t="shared" si="130"/>
        <v>1.123</v>
      </c>
      <c r="I341" s="146">
        <f t="shared" si="131"/>
        <v>778736</v>
      </c>
      <c r="J341" s="145">
        <f>'[2]Расчет прогнозных дефляторов'!$D$75</f>
        <v>1.0429999999999999</v>
      </c>
      <c r="K341" s="146">
        <f t="shared" si="132"/>
        <v>812222</v>
      </c>
      <c r="L341" s="146">
        <f t="shared" si="133"/>
        <v>802176</v>
      </c>
      <c r="M341" s="147"/>
      <c r="N341" s="147"/>
      <c r="O341" s="147"/>
    </row>
    <row r="342" spans="1:15" s="148" customFormat="1" ht="15.75" hidden="1" outlineLevel="1" x14ac:dyDescent="0.2">
      <c r="A342" s="200"/>
      <c r="B342" s="95"/>
      <c r="C342" s="42" t="s">
        <v>1181</v>
      </c>
      <c r="D342" s="42" t="s">
        <v>1136</v>
      </c>
      <c r="E342" s="100" t="s">
        <v>408</v>
      </c>
      <c r="F342" s="149">
        <v>11</v>
      </c>
      <c r="G342" s="149">
        <f>(19929)*(1.023*1.005-2.3%*15%)*6.99+0*4.09</f>
        <v>142740</v>
      </c>
      <c r="H342" s="145">
        <f t="shared" si="130"/>
        <v>1.123</v>
      </c>
      <c r="I342" s="146">
        <f t="shared" si="131"/>
        <v>160297</v>
      </c>
      <c r="J342" s="145">
        <f>'[2]Расчет прогнозных дефляторов'!$D$75</f>
        <v>1.0429999999999999</v>
      </c>
      <c r="K342" s="146">
        <f t="shared" si="132"/>
        <v>167190</v>
      </c>
      <c r="L342" s="146">
        <f t="shared" si="133"/>
        <v>165122</v>
      </c>
      <c r="M342" s="147"/>
      <c r="N342" s="147"/>
      <c r="O342" s="147"/>
    </row>
    <row r="343" spans="1:15" s="148" customFormat="1" ht="15.75" hidden="1" outlineLevel="1" x14ac:dyDescent="0.2">
      <c r="A343" s="200"/>
      <c r="B343" s="95"/>
      <c r="C343" s="42" t="s">
        <v>1182</v>
      </c>
      <c r="D343" s="42" t="s">
        <v>1137</v>
      </c>
      <c r="E343" s="100" t="s">
        <v>408</v>
      </c>
      <c r="F343" s="149">
        <v>13</v>
      </c>
      <c r="G343" s="149">
        <f>(10184)*(1.023*1.005-2.3%*15%)*6.99+0*4.09</f>
        <v>72942</v>
      </c>
      <c r="H343" s="145">
        <f t="shared" si="130"/>
        <v>1.123</v>
      </c>
      <c r="I343" s="146">
        <f t="shared" si="131"/>
        <v>81914</v>
      </c>
      <c r="J343" s="145">
        <f>'[2]Расчет прогнозных дефляторов'!$D$75</f>
        <v>1.0429999999999999</v>
      </c>
      <c r="K343" s="146">
        <f t="shared" si="132"/>
        <v>85436</v>
      </c>
      <c r="L343" s="146">
        <f t="shared" si="133"/>
        <v>84379</v>
      </c>
      <c r="M343" s="147"/>
      <c r="N343" s="147"/>
      <c r="O343" s="147"/>
    </row>
    <row r="344" spans="1:15" s="148" customFormat="1" ht="15.75" hidden="1" outlineLevel="1" x14ac:dyDescent="0.2">
      <c r="A344" s="200"/>
      <c r="B344" s="95"/>
      <c r="C344" s="42" t="s">
        <v>1183</v>
      </c>
      <c r="D344" s="42" t="s">
        <v>1138</v>
      </c>
      <c r="E344" s="100" t="s">
        <v>408</v>
      </c>
      <c r="F344" s="149">
        <v>3</v>
      </c>
      <c r="G344" s="149">
        <f>(1583)*(1.023*1.005-2.3%*15%)*6.99+0*4.09</f>
        <v>11338</v>
      </c>
      <c r="H344" s="145">
        <f t="shared" si="130"/>
        <v>1.123</v>
      </c>
      <c r="I344" s="146">
        <f t="shared" si="131"/>
        <v>12733</v>
      </c>
      <c r="J344" s="145">
        <f>'[2]Расчет прогнозных дефляторов'!$D$75</f>
        <v>1.0429999999999999</v>
      </c>
      <c r="K344" s="146">
        <f t="shared" si="132"/>
        <v>13281</v>
      </c>
      <c r="L344" s="146">
        <f t="shared" si="133"/>
        <v>13117</v>
      </c>
      <c r="M344" s="147"/>
      <c r="N344" s="147"/>
      <c r="O344" s="147"/>
    </row>
    <row r="345" spans="1:15" s="148" customFormat="1" ht="15.75" hidden="1" outlineLevel="1" x14ac:dyDescent="0.2">
      <c r="A345" s="200"/>
      <c r="B345" s="95"/>
      <c r="C345" s="42" t="s">
        <v>1184</v>
      </c>
      <c r="D345" s="42" t="s">
        <v>1139</v>
      </c>
      <c r="E345" s="100" t="s">
        <v>408</v>
      </c>
      <c r="F345" s="149">
        <v>76</v>
      </c>
      <c r="G345" s="149">
        <f>(54493)*(1.023*1.005-2.3%*15%)*6.99+0*4.09</f>
        <v>390301</v>
      </c>
      <c r="H345" s="145">
        <f t="shared" si="130"/>
        <v>1.123</v>
      </c>
      <c r="I345" s="146">
        <f t="shared" si="131"/>
        <v>438308</v>
      </c>
      <c r="J345" s="145">
        <f>'[2]Расчет прогнозных дефляторов'!$D$75</f>
        <v>1.0429999999999999</v>
      </c>
      <c r="K345" s="146">
        <f t="shared" si="132"/>
        <v>457155</v>
      </c>
      <c r="L345" s="146">
        <f t="shared" si="133"/>
        <v>451501</v>
      </c>
      <c r="M345" s="147"/>
      <c r="N345" s="147"/>
      <c r="O345" s="147"/>
    </row>
    <row r="346" spans="1:15" s="148" customFormat="1" ht="15.75" hidden="1" outlineLevel="1" x14ac:dyDescent="0.2">
      <c r="A346" s="200"/>
      <c r="B346" s="95"/>
      <c r="C346" s="42" t="s">
        <v>1185</v>
      </c>
      <c r="D346" s="42" t="s">
        <v>1140</v>
      </c>
      <c r="E346" s="100" t="s">
        <v>408</v>
      </c>
      <c r="F346" s="149">
        <v>125</v>
      </c>
      <c r="G346" s="149">
        <f>(63271)*(1.023*1.005-2.3%*15%)*6.99+0*4.09</f>
        <v>453173</v>
      </c>
      <c r="H346" s="145">
        <f t="shared" si="130"/>
        <v>1.123</v>
      </c>
      <c r="I346" s="146">
        <f t="shared" si="131"/>
        <v>508913</v>
      </c>
      <c r="J346" s="145">
        <f>'[2]Расчет прогнозных дефляторов'!$D$75</f>
        <v>1.0429999999999999</v>
      </c>
      <c r="K346" s="146">
        <f t="shared" si="132"/>
        <v>530796</v>
      </c>
      <c r="L346" s="146">
        <f t="shared" si="133"/>
        <v>524231</v>
      </c>
      <c r="M346" s="147"/>
      <c r="N346" s="147"/>
      <c r="O346" s="147"/>
    </row>
    <row r="347" spans="1:15" s="148" customFormat="1" ht="15.75" hidden="1" outlineLevel="1" x14ac:dyDescent="0.2">
      <c r="A347" s="200"/>
      <c r="B347" s="95"/>
      <c r="C347" s="42" t="s">
        <v>1186</v>
      </c>
      <c r="D347" s="42" t="s">
        <v>1141</v>
      </c>
      <c r="E347" s="100" t="s">
        <v>408</v>
      </c>
      <c r="F347" s="149">
        <v>27</v>
      </c>
      <c r="G347" s="149">
        <f>(33002)*(1.023*1.005-2.3%*15%)*6.99+0*4.09</f>
        <v>236374</v>
      </c>
      <c r="H347" s="145">
        <f t="shared" si="130"/>
        <v>1.123</v>
      </c>
      <c r="I347" s="146">
        <f t="shared" si="131"/>
        <v>265448</v>
      </c>
      <c r="J347" s="145">
        <f>'[2]Расчет прогнозных дефляторов'!$D$75</f>
        <v>1.0429999999999999</v>
      </c>
      <c r="K347" s="146">
        <f t="shared" si="132"/>
        <v>276862</v>
      </c>
      <c r="L347" s="146">
        <f t="shared" si="133"/>
        <v>273438</v>
      </c>
      <c r="M347" s="147"/>
      <c r="N347" s="147"/>
      <c r="O347" s="147"/>
    </row>
    <row r="348" spans="1:15" s="148" customFormat="1" ht="25.5" hidden="1" outlineLevel="1" x14ac:dyDescent="0.2">
      <c r="A348" s="200"/>
      <c r="B348" s="95"/>
      <c r="C348" s="42" t="s">
        <v>1187</v>
      </c>
      <c r="D348" s="42" t="s">
        <v>1142</v>
      </c>
      <c r="E348" s="100" t="s">
        <v>408</v>
      </c>
      <c r="F348" s="149">
        <v>8</v>
      </c>
      <c r="G348" s="149">
        <f>(11428)*(1.023*1.005-2.3%*15%)*6.99+0*4.09</f>
        <v>81852</v>
      </c>
      <c r="H348" s="145">
        <f t="shared" si="130"/>
        <v>1.123</v>
      </c>
      <c r="I348" s="146">
        <f t="shared" si="131"/>
        <v>91920</v>
      </c>
      <c r="J348" s="145">
        <f>'[2]Расчет прогнозных дефляторов'!$D$75</f>
        <v>1.0429999999999999</v>
      </c>
      <c r="K348" s="146">
        <f t="shared" si="132"/>
        <v>95873</v>
      </c>
      <c r="L348" s="146">
        <f t="shared" si="133"/>
        <v>94687</v>
      </c>
      <c r="M348" s="147"/>
      <c r="N348" s="147"/>
      <c r="O348" s="147"/>
    </row>
    <row r="349" spans="1:15" s="148" customFormat="1" ht="15.75" hidden="1" outlineLevel="1" x14ac:dyDescent="0.2">
      <c r="A349" s="200"/>
      <c r="B349" s="95"/>
      <c r="C349" s="42"/>
      <c r="D349" s="157" t="s">
        <v>1143</v>
      </c>
      <c r="E349" s="100"/>
      <c r="F349" s="149"/>
      <c r="G349" s="149"/>
      <c r="H349" s="145"/>
      <c r="I349" s="146"/>
      <c r="J349" s="145"/>
      <c r="K349" s="146"/>
      <c r="L349" s="146"/>
      <c r="M349" s="147"/>
      <c r="N349" s="147"/>
      <c r="O349" s="147"/>
    </row>
    <row r="350" spans="1:15" s="148" customFormat="1" ht="15.75" hidden="1" outlineLevel="1" x14ac:dyDescent="0.2">
      <c r="A350" s="200"/>
      <c r="B350" s="95"/>
      <c r="C350" s="42" t="s">
        <v>1188</v>
      </c>
      <c r="D350" s="42" t="s">
        <v>1144</v>
      </c>
      <c r="E350" s="100" t="s">
        <v>377</v>
      </c>
      <c r="F350" s="149">
        <v>155</v>
      </c>
      <c r="G350" s="149">
        <f>(20693)*(1.023*1.005-2.3%*15%)*6.99+0*4.09</f>
        <v>148212</v>
      </c>
      <c r="H350" s="145">
        <f t="shared" ref="H350:H359" si="134">$H$772</f>
        <v>1.123</v>
      </c>
      <c r="I350" s="146">
        <f t="shared" si="131"/>
        <v>166442</v>
      </c>
      <c r="J350" s="145">
        <f>'[2]Расчет прогнозных дефляторов'!$D$75</f>
        <v>1.0429999999999999</v>
      </c>
      <c r="K350" s="146">
        <f t="shared" si="132"/>
        <v>173599</v>
      </c>
      <c r="L350" s="146">
        <f t="shared" si="133"/>
        <v>171452</v>
      </c>
      <c r="M350" s="147"/>
      <c r="N350" s="147"/>
      <c r="O350" s="147"/>
    </row>
    <row r="351" spans="1:15" s="148" customFormat="1" ht="25.5" hidden="1" outlineLevel="1" x14ac:dyDescent="0.2">
      <c r="A351" s="200"/>
      <c r="B351" s="95"/>
      <c r="C351" s="42" t="s">
        <v>1189</v>
      </c>
      <c r="D351" s="42" t="s">
        <v>1146</v>
      </c>
      <c r="E351" s="100" t="s">
        <v>377</v>
      </c>
      <c r="F351" s="100">
        <f>3862.1/1.08</f>
        <v>3576.02</v>
      </c>
      <c r="G351" s="149">
        <f>(20575)*(1.023*1.005-2.3%*15%)*6.99+0*4.09</f>
        <v>147367</v>
      </c>
      <c r="H351" s="145">
        <f t="shared" si="134"/>
        <v>1.123</v>
      </c>
      <c r="I351" s="146">
        <f t="shared" si="131"/>
        <v>165493</v>
      </c>
      <c r="J351" s="145">
        <f>'[2]Расчет прогнозных дефляторов'!$D$75</f>
        <v>1.0429999999999999</v>
      </c>
      <c r="K351" s="146">
        <f t="shared" si="132"/>
        <v>172609</v>
      </c>
      <c r="L351" s="146">
        <f t="shared" si="133"/>
        <v>170474</v>
      </c>
      <c r="M351" s="172" t="s">
        <v>1150</v>
      </c>
      <c r="N351" s="147"/>
      <c r="O351" s="147"/>
    </row>
    <row r="352" spans="1:15" s="148" customFormat="1" ht="25.5" hidden="1" outlineLevel="1" x14ac:dyDescent="0.2">
      <c r="A352" s="200"/>
      <c r="B352" s="95"/>
      <c r="C352" s="42" t="s">
        <v>1190</v>
      </c>
      <c r="D352" s="42" t="s">
        <v>1145</v>
      </c>
      <c r="E352" s="100" t="s">
        <v>377</v>
      </c>
      <c r="F352" s="100">
        <f>428.8/1.08</f>
        <v>397.04</v>
      </c>
      <c r="G352" s="149">
        <f>(5159)*(1.023*1.005-2.3%*15%)*6.99+0*4.09</f>
        <v>36951</v>
      </c>
      <c r="H352" s="145">
        <f t="shared" si="134"/>
        <v>1.123</v>
      </c>
      <c r="I352" s="146">
        <f t="shared" si="131"/>
        <v>41496</v>
      </c>
      <c r="J352" s="145">
        <f>'[2]Расчет прогнозных дефляторов'!$D$75</f>
        <v>1.0429999999999999</v>
      </c>
      <c r="K352" s="146">
        <f t="shared" si="132"/>
        <v>43280</v>
      </c>
      <c r="L352" s="146">
        <f t="shared" si="133"/>
        <v>42745</v>
      </c>
      <c r="M352" s="172" t="s">
        <v>1150</v>
      </c>
      <c r="N352" s="147"/>
      <c r="O352" s="147"/>
    </row>
    <row r="353" spans="1:15" s="148" customFormat="1" ht="25.5" hidden="1" outlineLevel="1" x14ac:dyDescent="0.2">
      <c r="A353" s="200"/>
      <c r="B353" s="95"/>
      <c r="C353" s="42" t="s">
        <v>1191</v>
      </c>
      <c r="D353" s="42" t="s">
        <v>1147</v>
      </c>
      <c r="E353" s="100" t="s">
        <v>377</v>
      </c>
      <c r="F353" s="100">
        <f>3160.1/1.08-0.01</f>
        <v>2926.01</v>
      </c>
      <c r="G353" s="149">
        <f>(24658)*(1.023*1.005-2.3%*15%)*6.99+0*4.09</f>
        <v>176611</v>
      </c>
      <c r="H353" s="145">
        <f t="shared" si="134"/>
        <v>1.123</v>
      </c>
      <c r="I353" s="146">
        <f t="shared" si="131"/>
        <v>198334</v>
      </c>
      <c r="J353" s="145">
        <f>'[2]Расчет прогнозных дефляторов'!$D$75</f>
        <v>1.0429999999999999</v>
      </c>
      <c r="K353" s="146">
        <f t="shared" si="132"/>
        <v>206862</v>
      </c>
      <c r="L353" s="146">
        <f t="shared" si="133"/>
        <v>204304</v>
      </c>
      <c r="M353" s="172" t="s">
        <v>1150</v>
      </c>
      <c r="N353" s="147"/>
      <c r="O353" s="147"/>
    </row>
    <row r="354" spans="1:15" s="148" customFormat="1" ht="25.5" hidden="1" outlineLevel="1" x14ac:dyDescent="0.2">
      <c r="A354" s="200"/>
      <c r="B354" s="95"/>
      <c r="C354" s="42" t="s">
        <v>1192</v>
      </c>
      <c r="D354" s="42" t="s">
        <v>1148</v>
      </c>
      <c r="E354" s="100" t="s">
        <v>377</v>
      </c>
      <c r="F354" s="100">
        <f>351/1.08</f>
        <v>325</v>
      </c>
      <c r="G354" s="149">
        <f>(5518)*(1.023*1.005-2.3%*15%)*6.99+0*4.09</f>
        <v>39522</v>
      </c>
      <c r="H354" s="145">
        <f t="shared" si="134"/>
        <v>1.123</v>
      </c>
      <c r="I354" s="146">
        <f t="shared" si="131"/>
        <v>44383</v>
      </c>
      <c r="J354" s="145">
        <f>'[2]Расчет прогнозных дефляторов'!$D$75</f>
        <v>1.0429999999999999</v>
      </c>
      <c r="K354" s="146">
        <f t="shared" si="132"/>
        <v>46291</v>
      </c>
      <c r="L354" s="146">
        <f t="shared" si="133"/>
        <v>45719</v>
      </c>
      <c r="M354" s="172" t="s">
        <v>1150</v>
      </c>
      <c r="N354" s="147"/>
      <c r="O354" s="147"/>
    </row>
    <row r="355" spans="1:15" s="148" customFormat="1" ht="25.5" hidden="1" outlineLevel="1" x14ac:dyDescent="0.2">
      <c r="A355" s="200"/>
      <c r="B355" s="95"/>
      <c r="C355" s="42" t="s">
        <v>1193</v>
      </c>
      <c r="D355" s="42" t="s">
        <v>1149</v>
      </c>
      <c r="E355" s="100" t="s">
        <v>377</v>
      </c>
      <c r="F355" s="100">
        <f>216/1.08</f>
        <v>200</v>
      </c>
      <c r="G355" s="149">
        <f>(2748)*(1.023*1.005-2.3%*15%)*6.99+0*4.09</f>
        <v>19682</v>
      </c>
      <c r="H355" s="145">
        <f t="shared" si="134"/>
        <v>1.123</v>
      </c>
      <c r="I355" s="146">
        <f t="shared" si="131"/>
        <v>22103</v>
      </c>
      <c r="J355" s="145">
        <f>'[2]Расчет прогнозных дефляторов'!$D$75</f>
        <v>1.0429999999999999</v>
      </c>
      <c r="K355" s="146">
        <f t="shared" si="132"/>
        <v>23053</v>
      </c>
      <c r="L355" s="146">
        <f t="shared" si="133"/>
        <v>22768</v>
      </c>
      <c r="M355" s="172" t="s">
        <v>1150</v>
      </c>
      <c r="N355" s="147"/>
      <c r="O355" s="147"/>
    </row>
    <row r="356" spans="1:15" s="148" customFormat="1" ht="25.5" hidden="1" outlineLevel="1" x14ac:dyDescent="0.2">
      <c r="A356" s="200"/>
      <c r="B356" s="95"/>
      <c r="C356" s="42" t="s">
        <v>1194</v>
      </c>
      <c r="D356" s="42" t="s">
        <v>1151</v>
      </c>
      <c r="E356" s="100" t="s">
        <v>377</v>
      </c>
      <c r="F356" s="100">
        <v>200</v>
      </c>
      <c r="G356" s="149">
        <f>(24320)*(1.023*1.005-2.3%*15%)*6.99+0*4.09</f>
        <v>174190</v>
      </c>
      <c r="H356" s="145">
        <f t="shared" si="134"/>
        <v>1.123</v>
      </c>
      <c r="I356" s="146">
        <f t="shared" si="131"/>
        <v>195615</v>
      </c>
      <c r="J356" s="145">
        <f>'[2]Расчет прогнозных дефляторов'!$D$75</f>
        <v>1.0429999999999999</v>
      </c>
      <c r="K356" s="146">
        <f t="shared" si="132"/>
        <v>204026</v>
      </c>
      <c r="L356" s="146">
        <f t="shared" si="133"/>
        <v>201503</v>
      </c>
      <c r="M356" s="172" t="s">
        <v>1150</v>
      </c>
      <c r="N356" s="147"/>
      <c r="O356" s="147"/>
    </row>
    <row r="357" spans="1:15" s="148" customFormat="1" ht="25.5" hidden="1" outlineLevel="1" x14ac:dyDescent="0.2">
      <c r="A357" s="200"/>
      <c r="B357" s="95"/>
      <c r="C357" s="42" t="s">
        <v>1195</v>
      </c>
      <c r="D357" s="42" t="s">
        <v>1152</v>
      </c>
      <c r="E357" s="100" t="s">
        <v>377</v>
      </c>
      <c r="F357" s="100">
        <f>540/1.08</f>
        <v>500</v>
      </c>
      <c r="G357" s="149">
        <f>(238837)*(1.023*1.005-2.3%*15%)*6.99+0*4.09</f>
        <v>1710648</v>
      </c>
      <c r="H357" s="145">
        <f t="shared" si="134"/>
        <v>1.123</v>
      </c>
      <c r="I357" s="146">
        <f t="shared" si="131"/>
        <v>1921058</v>
      </c>
      <c r="J357" s="145">
        <f>'[2]Расчет прогнозных дефляторов'!$D$75</f>
        <v>1.0429999999999999</v>
      </c>
      <c r="K357" s="146">
        <f t="shared" si="132"/>
        <v>2003663</v>
      </c>
      <c r="L357" s="146">
        <f t="shared" si="133"/>
        <v>1978882</v>
      </c>
      <c r="M357" s="172" t="s">
        <v>1150</v>
      </c>
      <c r="N357" s="147"/>
      <c r="O357" s="147"/>
    </row>
    <row r="358" spans="1:15" s="148" customFormat="1" ht="25.5" hidden="1" outlineLevel="1" x14ac:dyDescent="0.2">
      <c r="A358" s="200"/>
      <c r="B358" s="95"/>
      <c r="C358" s="42" t="s">
        <v>1196</v>
      </c>
      <c r="D358" s="42" t="s">
        <v>1153</v>
      </c>
      <c r="E358" s="100" t="s">
        <v>377</v>
      </c>
      <c r="F358" s="100">
        <f>54/1.08</f>
        <v>50</v>
      </c>
      <c r="G358" s="149">
        <f>(26542)*(1.023*1.005-2.3%*15%)*6.99+0*4.09</f>
        <v>190105</v>
      </c>
      <c r="H358" s="145">
        <f t="shared" si="134"/>
        <v>1.123</v>
      </c>
      <c r="I358" s="146">
        <f t="shared" si="131"/>
        <v>213488</v>
      </c>
      <c r="J358" s="145">
        <f>'[2]Расчет прогнозных дефляторов'!$D$75</f>
        <v>1.0429999999999999</v>
      </c>
      <c r="K358" s="146">
        <f t="shared" si="132"/>
        <v>222668</v>
      </c>
      <c r="L358" s="146">
        <f t="shared" si="133"/>
        <v>219914</v>
      </c>
      <c r="M358" s="172" t="s">
        <v>1150</v>
      </c>
      <c r="N358" s="147"/>
      <c r="O358" s="147"/>
    </row>
    <row r="359" spans="1:15" s="243" customFormat="1" ht="15.75" collapsed="1" x14ac:dyDescent="0.2">
      <c r="B359" s="244"/>
      <c r="C359" s="245" t="s">
        <v>172</v>
      </c>
      <c r="D359" s="245" t="s">
        <v>1785</v>
      </c>
      <c r="E359" s="246" t="s">
        <v>292</v>
      </c>
      <c r="F359" s="247">
        <v>1</v>
      </c>
      <c r="G359" s="247">
        <f>SUM(G360:G364)</f>
        <v>705784</v>
      </c>
      <c r="H359" s="248">
        <f t="shared" si="134"/>
        <v>1.123</v>
      </c>
      <c r="I359" s="247">
        <f>SUM(I360:I364)</f>
        <v>792596</v>
      </c>
      <c r="J359" s="248">
        <f>'[2]Расчет прогнозных дефляторов'!$D$75</f>
        <v>1.0429999999999999</v>
      </c>
      <c r="K359" s="247">
        <f>SUM(K360:K364)</f>
        <v>826678</v>
      </c>
      <c r="L359" s="247">
        <f>SUM(L360:L364)</f>
        <v>816453</v>
      </c>
      <c r="M359" s="269"/>
      <c r="N359" s="269"/>
      <c r="O359" s="269"/>
    </row>
    <row r="360" spans="1:15" s="148" customFormat="1" ht="15.75" hidden="1" outlineLevel="1" x14ac:dyDescent="0.2">
      <c r="A360" s="200"/>
      <c r="B360" s="95"/>
      <c r="C360" s="42"/>
      <c r="D360" s="157" t="s">
        <v>367</v>
      </c>
      <c r="E360" s="100"/>
      <c r="F360" s="100"/>
      <c r="G360" s="149"/>
      <c r="H360" s="145"/>
      <c r="I360" s="146"/>
      <c r="J360" s="145"/>
      <c r="K360" s="146"/>
      <c r="L360" s="146"/>
      <c r="M360" s="147"/>
      <c r="N360" s="147"/>
      <c r="O360" s="147"/>
    </row>
    <row r="361" spans="1:15" s="148" customFormat="1" ht="25.5" hidden="1" outlineLevel="1" x14ac:dyDescent="0.2">
      <c r="A361" s="200"/>
      <c r="B361" s="95"/>
      <c r="C361" s="42" t="s">
        <v>1200</v>
      </c>
      <c r="D361" s="42" t="s">
        <v>356</v>
      </c>
      <c r="E361" s="100" t="s">
        <v>300</v>
      </c>
      <c r="F361" s="100">
        <f>225.74</f>
        <v>225.74</v>
      </c>
      <c r="G361" s="149">
        <f>(45014)*(1.023*1.005-2.3%*15%)*6.99+0*4.09+14</f>
        <v>322423</v>
      </c>
      <c r="H361" s="145">
        <f t="shared" ref="H361:H392" si="135">$H$772</f>
        <v>1.123</v>
      </c>
      <c r="I361" s="146">
        <f t="shared" ref="I361:I364" si="136">G361*H361</f>
        <v>362081</v>
      </c>
      <c r="J361" s="145">
        <f>'[2]Расчет прогнозных дефляторов'!$D$75</f>
        <v>1.0429999999999999</v>
      </c>
      <c r="K361" s="146">
        <f t="shared" ref="K361:K364" si="137">I361*J361</f>
        <v>377650</v>
      </c>
      <c r="L361" s="146">
        <f t="shared" ref="L361:L364" si="138">I361+(K361-I361)*(1-30/100)</f>
        <v>372979</v>
      </c>
      <c r="M361" s="147"/>
      <c r="N361" s="147"/>
      <c r="O361" s="147"/>
    </row>
    <row r="362" spans="1:15" s="148" customFormat="1" ht="15.75" hidden="1" outlineLevel="1" x14ac:dyDescent="0.2">
      <c r="A362" s="200"/>
      <c r="B362" s="95"/>
      <c r="C362" s="42" t="s">
        <v>1201</v>
      </c>
      <c r="D362" s="42" t="s">
        <v>373</v>
      </c>
      <c r="E362" s="100" t="s">
        <v>300</v>
      </c>
      <c r="F362" s="100">
        <f>225.74</f>
        <v>225.74</v>
      </c>
      <c r="G362" s="149">
        <f>(19753)*(1.023*1.005-2.3%*15%)*6.99+0*4.09</f>
        <v>141479</v>
      </c>
      <c r="H362" s="145">
        <f t="shared" si="135"/>
        <v>1.123</v>
      </c>
      <c r="I362" s="146">
        <f t="shared" si="136"/>
        <v>158881</v>
      </c>
      <c r="J362" s="145">
        <f>'[2]Расчет прогнозных дефляторов'!$D$75</f>
        <v>1.0429999999999999</v>
      </c>
      <c r="K362" s="146">
        <f t="shared" si="137"/>
        <v>165713</v>
      </c>
      <c r="L362" s="146">
        <f t="shared" si="138"/>
        <v>163663</v>
      </c>
      <c r="M362" s="147"/>
      <c r="N362" s="147"/>
      <c r="O362" s="147"/>
    </row>
    <row r="363" spans="1:15" s="148" customFormat="1" ht="25.5" hidden="1" outlineLevel="1" x14ac:dyDescent="0.2">
      <c r="A363" s="200"/>
      <c r="B363" s="95"/>
      <c r="C363" s="42" t="s">
        <v>1202</v>
      </c>
      <c r="D363" s="42" t="s">
        <v>750</v>
      </c>
      <c r="E363" s="100" t="s">
        <v>300</v>
      </c>
      <c r="F363" s="100">
        <f>225.74</f>
        <v>225.74</v>
      </c>
      <c r="G363" s="149">
        <f>(3052)*(1.023*1.005-2.3%*15%)*6.99+0*4.09</f>
        <v>21860</v>
      </c>
      <c r="H363" s="145">
        <f t="shared" si="135"/>
        <v>1.123</v>
      </c>
      <c r="I363" s="146">
        <f t="shared" si="136"/>
        <v>24549</v>
      </c>
      <c r="J363" s="145">
        <f>'[2]Расчет прогнозных дефляторов'!$D$75</f>
        <v>1.0429999999999999</v>
      </c>
      <c r="K363" s="146">
        <f t="shared" si="137"/>
        <v>25605</v>
      </c>
      <c r="L363" s="146">
        <f t="shared" si="138"/>
        <v>25288</v>
      </c>
      <c r="M363" s="147"/>
      <c r="N363" s="147"/>
      <c r="O363" s="147"/>
    </row>
    <row r="364" spans="1:15" s="148" customFormat="1" ht="15.75" hidden="1" outlineLevel="1" x14ac:dyDescent="0.2">
      <c r="A364" s="200"/>
      <c r="B364" s="95"/>
      <c r="C364" s="42" t="s">
        <v>1203</v>
      </c>
      <c r="D364" s="42" t="s">
        <v>379</v>
      </c>
      <c r="E364" s="100" t="s">
        <v>292</v>
      </c>
      <c r="F364" s="100">
        <v>1</v>
      </c>
      <c r="G364" s="149">
        <f>(30719)*(1.023*1.005-2.3%*15%)*6.99+0*4.09</f>
        <v>220022</v>
      </c>
      <c r="H364" s="145">
        <f t="shared" si="135"/>
        <v>1.123</v>
      </c>
      <c r="I364" s="146">
        <f t="shared" si="136"/>
        <v>247085</v>
      </c>
      <c r="J364" s="145">
        <f>'[2]Расчет прогнозных дефляторов'!$D$75</f>
        <v>1.0429999999999999</v>
      </c>
      <c r="K364" s="146">
        <f t="shared" si="137"/>
        <v>257710</v>
      </c>
      <c r="L364" s="146">
        <f t="shared" si="138"/>
        <v>254523</v>
      </c>
      <c r="M364" s="147"/>
      <c r="N364" s="147"/>
      <c r="O364" s="147"/>
    </row>
    <row r="365" spans="1:15" s="243" customFormat="1" ht="15.75" collapsed="1" x14ac:dyDescent="0.2">
      <c r="B365" s="244"/>
      <c r="C365" s="245" t="s">
        <v>174</v>
      </c>
      <c r="D365" s="245" t="s">
        <v>1778</v>
      </c>
      <c r="E365" s="246" t="s">
        <v>292</v>
      </c>
      <c r="F365" s="247">
        <v>1</v>
      </c>
      <c r="G365" s="247">
        <f>SUM(G366:G370)</f>
        <v>21389313</v>
      </c>
      <c r="H365" s="248">
        <f t="shared" si="135"/>
        <v>1.123</v>
      </c>
      <c r="I365" s="247">
        <f>SUM(I366:I370)</f>
        <v>24020198</v>
      </c>
      <c r="J365" s="248">
        <f>'[2]Расчет прогнозных дефляторов'!$D$75</f>
        <v>1.0429999999999999</v>
      </c>
      <c r="K365" s="247">
        <f>SUM(K366:K370)</f>
        <v>25053067</v>
      </c>
      <c r="L365" s="247">
        <f>SUM(L366:L370)</f>
        <v>24743207</v>
      </c>
      <c r="M365" s="269"/>
      <c r="N365" s="269"/>
      <c r="O365" s="269"/>
    </row>
    <row r="366" spans="1:15" s="148" customFormat="1" ht="25.5" hidden="1" outlineLevel="1" x14ac:dyDescent="0.2">
      <c r="A366" s="200"/>
      <c r="B366" s="95"/>
      <c r="C366" s="42" t="s">
        <v>1205</v>
      </c>
      <c r="D366" s="42" t="s">
        <v>1204</v>
      </c>
      <c r="E366" s="100" t="s">
        <v>408</v>
      </c>
      <c r="F366" s="149">
        <v>1</v>
      </c>
      <c r="G366" s="149">
        <f>(33890)*(1.023*1.005-2.3%*15%)*6.99+0*4.09</f>
        <v>242734</v>
      </c>
      <c r="H366" s="145">
        <f t="shared" si="135"/>
        <v>1.123</v>
      </c>
      <c r="I366" s="146">
        <f t="shared" ref="I366:I370" si="139">G366*H366</f>
        <v>272590</v>
      </c>
      <c r="J366" s="145">
        <f>'[2]Расчет прогнозных дефляторов'!$D$75</f>
        <v>1.0429999999999999</v>
      </c>
      <c r="K366" s="146">
        <f t="shared" ref="K366:K370" si="140">I366*J366</f>
        <v>284311</v>
      </c>
      <c r="L366" s="146">
        <f t="shared" ref="L366:L370" si="141">I366+(K366-I366)*(1-30/100)</f>
        <v>280795</v>
      </c>
      <c r="M366" s="147"/>
      <c r="N366" s="147"/>
      <c r="O366" s="147"/>
    </row>
    <row r="367" spans="1:15" s="148" customFormat="1" ht="25.5" hidden="1" outlineLevel="1" x14ac:dyDescent="0.2">
      <c r="A367" s="200"/>
      <c r="B367" s="95"/>
      <c r="C367" s="42" t="s">
        <v>1207</v>
      </c>
      <c r="D367" s="42" t="s">
        <v>1206</v>
      </c>
      <c r="E367" s="100" t="s">
        <v>408</v>
      </c>
      <c r="F367" s="149">
        <v>1</v>
      </c>
      <c r="G367" s="149">
        <f>(2821+27187)*(1.023*1.005-2.3%*15%)*6.99+4768776*4.09+24</f>
        <v>19719247</v>
      </c>
      <c r="H367" s="145">
        <f t="shared" si="135"/>
        <v>1.123</v>
      </c>
      <c r="I367" s="146">
        <f t="shared" si="139"/>
        <v>22144714</v>
      </c>
      <c r="J367" s="145">
        <f>'[2]Расчет прогнозных дефляторов'!$D$75</f>
        <v>1.0429999999999999</v>
      </c>
      <c r="K367" s="146">
        <f t="shared" si="140"/>
        <v>23096937</v>
      </c>
      <c r="L367" s="146">
        <f t="shared" si="141"/>
        <v>22811270</v>
      </c>
      <c r="M367" s="147"/>
      <c r="N367" s="147"/>
      <c r="O367" s="147"/>
    </row>
    <row r="368" spans="1:15" s="148" customFormat="1" ht="15.75" hidden="1" outlineLevel="1" x14ac:dyDescent="0.2">
      <c r="A368" s="200"/>
      <c r="B368" s="95"/>
      <c r="C368" s="42" t="s">
        <v>1209</v>
      </c>
      <c r="D368" s="42" t="s">
        <v>1208</v>
      </c>
      <c r="E368" s="100" t="s">
        <v>292</v>
      </c>
      <c r="F368" s="149">
        <v>1</v>
      </c>
      <c r="G368" s="149">
        <f>(93585)*(1.023*1.005-2.3%*15%)*6.99+0*4.09</f>
        <v>670294</v>
      </c>
      <c r="H368" s="145">
        <f t="shared" si="135"/>
        <v>1.123</v>
      </c>
      <c r="I368" s="146">
        <f t="shared" si="139"/>
        <v>752740</v>
      </c>
      <c r="J368" s="145">
        <f>'[2]Расчет прогнозных дефляторов'!$D$75</f>
        <v>1.0429999999999999</v>
      </c>
      <c r="K368" s="146">
        <f t="shared" si="140"/>
        <v>785108</v>
      </c>
      <c r="L368" s="146">
        <f t="shared" si="141"/>
        <v>775398</v>
      </c>
      <c r="M368" s="147"/>
      <c r="N368" s="147"/>
      <c r="O368" s="147"/>
    </row>
    <row r="369" spans="1:15" s="148" customFormat="1" ht="15.75" hidden="1" outlineLevel="1" x14ac:dyDescent="0.2">
      <c r="A369" s="200"/>
      <c r="B369" s="95"/>
      <c r="C369" s="42" t="s">
        <v>1211</v>
      </c>
      <c r="D369" s="42" t="s">
        <v>1210</v>
      </c>
      <c r="E369" s="100" t="s">
        <v>292</v>
      </c>
      <c r="F369" s="149">
        <v>1</v>
      </c>
      <c r="G369" s="149">
        <f>(52820)*(1.023*1.005-2.3%*15%)*6.99+0*4.09</f>
        <v>378318</v>
      </c>
      <c r="H369" s="145">
        <f t="shared" si="135"/>
        <v>1.123</v>
      </c>
      <c r="I369" s="146">
        <f t="shared" si="139"/>
        <v>424851</v>
      </c>
      <c r="J369" s="145">
        <f>'[2]Расчет прогнозных дефляторов'!$D$75</f>
        <v>1.0429999999999999</v>
      </c>
      <c r="K369" s="146">
        <f t="shared" si="140"/>
        <v>443120</v>
      </c>
      <c r="L369" s="146">
        <f t="shared" si="141"/>
        <v>437639</v>
      </c>
      <c r="M369" s="147"/>
      <c r="N369" s="147"/>
      <c r="O369" s="147"/>
    </row>
    <row r="370" spans="1:15" s="148" customFormat="1" ht="15.75" hidden="1" outlineLevel="1" x14ac:dyDescent="0.2">
      <c r="A370" s="200"/>
      <c r="B370" s="95"/>
      <c r="C370" s="42" t="s">
        <v>1213</v>
      </c>
      <c r="D370" s="42" t="s">
        <v>1212</v>
      </c>
      <c r="E370" s="100" t="s">
        <v>292</v>
      </c>
      <c r="F370" s="149">
        <v>1</v>
      </c>
      <c r="G370" s="149">
        <f>(52876)*(1.023*1.005-2.3%*15%)*6.99+0*4.09</f>
        <v>378720</v>
      </c>
      <c r="H370" s="145">
        <f t="shared" si="135"/>
        <v>1.123</v>
      </c>
      <c r="I370" s="146">
        <f t="shared" si="139"/>
        <v>425303</v>
      </c>
      <c r="J370" s="145">
        <f>'[2]Расчет прогнозных дефляторов'!$D$75</f>
        <v>1.0429999999999999</v>
      </c>
      <c r="K370" s="146">
        <f t="shared" si="140"/>
        <v>443591</v>
      </c>
      <c r="L370" s="146">
        <f t="shared" si="141"/>
        <v>438105</v>
      </c>
      <c r="M370" s="147"/>
      <c r="N370" s="147"/>
      <c r="O370" s="147"/>
    </row>
    <row r="371" spans="1:15" s="243" customFormat="1" ht="15.75" collapsed="1" x14ac:dyDescent="0.2">
      <c r="B371" s="244"/>
      <c r="C371" s="245" t="s">
        <v>176</v>
      </c>
      <c r="D371" s="264" t="s">
        <v>1779</v>
      </c>
      <c r="E371" s="246" t="s">
        <v>292</v>
      </c>
      <c r="F371" s="247">
        <v>1</v>
      </c>
      <c r="G371" s="247">
        <f>G372</f>
        <v>1394201</v>
      </c>
      <c r="H371" s="248">
        <f t="shared" si="135"/>
        <v>1.123</v>
      </c>
      <c r="I371" s="247">
        <f>I372</f>
        <v>1565688</v>
      </c>
      <c r="J371" s="248">
        <f>'[2]Расчет прогнозных дефляторов'!$D$75</f>
        <v>1.0429999999999999</v>
      </c>
      <c r="K371" s="247">
        <f>K372</f>
        <v>1633013</v>
      </c>
      <c r="L371" s="247">
        <f>L372</f>
        <v>1612816</v>
      </c>
      <c r="M371" s="269"/>
      <c r="N371" s="269"/>
      <c r="O371" s="269"/>
    </row>
    <row r="372" spans="1:15" s="148" customFormat="1" ht="15.75" hidden="1" outlineLevel="1" x14ac:dyDescent="0.2">
      <c r="A372" s="200"/>
      <c r="B372" s="95"/>
      <c r="C372" s="42" t="s">
        <v>1215</v>
      </c>
      <c r="D372" s="42" t="s">
        <v>1214</v>
      </c>
      <c r="E372" s="100" t="s">
        <v>292</v>
      </c>
      <c r="F372" s="149">
        <v>1</v>
      </c>
      <c r="G372" s="149">
        <f>(13201+80806)*(1.023*1.005-2.3%*15%)*6.99+176249*4.09+26</f>
        <v>1394201</v>
      </c>
      <c r="H372" s="145">
        <f t="shared" si="135"/>
        <v>1.123</v>
      </c>
      <c r="I372" s="146">
        <f t="shared" ref="I372" si="142">G372*H372</f>
        <v>1565688</v>
      </c>
      <c r="J372" s="145">
        <f>'[2]Расчет прогнозных дефляторов'!$D$75</f>
        <v>1.0429999999999999</v>
      </c>
      <c r="K372" s="146">
        <f t="shared" ref="K372" si="143">I372*J372</f>
        <v>1633013</v>
      </c>
      <c r="L372" s="146">
        <f t="shared" ref="L372" si="144">I372+(K372-I372)*(1-30/100)</f>
        <v>1612816</v>
      </c>
      <c r="M372" s="147"/>
      <c r="N372" s="147"/>
      <c r="O372" s="147"/>
    </row>
    <row r="373" spans="1:15" s="243" customFormat="1" ht="15.75" collapsed="1" x14ac:dyDescent="0.2">
      <c r="B373" s="244"/>
      <c r="C373" s="245" t="s">
        <v>178</v>
      </c>
      <c r="D373" s="245" t="s">
        <v>1780</v>
      </c>
      <c r="E373" s="246" t="s">
        <v>292</v>
      </c>
      <c r="F373" s="247">
        <v>1</v>
      </c>
      <c r="G373" s="247">
        <f>SUM(G374:G375)</f>
        <v>721922</v>
      </c>
      <c r="H373" s="248">
        <f t="shared" si="135"/>
        <v>1.123</v>
      </c>
      <c r="I373" s="247">
        <f>SUM(I374:I375)</f>
        <v>810719</v>
      </c>
      <c r="J373" s="248">
        <f>'[2]Расчет прогнозных дефляторов'!$D$75</f>
        <v>1.0429999999999999</v>
      </c>
      <c r="K373" s="247">
        <f>SUM(K374:K375)</f>
        <v>845579</v>
      </c>
      <c r="L373" s="247">
        <f>SUM(L374:L375)</f>
        <v>835121</v>
      </c>
      <c r="M373" s="269"/>
      <c r="N373" s="269"/>
      <c r="O373" s="269"/>
    </row>
    <row r="374" spans="1:15" s="148" customFormat="1" ht="15.75" hidden="1" outlineLevel="1" x14ac:dyDescent="0.2">
      <c r="A374" s="200"/>
      <c r="B374" s="95"/>
      <c r="C374" s="42" t="s">
        <v>1217</v>
      </c>
      <c r="D374" s="42" t="s">
        <v>1216</v>
      </c>
      <c r="E374" s="100" t="s">
        <v>292</v>
      </c>
      <c r="F374" s="149">
        <v>1</v>
      </c>
      <c r="G374" s="149">
        <f>(72088)*(1.023*1.005-2.3%*15%)*6.99+13967*4.09+4</f>
        <v>573453</v>
      </c>
      <c r="H374" s="145">
        <f t="shared" si="135"/>
        <v>1.123</v>
      </c>
      <c r="I374" s="146">
        <f t="shared" ref="I374:I375" si="145">G374*H374</f>
        <v>643988</v>
      </c>
      <c r="J374" s="145">
        <f>'[2]Расчет прогнозных дефляторов'!$D$75</f>
        <v>1.0429999999999999</v>
      </c>
      <c r="K374" s="146">
        <f t="shared" ref="K374:K375" si="146">I374*J374</f>
        <v>671679</v>
      </c>
      <c r="L374" s="146">
        <f t="shared" ref="L374:L375" si="147">I374+(K374-I374)*(1-30/100)</f>
        <v>663372</v>
      </c>
      <c r="M374" s="147"/>
      <c r="N374" s="147"/>
      <c r="O374" s="147"/>
    </row>
    <row r="375" spans="1:15" s="148" customFormat="1" ht="15.75" hidden="1" outlineLevel="1" x14ac:dyDescent="0.2">
      <c r="A375" s="200"/>
      <c r="B375" s="95"/>
      <c r="C375" s="42" t="s">
        <v>1219</v>
      </c>
      <c r="D375" s="42" t="s">
        <v>1218</v>
      </c>
      <c r="E375" s="100" t="s">
        <v>292</v>
      </c>
      <c r="F375" s="149">
        <v>1</v>
      </c>
      <c r="G375" s="149">
        <f>(18832)*(1.023*1.005-2.3%*15%)*6.99+3322*4.09</f>
        <v>148469</v>
      </c>
      <c r="H375" s="145">
        <f t="shared" si="135"/>
        <v>1.123</v>
      </c>
      <c r="I375" s="146">
        <f t="shared" si="145"/>
        <v>166731</v>
      </c>
      <c r="J375" s="145">
        <f>'[2]Расчет прогнозных дефляторов'!$D$75</f>
        <v>1.0429999999999999</v>
      </c>
      <c r="K375" s="146">
        <f t="shared" si="146"/>
        <v>173900</v>
      </c>
      <c r="L375" s="146">
        <f t="shared" si="147"/>
        <v>171749</v>
      </c>
      <c r="M375" s="147"/>
      <c r="N375" s="147"/>
      <c r="O375" s="147"/>
    </row>
    <row r="376" spans="1:15" s="237" customFormat="1" ht="25.5" collapsed="1" x14ac:dyDescent="0.2">
      <c r="A376" s="243"/>
      <c r="B376" s="244"/>
      <c r="C376" s="245" t="s">
        <v>180</v>
      </c>
      <c r="D376" s="245" t="s">
        <v>1781</v>
      </c>
      <c r="E376" s="246" t="s">
        <v>292</v>
      </c>
      <c r="F376" s="247">
        <v>1</v>
      </c>
      <c r="G376" s="247">
        <f>SUM(G377:G412)</f>
        <v>32930043</v>
      </c>
      <c r="H376" s="248">
        <f t="shared" si="135"/>
        <v>1.123</v>
      </c>
      <c r="I376" s="247">
        <f>SUM(I377:I412)</f>
        <v>36980438</v>
      </c>
      <c r="J376" s="248">
        <f>'[2]Расчет прогнозных дефляторов'!$D$75</f>
        <v>1.0429999999999999</v>
      </c>
      <c r="K376" s="247">
        <f>SUM(K377:K412)</f>
        <v>38570598</v>
      </c>
      <c r="L376" s="247">
        <f>SUM(L377:L412)</f>
        <v>38093551</v>
      </c>
      <c r="M376" s="256"/>
      <c r="N376" s="256"/>
      <c r="O376" s="256"/>
    </row>
    <row r="377" spans="1:15" s="148" customFormat="1" ht="15.75" hidden="1" outlineLevel="1" x14ac:dyDescent="0.2">
      <c r="A377" s="200"/>
      <c r="B377" s="95"/>
      <c r="C377" s="42" t="s">
        <v>1221</v>
      </c>
      <c r="D377" s="42" t="s">
        <v>1220</v>
      </c>
      <c r="E377" s="100" t="s">
        <v>292</v>
      </c>
      <c r="F377" s="100">
        <v>1</v>
      </c>
      <c r="G377" s="149">
        <f>(129237+258)*(1.023*1.005-2.3%*15%)*6.99+8526*4.09</f>
        <v>962367</v>
      </c>
      <c r="H377" s="145">
        <f t="shared" si="135"/>
        <v>1.123</v>
      </c>
      <c r="I377" s="146">
        <f t="shared" ref="I377:I413" si="148">G377*H377</f>
        <v>1080738</v>
      </c>
      <c r="J377" s="145">
        <f>'[2]Расчет прогнозных дефляторов'!$D$75</f>
        <v>1.0429999999999999</v>
      </c>
      <c r="K377" s="146">
        <f t="shared" ref="K377:K413" si="149">I377*J377</f>
        <v>1127210</v>
      </c>
      <c r="L377" s="146">
        <f t="shared" ref="L377:L413" si="150">I377+(K377-I377)*(1-30/100)</f>
        <v>1113268</v>
      </c>
      <c r="M377" s="147"/>
      <c r="N377" s="147"/>
      <c r="O377" s="147"/>
    </row>
    <row r="378" spans="1:15" s="148" customFormat="1" ht="15.75" hidden="1" outlineLevel="1" x14ac:dyDescent="0.2">
      <c r="A378" s="200"/>
      <c r="B378" s="95"/>
      <c r="C378" s="42" t="s">
        <v>1223</v>
      </c>
      <c r="D378" s="42" t="s">
        <v>1222</v>
      </c>
      <c r="E378" s="100" t="s">
        <v>292</v>
      </c>
      <c r="F378" s="100">
        <v>1</v>
      </c>
      <c r="G378" s="149">
        <f>(125968)*(1.023*1.005-2.3%*15%)*6.99+0*4.09</f>
        <v>902234</v>
      </c>
      <c r="H378" s="145">
        <f t="shared" si="135"/>
        <v>1.123</v>
      </c>
      <c r="I378" s="146">
        <f t="shared" si="148"/>
        <v>1013209</v>
      </c>
      <c r="J378" s="145">
        <f>'[2]Расчет прогнозных дефляторов'!$D$75</f>
        <v>1.0429999999999999</v>
      </c>
      <c r="K378" s="146">
        <f t="shared" si="149"/>
        <v>1056777</v>
      </c>
      <c r="L378" s="146">
        <f t="shared" si="150"/>
        <v>1043707</v>
      </c>
      <c r="M378" s="147"/>
      <c r="N378" s="147"/>
      <c r="O378" s="147"/>
    </row>
    <row r="379" spans="1:15" s="148" customFormat="1" ht="15.75" hidden="1" outlineLevel="1" x14ac:dyDescent="0.2">
      <c r="A379" s="200"/>
      <c r="B379" s="95"/>
      <c r="C379" s="42" t="s">
        <v>1224</v>
      </c>
      <c r="D379" s="42" t="s">
        <v>1225</v>
      </c>
      <c r="E379" s="100" t="s">
        <v>292</v>
      </c>
      <c r="F379" s="100">
        <v>1</v>
      </c>
      <c r="G379" s="149">
        <f>(5434)*(1.023*1.005-2.3%*15%)*6.99+0*4.09</f>
        <v>38921</v>
      </c>
      <c r="H379" s="145">
        <f t="shared" si="135"/>
        <v>1.123</v>
      </c>
      <c r="I379" s="146">
        <f t="shared" si="148"/>
        <v>43708</v>
      </c>
      <c r="J379" s="145">
        <f>'[2]Расчет прогнозных дефляторов'!$D$75</f>
        <v>1.0429999999999999</v>
      </c>
      <c r="K379" s="146">
        <f t="shared" si="149"/>
        <v>45587</v>
      </c>
      <c r="L379" s="146">
        <f t="shared" si="150"/>
        <v>45023</v>
      </c>
      <c r="M379" s="147"/>
      <c r="N379" s="147"/>
      <c r="O379" s="147"/>
    </row>
    <row r="380" spans="1:15" s="148" customFormat="1" ht="15.75" hidden="1" outlineLevel="1" x14ac:dyDescent="0.2">
      <c r="A380" s="200"/>
      <c r="B380" s="95"/>
      <c r="C380" s="42" t="s">
        <v>1227</v>
      </c>
      <c r="D380" s="42" t="s">
        <v>1226</v>
      </c>
      <c r="E380" s="100" t="s">
        <v>292</v>
      </c>
      <c r="F380" s="100">
        <v>1</v>
      </c>
      <c r="G380" s="149">
        <f>(108172)*(1.023*1.005-2.3%*15%)*6.99+763629*4.09</f>
        <v>3898015</v>
      </c>
      <c r="H380" s="145">
        <f t="shared" si="135"/>
        <v>1.123</v>
      </c>
      <c r="I380" s="146">
        <f t="shared" si="148"/>
        <v>4377471</v>
      </c>
      <c r="J380" s="145">
        <f>'[2]Расчет прогнозных дефляторов'!$D$75</f>
        <v>1.0429999999999999</v>
      </c>
      <c r="K380" s="146">
        <f t="shared" si="149"/>
        <v>4565702</v>
      </c>
      <c r="L380" s="146">
        <f t="shared" si="150"/>
        <v>4509233</v>
      </c>
      <c r="M380" s="147"/>
      <c r="N380" s="147"/>
      <c r="O380" s="147"/>
    </row>
    <row r="381" spans="1:15" s="148" customFormat="1" ht="15.75" hidden="1" outlineLevel="1" x14ac:dyDescent="0.2">
      <c r="A381" s="200"/>
      <c r="B381" s="95"/>
      <c r="C381" s="42" t="s">
        <v>1229</v>
      </c>
      <c r="D381" s="42" t="s">
        <v>1228</v>
      </c>
      <c r="E381" s="100" t="s">
        <v>292</v>
      </c>
      <c r="F381" s="100">
        <v>1</v>
      </c>
      <c r="G381" s="149">
        <f>(39501)*(1.023*1.005-2.3%*15%)*6.99+227393*4.09</f>
        <v>1212960</v>
      </c>
      <c r="H381" s="145">
        <f t="shared" si="135"/>
        <v>1.123</v>
      </c>
      <c r="I381" s="146">
        <f t="shared" si="148"/>
        <v>1362154</v>
      </c>
      <c r="J381" s="145">
        <f>'[2]Расчет прогнозных дефляторов'!$D$75</f>
        <v>1.0429999999999999</v>
      </c>
      <c r="K381" s="146">
        <f t="shared" si="149"/>
        <v>1420727</v>
      </c>
      <c r="L381" s="146">
        <f t="shared" si="150"/>
        <v>1403155</v>
      </c>
      <c r="M381" s="147"/>
      <c r="N381" s="147"/>
      <c r="O381" s="147"/>
    </row>
    <row r="382" spans="1:15" s="148" customFormat="1" ht="15.75" hidden="1" outlineLevel="1" x14ac:dyDescent="0.2">
      <c r="A382" s="200"/>
      <c r="B382" s="95"/>
      <c r="C382" s="42" t="s">
        <v>1231</v>
      </c>
      <c r="D382" s="42" t="s">
        <v>1230</v>
      </c>
      <c r="E382" s="100" t="s">
        <v>292</v>
      </c>
      <c r="F382" s="100">
        <v>1</v>
      </c>
      <c r="G382" s="149">
        <f>(5563)*(1.023*1.005-2.3%*15%)*6.99+175892*4.09</f>
        <v>759243</v>
      </c>
      <c r="H382" s="145">
        <f t="shared" si="135"/>
        <v>1.123</v>
      </c>
      <c r="I382" s="146">
        <f t="shared" si="148"/>
        <v>852630</v>
      </c>
      <c r="J382" s="145">
        <f>'[2]Расчет прогнозных дефляторов'!$D$75</f>
        <v>1.0429999999999999</v>
      </c>
      <c r="K382" s="146">
        <f t="shared" si="149"/>
        <v>889293</v>
      </c>
      <c r="L382" s="146">
        <f t="shared" si="150"/>
        <v>878294</v>
      </c>
      <c r="M382" s="147"/>
      <c r="N382" s="147"/>
      <c r="O382" s="147"/>
    </row>
    <row r="383" spans="1:15" s="148" customFormat="1" ht="15.75" hidden="1" outlineLevel="1" x14ac:dyDescent="0.2">
      <c r="A383" s="200"/>
      <c r="B383" s="95"/>
      <c r="C383" s="42" t="s">
        <v>1233</v>
      </c>
      <c r="D383" s="42" t="s">
        <v>1232</v>
      </c>
      <c r="E383" s="100" t="s">
        <v>292</v>
      </c>
      <c r="F383" s="100">
        <v>1</v>
      </c>
      <c r="G383" s="149">
        <f>(71382)*(1.023*1.005-2.3%*15%)*6.99+227879*4.09</f>
        <v>1443292</v>
      </c>
      <c r="H383" s="145">
        <f t="shared" si="135"/>
        <v>1.123</v>
      </c>
      <c r="I383" s="146">
        <f t="shared" si="148"/>
        <v>1620817</v>
      </c>
      <c r="J383" s="145">
        <f>'[2]Расчет прогнозных дефляторов'!$D$75</f>
        <v>1.0429999999999999</v>
      </c>
      <c r="K383" s="146">
        <f t="shared" si="149"/>
        <v>1690512</v>
      </c>
      <c r="L383" s="146">
        <f t="shared" si="150"/>
        <v>1669604</v>
      </c>
      <c r="M383" s="147"/>
      <c r="N383" s="147"/>
      <c r="O383" s="147"/>
    </row>
    <row r="384" spans="1:15" s="148" customFormat="1" ht="15.75" hidden="1" outlineLevel="1" x14ac:dyDescent="0.2">
      <c r="A384" s="200"/>
      <c r="B384" s="95"/>
      <c r="C384" s="42" t="s">
        <v>1235</v>
      </c>
      <c r="D384" s="42" t="s">
        <v>1234</v>
      </c>
      <c r="E384" s="100" t="s">
        <v>292</v>
      </c>
      <c r="F384" s="100">
        <v>1</v>
      </c>
      <c r="G384" s="149">
        <f>(66619)*(1.023*1.005-2.3%*15%)*6.99+309513*4.09</f>
        <v>1743061</v>
      </c>
      <c r="H384" s="145">
        <f t="shared" si="135"/>
        <v>1.123</v>
      </c>
      <c r="I384" s="146">
        <f t="shared" si="148"/>
        <v>1957458</v>
      </c>
      <c r="J384" s="145">
        <f>'[2]Расчет прогнозных дефляторов'!$D$75</f>
        <v>1.0429999999999999</v>
      </c>
      <c r="K384" s="146">
        <f t="shared" si="149"/>
        <v>2041629</v>
      </c>
      <c r="L384" s="146">
        <f t="shared" si="150"/>
        <v>2016378</v>
      </c>
      <c r="M384" s="147"/>
      <c r="N384" s="147"/>
      <c r="O384" s="147"/>
    </row>
    <row r="385" spans="1:15" s="148" customFormat="1" ht="15.75" hidden="1" outlineLevel="1" x14ac:dyDescent="0.2">
      <c r="A385" s="200"/>
      <c r="B385" s="95"/>
      <c r="C385" s="42" t="s">
        <v>1237</v>
      </c>
      <c r="D385" s="42" t="s">
        <v>1236</v>
      </c>
      <c r="E385" s="100" t="s">
        <v>292</v>
      </c>
      <c r="F385" s="100">
        <v>1</v>
      </c>
      <c r="G385" s="149">
        <f>(21222)*(1.023*1.005-2.3%*15%)*6.99+236503*4.09</f>
        <v>1119298</v>
      </c>
      <c r="H385" s="145">
        <f t="shared" si="135"/>
        <v>1.123</v>
      </c>
      <c r="I385" s="146">
        <f t="shared" si="148"/>
        <v>1256972</v>
      </c>
      <c r="J385" s="145">
        <f>'[2]Расчет прогнозных дефляторов'!$D$75</f>
        <v>1.0429999999999999</v>
      </c>
      <c r="K385" s="146">
        <f t="shared" si="149"/>
        <v>1311022</v>
      </c>
      <c r="L385" s="146">
        <f t="shared" si="150"/>
        <v>1294807</v>
      </c>
      <c r="M385" s="147"/>
      <c r="N385" s="147"/>
      <c r="O385" s="147"/>
    </row>
    <row r="386" spans="1:15" s="148" customFormat="1" ht="15.75" hidden="1" outlineLevel="1" x14ac:dyDescent="0.2">
      <c r="A386" s="200"/>
      <c r="B386" s="95"/>
      <c r="C386" s="42" t="s">
        <v>1239</v>
      </c>
      <c r="D386" s="42" t="s">
        <v>1238</v>
      </c>
      <c r="E386" s="100" t="s">
        <v>292</v>
      </c>
      <c r="F386" s="100">
        <v>1</v>
      </c>
      <c r="G386" s="149">
        <f>(10293+20)*(1.023*1.005-2.3%*15%)*6.99+4550*4.09</f>
        <v>92475</v>
      </c>
      <c r="H386" s="145">
        <f t="shared" si="135"/>
        <v>1.123</v>
      </c>
      <c r="I386" s="146">
        <f t="shared" si="148"/>
        <v>103849</v>
      </c>
      <c r="J386" s="145">
        <f>'[2]Расчет прогнозных дефляторов'!$D$75</f>
        <v>1.0429999999999999</v>
      </c>
      <c r="K386" s="146">
        <f t="shared" si="149"/>
        <v>108315</v>
      </c>
      <c r="L386" s="146">
        <f t="shared" si="150"/>
        <v>106975</v>
      </c>
      <c r="M386" s="147"/>
      <c r="N386" s="147"/>
      <c r="O386" s="147"/>
    </row>
    <row r="387" spans="1:15" s="148" customFormat="1" ht="15.75" hidden="1" outlineLevel="1" x14ac:dyDescent="0.2">
      <c r="A387" s="200"/>
      <c r="B387" s="95"/>
      <c r="C387" s="42" t="s">
        <v>1241</v>
      </c>
      <c r="D387" s="42" t="s">
        <v>1240</v>
      </c>
      <c r="E387" s="100" t="s">
        <v>292</v>
      </c>
      <c r="F387" s="100">
        <v>1</v>
      </c>
      <c r="G387" s="149">
        <f>(19131)*(1.023*1.005-2.3%*15%)*6.99+254462*4.09</f>
        <v>1177774</v>
      </c>
      <c r="H387" s="145">
        <f t="shared" si="135"/>
        <v>1.123</v>
      </c>
      <c r="I387" s="146">
        <f t="shared" si="148"/>
        <v>1322640</v>
      </c>
      <c r="J387" s="145">
        <f>'[2]Расчет прогнозных дефляторов'!$D$75</f>
        <v>1.0429999999999999</v>
      </c>
      <c r="K387" s="146">
        <f t="shared" si="149"/>
        <v>1379514</v>
      </c>
      <c r="L387" s="146">
        <f t="shared" si="150"/>
        <v>1362452</v>
      </c>
      <c r="M387" s="147"/>
      <c r="N387" s="147"/>
      <c r="O387" s="147"/>
    </row>
    <row r="388" spans="1:15" s="148" customFormat="1" ht="15.75" hidden="1" outlineLevel="1" x14ac:dyDescent="0.2">
      <c r="A388" s="200"/>
      <c r="B388" s="95"/>
      <c r="C388" s="42" t="s">
        <v>1243</v>
      </c>
      <c r="D388" s="42" t="s">
        <v>1242</v>
      </c>
      <c r="E388" s="100" t="s">
        <v>292</v>
      </c>
      <c r="F388" s="100">
        <v>1</v>
      </c>
      <c r="G388" s="149">
        <f>(23875)*(1.023*1.005-2.3%*15%)*6.99+251235*4.09</f>
        <v>1198554</v>
      </c>
      <c r="H388" s="145">
        <f t="shared" si="135"/>
        <v>1.123</v>
      </c>
      <c r="I388" s="146">
        <f t="shared" si="148"/>
        <v>1345976</v>
      </c>
      <c r="J388" s="145">
        <f>'[2]Расчет прогнозных дефляторов'!$D$75</f>
        <v>1.0429999999999999</v>
      </c>
      <c r="K388" s="146">
        <f t="shared" si="149"/>
        <v>1403853</v>
      </c>
      <c r="L388" s="146">
        <f t="shared" si="150"/>
        <v>1386490</v>
      </c>
      <c r="M388" s="147"/>
      <c r="N388" s="147"/>
      <c r="O388" s="147"/>
    </row>
    <row r="389" spans="1:15" s="148" customFormat="1" ht="15.75" hidden="1" outlineLevel="1" x14ac:dyDescent="0.2">
      <c r="A389" s="200"/>
      <c r="B389" s="95"/>
      <c r="C389" s="42" t="s">
        <v>1245</v>
      </c>
      <c r="D389" s="42" t="s">
        <v>1244</v>
      </c>
      <c r="E389" s="100" t="s">
        <v>292</v>
      </c>
      <c r="F389" s="100">
        <v>1</v>
      </c>
      <c r="G389" s="149">
        <f>(6649)*(1.023*1.005-2.3%*15%)*6.99+34968*4.09</f>
        <v>190642</v>
      </c>
      <c r="H389" s="145">
        <f t="shared" si="135"/>
        <v>1.123</v>
      </c>
      <c r="I389" s="146">
        <f t="shared" si="148"/>
        <v>214091</v>
      </c>
      <c r="J389" s="145">
        <f>'[2]Расчет прогнозных дефляторов'!$D$75</f>
        <v>1.0429999999999999</v>
      </c>
      <c r="K389" s="146">
        <f t="shared" si="149"/>
        <v>223297</v>
      </c>
      <c r="L389" s="146">
        <f t="shared" si="150"/>
        <v>220535</v>
      </c>
      <c r="M389" s="147"/>
      <c r="N389" s="147"/>
      <c r="O389" s="147"/>
    </row>
    <row r="390" spans="1:15" s="148" customFormat="1" ht="15.75" hidden="1" outlineLevel="1" x14ac:dyDescent="0.2">
      <c r="A390" s="200"/>
      <c r="B390" s="95"/>
      <c r="C390" s="42" t="s">
        <v>1247</v>
      </c>
      <c r="D390" s="42" t="s">
        <v>1246</v>
      </c>
      <c r="E390" s="100" t="s">
        <v>292</v>
      </c>
      <c r="F390" s="100">
        <v>1</v>
      </c>
      <c r="G390" s="149">
        <f>(14561)*(1.023*1.005-2.3%*15%)*6.99+48321*4.09</f>
        <v>301925</v>
      </c>
      <c r="H390" s="145">
        <f t="shared" si="135"/>
        <v>1.123</v>
      </c>
      <c r="I390" s="146">
        <f t="shared" si="148"/>
        <v>339062</v>
      </c>
      <c r="J390" s="145">
        <f>'[2]Расчет прогнозных дефляторов'!$D$75</f>
        <v>1.0429999999999999</v>
      </c>
      <c r="K390" s="146">
        <f t="shared" si="149"/>
        <v>353642</v>
      </c>
      <c r="L390" s="146">
        <f t="shared" si="150"/>
        <v>349268</v>
      </c>
      <c r="M390" s="147"/>
      <c r="N390" s="147"/>
      <c r="O390" s="147"/>
    </row>
    <row r="391" spans="1:15" s="148" customFormat="1" ht="15.75" hidden="1" outlineLevel="1" x14ac:dyDescent="0.2">
      <c r="A391" s="200"/>
      <c r="B391" s="95"/>
      <c r="C391" s="42" t="s">
        <v>1249</v>
      </c>
      <c r="D391" s="42" t="s">
        <v>1248</v>
      </c>
      <c r="E391" s="100" t="s">
        <v>292</v>
      </c>
      <c r="F391" s="100">
        <v>1</v>
      </c>
      <c r="G391" s="149">
        <f>(12266)*(1.023*1.005-2.3%*15%)*6.99+38070*4.09</f>
        <v>243560</v>
      </c>
      <c r="H391" s="145">
        <f t="shared" si="135"/>
        <v>1.123</v>
      </c>
      <c r="I391" s="146">
        <f t="shared" si="148"/>
        <v>273518</v>
      </c>
      <c r="J391" s="145">
        <f>'[2]Расчет прогнозных дефляторов'!$D$75</f>
        <v>1.0429999999999999</v>
      </c>
      <c r="K391" s="146">
        <f t="shared" si="149"/>
        <v>285279</v>
      </c>
      <c r="L391" s="146">
        <f t="shared" si="150"/>
        <v>281751</v>
      </c>
      <c r="M391" s="147"/>
      <c r="N391" s="147"/>
      <c r="O391" s="147"/>
    </row>
    <row r="392" spans="1:15" s="148" customFormat="1" ht="15.75" hidden="1" outlineLevel="1" x14ac:dyDescent="0.2">
      <c r="A392" s="200"/>
      <c r="B392" s="95"/>
      <c r="C392" s="42" t="s">
        <v>1251</v>
      </c>
      <c r="D392" s="42" t="s">
        <v>1250</v>
      </c>
      <c r="E392" s="100" t="s">
        <v>292</v>
      </c>
      <c r="F392" s="100">
        <v>1</v>
      </c>
      <c r="G392" s="149">
        <f>(9687)*(1.023*1.005-2.3%*15%)*6.99+31777*4.09</f>
        <v>199350</v>
      </c>
      <c r="H392" s="145">
        <f t="shared" si="135"/>
        <v>1.123</v>
      </c>
      <c r="I392" s="146">
        <f t="shared" si="148"/>
        <v>223870</v>
      </c>
      <c r="J392" s="145">
        <f>'[2]Расчет прогнозных дефляторов'!$D$75</f>
        <v>1.0429999999999999</v>
      </c>
      <c r="K392" s="146">
        <f t="shared" si="149"/>
        <v>233496</v>
      </c>
      <c r="L392" s="146">
        <f t="shared" si="150"/>
        <v>230608</v>
      </c>
      <c r="M392" s="147"/>
      <c r="N392" s="147"/>
      <c r="O392" s="147"/>
    </row>
    <row r="393" spans="1:15" s="148" customFormat="1" ht="15.75" hidden="1" outlineLevel="1" x14ac:dyDescent="0.2">
      <c r="A393" s="200"/>
      <c r="B393" s="95"/>
      <c r="C393" s="42" t="s">
        <v>1253</v>
      </c>
      <c r="D393" s="42" t="s">
        <v>1252</v>
      </c>
      <c r="E393" s="100" t="s">
        <v>292</v>
      </c>
      <c r="F393" s="100">
        <v>1</v>
      </c>
      <c r="G393" s="149">
        <f>(11652)*(1.023*1.005-2.3%*15%)*6.99+31777*4.09</f>
        <v>213424</v>
      </c>
      <c r="H393" s="145">
        <f t="shared" ref="H393:H419" si="151">$H$772</f>
        <v>1.123</v>
      </c>
      <c r="I393" s="146">
        <f t="shared" si="148"/>
        <v>239675</v>
      </c>
      <c r="J393" s="145">
        <f>'[2]Расчет прогнозных дефляторов'!$D$75</f>
        <v>1.0429999999999999</v>
      </c>
      <c r="K393" s="146">
        <f t="shared" si="149"/>
        <v>249981</v>
      </c>
      <c r="L393" s="146">
        <f t="shared" si="150"/>
        <v>246889</v>
      </c>
      <c r="M393" s="147"/>
      <c r="N393" s="147"/>
      <c r="O393" s="147"/>
    </row>
    <row r="394" spans="1:15" s="148" customFormat="1" ht="15.75" hidden="1" outlineLevel="1" x14ac:dyDescent="0.2">
      <c r="A394" s="200"/>
      <c r="B394" s="95"/>
      <c r="C394" s="42" t="s">
        <v>1255</v>
      </c>
      <c r="D394" s="42" t="s">
        <v>1254</v>
      </c>
      <c r="E394" s="100" t="s">
        <v>292</v>
      </c>
      <c r="F394" s="100">
        <v>1</v>
      </c>
      <c r="G394" s="149">
        <f>(13011)*(1.023*1.005-2.3%*15%)*6.99+29931*4.09</f>
        <v>215608</v>
      </c>
      <c r="H394" s="145">
        <f t="shared" si="151"/>
        <v>1.123</v>
      </c>
      <c r="I394" s="146">
        <f t="shared" si="148"/>
        <v>242128</v>
      </c>
      <c r="J394" s="145">
        <f>'[2]Расчет прогнозных дефляторов'!$D$75</f>
        <v>1.0429999999999999</v>
      </c>
      <c r="K394" s="146">
        <f t="shared" si="149"/>
        <v>252540</v>
      </c>
      <c r="L394" s="146">
        <f t="shared" si="150"/>
        <v>249416</v>
      </c>
      <c r="M394" s="147"/>
      <c r="N394" s="147"/>
      <c r="O394" s="147"/>
    </row>
    <row r="395" spans="1:15" s="148" customFormat="1" ht="15.75" hidden="1" outlineLevel="1" x14ac:dyDescent="0.2">
      <c r="A395" s="200"/>
      <c r="B395" s="95"/>
      <c r="C395" s="42" t="s">
        <v>1257</v>
      </c>
      <c r="D395" s="42" t="s">
        <v>1256</v>
      </c>
      <c r="E395" s="100" t="s">
        <v>292</v>
      </c>
      <c r="F395" s="100">
        <v>1</v>
      </c>
      <c r="G395" s="149">
        <f>(6755)*(1.023*1.005-2.3%*15%)*6.99+11309*4.09</f>
        <v>94636</v>
      </c>
      <c r="H395" s="145">
        <f t="shared" si="151"/>
        <v>1.123</v>
      </c>
      <c r="I395" s="146">
        <f t="shared" si="148"/>
        <v>106276</v>
      </c>
      <c r="J395" s="145">
        <f>'[2]Расчет прогнозных дефляторов'!$D$75</f>
        <v>1.0429999999999999</v>
      </c>
      <c r="K395" s="146">
        <f t="shared" si="149"/>
        <v>110846</v>
      </c>
      <c r="L395" s="146">
        <f t="shared" si="150"/>
        <v>109475</v>
      </c>
      <c r="M395" s="147"/>
      <c r="N395" s="147"/>
      <c r="O395" s="147"/>
    </row>
    <row r="396" spans="1:15" s="148" customFormat="1" ht="15.75" hidden="1" outlineLevel="1" x14ac:dyDescent="0.2">
      <c r="A396" s="200"/>
      <c r="B396" s="95"/>
      <c r="C396" s="42" t="s">
        <v>1259</v>
      </c>
      <c r="D396" s="42" t="s">
        <v>1258</v>
      </c>
      <c r="E396" s="100" t="s">
        <v>292</v>
      </c>
      <c r="F396" s="100">
        <v>1</v>
      </c>
      <c r="G396" s="149">
        <f>(51105)*(1.023*1.005-2.3%*15%)*6.99+59976*4.09</f>
        <v>611337</v>
      </c>
      <c r="H396" s="145">
        <f t="shared" si="151"/>
        <v>1.123</v>
      </c>
      <c r="I396" s="146">
        <f t="shared" si="148"/>
        <v>686531</v>
      </c>
      <c r="J396" s="145">
        <f>'[2]Расчет прогнозных дефляторов'!$D$75</f>
        <v>1.0429999999999999</v>
      </c>
      <c r="K396" s="146">
        <f t="shared" si="149"/>
        <v>716052</v>
      </c>
      <c r="L396" s="146">
        <f t="shared" si="150"/>
        <v>707196</v>
      </c>
      <c r="M396" s="147"/>
      <c r="N396" s="147"/>
      <c r="O396" s="147"/>
    </row>
    <row r="397" spans="1:15" s="148" customFormat="1" ht="15.75" hidden="1" outlineLevel="1" x14ac:dyDescent="0.2">
      <c r="A397" s="200"/>
      <c r="B397" s="95"/>
      <c r="C397" s="42" t="s">
        <v>1261</v>
      </c>
      <c r="D397" s="42" t="s">
        <v>1260</v>
      </c>
      <c r="E397" s="100" t="s">
        <v>292</v>
      </c>
      <c r="F397" s="100">
        <v>1</v>
      </c>
      <c r="G397" s="149">
        <f>(19466)*(1.023*1.005-2.3%*15%)*6.99+59976*4.09</f>
        <v>384725</v>
      </c>
      <c r="H397" s="145">
        <f t="shared" si="151"/>
        <v>1.123</v>
      </c>
      <c r="I397" s="146">
        <f t="shared" si="148"/>
        <v>432046</v>
      </c>
      <c r="J397" s="145">
        <f>'[2]Расчет прогнозных дефляторов'!$D$75</f>
        <v>1.0429999999999999</v>
      </c>
      <c r="K397" s="146">
        <f t="shared" si="149"/>
        <v>450624</v>
      </c>
      <c r="L397" s="146">
        <f t="shared" si="150"/>
        <v>445051</v>
      </c>
      <c r="M397" s="147"/>
      <c r="N397" s="147"/>
      <c r="O397" s="147"/>
    </row>
    <row r="398" spans="1:15" s="148" customFormat="1" ht="15.75" hidden="1" outlineLevel="1" x14ac:dyDescent="0.2">
      <c r="A398" s="200"/>
      <c r="B398" s="95"/>
      <c r="C398" s="42" t="s">
        <v>1263</v>
      </c>
      <c r="D398" s="42" t="s">
        <v>1262</v>
      </c>
      <c r="E398" s="100" t="s">
        <v>292</v>
      </c>
      <c r="F398" s="100">
        <v>1</v>
      </c>
      <c r="G398" s="149">
        <f>(17402)*(1.023*1.005-2.3%*15%)*6.99+60934*4.09</f>
        <v>373860</v>
      </c>
      <c r="H398" s="145">
        <f t="shared" si="151"/>
        <v>1.123</v>
      </c>
      <c r="I398" s="146">
        <f t="shared" si="148"/>
        <v>419845</v>
      </c>
      <c r="J398" s="145">
        <f>'[2]Расчет прогнозных дефляторов'!$D$75</f>
        <v>1.0429999999999999</v>
      </c>
      <c r="K398" s="146">
        <f t="shared" si="149"/>
        <v>437898</v>
      </c>
      <c r="L398" s="146">
        <f t="shared" si="150"/>
        <v>432482</v>
      </c>
      <c r="M398" s="147"/>
      <c r="N398" s="147"/>
      <c r="O398" s="147"/>
    </row>
    <row r="399" spans="1:15" s="148" customFormat="1" ht="15.75" hidden="1" outlineLevel="1" x14ac:dyDescent="0.2">
      <c r="A399" s="200"/>
      <c r="B399" s="95"/>
      <c r="C399" s="42" t="s">
        <v>1265</v>
      </c>
      <c r="D399" s="42" t="s">
        <v>1264</v>
      </c>
      <c r="E399" s="100" t="s">
        <v>292</v>
      </c>
      <c r="F399" s="100">
        <v>1</v>
      </c>
      <c r="G399" s="149">
        <f>(38158)*(1.023*1.005-2.3%*15%)*6.99+72562*4.09</f>
        <v>570082</v>
      </c>
      <c r="H399" s="145">
        <f t="shared" si="151"/>
        <v>1.123</v>
      </c>
      <c r="I399" s="146">
        <f t="shared" si="148"/>
        <v>640202</v>
      </c>
      <c r="J399" s="145">
        <f>'[2]Расчет прогнозных дефляторов'!$D$75</f>
        <v>1.0429999999999999</v>
      </c>
      <c r="K399" s="146">
        <f t="shared" si="149"/>
        <v>667731</v>
      </c>
      <c r="L399" s="146">
        <f t="shared" si="150"/>
        <v>659472</v>
      </c>
      <c r="M399" s="147"/>
      <c r="N399" s="147"/>
      <c r="O399" s="147"/>
    </row>
    <row r="400" spans="1:15" s="148" customFormat="1" ht="15.75" hidden="1" outlineLevel="1" x14ac:dyDescent="0.2">
      <c r="A400" s="200"/>
      <c r="B400" s="95"/>
      <c r="C400" s="42" t="s">
        <v>1267</v>
      </c>
      <c r="D400" s="42" t="s">
        <v>1266</v>
      </c>
      <c r="E400" s="100" t="s">
        <v>292</v>
      </c>
      <c r="F400" s="100">
        <v>1</v>
      </c>
      <c r="G400" s="149">
        <f>(5694+20)*(1.023*1.005-2.3%*15%)*6.99+5910*4.09</f>
        <v>65098</v>
      </c>
      <c r="H400" s="145">
        <f t="shared" si="151"/>
        <v>1.123</v>
      </c>
      <c r="I400" s="146">
        <f t="shared" si="148"/>
        <v>73105</v>
      </c>
      <c r="J400" s="145">
        <f>'[2]Расчет прогнозных дефляторов'!$D$75</f>
        <v>1.0429999999999999</v>
      </c>
      <c r="K400" s="146">
        <f t="shared" si="149"/>
        <v>76249</v>
      </c>
      <c r="L400" s="146">
        <f t="shared" si="150"/>
        <v>75306</v>
      </c>
      <c r="M400" s="147"/>
      <c r="N400" s="147"/>
      <c r="O400" s="147"/>
    </row>
    <row r="401" spans="1:15" s="148" customFormat="1" ht="15.75" hidden="1" outlineLevel="1" x14ac:dyDescent="0.2">
      <c r="A401" s="200"/>
      <c r="B401" s="95"/>
      <c r="C401" s="42" t="s">
        <v>1269</v>
      </c>
      <c r="D401" s="42" t="s">
        <v>1268</v>
      </c>
      <c r="E401" s="100" t="s">
        <v>292</v>
      </c>
      <c r="F401" s="100">
        <v>1</v>
      </c>
      <c r="G401" s="149">
        <f>(15852)*(1.023*1.005-2.3%*15%)*6.99+60028*4.09</f>
        <v>359053</v>
      </c>
      <c r="H401" s="145">
        <f t="shared" si="151"/>
        <v>1.123</v>
      </c>
      <c r="I401" s="146">
        <f t="shared" si="148"/>
        <v>403217</v>
      </c>
      <c r="J401" s="145">
        <f>'[2]Расчет прогнозных дефляторов'!$D$75</f>
        <v>1.0429999999999999</v>
      </c>
      <c r="K401" s="146">
        <f t="shared" si="149"/>
        <v>420555</v>
      </c>
      <c r="L401" s="146">
        <f t="shared" si="150"/>
        <v>415354</v>
      </c>
      <c r="M401" s="147"/>
      <c r="N401" s="147"/>
      <c r="O401" s="147"/>
    </row>
    <row r="402" spans="1:15" s="148" customFormat="1" ht="15.75" hidden="1" outlineLevel="1" x14ac:dyDescent="0.2">
      <c r="A402" s="200"/>
      <c r="B402" s="95"/>
      <c r="C402" s="42" t="s">
        <v>1271</v>
      </c>
      <c r="D402" s="42" t="s">
        <v>1270</v>
      </c>
      <c r="E402" s="100" t="s">
        <v>292</v>
      </c>
      <c r="F402" s="100">
        <v>1</v>
      </c>
      <c r="G402" s="149">
        <f>(19794)*(1.023*1.005-2.3%*15%)*6.99+71259*4.09</f>
        <v>433222</v>
      </c>
      <c r="H402" s="145">
        <f t="shared" si="151"/>
        <v>1.123</v>
      </c>
      <c r="I402" s="146">
        <f t="shared" si="148"/>
        <v>486508</v>
      </c>
      <c r="J402" s="145">
        <f>'[2]Расчет прогнозных дефляторов'!$D$75</f>
        <v>1.0429999999999999</v>
      </c>
      <c r="K402" s="146">
        <f t="shared" si="149"/>
        <v>507428</v>
      </c>
      <c r="L402" s="146">
        <f t="shared" si="150"/>
        <v>501152</v>
      </c>
      <c r="M402" s="147"/>
      <c r="N402" s="147"/>
      <c r="O402" s="147"/>
    </row>
    <row r="403" spans="1:15" s="148" customFormat="1" ht="15.75" hidden="1" outlineLevel="1" x14ac:dyDescent="0.2">
      <c r="A403" s="200"/>
      <c r="B403" s="95"/>
      <c r="C403" s="42" t="s">
        <v>1273</v>
      </c>
      <c r="D403" s="42" t="s">
        <v>1272</v>
      </c>
      <c r="E403" s="100" t="s">
        <v>292</v>
      </c>
      <c r="F403" s="100">
        <v>1</v>
      </c>
      <c r="G403" s="149">
        <f>(74612)*(1.023*1.005-2.3%*15%)*6.99+171769*4.09</f>
        <v>1236937</v>
      </c>
      <c r="H403" s="145">
        <f t="shared" si="151"/>
        <v>1.123</v>
      </c>
      <c r="I403" s="146">
        <f t="shared" si="148"/>
        <v>1389080</v>
      </c>
      <c r="J403" s="145">
        <f>'[2]Расчет прогнозных дефляторов'!$D$75</f>
        <v>1.0429999999999999</v>
      </c>
      <c r="K403" s="146">
        <f t="shared" si="149"/>
        <v>1448810</v>
      </c>
      <c r="L403" s="146">
        <f t="shared" si="150"/>
        <v>1430891</v>
      </c>
      <c r="M403" s="147"/>
      <c r="N403" s="147"/>
      <c r="O403" s="147"/>
    </row>
    <row r="404" spans="1:15" s="148" customFormat="1" ht="15.75" hidden="1" outlineLevel="1" x14ac:dyDescent="0.2">
      <c r="A404" s="200"/>
      <c r="B404" s="95"/>
      <c r="C404" s="42" t="s">
        <v>1275</v>
      </c>
      <c r="D404" s="42" t="s">
        <v>1274</v>
      </c>
      <c r="E404" s="100" t="s">
        <v>292</v>
      </c>
      <c r="F404" s="100">
        <v>1</v>
      </c>
      <c r="G404" s="149">
        <f>(78918)*(1.023*1.005-2.3%*15%)*6.99+181201*4.09</f>
        <v>1306355</v>
      </c>
      <c r="H404" s="145">
        <f t="shared" si="151"/>
        <v>1.123</v>
      </c>
      <c r="I404" s="146">
        <f t="shared" si="148"/>
        <v>1467037</v>
      </c>
      <c r="J404" s="145">
        <f>'[2]Расчет прогнозных дефляторов'!$D$75</f>
        <v>1.0429999999999999</v>
      </c>
      <c r="K404" s="146">
        <f t="shared" si="149"/>
        <v>1530120</v>
      </c>
      <c r="L404" s="146">
        <f t="shared" si="150"/>
        <v>1511195</v>
      </c>
      <c r="M404" s="147"/>
      <c r="N404" s="147"/>
      <c r="O404" s="147"/>
    </row>
    <row r="405" spans="1:15" s="148" customFormat="1" ht="15.75" hidden="1" outlineLevel="1" x14ac:dyDescent="0.2">
      <c r="A405" s="200"/>
      <c r="B405" s="95"/>
      <c r="C405" s="42" t="s">
        <v>1277</v>
      </c>
      <c r="D405" s="42" t="s">
        <v>1276</v>
      </c>
      <c r="E405" s="100" t="s">
        <v>292</v>
      </c>
      <c r="F405" s="100">
        <v>1</v>
      </c>
      <c r="G405" s="149">
        <f>(78674)*(1.023*1.005-2.3%*15%)*6.99+176485*4.09</f>
        <v>1285319</v>
      </c>
      <c r="H405" s="145">
        <f t="shared" si="151"/>
        <v>1.123</v>
      </c>
      <c r="I405" s="146">
        <f t="shared" si="148"/>
        <v>1443413</v>
      </c>
      <c r="J405" s="145">
        <f>'[2]Расчет прогнозных дефляторов'!$D$75</f>
        <v>1.0429999999999999</v>
      </c>
      <c r="K405" s="146">
        <f t="shared" si="149"/>
        <v>1505480</v>
      </c>
      <c r="L405" s="146">
        <f t="shared" si="150"/>
        <v>1486860</v>
      </c>
      <c r="M405" s="147"/>
      <c r="N405" s="147"/>
      <c r="O405" s="147"/>
    </row>
    <row r="406" spans="1:15" s="148" customFormat="1" ht="15.75" hidden="1" outlineLevel="1" x14ac:dyDescent="0.2">
      <c r="A406" s="200"/>
      <c r="B406" s="95"/>
      <c r="C406" s="42" t="s">
        <v>1279</v>
      </c>
      <c r="D406" s="42" t="s">
        <v>1278</v>
      </c>
      <c r="E406" s="100" t="s">
        <v>292</v>
      </c>
      <c r="F406" s="100">
        <v>1</v>
      </c>
      <c r="G406" s="149">
        <f>(78918)*(1.023*1.005-2.3%*15%)*6.99+225699*4.09</f>
        <v>1488352</v>
      </c>
      <c r="H406" s="145">
        <f t="shared" si="151"/>
        <v>1.123</v>
      </c>
      <c r="I406" s="146">
        <f t="shared" si="148"/>
        <v>1671419</v>
      </c>
      <c r="J406" s="145">
        <f>'[2]Расчет прогнозных дефляторов'!$D$75</f>
        <v>1.0429999999999999</v>
      </c>
      <c r="K406" s="146">
        <f t="shared" si="149"/>
        <v>1743290</v>
      </c>
      <c r="L406" s="146">
        <f t="shared" si="150"/>
        <v>1721729</v>
      </c>
      <c r="M406" s="147"/>
      <c r="N406" s="147"/>
      <c r="O406" s="147"/>
    </row>
    <row r="407" spans="1:15" s="148" customFormat="1" ht="15.75" hidden="1" outlineLevel="1" x14ac:dyDescent="0.2">
      <c r="A407" s="200"/>
      <c r="B407" s="95"/>
      <c r="C407" s="42" t="s">
        <v>1281</v>
      </c>
      <c r="D407" s="42" t="s">
        <v>1280</v>
      </c>
      <c r="E407" s="100" t="s">
        <v>292</v>
      </c>
      <c r="F407" s="100">
        <v>1</v>
      </c>
      <c r="G407" s="149">
        <f>(43424)*(1.023*1.005-2.3%*15%)*6.99+43454*4.09</f>
        <v>488747</v>
      </c>
      <c r="H407" s="145">
        <f t="shared" si="151"/>
        <v>1.123</v>
      </c>
      <c r="I407" s="146">
        <f t="shared" si="148"/>
        <v>548863</v>
      </c>
      <c r="J407" s="145">
        <f>'[2]Расчет прогнозных дефляторов'!$D$75</f>
        <v>1.0429999999999999</v>
      </c>
      <c r="K407" s="146">
        <f t="shared" si="149"/>
        <v>572464</v>
      </c>
      <c r="L407" s="146">
        <f t="shared" si="150"/>
        <v>565384</v>
      </c>
      <c r="M407" s="147"/>
      <c r="N407" s="147"/>
      <c r="O407" s="147"/>
    </row>
    <row r="408" spans="1:15" s="148" customFormat="1" ht="15.75" hidden="1" outlineLevel="1" x14ac:dyDescent="0.2">
      <c r="A408" s="200"/>
      <c r="B408" s="95"/>
      <c r="C408" s="42" t="s">
        <v>1283</v>
      </c>
      <c r="D408" s="42" t="s">
        <v>1282</v>
      </c>
      <c r="E408" s="100" t="s">
        <v>292</v>
      </c>
      <c r="F408" s="100">
        <v>1</v>
      </c>
      <c r="G408" s="149">
        <f>(38583)*(1.023*1.005-2.3%*15%)*6.99+39278*4.09</f>
        <v>436994</v>
      </c>
      <c r="H408" s="145">
        <f t="shared" si="151"/>
        <v>1.123</v>
      </c>
      <c r="I408" s="146">
        <f t="shared" si="148"/>
        <v>490744</v>
      </c>
      <c r="J408" s="145">
        <f>'[2]Расчет прогнозных дефляторов'!$D$75</f>
        <v>1.0429999999999999</v>
      </c>
      <c r="K408" s="146">
        <f t="shared" si="149"/>
        <v>511846</v>
      </c>
      <c r="L408" s="146">
        <f t="shared" si="150"/>
        <v>505515</v>
      </c>
      <c r="M408" s="147"/>
      <c r="N408" s="147"/>
      <c r="O408" s="147"/>
    </row>
    <row r="409" spans="1:15" s="148" customFormat="1" ht="15.75" hidden="1" outlineLevel="1" x14ac:dyDescent="0.2">
      <c r="A409" s="200"/>
      <c r="B409" s="95"/>
      <c r="C409" s="42" t="s">
        <v>1285</v>
      </c>
      <c r="D409" s="42" t="s">
        <v>1284</v>
      </c>
      <c r="E409" s="100" t="s">
        <v>292</v>
      </c>
      <c r="F409" s="100">
        <v>1</v>
      </c>
      <c r="G409" s="149">
        <f>(48691)*(1.023*1.005-2.3%*15%)*6.99+38827*4.09</f>
        <v>507547</v>
      </c>
      <c r="H409" s="145">
        <f t="shared" si="151"/>
        <v>1.123</v>
      </c>
      <c r="I409" s="146">
        <f t="shared" si="148"/>
        <v>569975</v>
      </c>
      <c r="J409" s="145">
        <f>'[2]Расчет прогнозных дефляторов'!$D$75</f>
        <v>1.0429999999999999</v>
      </c>
      <c r="K409" s="146">
        <f t="shared" si="149"/>
        <v>594484</v>
      </c>
      <c r="L409" s="146">
        <f t="shared" si="150"/>
        <v>587131</v>
      </c>
      <c r="M409" s="147"/>
      <c r="N409" s="147"/>
      <c r="O409" s="147"/>
    </row>
    <row r="410" spans="1:15" s="148" customFormat="1" ht="15.75" hidden="1" outlineLevel="1" x14ac:dyDescent="0.2">
      <c r="A410" s="200"/>
      <c r="B410" s="95"/>
      <c r="C410" s="42" t="s">
        <v>1287</v>
      </c>
      <c r="D410" s="42" t="s">
        <v>1286</v>
      </c>
      <c r="E410" s="100" t="s">
        <v>292</v>
      </c>
      <c r="F410" s="100">
        <v>1</v>
      </c>
      <c r="G410" s="149">
        <f>(48936)*(1.023*1.005-2.3%*15%)*6.99+51874*4.09</f>
        <v>562664</v>
      </c>
      <c r="H410" s="145">
        <f t="shared" si="151"/>
        <v>1.123</v>
      </c>
      <c r="I410" s="146">
        <f t="shared" si="148"/>
        <v>631872</v>
      </c>
      <c r="J410" s="145">
        <f>'[2]Расчет прогнозных дефляторов'!$D$75</f>
        <v>1.0429999999999999</v>
      </c>
      <c r="K410" s="146">
        <f t="shared" si="149"/>
        <v>659042</v>
      </c>
      <c r="L410" s="146">
        <f t="shared" si="150"/>
        <v>650891</v>
      </c>
      <c r="M410" s="147"/>
      <c r="N410" s="147"/>
      <c r="O410" s="147"/>
    </row>
    <row r="411" spans="1:15" s="148" customFormat="1" ht="15.75" hidden="1" outlineLevel="1" x14ac:dyDescent="0.2">
      <c r="A411" s="200"/>
      <c r="B411" s="95"/>
      <c r="C411" s="42" t="s">
        <v>1289</v>
      </c>
      <c r="D411" s="42" t="s">
        <v>1288</v>
      </c>
      <c r="E411" s="100" t="s">
        <v>292</v>
      </c>
      <c r="F411" s="100">
        <v>1</v>
      </c>
      <c r="G411" s="149">
        <f>(4123+303)*(1.023*1.005-2.3%*15%)*6.99+217631*4.09</f>
        <v>921812</v>
      </c>
      <c r="H411" s="145">
        <f t="shared" si="151"/>
        <v>1.123</v>
      </c>
      <c r="I411" s="146">
        <f t="shared" si="148"/>
        <v>1035195</v>
      </c>
      <c r="J411" s="145">
        <f>'[2]Расчет прогнозных дефляторов'!$D$75</f>
        <v>1.0429999999999999</v>
      </c>
      <c r="K411" s="146">
        <f t="shared" si="149"/>
        <v>1079708</v>
      </c>
      <c r="L411" s="146">
        <f t="shared" si="150"/>
        <v>1066354</v>
      </c>
      <c r="M411" s="147"/>
      <c r="N411" s="147"/>
      <c r="O411" s="147"/>
    </row>
    <row r="412" spans="1:15" s="148" customFormat="1" ht="15.75" hidden="1" outlineLevel="1" x14ac:dyDescent="0.2">
      <c r="A412" s="200"/>
      <c r="B412" s="95"/>
      <c r="C412" s="42" t="s">
        <v>1291</v>
      </c>
      <c r="D412" s="42" t="s">
        <v>1290</v>
      </c>
      <c r="E412" s="100" t="s">
        <v>292</v>
      </c>
      <c r="F412" s="100">
        <v>1</v>
      </c>
      <c r="G412" s="149">
        <f>(196130+8851)*(1.023*1.005-2.3%*15%)*6.99+1081277*4.09+19</f>
        <v>5890600</v>
      </c>
      <c r="H412" s="145">
        <f t="shared" si="151"/>
        <v>1.123</v>
      </c>
      <c r="I412" s="146">
        <f t="shared" si="148"/>
        <v>6615144</v>
      </c>
      <c r="J412" s="145">
        <f>'[2]Расчет прогнозных дефляторов'!$D$75</f>
        <v>1.0429999999999999</v>
      </c>
      <c r="K412" s="146">
        <f t="shared" si="149"/>
        <v>6899595</v>
      </c>
      <c r="L412" s="146">
        <f t="shared" si="150"/>
        <v>6814260</v>
      </c>
      <c r="M412" s="147"/>
      <c r="N412" s="147"/>
      <c r="O412" s="147"/>
    </row>
    <row r="413" spans="1:15" s="243" customFormat="1" ht="15.75" collapsed="1" x14ac:dyDescent="0.2">
      <c r="B413" s="244"/>
      <c r="C413" s="245" t="s">
        <v>182</v>
      </c>
      <c r="D413" s="245" t="s">
        <v>1782</v>
      </c>
      <c r="E413" s="246" t="s">
        <v>292</v>
      </c>
      <c r="F413" s="247">
        <v>1</v>
      </c>
      <c r="G413" s="247">
        <f>(68309)*(1.023*1.005-2.3%*15%)*6.99+810635*4.09+28</f>
        <v>3804782</v>
      </c>
      <c r="H413" s="248">
        <f t="shared" si="151"/>
        <v>1.123</v>
      </c>
      <c r="I413" s="255">
        <f t="shared" si="148"/>
        <v>4272770</v>
      </c>
      <c r="J413" s="248">
        <f>'[2]Расчет прогнозных дефляторов'!$D$75</f>
        <v>1.0429999999999999</v>
      </c>
      <c r="K413" s="255">
        <f t="shared" si="149"/>
        <v>4456499</v>
      </c>
      <c r="L413" s="255">
        <f t="shared" si="150"/>
        <v>4401380</v>
      </c>
      <c r="M413" s="269"/>
      <c r="N413" s="269"/>
      <c r="O413" s="269"/>
    </row>
    <row r="414" spans="1:15" s="243" customFormat="1" ht="15.75" x14ac:dyDescent="0.2">
      <c r="B414" s="244"/>
      <c r="C414" s="245" t="s">
        <v>186</v>
      </c>
      <c r="D414" s="245" t="s">
        <v>585</v>
      </c>
      <c r="E414" s="246" t="s">
        <v>292</v>
      </c>
      <c r="F414" s="247">
        <v>1</v>
      </c>
      <c r="G414" s="247">
        <f>SUM(G415:G418)</f>
        <v>2640270</v>
      </c>
      <c r="H414" s="248">
        <f t="shared" si="151"/>
        <v>1.123</v>
      </c>
      <c r="I414" s="247">
        <f>SUM(I415:I418)</f>
        <v>2965023</v>
      </c>
      <c r="J414" s="248">
        <f>'[2]Расчет прогнозных дефляторов'!$D$75</f>
        <v>1.0429999999999999</v>
      </c>
      <c r="K414" s="247">
        <f>SUM(K415:K418)</f>
        <v>3092520</v>
      </c>
      <c r="L414" s="247">
        <f>SUM(L415:L418)</f>
        <v>3054271</v>
      </c>
      <c r="M414" s="269"/>
      <c r="N414" s="269"/>
      <c r="O414" s="269"/>
    </row>
    <row r="415" spans="1:15" s="148" customFormat="1" ht="15.75" hidden="1" outlineLevel="1" x14ac:dyDescent="0.2">
      <c r="A415" s="200"/>
      <c r="B415" s="95"/>
      <c r="C415" s="42" t="s">
        <v>1298</v>
      </c>
      <c r="D415" s="42" t="s">
        <v>1297</v>
      </c>
      <c r="E415" s="100" t="s">
        <v>292</v>
      </c>
      <c r="F415" s="149">
        <v>1</v>
      </c>
      <c r="G415" s="149">
        <f>(76200)*(1.023*1.005-2.3%*15%)*6.99+32980*4.09</f>
        <v>680664</v>
      </c>
      <c r="H415" s="145">
        <f t="shared" si="151"/>
        <v>1.123</v>
      </c>
      <c r="I415" s="146">
        <f t="shared" ref="I415:I418" si="152">G415*H415</f>
        <v>764386</v>
      </c>
      <c r="J415" s="145">
        <f>'[2]Расчет прогнозных дефляторов'!$D$75</f>
        <v>1.0429999999999999</v>
      </c>
      <c r="K415" s="146">
        <f t="shared" ref="K415:K418" si="153">I415*J415</f>
        <v>797255</v>
      </c>
      <c r="L415" s="146">
        <f t="shared" ref="L415:L418" si="154">I415+(K415-I415)*(1-30/100)</f>
        <v>787394</v>
      </c>
      <c r="M415" s="147"/>
      <c r="N415" s="147"/>
      <c r="O415" s="147"/>
    </row>
    <row r="416" spans="1:15" s="148" customFormat="1" ht="15.75" hidden="1" outlineLevel="1" x14ac:dyDescent="0.2">
      <c r="A416" s="200"/>
      <c r="B416" s="95"/>
      <c r="C416" s="42" t="s">
        <v>1300</v>
      </c>
      <c r="D416" s="42" t="s">
        <v>1299</v>
      </c>
      <c r="E416" s="100" t="s">
        <v>292</v>
      </c>
      <c r="F416" s="149">
        <v>1</v>
      </c>
      <c r="G416" s="149">
        <f>(68555)*(1.023*1.005-2.3%*15%)*6.99+132456*4.09+2</f>
        <v>1032766</v>
      </c>
      <c r="H416" s="145">
        <f t="shared" si="151"/>
        <v>1.123</v>
      </c>
      <c r="I416" s="146">
        <f t="shared" si="152"/>
        <v>1159796</v>
      </c>
      <c r="J416" s="145">
        <f>'[2]Расчет прогнозных дефляторов'!$D$75</f>
        <v>1.0429999999999999</v>
      </c>
      <c r="K416" s="146">
        <f t="shared" si="153"/>
        <v>1209667</v>
      </c>
      <c r="L416" s="146">
        <f t="shared" si="154"/>
        <v>1194706</v>
      </c>
      <c r="M416" s="147"/>
      <c r="N416" s="147"/>
      <c r="O416" s="147"/>
    </row>
    <row r="417" spans="1:15" s="148" customFormat="1" ht="15.75" hidden="1" outlineLevel="1" x14ac:dyDescent="0.2">
      <c r="A417" s="200"/>
      <c r="B417" s="95"/>
      <c r="C417" s="42" t="s">
        <v>1302</v>
      </c>
      <c r="D417" s="42" t="s">
        <v>1301</v>
      </c>
      <c r="E417" s="100" t="s">
        <v>292</v>
      </c>
      <c r="F417" s="149">
        <v>1</v>
      </c>
      <c r="G417" s="149">
        <f>(46853)*(1.023*1.005-2.3%*15%)*6.99+1695*4.09</f>
        <v>342513</v>
      </c>
      <c r="H417" s="145">
        <f t="shared" si="151"/>
        <v>1.123</v>
      </c>
      <c r="I417" s="146">
        <f t="shared" si="152"/>
        <v>384642</v>
      </c>
      <c r="J417" s="145">
        <f>'[2]Расчет прогнозных дефляторов'!$D$75</f>
        <v>1.0429999999999999</v>
      </c>
      <c r="K417" s="146">
        <f t="shared" si="153"/>
        <v>401182</v>
      </c>
      <c r="L417" s="146">
        <f t="shared" si="154"/>
        <v>396220</v>
      </c>
      <c r="M417" s="147"/>
      <c r="N417" s="147"/>
      <c r="O417" s="147"/>
    </row>
    <row r="418" spans="1:15" s="148" customFormat="1" ht="15.75" hidden="1" outlineLevel="1" x14ac:dyDescent="0.2">
      <c r="A418" s="200"/>
      <c r="B418" s="95"/>
      <c r="C418" s="42" t="s">
        <v>1304</v>
      </c>
      <c r="D418" s="42" t="s">
        <v>1303</v>
      </c>
      <c r="E418" s="100" t="s">
        <v>292</v>
      </c>
      <c r="F418" s="149">
        <v>1</v>
      </c>
      <c r="G418" s="149">
        <f>(62881)*(1.023*1.005-2.3%*15%)*6.99+32750*4.09</f>
        <v>584327</v>
      </c>
      <c r="H418" s="145">
        <f t="shared" si="151"/>
        <v>1.123</v>
      </c>
      <c r="I418" s="146">
        <f t="shared" si="152"/>
        <v>656199</v>
      </c>
      <c r="J418" s="145">
        <f>'[2]Расчет прогнозных дефляторов'!$D$75</f>
        <v>1.0429999999999999</v>
      </c>
      <c r="K418" s="146">
        <f t="shared" si="153"/>
        <v>684416</v>
      </c>
      <c r="L418" s="146">
        <f t="shared" si="154"/>
        <v>675951</v>
      </c>
      <c r="M418" s="147"/>
      <c r="N418" s="147"/>
      <c r="O418" s="147"/>
    </row>
    <row r="419" spans="1:15" s="237" customFormat="1" ht="25.5" collapsed="1" x14ac:dyDescent="0.2">
      <c r="A419" s="285"/>
      <c r="B419" s="238"/>
      <c r="C419" s="229" t="s">
        <v>184</v>
      </c>
      <c r="D419" s="229" t="s">
        <v>185</v>
      </c>
      <c r="E419" s="239" t="s">
        <v>292</v>
      </c>
      <c r="F419" s="240">
        <v>1</v>
      </c>
      <c r="G419" s="240">
        <f>SUM(G420:G423)</f>
        <v>40826</v>
      </c>
      <c r="H419" s="241">
        <f t="shared" si="151"/>
        <v>1.123</v>
      </c>
      <c r="I419" s="240">
        <f>SUM(I420:I423)</f>
        <v>45847</v>
      </c>
      <c r="J419" s="241">
        <f>'[2]Расчет прогнозных дефляторов'!$D$75</f>
        <v>1.0429999999999999</v>
      </c>
      <c r="K419" s="240">
        <f>SUM(K420:K423)</f>
        <v>47818</v>
      </c>
      <c r="L419" s="240">
        <f>SUM(L420:L423)</f>
        <v>47227</v>
      </c>
      <c r="M419" s="256"/>
      <c r="N419" s="256"/>
      <c r="O419" s="256"/>
    </row>
    <row r="420" spans="1:15" s="148" customFormat="1" ht="15.75" hidden="1" outlineLevel="1" x14ac:dyDescent="0.2">
      <c r="A420" s="267"/>
      <c r="B420" s="95"/>
      <c r="C420" s="42"/>
      <c r="D420" s="42" t="s">
        <v>1292</v>
      </c>
      <c r="E420" s="100"/>
      <c r="F420" s="100"/>
      <c r="G420" s="149"/>
      <c r="H420" s="145"/>
      <c r="I420" s="146"/>
      <c r="J420" s="145"/>
      <c r="K420" s="146"/>
      <c r="L420" s="146"/>
      <c r="M420" s="147"/>
      <c r="N420" s="147"/>
      <c r="O420" s="147"/>
    </row>
    <row r="421" spans="1:15" s="148" customFormat="1" ht="51" hidden="1" outlineLevel="1" x14ac:dyDescent="0.2">
      <c r="A421" s="267"/>
      <c r="B421" s="95"/>
      <c r="C421" s="42" t="s">
        <v>1293</v>
      </c>
      <c r="D421" s="42" t="s">
        <v>435</v>
      </c>
      <c r="E421" s="100" t="s">
        <v>408</v>
      </c>
      <c r="F421" s="149">
        <v>1</v>
      </c>
      <c r="G421" s="149">
        <f>(3680)*(1.023*1.005-2.3%*15%)*6.99+0*4.09+14</f>
        <v>26372</v>
      </c>
      <c r="H421" s="145">
        <f t="shared" ref="H421:H427" si="155">$H$772</f>
        <v>1.123</v>
      </c>
      <c r="I421" s="146">
        <f t="shared" ref="I421:I423" si="156">G421*H421</f>
        <v>29616</v>
      </c>
      <c r="J421" s="145">
        <f>'[2]Расчет прогнозных дефляторов'!$D$75</f>
        <v>1.0429999999999999</v>
      </c>
      <c r="K421" s="146">
        <f t="shared" ref="K421:K423" si="157">I421*J421</f>
        <v>30889</v>
      </c>
      <c r="L421" s="146">
        <f t="shared" ref="L421:L423" si="158">I421+(K421-I421)*(1-30/100)</f>
        <v>30507</v>
      </c>
      <c r="M421" s="172" t="s">
        <v>1296</v>
      </c>
      <c r="N421" s="147"/>
      <c r="O421" s="147"/>
    </row>
    <row r="422" spans="1:15" s="148" customFormat="1" ht="51" hidden="1" outlineLevel="1" x14ac:dyDescent="0.2">
      <c r="A422" s="267"/>
      <c r="B422" s="95"/>
      <c r="C422" s="42" t="s">
        <v>1294</v>
      </c>
      <c r="D422" s="42" t="s">
        <v>437</v>
      </c>
      <c r="E422" s="100" t="s">
        <v>408</v>
      </c>
      <c r="F422" s="149">
        <v>1</v>
      </c>
      <c r="G422" s="149">
        <f>(1064)*(1.023*1.005-2.3%*15%)*6.99+0*4.09</f>
        <v>7621</v>
      </c>
      <c r="H422" s="145">
        <f t="shared" si="155"/>
        <v>1.123</v>
      </c>
      <c r="I422" s="146">
        <f t="shared" si="156"/>
        <v>8558</v>
      </c>
      <c r="J422" s="145">
        <f>'[2]Расчет прогнозных дефляторов'!$D$75</f>
        <v>1.0429999999999999</v>
      </c>
      <c r="K422" s="146">
        <f t="shared" si="157"/>
        <v>8926</v>
      </c>
      <c r="L422" s="146">
        <f t="shared" si="158"/>
        <v>8816</v>
      </c>
      <c r="M422" s="172" t="s">
        <v>1296</v>
      </c>
      <c r="N422" s="147"/>
      <c r="O422" s="147"/>
    </row>
    <row r="423" spans="1:15" s="148" customFormat="1" ht="63.75" hidden="1" outlineLevel="1" x14ac:dyDescent="0.2">
      <c r="A423" s="267"/>
      <c r="B423" s="95"/>
      <c r="C423" s="42" t="s">
        <v>1295</v>
      </c>
      <c r="D423" s="42" t="s">
        <v>439</v>
      </c>
      <c r="E423" s="100" t="s">
        <v>408</v>
      </c>
      <c r="F423" s="149">
        <v>1</v>
      </c>
      <c r="G423" s="149">
        <f>(954)*(1.023*1.005-2.3%*15%)*6.99+0*4.09</f>
        <v>6833</v>
      </c>
      <c r="H423" s="145">
        <f t="shared" si="155"/>
        <v>1.123</v>
      </c>
      <c r="I423" s="146">
        <f t="shared" si="156"/>
        <v>7673</v>
      </c>
      <c r="J423" s="145">
        <f>'[2]Расчет прогнозных дефляторов'!$D$75</f>
        <v>1.0429999999999999</v>
      </c>
      <c r="K423" s="146">
        <f t="shared" si="157"/>
        <v>8003</v>
      </c>
      <c r="L423" s="146">
        <f t="shared" si="158"/>
        <v>7904</v>
      </c>
      <c r="M423" s="172" t="s">
        <v>1296</v>
      </c>
      <c r="N423" s="147"/>
      <c r="O423" s="147"/>
    </row>
    <row r="424" spans="1:15" s="237" customFormat="1" ht="25.5" collapsed="1" x14ac:dyDescent="0.2">
      <c r="A424" s="285"/>
      <c r="B424" s="238"/>
      <c r="C424" s="229" t="s">
        <v>188</v>
      </c>
      <c r="D424" s="229" t="s">
        <v>189</v>
      </c>
      <c r="E424" s="239" t="s">
        <v>292</v>
      </c>
      <c r="F424" s="240">
        <v>1</v>
      </c>
      <c r="G424" s="240">
        <f>SUM(G425:G426)</f>
        <v>178588</v>
      </c>
      <c r="H424" s="241">
        <f t="shared" si="155"/>
        <v>1.123</v>
      </c>
      <c r="I424" s="240">
        <f>SUM(I425:I426)</f>
        <v>200554</v>
      </c>
      <c r="J424" s="241">
        <f>'[2]Расчет прогнозных дефляторов'!$D$75</f>
        <v>1.0429999999999999</v>
      </c>
      <c r="K424" s="240">
        <f>SUM(K425:K426)</f>
        <v>209178</v>
      </c>
      <c r="L424" s="240">
        <f>SUM(L425:L426)</f>
        <v>206591</v>
      </c>
      <c r="M424" s="256"/>
      <c r="N424" s="256"/>
      <c r="O424" s="256"/>
    </row>
    <row r="425" spans="1:15" s="148" customFormat="1" ht="25.5" hidden="1" outlineLevel="1" x14ac:dyDescent="0.2">
      <c r="A425" s="200"/>
      <c r="B425" s="95"/>
      <c r="C425" s="42" t="s">
        <v>1306</v>
      </c>
      <c r="D425" s="42" t="s">
        <v>1305</v>
      </c>
      <c r="E425" s="100" t="s">
        <v>292</v>
      </c>
      <c r="F425" s="149">
        <v>1</v>
      </c>
      <c r="G425" s="149">
        <f>(19479)*(1.023*1.005-2.3%*15%)*6.99+4043*4.09+47</f>
        <v>156099</v>
      </c>
      <c r="H425" s="145">
        <f t="shared" si="155"/>
        <v>1.123</v>
      </c>
      <c r="I425" s="146">
        <f t="shared" ref="I425:I426" si="159">G425*H425</f>
        <v>175299</v>
      </c>
      <c r="J425" s="145">
        <f>'[2]Расчет прогнозных дефляторов'!$D$75</f>
        <v>1.0429999999999999</v>
      </c>
      <c r="K425" s="146">
        <f t="shared" ref="K425:K426" si="160">I425*J425</f>
        <v>182837</v>
      </c>
      <c r="L425" s="146">
        <f t="shared" ref="L425:L426" si="161">I425+(K425-I425)*(1-30/100)</f>
        <v>180576</v>
      </c>
      <c r="M425" s="147"/>
      <c r="N425" s="147"/>
      <c r="O425" s="147"/>
    </row>
    <row r="426" spans="1:15" s="148" customFormat="1" ht="25.5" hidden="1" outlineLevel="1" x14ac:dyDescent="0.2">
      <c r="A426" s="200"/>
      <c r="B426" s="95"/>
      <c r="C426" s="42" t="s">
        <v>1308</v>
      </c>
      <c r="D426" s="42" t="s">
        <v>1307</v>
      </c>
      <c r="E426" s="100" t="s">
        <v>292</v>
      </c>
      <c r="F426" s="149">
        <v>1</v>
      </c>
      <c r="G426" s="149">
        <f>(3044)*(1.023*1.005-2.3%*15%)*6.99+168*4.09</f>
        <v>22489</v>
      </c>
      <c r="H426" s="145">
        <f t="shared" si="155"/>
        <v>1.123</v>
      </c>
      <c r="I426" s="146">
        <f t="shared" si="159"/>
        <v>25255</v>
      </c>
      <c r="J426" s="145">
        <f>'[2]Расчет прогнозных дефляторов'!$D$75</f>
        <v>1.0429999999999999</v>
      </c>
      <c r="K426" s="146">
        <f t="shared" si="160"/>
        <v>26341</v>
      </c>
      <c r="L426" s="146">
        <f t="shared" si="161"/>
        <v>26015</v>
      </c>
      <c r="M426" s="147"/>
      <c r="N426" s="147"/>
      <c r="O426" s="147"/>
    </row>
    <row r="427" spans="1:15" s="243" customFormat="1" ht="38.25" collapsed="1" x14ac:dyDescent="0.2">
      <c r="A427" s="285"/>
      <c r="B427" s="244"/>
      <c r="C427" s="245" t="s">
        <v>217</v>
      </c>
      <c r="D427" s="245" t="s">
        <v>218</v>
      </c>
      <c r="E427" s="246" t="s">
        <v>292</v>
      </c>
      <c r="F427" s="247">
        <v>1</v>
      </c>
      <c r="G427" s="247">
        <f>SUM(G428:G443)</f>
        <v>22495477</v>
      </c>
      <c r="H427" s="248">
        <f t="shared" si="155"/>
        <v>1.123</v>
      </c>
      <c r="I427" s="247">
        <f>SUM(I428:I443)</f>
        <v>25262419</v>
      </c>
      <c r="J427" s="248">
        <f>'[2]Расчет прогнозных дефляторов'!$D$75</f>
        <v>1.0429999999999999</v>
      </c>
      <c r="K427" s="247">
        <f>SUM(K428:K443)</f>
        <v>26348703</v>
      </c>
      <c r="L427" s="247">
        <f>SUM(L428:L443)</f>
        <v>26022819</v>
      </c>
      <c r="M427" s="269"/>
      <c r="N427" s="269"/>
      <c r="O427" s="269"/>
    </row>
    <row r="428" spans="1:15" s="148" customFormat="1" ht="15.75" outlineLevel="1" x14ac:dyDescent="0.2">
      <c r="A428" s="236"/>
      <c r="B428" s="95"/>
      <c r="C428" s="42"/>
      <c r="D428" s="42" t="s">
        <v>367</v>
      </c>
      <c r="E428" s="100"/>
      <c r="F428" s="100"/>
      <c r="G428" s="149"/>
      <c r="H428" s="145"/>
      <c r="I428" s="146"/>
      <c r="J428" s="145"/>
      <c r="K428" s="146"/>
      <c r="L428" s="146"/>
      <c r="M428" s="147"/>
      <c r="N428" s="147"/>
      <c r="O428" s="147"/>
    </row>
    <row r="429" spans="1:15" s="148" customFormat="1" ht="15.75" outlineLevel="1" x14ac:dyDescent="0.2">
      <c r="A429" s="236"/>
      <c r="B429" s="95"/>
      <c r="C429" s="42" t="s">
        <v>458</v>
      </c>
      <c r="D429" s="42" t="s">
        <v>1348</v>
      </c>
      <c r="E429" s="100" t="s">
        <v>300</v>
      </c>
      <c r="F429" s="100">
        <v>25</v>
      </c>
      <c r="G429" s="149">
        <f>(4176)*(1.023*1.005-2.3%*15%)*6.99+0*4.09</f>
        <v>29910</v>
      </c>
      <c r="H429" s="145">
        <f t="shared" ref="H429:H436" si="162">$H$772</f>
        <v>1.123</v>
      </c>
      <c r="I429" s="146">
        <f t="shared" ref="I429:I436" si="163">G429*H429</f>
        <v>33589</v>
      </c>
      <c r="J429" s="145">
        <f>'[2]Расчет прогнозных дефляторов'!$D$75</f>
        <v>1.0429999999999999</v>
      </c>
      <c r="K429" s="146">
        <f t="shared" ref="K429:K436" si="164">I429*J429</f>
        <v>35033</v>
      </c>
      <c r="L429" s="146">
        <f t="shared" ref="L429:L436" si="165">I429+(K429-I429)*(1-30/100)</f>
        <v>34600</v>
      </c>
      <c r="M429" s="147" t="s">
        <v>1349</v>
      </c>
      <c r="N429" s="147"/>
      <c r="O429" s="147"/>
    </row>
    <row r="430" spans="1:15" s="148" customFormat="1" ht="15.75" outlineLevel="1" x14ac:dyDescent="0.2">
      <c r="A430" s="236"/>
      <c r="B430" s="95"/>
      <c r="C430" s="42" t="s">
        <v>1350</v>
      </c>
      <c r="D430" s="42" t="s">
        <v>1010</v>
      </c>
      <c r="E430" s="100" t="s">
        <v>300</v>
      </c>
      <c r="F430" s="100">
        <f>151.9</f>
        <v>151.9</v>
      </c>
      <c r="G430" s="149">
        <f>(275464)*(1.023*1.005-2.3%*15%)*6.99+0*4.09</f>
        <v>1972986</v>
      </c>
      <c r="H430" s="145">
        <f t="shared" si="162"/>
        <v>1.123</v>
      </c>
      <c r="I430" s="146">
        <f t="shared" si="163"/>
        <v>2215663</v>
      </c>
      <c r="J430" s="145">
        <f>'[2]Расчет прогнозных дефляторов'!$D$75</f>
        <v>1.0429999999999999</v>
      </c>
      <c r="K430" s="146">
        <f t="shared" si="164"/>
        <v>2310937</v>
      </c>
      <c r="L430" s="146">
        <f t="shared" si="165"/>
        <v>2282355</v>
      </c>
      <c r="M430" s="147"/>
      <c r="N430" s="147"/>
      <c r="O430" s="147"/>
    </row>
    <row r="431" spans="1:15" s="148" customFormat="1" ht="15.75" outlineLevel="1" x14ac:dyDescent="0.2">
      <c r="A431" s="236"/>
      <c r="B431" s="95"/>
      <c r="C431" s="42" t="s">
        <v>1352</v>
      </c>
      <c r="D431" s="42" t="s">
        <v>1351</v>
      </c>
      <c r="E431" s="100" t="s">
        <v>300</v>
      </c>
      <c r="F431" s="100">
        <f>63.7</f>
        <v>63.7</v>
      </c>
      <c r="G431" s="149">
        <f>(96782)*(1.023*1.005-2.3%*15%)*6.99+0*4.09</f>
        <v>693192</v>
      </c>
      <c r="H431" s="145">
        <f t="shared" si="162"/>
        <v>1.123</v>
      </c>
      <c r="I431" s="146">
        <f t="shared" si="163"/>
        <v>778455</v>
      </c>
      <c r="J431" s="145">
        <f>'[2]Расчет прогнозных дефляторов'!$D$75</f>
        <v>1.0429999999999999</v>
      </c>
      <c r="K431" s="146">
        <f t="shared" si="164"/>
        <v>811929</v>
      </c>
      <c r="L431" s="146">
        <f t="shared" si="165"/>
        <v>801887</v>
      </c>
      <c r="M431" s="147"/>
      <c r="N431" s="147"/>
      <c r="O431" s="147"/>
    </row>
    <row r="432" spans="1:15" s="148" customFormat="1" ht="15.75" outlineLevel="1" x14ac:dyDescent="0.2">
      <c r="A432" s="236"/>
      <c r="B432" s="95"/>
      <c r="C432" s="42" t="s">
        <v>1354</v>
      </c>
      <c r="D432" s="42" t="s">
        <v>1353</v>
      </c>
      <c r="E432" s="100" t="s">
        <v>300</v>
      </c>
      <c r="F432" s="100">
        <f>10.3</f>
        <v>10.3</v>
      </c>
      <c r="G432" s="149">
        <f>(16135)*(1.023*1.005-2.3%*15%)*6.99+0*4.09</f>
        <v>115565</v>
      </c>
      <c r="H432" s="145">
        <f t="shared" si="162"/>
        <v>1.123</v>
      </c>
      <c r="I432" s="146">
        <f t="shared" si="163"/>
        <v>129779</v>
      </c>
      <c r="J432" s="145">
        <f>'[2]Расчет прогнозных дефляторов'!$D$75</f>
        <v>1.0429999999999999</v>
      </c>
      <c r="K432" s="146">
        <f t="shared" si="164"/>
        <v>135359</v>
      </c>
      <c r="L432" s="146">
        <f t="shared" si="165"/>
        <v>133685</v>
      </c>
      <c r="M432" s="147"/>
      <c r="N432" s="147"/>
      <c r="O432" s="147"/>
    </row>
    <row r="433" spans="1:15" s="148" customFormat="1" ht="15.75" outlineLevel="1" x14ac:dyDescent="0.2">
      <c r="A433" s="236"/>
      <c r="B433" s="95"/>
      <c r="C433" s="42" t="s">
        <v>1356</v>
      </c>
      <c r="D433" s="42" t="s">
        <v>1355</v>
      </c>
      <c r="E433" s="100" t="s">
        <v>300</v>
      </c>
      <c r="F433" s="100">
        <f>39</f>
        <v>39</v>
      </c>
      <c r="G433" s="149">
        <f>(133405)*(1.023*1.005-2.3%*15%)*6.99+0*4.09</f>
        <v>955501</v>
      </c>
      <c r="H433" s="145">
        <f t="shared" si="162"/>
        <v>1.123</v>
      </c>
      <c r="I433" s="146">
        <f t="shared" si="163"/>
        <v>1073028</v>
      </c>
      <c r="J433" s="145">
        <f>'[2]Расчет прогнозных дефляторов'!$D$75</f>
        <v>1.0429999999999999</v>
      </c>
      <c r="K433" s="146">
        <f t="shared" si="164"/>
        <v>1119168</v>
      </c>
      <c r="L433" s="146">
        <f t="shared" si="165"/>
        <v>1105326</v>
      </c>
      <c r="M433" s="147"/>
      <c r="N433" s="147"/>
      <c r="O433" s="147"/>
    </row>
    <row r="434" spans="1:15" s="148" customFormat="1" ht="15.75" outlineLevel="1" x14ac:dyDescent="0.2">
      <c r="A434" s="236"/>
      <c r="B434" s="95"/>
      <c r="C434" s="42" t="s">
        <v>1358</v>
      </c>
      <c r="D434" s="42" t="s">
        <v>1357</v>
      </c>
      <c r="E434" s="100" t="s">
        <v>300</v>
      </c>
      <c r="F434" s="100">
        <f>134</f>
        <v>134</v>
      </c>
      <c r="G434" s="149">
        <f>(259297)*(1.023*1.005-2.3%*15%)*6.99+0*4.09</f>
        <v>1857191</v>
      </c>
      <c r="H434" s="145">
        <f t="shared" si="162"/>
        <v>1.123</v>
      </c>
      <c r="I434" s="146">
        <f t="shared" si="163"/>
        <v>2085625</v>
      </c>
      <c r="J434" s="145">
        <f>'[2]Расчет прогнозных дефляторов'!$D$75</f>
        <v>1.0429999999999999</v>
      </c>
      <c r="K434" s="146">
        <f t="shared" si="164"/>
        <v>2175307</v>
      </c>
      <c r="L434" s="146">
        <f t="shared" si="165"/>
        <v>2148402</v>
      </c>
      <c r="M434" s="147"/>
      <c r="N434" s="147"/>
      <c r="O434" s="147"/>
    </row>
    <row r="435" spans="1:15" s="148" customFormat="1" ht="15.75" outlineLevel="1" x14ac:dyDescent="0.2">
      <c r="A435" s="236"/>
      <c r="B435" s="95"/>
      <c r="C435" s="42" t="s">
        <v>1360</v>
      </c>
      <c r="D435" s="42" t="s">
        <v>1359</v>
      </c>
      <c r="E435" s="100" t="s">
        <v>300</v>
      </c>
      <c r="F435" s="100">
        <v>16.7</v>
      </c>
      <c r="G435" s="149">
        <f>(29512)*(1.023*1.005-2.3%*15%)*6.99+0*4.09</f>
        <v>211377</v>
      </c>
      <c r="H435" s="145">
        <f t="shared" si="162"/>
        <v>1.123</v>
      </c>
      <c r="I435" s="146">
        <f t="shared" si="163"/>
        <v>237376</v>
      </c>
      <c r="J435" s="145">
        <f>'[2]Расчет прогнозных дефляторов'!$D$75</f>
        <v>1.0429999999999999</v>
      </c>
      <c r="K435" s="146">
        <f t="shared" si="164"/>
        <v>247583</v>
      </c>
      <c r="L435" s="146">
        <f t="shared" si="165"/>
        <v>244521</v>
      </c>
      <c r="M435" s="147"/>
      <c r="N435" s="147"/>
      <c r="O435" s="147"/>
    </row>
    <row r="436" spans="1:15" s="148" customFormat="1" ht="25.5" outlineLevel="1" x14ac:dyDescent="0.2">
      <c r="A436" s="236"/>
      <c r="B436" s="95"/>
      <c r="C436" s="42" t="s">
        <v>1361</v>
      </c>
      <c r="D436" s="42" t="s">
        <v>1019</v>
      </c>
      <c r="E436" s="100" t="s">
        <v>292</v>
      </c>
      <c r="F436" s="100">
        <v>1</v>
      </c>
      <c r="G436" s="149">
        <f>(80274)*(1.023*1.005-2.3%*15%)*6.99+0*4.09</f>
        <v>574955</v>
      </c>
      <c r="H436" s="145">
        <f t="shared" si="162"/>
        <v>1.123</v>
      </c>
      <c r="I436" s="146">
        <f t="shared" si="163"/>
        <v>645674</v>
      </c>
      <c r="J436" s="145">
        <f>'[2]Расчет прогнозных дефляторов'!$D$75</f>
        <v>1.0429999999999999</v>
      </c>
      <c r="K436" s="146">
        <f t="shared" si="164"/>
        <v>673438</v>
      </c>
      <c r="L436" s="146">
        <f t="shared" si="165"/>
        <v>665109</v>
      </c>
      <c r="M436" s="147"/>
      <c r="N436" s="147"/>
      <c r="O436" s="147"/>
    </row>
    <row r="437" spans="1:15" s="148" customFormat="1" ht="15.75" outlineLevel="1" x14ac:dyDescent="0.2">
      <c r="A437" s="236"/>
      <c r="B437" s="95"/>
      <c r="C437" s="42"/>
      <c r="D437" s="42" t="s">
        <v>1026</v>
      </c>
      <c r="E437" s="100"/>
      <c r="F437" s="100"/>
      <c r="G437" s="149"/>
      <c r="H437" s="145"/>
      <c r="I437" s="146"/>
      <c r="J437" s="145"/>
      <c r="K437" s="146"/>
      <c r="L437" s="146"/>
      <c r="M437" s="147"/>
      <c r="N437" s="147"/>
      <c r="O437" s="147"/>
    </row>
    <row r="438" spans="1:15" s="148" customFormat="1" ht="15.75" outlineLevel="1" x14ac:dyDescent="0.2">
      <c r="A438" s="236"/>
      <c r="B438" s="95"/>
      <c r="C438" s="42" t="s">
        <v>1362</v>
      </c>
      <c r="D438" s="42" t="s">
        <v>1027</v>
      </c>
      <c r="E438" s="100" t="s">
        <v>292</v>
      </c>
      <c r="F438" s="100">
        <v>1</v>
      </c>
      <c r="G438" s="149">
        <f>(100140)*(1.023*1.005-2.3%*15%)*6.99+0*4.09</f>
        <v>717244</v>
      </c>
      <c r="H438" s="145">
        <f>$H$772</f>
        <v>1.123</v>
      </c>
      <c r="I438" s="146">
        <f t="shared" ref="I438:I440" si="166">G438*H438</f>
        <v>805465</v>
      </c>
      <c r="J438" s="145">
        <f>'[2]Расчет прогнозных дефляторов'!$D$75</f>
        <v>1.0429999999999999</v>
      </c>
      <c r="K438" s="146">
        <f t="shared" ref="K438:K440" si="167">I438*J438</f>
        <v>840100</v>
      </c>
      <c r="L438" s="146">
        <f t="shared" ref="L438:L440" si="168">I438+(K438-I438)*(1-30/100)</f>
        <v>829710</v>
      </c>
      <c r="M438" s="147" t="s">
        <v>1363</v>
      </c>
      <c r="N438" s="147"/>
      <c r="O438" s="147"/>
    </row>
    <row r="439" spans="1:15" s="148" customFormat="1" ht="15.75" outlineLevel="1" x14ac:dyDescent="0.2">
      <c r="A439" s="236"/>
      <c r="B439" s="95"/>
      <c r="C439" s="42" t="s">
        <v>1364</v>
      </c>
      <c r="D439" s="42" t="s">
        <v>1031</v>
      </c>
      <c r="E439" s="100" t="s">
        <v>292</v>
      </c>
      <c r="F439" s="100">
        <v>1</v>
      </c>
      <c r="G439" s="149">
        <f>(1459391)*(1.023*1.005-2.3%*15%)*6.99+0*4.09+15</f>
        <v>10452769</v>
      </c>
      <c r="H439" s="145">
        <f>$H$772</f>
        <v>1.123</v>
      </c>
      <c r="I439" s="146">
        <f t="shared" si="166"/>
        <v>11738460</v>
      </c>
      <c r="J439" s="145">
        <f>'[2]Расчет прогнозных дефляторов'!$D$75</f>
        <v>1.0429999999999999</v>
      </c>
      <c r="K439" s="146">
        <f t="shared" si="167"/>
        <v>12243214</v>
      </c>
      <c r="L439" s="146">
        <f t="shared" si="168"/>
        <v>12091788</v>
      </c>
      <c r="M439" s="147"/>
      <c r="N439" s="147"/>
      <c r="O439" s="147"/>
    </row>
    <row r="440" spans="1:15" s="148" customFormat="1" ht="15.75" outlineLevel="1" x14ac:dyDescent="0.2">
      <c r="A440" s="236"/>
      <c r="B440" s="95"/>
      <c r="C440" s="42" t="s">
        <v>1365</v>
      </c>
      <c r="D440" s="42" t="s">
        <v>1036</v>
      </c>
      <c r="E440" s="100" t="s">
        <v>637</v>
      </c>
      <c r="F440" s="100">
        <v>1.5</v>
      </c>
      <c r="G440" s="149">
        <f>(21691)*(1.023*1.005-2.3%*15%)*6.99+0*4.09</f>
        <v>155360</v>
      </c>
      <c r="H440" s="145">
        <f>$H$772</f>
        <v>1.123</v>
      </c>
      <c r="I440" s="146">
        <f t="shared" si="166"/>
        <v>174469</v>
      </c>
      <c r="J440" s="145">
        <f>'[2]Расчет прогнозных дефляторов'!$D$75</f>
        <v>1.0429999999999999</v>
      </c>
      <c r="K440" s="146">
        <f t="shared" si="167"/>
        <v>181971</v>
      </c>
      <c r="L440" s="146">
        <f t="shared" si="168"/>
        <v>179720</v>
      </c>
      <c r="M440" s="147"/>
      <c r="N440" s="147"/>
      <c r="O440" s="147"/>
    </row>
    <row r="441" spans="1:15" s="148" customFormat="1" ht="15.75" outlineLevel="1" x14ac:dyDescent="0.2">
      <c r="A441" s="236"/>
      <c r="B441" s="95"/>
      <c r="C441" s="42"/>
      <c r="D441" s="42" t="s">
        <v>1366</v>
      </c>
      <c r="E441" s="100"/>
      <c r="F441" s="100"/>
      <c r="G441" s="149"/>
      <c r="H441" s="145"/>
      <c r="I441" s="146"/>
      <c r="J441" s="145"/>
      <c r="K441" s="146"/>
      <c r="L441" s="146"/>
      <c r="M441" s="147"/>
      <c r="N441" s="147"/>
      <c r="O441" s="147"/>
    </row>
    <row r="442" spans="1:15" s="148" customFormat="1" ht="25.5" outlineLevel="1" x14ac:dyDescent="0.2">
      <c r="A442" s="236"/>
      <c r="B442" s="95"/>
      <c r="C442" s="42" t="s">
        <v>1368</v>
      </c>
      <c r="D442" s="42" t="s">
        <v>1367</v>
      </c>
      <c r="E442" s="100" t="s">
        <v>404</v>
      </c>
      <c r="F442" s="100">
        <f>4010</f>
        <v>4010</v>
      </c>
      <c r="G442" s="149">
        <f>(526355)*(1.023*1.005-2.3%*15%)*6.99+0*4.09</f>
        <v>3769969</v>
      </c>
      <c r="H442" s="145">
        <f>$H$772</f>
        <v>1.123</v>
      </c>
      <c r="I442" s="146">
        <f t="shared" ref="I442:I443" si="169">G442*H442</f>
        <v>4233675</v>
      </c>
      <c r="J442" s="145">
        <f>'[2]Расчет прогнозных дефляторов'!$D$75</f>
        <v>1.0429999999999999</v>
      </c>
      <c r="K442" s="146">
        <f t="shared" ref="K442:K443" si="170">I442*J442</f>
        <v>4415723</v>
      </c>
      <c r="L442" s="146">
        <f t="shared" ref="L442:L443" si="171">I442+(K442-I442)*(1-30/100)</f>
        <v>4361109</v>
      </c>
      <c r="M442" s="147"/>
      <c r="N442" s="147"/>
      <c r="O442" s="147"/>
    </row>
    <row r="443" spans="1:15" s="148" customFormat="1" ht="38.25" outlineLevel="1" x14ac:dyDescent="0.2">
      <c r="A443" s="236"/>
      <c r="B443" s="95"/>
      <c r="C443" s="42" t="s">
        <v>1371</v>
      </c>
      <c r="D443" s="42" t="s">
        <v>1369</v>
      </c>
      <c r="E443" s="100" t="s">
        <v>404</v>
      </c>
      <c r="F443" s="100">
        <f>198</f>
        <v>198</v>
      </c>
      <c r="G443" s="149">
        <f>(138146)*(1.023*1.005-2.3%*15%)*6.99+0*4.09</f>
        <v>989458</v>
      </c>
      <c r="H443" s="145">
        <f>$H$772</f>
        <v>1.123</v>
      </c>
      <c r="I443" s="146">
        <f t="shared" si="169"/>
        <v>1111161</v>
      </c>
      <c r="J443" s="145">
        <f>'[2]Расчет прогнозных дефляторов'!$D$75</f>
        <v>1.0429999999999999</v>
      </c>
      <c r="K443" s="146">
        <f t="shared" si="170"/>
        <v>1158941</v>
      </c>
      <c r="L443" s="146">
        <f t="shared" si="171"/>
        <v>1144607</v>
      </c>
      <c r="M443" s="172" t="s">
        <v>1370</v>
      </c>
      <c r="N443" s="147"/>
      <c r="O443" s="147"/>
    </row>
    <row r="444" spans="1:15" s="148" customFormat="1" ht="38.25" x14ac:dyDescent="0.2">
      <c r="A444" s="249"/>
      <c r="B444" s="250"/>
      <c r="C444" s="251" t="s">
        <v>219</v>
      </c>
      <c r="D444" s="245" t="s">
        <v>1372</v>
      </c>
      <c r="E444" s="252" t="s">
        <v>292</v>
      </c>
      <c r="F444" s="253">
        <v>1</v>
      </c>
      <c r="G444" s="253">
        <f>SUM(G445:G450)</f>
        <v>853430</v>
      </c>
      <c r="H444" s="254">
        <f>$H$772</f>
        <v>1.123</v>
      </c>
      <c r="I444" s="253">
        <f>SUM(I445:I450)</f>
        <v>958401</v>
      </c>
      <c r="J444" s="254">
        <f>'[2]Расчет прогнозных дефляторов'!$D$75</f>
        <v>1.0429999999999999</v>
      </c>
      <c r="K444" s="253">
        <f>SUM(K445:K450)</f>
        <v>999612</v>
      </c>
      <c r="L444" s="253">
        <f>SUM(L445:L450)</f>
        <v>987248</v>
      </c>
      <c r="M444" s="147"/>
      <c r="N444" s="147"/>
      <c r="O444" s="147"/>
    </row>
    <row r="445" spans="1:15" s="148" customFormat="1" ht="15.75" hidden="1" outlineLevel="1" x14ac:dyDescent="0.2">
      <c r="A445" s="236"/>
      <c r="B445" s="95"/>
      <c r="C445" s="42"/>
      <c r="D445" s="42" t="s">
        <v>1098</v>
      </c>
      <c r="E445" s="100"/>
      <c r="F445" s="149"/>
      <c r="G445" s="149"/>
      <c r="H445" s="145"/>
      <c r="I445" s="146"/>
      <c r="J445" s="145"/>
      <c r="K445" s="146"/>
      <c r="L445" s="146"/>
      <c r="M445" s="147"/>
      <c r="N445" s="147"/>
      <c r="O445" s="147"/>
    </row>
    <row r="446" spans="1:15" s="148" customFormat="1" ht="25.5" hidden="1" outlineLevel="1" x14ac:dyDescent="0.2">
      <c r="A446" s="236"/>
      <c r="B446" s="95"/>
      <c r="C446" s="42" t="s">
        <v>1373</v>
      </c>
      <c r="D446" s="42" t="s">
        <v>427</v>
      </c>
      <c r="E446" s="100" t="s">
        <v>408</v>
      </c>
      <c r="F446" s="149">
        <v>1</v>
      </c>
      <c r="G446" s="149">
        <f>(1724)*(1.023*1.005-2.3%*15%)*6.99+23912*4.09</f>
        <v>110148</v>
      </c>
      <c r="H446" s="145">
        <f>$H$772</f>
        <v>1.123</v>
      </c>
      <c r="I446" s="146">
        <f t="shared" ref="I446:I450" si="172">G446*H446</f>
        <v>123696</v>
      </c>
      <c r="J446" s="145">
        <f>'[2]Расчет прогнозных дефляторов'!$D$75</f>
        <v>1.0429999999999999</v>
      </c>
      <c r="K446" s="146">
        <f t="shared" ref="K446:K450" si="173">I446*J446</f>
        <v>129015</v>
      </c>
      <c r="L446" s="146">
        <f t="shared" ref="L446:L450" si="174">I446+(K446-I446)*(1-30/100)</f>
        <v>127419</v>
      </c>
      <c r="M446" s="147"/>
      <c r="N446" s="147"/>
      <c r="O446" s="147"/>
    </row>
    <row r="447" spans="1:15" s="148" customFormat="1" ht="25.5" hidden="1" outlineLevel="1" x14ac:dyDescent="0.2">
      <c r="A447" s="236"/>
      <c r="B447" s="95"/>
      <c r="C447" s="42" t="s">
        <v>1374</v>
      </c>
      <c r="D447" s="42" t="s">
        <v>429</v>
      </c>
      <c r="E447" s="100" t="s">
        <v>408</v>
      </c>
      <c r="F447" s="149">
        <v>1</v>
      </c>
      <c r="G447" s="149">
        <f>(309)*(1.023*1.005-2.3%*15%)*6.99+42376*4.09</f>
        <v>175531</v>
      </c>
      <c r="H447" s="145">
        <f>$H$772</f>
        <v>1.123</v>
      </c>
      <c r="I447" s="146">
        <f t="shared" si="172"/>
        <v>197121</v>
      </c>
      <c r="J447" s="145">
        <f>'[2]Расчет прогнозных дефляторов'!$D$75</f>
        <v>1.0429999999999999</v>
      </c>
      <c r="K447" s="146">
        <f t="shared" si="173"/>
        <v>205597</v>
      </c>
      <c r="L447" s="146">
        <f t="shared" si="174"/>
        <v>203054</v>
      </c>
      <c r="M447" s="147"/>
      <c r="N447" s="147"/>
      <c r="O447" s="147"/>
    </row>
    <row r="448" spans="1:15" s="148" customFormat="1" ht="15.75" hidden="1" outlineLevel="1" x14ac:dyDescent="0.2">
      <c r="A448" s="236"/>
      <c r="B448" s="95"/>
      <c r="C448" s="42" t="s">
        <v>1375</v>
      </c>
      <c r="D448" s="42" t="s">
        <v>379</v>
      </c>
      <c r="E448" s="100" t="s">
        <v>292</v>
      </c>
      <c r="F448" s="149">
        <v>1</v>
      </c>
      <c r="G448" s="149">
        <f>(52744)*(1.023*1.005-2.3%*15%)*6.99+0*4.09+22</f>
        <v>377796</v>
      </c>
      <c r="H448" s="145">
        <f>$H$772</f>
        <v>1.123</v>
      </c>
      <c r="I448" s="146">
        <f t="shared" si="172"/>
        <v>424265</v>
      </c>
      <c r="J448" s="145">
        <f>'[2]Расчет прогнозных дефляторов'!$D$75</f>
        <v>1.0429999999999999</v>
      </c>
      <c r="K448" s="146">
        <f t="shared" si="173"/>
        <v>442508</v>
      </c>
      <c r="L448" s="146">
        <f t="shared" si="174"/>
        <v>437035</v>
      </c>
      <c r="M448" s="147"/>
      <c r="N448" s="147"/>
      <c r="O448" s="147"/>
    </row>
    <row r="449" spans="1:15" s="148" customFormat="1" ht="15.75" hidden="1" outlineLevel="1" x14ac:dyDescent="0.2">
      <c r="A449" s="236"/>
      <c r="B449" s="95"/>
      <c r="C449" s="42" t="s">
        <v>1376</v>
      </c>
      <c r="D449" s="42" t="s">
        <v>1102</v>
      </c>
      <c r="E449" s="100" t="s">
        <v>292</v>
      </c>
      <c r="F449" s="149">
        <v>1</v>
      </c>
      <c r="G449" s="149">
        <f>(26320)*(1.023*1.005-2.3%*15%)*6.99+0*4.09</f>
        <v>188515</v>
      </c>
      <c r="H449" s="145">
        <f>$H$772</f>
        <v>1.123</v>
      </c>
      <c r="I449" s="146">
        <f t="shared" si="172"/>
        <v>211702</v>
      </c>
      <c r="J449" s="145">
        <f>'[2]Расчет прогнозных дефляторов'!$D$75</f>
        <v>1.0429999999999999</v>
      </c>
      <c r="K449" s="146">
        <f t="shared" si="173"/>
        <v>220805</v>
      </c>
      <c r="L449" s="146">
        <f t="shared" si="174"/>
        <v>218074</v>
      </c>
      <c r="M449" s="147"/>
      <c r="N449" s="147"/>
      <c r="O449" s="147"/>
    </row>
    <row r="450" spans="1:15" s="148" customFormat="1" ht="25.5" hidden="1" outlineLevel="1" x14ac:dyDescent="0.2">
      <c r="A450" s="236"/>
      <c r="B450" s="95"/>
      <c r="C450" s="42" t="s">
        <v>1377</v>
      </c>
      <c r="D450" s="42" t="s">
        <v>1105</v>
      </c>
      <c r="E450" s="100" t="s">
        <v>408</v>
      </c>
      <c r="F450" s="100">
        <v>10</v>
      </c>
      <c r="G450" s="149">
        <f>(201)*(1.023*1.005-2.3%*15%)*6.99+0*4.09</f>
        <v>1440</v>
      </c>
      <c r="H450" s="145">
        <f>$H$772</f>
        <v>1.123</v>
      </c>
      <c r="I450" s="146">
        <f t="shared" si="172"/>
        <v>1617</v>
      </c>
      <c r="J450" s="145">
        <f>'[2]Расчет прогнозных дефляторов'!$D$75</f>
        <v>1.0429999999999999</v>
      </c>
      <c r="K450" s="146">
        <f t="shared" si="173"/>
        <v>1687</v>
      </c>
      <c r="L450" s="146">
        <f t="shared" si="174"/>
        <v>1666</v>
      </c>
      <c r="M450" s="147"/>
      <c r="N450" s="147"/>
      <c r="O450" s="147"/>
    </row>
    <row r="451" spans="1:15" s="237" customFormat="1" ht="25.5" collapsed="1" x14ac:dyDescent="0.2">
      <c r="A451" s="258"/>
      <c r="B451" s="259"/>
      <c r="C451" s="257" t="s">
        <v>35</v>
      </c>
      <c r="D451" s="257" t="s">
        <v>36</v>
      </c>
      <c r="E451" s="260" t="s">
        <v>292</v>
      </c>
      <c r="F451" s="261">
        <v>1</v>
      </c>
      <c r="G451" s="261">
        <f>SUM(G453:G465)</f>
        <v>13919782</v>
      </c>
      <c r="H451" s="262"/>
      <c r="I451" s="261">
        <f>SUM(I453:I465)</f>
        <v>15631913</v>
      </c>
      <c r="J451" s="262"/>
      <c r="K451" s="261">
        <f>SUM(K453:K465)</f>
        <v>16304087</v>
      </c>
      <c r="L451" s="261">
        <f>SUM(L453:L465)</f>
        <v>16102436</v>
      </c>
      <c r="M451" s="256"/>
      <c r="N451" s="256"/>
      <c r="O451" s="256"/>
    </row>
    <row r="452" spans="1:15" s="148" customFormat="1" ht="15.75" hidden="1" outlineLevel="1" x14ac:dyDescent="0.2">
      <c r="A452" s="200"/>
      <c r="B452" s="95"/>
      <c r="C452" s="42"/>
      <c r="D452" s="42" t="s">
        <v>367</v>
      </c>
      <c r="E452" s="100"/>
      <c r="F452" s="100"/>
      <c r="G452" s="149"/>
      <c r="H452" s="145"/>
      <c r="I452" s="146"/>
      <c r="J452" s="145"/>
      <c r="K452" s="146"/>
      <c r="L452" s="146"/>
      <c r="M452" s="147"/>
      <c r="N452" s="147"/>
      <c r="O452" s="147"/>
    </row>
    <row r="453" spans="1:15" s="148" customFormat="1" ht="25.5" hidden="1" outlineLevel="1" x14ac:dyDescent="0.2">
      <c r="A453" s="200"/>
      <c r="B453" s="95"/>
      <c r="C453" s="42" t="s">
        <v>1400</v>
      </c>
      <c r="D453" s="42" t="s">
        <v>356</v>
      </c>
      <c r="E453" s="100" t="s">
        <v>300</v>
      </c>
      <c r="F453" s="100">
        <f>773.01</f>
        <v>773.01</v>
      </c>
      <c r="G453" s="149">
        <f>(154145)*(1.023*1.005-2.3%*15%)*6.99+0*4.09-13</f>
        <v>1104036</v>
      </c>
      <c r="H453" s="145">
        <f t="shared" ref="H453:H459" si="175">$H$772</f>
        <v>1.123</v>
      </c>
      <c r="I453" s="146">
        <f t="shared" ref="I453:I459" si="176">G453*H453</f>
        <v>1239832</v>
      </c>
      <c r="J453" s="145">
        <f>'[2]Расчет прогнозных дефляторов'!$D$75</f>
        <v>1.0429999999999999</v>
      </c>
      <c r="K453" s="146">
        <f t="shared" ref="K453:K459" si="177">I453*J453</f>
        <v>1293145</v>
      </c>
      <c r="L453" s="146">
        <f t="shared" ref="L453:L459" si="178">I453+(K453-I453)*(1-30/100)</f>
        <v>1277151</v>
      </c>
      <c r="M453" s="147"/>
      <c r="N453" s="147"/>
      <c r="O453" s="147"/>
    </row>
    <row r="454" spans="1:15" s="148" customFormat="1" ht="15.75" hidden="1" outlineLevel="1" x14ac:dyDescent="0.2">
      <c r="A454" s="200"/>
      <c r="B454" s="95"/>
      <c r="C454" s="42" t="s">
        <v>1401</v>
      </c>
      <c r="D454" s="42" t="s">
        <v>398</v>
      </c>
      <c r="E454" s="100" t="s">
        <v>300</v>
      </c>
      <c r="F454" s="100">
        <f>287.91</f>
        <v>287.91000000000003</v>
      </c>
      <c r="G454" s="149">
        <f>(4995)*(1.023*1.005-2.3%*15%)*6.99+0*4.09</f>
        <v>35776</v>
      </c>
      <c r="H454" s="145">
        <f t="shared" si="175"/>
        <v>1.123</v>
      </c>
      <c r="I454" s="146">
        <f t="shared" si="176"/>
        <v>40176</v>
      </c>
      <c r="J454" s="145">
        <f>'[2]Расчет прогнозных дефляторов'!$D$75</f>
        <v>1.0429999999999999</v>
      </c>
      <c r="K454" s="146">
        <f t="shared" si="177"/>
        <v>41904</v>
      </c>
      <c r="L454" s="146">
        <f t="shared" si="178"/>
        <v>41386</v>
      </c>
      <c r="M454" s="147"/>
      <c r="N454" s="147"/>
      <c r="O454" s="147"/>
    </row>
    <row r="455" spans="1:15" s="148" customFormat="1" ht="25.5" hidden="1" outlineLevel="1" x14ac:dyDescent="0.2">
      <c r="A455" s="200"/>
      <c r="B455" s="95"/>
      <c r="C455" s="42" t="s">
        <v>1403</v>
      </c>
      <c r="D455" s="42" t="s">
        <v>1402</v>
      </c>
      <c r="E455" s="100" t="s">
        <v>300</v>
      </c>
      <c r="F455" s="100">
        <f>253.2</f>
        <v>253.2</v>
      </c>
      <c r="G455" s="149">
        <f>(9182)*(1.023*1.005-2.3%*15%)*6.99+0*4.09</f>
        <v>65765</v>
      </c>
      <c r="H455" s="145">
        <f t="shared" si="175"/>
        <v>1.123</v>
      </c>
      <c r="I455" s="146">
        <f t="shared" si="176"/>
        <v>73854</v>
      </c>
      <c r="J455" s="145">
        <f>'[2]Расчет прогнозных дефляторов'!$D$75</f>
        <v>1.0429999999999999</v>
      </c>
      <c r="K455" s="146">
        <f t="shared" si="177"/>
        <v>77030</v>
      </c>
      <c r="L455" s="146">
        <f t="shared" si="178"/>
        <v>76077</v>
      </c>
      <c r="M455" s="147"/>
      <c r="N455" s="147"/>
      <c r="O455" s="147"/>
    </row>
    <row r="456" spans="1:15" s="148" customFormat="1" ht="25.5" hidden="1" outlineLevel="1" x14ac:dyDescent="0.2">
      <c r="A456" s="200"/>
      <c r="B456" s="95"/>
      <c r="C456" s="42" t="s">
        <v>1404</v>
      </c>
      <c r="D456" s="42" t="s">
        <v>1405</v>
      </c>
      <c r="E456" s="100" t="s">
        <v>300</v>
      </c>
      <c r="F456" s="100">
        <f>154.6</f>
        <v>154.6</v>
      </c>
      <c r="G456" s="149">
        <f>(20599)*(1.023*1.005-2.3%*15%)*6.99+0*4.09</f>
        <v>147538</v>
      </c>
      <c r="H456" s="145">
        <f t="shared" si="175"/>
        <v>1.123</v>
      </c>
      <c r="I456" s="146">
        <f t="shared" si="176"/>
        <v>165685</v>
      </c>
      <c r="J456" s="145">
        <f>'[2]Расчет прогнозных дефляторов'!$D$75</f>
        <v>1.0429999999999999</v>
      </c>
      <c r="K456" s="146">
        <f t="shared" si="177"/>
        <v>172809</v>
      </c>
      <c r="L456" s="146">
        <f t="shared" si="178"/>
        <v>170672</v>
      </c>
      <c r="M456" s="147"/>
      <c r="N456" s="147"/>
      <c r="O456" s="147"/>
    </row>
    <row r="457" spans="1:15" s="148" customFormat="1" ht="15.75" hidden="1" outlineLevel="1" x14ac:dyDescent="0.2">
      <c r="A457" s="200"/>
      <c r="B457" s="95"/>
      <c r="C457" s="42" t="s">
        <v>1407</v>
      </c>
      <c r="D457" s="42" t="s">
        <v>1406</v>
      </c>
      <c r="E457" s="100" t="s">
        <v>300</v>
      </c>
      <c r="F457" s="100">
        <f>77.3</f>
        <v>77.3</v>
      </c>
      <c r="G457" s="149">
        <f>(9506)*(1.023*1.005-2.3%*15%)*6.99+0*4.09</f>
        <v>68086</v>
      </c>
      <c r="H457" s="145">
        <f t="shared" si="175"/>
        <v>1.123</v>
      </c>
      <c r="I457" s="146">
        <f t="shared" si="176"/>
        <v>76461</v>
      </c>
      <c r="J457" s="145">
        <f>'[2]Расчет прогнозных дефляторов'!$D$75</f>
        <v>1.0429999999999999</v>
      </c>
      <c r="K457" s="146">
        <f t="shared" si="177"/>
        <v>79749</v>
      </c>
      <c r="L457" s="146">
        <f t="shared" si="178"/>
        <v>78763</v>
      </c>
      <c r="M457" s="147"/>
      <c r="N457" s="147"/>
      <c r="O457" s="147"/>
    </row>
    <row r="458" spans="1:15" s="148" customFormat="1" ht="25.5" hidden="1" outlineLevel="1" x14ac:dyDescent="0.2">
      <c r="A458" s="200"/>
      <c r="B458" s="95"/>
      <c r="C458" s="42" t="s">
        <v>1408</v>
      </c>
      <c r="D458" s="42" t="s">
        <v>750</v>
      </c>
      <c r="E458" s="100" t="s">
        <v>300</v>
      </c>
      <c r="F458" s="100">
        <f>519.81</f>
        <v>519.80999999999995</v>
      </c>
      <c r="G458" s="149">
        <f>(7030)*(1.023*1.005-2.3%*15%)*6.99+0*4.09</f>
        <v>50352</v>
      </c>
      <c r="H458" s="145">
        <f t="shared" si="175"/>
        <v>1.123</v>
      </c>
      <c r="I458" s="146">
        <f t="shared" si="176"/>
        <v>56545</v>
      </c>
      <c r="J458" s="145">
        <f>'[2]Расчет прогнозных дефляторов'!$D$75</f>
        <v>1.0429999999999999</v>
      </c>
      <c r="K458" s="146">
        <f t="shared" si="177"/>
        <v>58976</v>
      </c>
      <c r="L458" s="146">
        <f t="shared" si="178"/>
        <v>58247</v>
      </c>
      <c r="M458" s="147"/>
      <c r="N458" s="147"/>
      <c r="O458" s="147"/>
    </row>
    <row r="459" spans="1:15" s="148" customFormat="1" ht="25.5" hidden="1" outlineLevel="1" x14ac:dyDescent="0.2">
      <c r="A459" s="200"/>
      <c r="B459" s="95"/>
      <c r="C459" s="42" t="s">
        <v>1410</v>
      </c>
      <c r="D459" s="42" t="s">
        <v>1409</v>
      </c>
      <c r="E459" s="100" t="s">
        <v>377</v>
      </c>
      <c r="F459" s="100">
        <v>2110</v>
      </c>
      <c r="G459" s="149">
        <f>(1043596)*(1.023*1.005-2.3%*15%)*6.99+0*4.09</f>
        <v>7474661</v>
      </c>
      <c r="H459" s="145">
        <f t="shared" si="175"/>
        <v>1.123</v>
      </c>
      <c r="I459" s="146">
        <f t="shared" si="176"/>
        <v>8394044</v>
      </c>
      <c r="J459" s="145">
        <f>'[2]Расчет прогнозных дефляторов'!$D$75</f>
        <v>1.0429999999999999</v>
      </c>
      <c r="K459" s="146">
        <f t="shared" si="177"/>
        <v>8754988</v>
      </c>
      <c r="L459" s="146">
        <f t="shared" si="178"/>
        <v>8646705</v>
      </c>
      <c r="M459" s="172" t="s">
        <v>1411</v>
      </c>
      <c r="N459" s="147"/>
      <c r="O459" s="147"/>
    </row>
    <row r="460" spans="1:15" s="148" customFormat="1" ht="15.75" hidden="1" outlineLevel="1" x14ac:dyDescent="0.2">
      <c r="A460" s="200"/>
      <c r="B460" s="95"/>
      <c r="C460" s="42"/>
      <c r="D460" s="42" t="s">
        <v>379</v>
      </c>
      <c r="E460" s="100"/>
      <c r="F460" s="100"/>
      <c r="G460" s="149"/>
      <c r="H460" s="145"/>
      <c r="I460" s="146"/>
      <c r="J460" s="145"/>
      <c r="K460" s="146"/>
      <c r="L460" s="146"/>
      <c r="M460" s="147"/>
      <c r="N460" s="147"/>
      <c r="O460" s="147"/>
    </row>
    <row r="461" spans="1:15" s="148" customFormat="1" ht="25.5" hidden="1" outlineLevel="1" x14ac:dyDescent="0.2">
      <c r="A461" s="200"/>
      <c r="B461" s="95"/>
      <c r="C461" s="42" t="s">
        <v>1413</v>
      </c>
      <c r="D461" s="42" t="s">
        <v>1412</v>
      </c>
      <c r="E461" s="100" t="s">
        <v>377</v>
      </c>
      <c r="F461" s="100">
        <f>6330</f>
        <v>6330</v>
      </c>
      <c r="G461" s="149">
        <f>(640959)*(1.023*1.005-2.3%*15%)*6.99+0*4.09</f>
        <v>4590810</v>
      </c>
      <c r="H461" s="145">
        <f>$H$772</f>
        <v>1.123</v>
      </c>
      <c r="I461" s="146">
        <f t="shared" ref="I461:I465" si="179">G461*H461</f>
        <v>5155480</v>
      </c>
      <c r="J461" s="145">
        <f>'[2]Расчет прогнозных дефляторов'!$D$75</f>
        <v>1.0429999999999999</v>
      </c>
      <c r="K461" s="146">
        <f t="shared" ref="K461:K465" si="180">I461*J461</f>
        <v>5377166</v>
      </c>
      <c r="L461" s="146">
        <f t="shared" ref="L461:L465" si="181">I461+(K461-I461)*(1-30/100)</f>
        <v>5310660</v>
      </c>
      <c r="M461" s="147"/>
      <c r="N461" s="147"/>
      <c r="O461" s="147"/>
    </row>
    <row r="462" spans="1:15" s="148" customFormat="1" ht="38.25" hidden="1" outlineLevel="1" x14ac:dyDescent="0.2">
      <c r="A462" s="200"/>
      <c r="B462" s="95"/>
      <c r="C462" s="42" t="s">
        <v>1415</v>
      </c>
      <c r="D462" s="42" t="s">
        <v>1414</v>
      </c>
      <c r="E462" s="100" t="s">
        <v>377</v>
      </c>
      <c r="F462" s="100">
        <v>240</v>
      </c>
      <c r="G462" s="149">
        <f>(24546)*(1.023*1.005-2.3%*15%)*6.99+0*4.09</f>
        <v>175808</v>
      </c>
      <c r="H462" s="145">
        <f>$H$772</f>
        <v>1.123</v>
      </c>
      <c r="I462" s="146">
        <f t="shared" si="179"/>
        <v>197432</v>
      </c>
      <c r="J462" s="145">
        <f>'[2]Расчет прогнозных дефляторов'!$D$75</f>
        <v>1.0429999999999999</v>
      </c>
      <c r="K462" s="146">
        <f t="shared" si="180"/>
        <v>205922</v>
      </c>
      <c r="L462" s="146">
        <f t="shared" si="181"/>
        <v>203375</v>
      </c>
      <c r="M462" s="147"/>
      <c r="N462" s="147"/>
      <c r="O462" s="147"/>
    </row>
    <row r="463" spans="1:15" s="148" customFormat="1" ht="15.75" hidden="1" outlineLevel="1" x14ac:dyDescent="0.2">
      <c r="A463" s="200"/>
      <c r="B463" s="95"/>
      <c r="C463" s="42" t="s">
        <v>1417</v>
      </c>
      <c r="D463" s="42" t="s">
        <v>1416</v>
      </c>
      <c r="E463" s="100" t="s">
        <v>408</v>
      </c>
      <c r="F463" s="100">
        <v>8</v>
      </c>
      <c r="G463" s="149">
        <f>(13535)*(1.023*1.005-2.3%*15%)*6.99+0*4.09</f>
        <v>96943</v>
      </c>
      <c r="H463" s="145">
        <f>$H$772</f>
        <v>1.123</v>
      </c>
      <c r="I463" s="146">
        <f t="shared" si="179"/>
        <v>108867</v>
      </c>
      <c r="J463" s="145">
        <f>'[2]Расчет прогнозных дефляторов'!$D$75</f>
        <v>1.0429999999999999</v>
      </c>
      <c r="K463" s="146">
        <f t="shared" si="180"/>
        <v>113548</v>
      </c>
      <c r="L463" s="146">
        <f t="shared" si="181"/>
        <v>112144</v>
      </c>
      <c r="M463" s="147"/>
      <c r="N463" s="147"/>
      <c r="O463" s="147"/>
    </row>
    <row r="464" spans="1:15" s="148" customFormat="1" ht="25.5" hidden="1" outlineLevel="1" x14ac:dyDescent="0.2">
      <c r="A464" s="200"/>
      <c r="B464" s="95"/>
      <c r="C464" s="42" t="s">
        <v>1419</v>
      </c>
      <c r="D464" s="42" t="s">
        <v>1418</v>
      </c>
      <c r="E464" s="100" t="s">
        <v>408</v>
      </c>
      <c r="F464" s="100">
        <v>8</v>
      </c>
      <c r="G464" s="149">
        <f>(13238)*(1.023*1.005-2.3%*15%)*6.99+0*4.09</f>
        <v>94816</v>
      </c>
      <c r="H464" s="145">
        <f>$H$772</f>
        <v>1.123</v>
      </c>
      <c r="I464" s="146">
        <f t="shared" si="179"/>
        <v>106478</v>
      </c>
      <c r="J464" s="145">
        <f>'[2]Расчет прогнозных дефляторов'!$D$75</f>
        <v>1.0429999999999999</v>
      </c>
      <c r="K464" s="146">
        <f t="shared" si="180"/>
        <v>111057</v>
      </c>
      <c r="L464" s="146">
        <f t="shared" si="181"/>
        <v>109683</v>
      </c>
      <c r="M464" s="147"/>
      <c r="N464" s="147"/>
      <c r="O464" s="147"/>
    </row>
    <row r="465" spans="1:15" s="148" customFormat="1" ht="25.5" hidden="1" outlineLevel="1" x14ac:dyDescent="0.2">
      <c r="A465" s="200"/>
      <c r="B465" s="95"/>
      <c r="C465" s="42" t="s">
        <v>1421</v>
      </c>
      <c r="D465" s="42" t="s">
        <v>1420</v>
      </c>
      <c r="E465" s="100" t="s">
        <v>404</v>
      </c>
      <c r="F465" s="100">
        <f>28.64</f>
        <v>28.64</v>
      </c>
      <c r="G465" s="149">
        <f>(2121)*(1.023*1.005-2.3%*15%)*6.99+0*4.09</f>
        <v>15191</v>
      </c>
      <c r="H465" s="145">
        <f>$H$772</f>
        <v>1.123</v>
      </c>
      <c r="I465" s="146">
        <f t="shared" si="179"/>
        <v>17059</v>
      </c>
      <c r="J465" s="145">
        <f>'[2]Расчет прогнозных дефляторов'!$D$75</f>
        <v>1.0429999999999999</v>
      </c>
      <c r="K465" s="146">
        <f t="shared" si="180"/>
        <v>17793</v>
      </c>
      <c r="L465" s="146">
        <f t="shared" si="181"/>
        <v>17573</v>
      </c>
      <c r="M465" s="147"/>
      <c r="N465" s="147"/>
      <c r="O465" s="147"/>
    </row>
    <row r="466" spans="1:15" s="237" customFormat="1" ht="25.5" collapsed="1" x14ac:dyDescent="0.2">
      <c r="A466" s="258"/>
      <c r="B466" s="259"/>
      <c r="C466" s="257" t="s">
        <v>37</v>
      </c>
      <c r="D466" s="257" t="s">
        <v>38</v>
      </c>
      <c r="E466" s="260" t="s">
        <v>292</v>
      </c>
      <c r="F466" s="261">
        <v>1</v>
      </c>
      <c r="G466" s="261">
        <f>SUM(G467:G505)</f>
        <v>21302976</v>
      </c>
      <c r="H466" s="262"/>
      <c r="I466" s="261">
        <f>SUM(I467:I505)</f>
        <v>23923241</v>
      </c>
      <c r="J466" s="262"/>
      <c r="K466" s="261">
        <f>SUM(K467:K505)</f>
        <v>24951942</v>
      </c>
      <c r="L466" s="261">
        <f>SUM(L467:L505)</f>
        <v>24643335</v>
      </c>
      <c r="M466" s="256"/>
      <c r="N466" s="256"/>
      <c r="O466" s="256"/>
    </row>
    <row r="467" spans="1:15" s="148" customFormat="1" ht="15.75" hidden="1" outlineLevel="1" x14ac:dyDescent="0.2">
      <c r="A467" s="200"/>
      <c r="B467" s="95"/>
      <c r="C467" s="42"/>
      <c r="D467" s="42" t="s">
        <v>367</v>
      </c>
      <c r="E467" s="100"/>
      <c r="F467" s="100"/>
      <c r="G467" s="149"/>
      <c r="H467" s="145"/>
      <c r="I467" s="146"/>
      <c r="J467" s="145"/>
      <c r="K467" s="146"/>
      <c r="L467" s="146"/>
      <c r="M467" s="147"/>
      <c r="N467" s="147"/>
      <c r="O467" s="147"/>
    </row>
    <row r="468" spans="1:15" s="148" customFormat="1" ht="25.5" hidden="1" outlineLevel="1" x14ac:dyDescent="0.2">
      <c r="A468" s="200"/>
      <c r="B468" s="95"/>
      <c r="C468" s="42" t="s">
        <v>499</v>
      </c>
      <c r="D468" s="42" t="s">
        <v>356</v>
      </c>
      <c r="E468" s="100" t="s">
        <v>300</v>
      </c>
      <c r="F468" s="100">
        <f>844.67</f>
        <v>844.67</v>
      </c>
      <c r="G468" s="149">
        <f>(168436)*(1.023*1.005-2.3%*15%)*6.99+0*4.09-67</f>
        <v>1206340</v>
      </c>
      <c r="H468" s="145">
        <f t="shared" ref="H468:H474" si="182">$H$772</f>
        <v>1.123</v>
      </c>
      <c r="I468" s="146">
        <f t="shared" ref="I468:I474" si="183">G468*H468</f>
        <v>1354720</v>
      </c>
      <c r="J468" s="145">
        <f>'[2]Расчет прогнозных дефляторов'!$D$75</f>
        <v>1.0429999999999999</v>
      </c>
      <c r="K468" s="146">
        <f t="shared" ref="K468:K474" si="184">I468*J468</f>
        <v>1412973</v>
      </c>
      <c r="L468" s="146">
        <f t="shared" ref="L468:L474" si="185">I468+(K468-I468)*(1-30/100)</f>
        <v>1395497</v>
      </c>
      <c r="M468" s="147"/>
      <c r="N468" s="147"/>
      <c r="O468" s="147"/>
    </row>
    <row r="469" spans="1:15" s="148" customFormat="1" ht="15.75" hidden="1" outlineLevel="1" x14ac:dyDescent="0.2">
      <c r="A469" s="200"/>
      <c r="B469" s="95"/>
      <c r="C469" s="42" t="s">
        <v>1422</v>
      </c>
      <c r="D469" s="42" t="s">
        <v>398</v>
      </c>
      <c r="E469" s="100" t="s">
        <v>300</v>
      </c>
      <c r="F469" s="100">
        <f>312.69</f>
        <v>312.69</v>
      </c>
      <c r="G469" s="149">
        <f>(5425)*(1.023*1.005-2.3%*15%)*6.99+0*4.09</f>
        <v>38856</v>
      </c>
      <c r="H469" s="145">
        <f t="shared" si="182"/>
        <v>1.123</v>
      </c>
      <c r="I469" s="146">
        <f t="shared" si="183"/>
        <v>43635</v>
      </c>
      <c r="J469" s="145">
        <f>'[2]Расчет прогнозных дефляторов'!$D$75</f>
        <v>1.0429999999999999</v>
      </c>
      <c r="K469" s="146">
        <f t="shared" si="184"/>
        <v>45511</v>
      </c>
      <c r="L469" s="146">
        <f t="shared" si="185"/>
        <v>44948</v>
      </c>
      <c r="M469" s="147"/>
      <c r="N469" s="147"/>
      <c r="O469" s="147"/>
    </row>
    <row r="470" spans="1:15" s="148" customFormat="1" ht="25.5" hidden="1" outlineLevel="1" x14ac:dyDescent="0.2">
      <c r="A470" s="200"/>
      <c r="B470" s="95"/>
      <c r="C470" s="42" t="s">
        <v>1423</v>
      </c>
      <c r="D470" s="42" t="s">
        <v>1402</v>
      </c>
      <c r="E470" s="100" t="s">
        <v>300</v>
      </c>
      <c r="F470" s="100">
        <f>278.58</f>
        <v>278.58</v>
      </c>
      <c r="G470" s="149">
        <f>(10103)*(1.023*1.005-2.3%*15%)*6.99+0*4.09</f>
        <v>72362</v>
      </c>
      <c r="H470" s="145">
        <f t="shared" si="182"/>
        <v>1.123</v>
      </c>
      <c r="I470" s="146">
        <f t="shared" si="183"/>
        <v>81263</v>
      </c>
      <c r="J470" s="145">
        <f>'[2]Расчет прогнозных дефляторов'!$D$75</f>
        <v>1.0429999999999999</v>
      </c>
      <c r="K470" s="146">
        <f t="shared" si="184"/>
        <v>84757</v>
      </c>
      <c r="L470" s="146">
        <f t="shared" si="185"/>
        <v>83709</v>
      </c>
      <c r="M470" s="147"/>
      <c r="N470" s="147"/>
      <c r="O470" s="147"/>
    </row>
    <row r="471" spans="1:15" s="148" customFormat="1" ht="25.5" hidden="1" outlineLevel="1" x14ac:dyDescent="0.2">
      <c r="A471" s="200"/>
      <c r="B471" s="95"/>
      <c r="C471" s="42" t="s">
        <v>1424</v>
      </c>
      <c r="D471" s="42" t="s">
        <v>1405</v>
      </c>
      <c r="E471" s="100" t="s">
        <v>300</v>
      </c>
      <c r="F471" s="100">
        <f>168.93</f>
        <v>168.93</v>
      </c>
      <c r="G471" s="149">
        <f>(22506)*(1.023*1.005-2.3%*15%)*6.99+0*4.09</f>
        <v>161197</v>
      </c>
      <c r="H471" s="145">
        <f t="shared" si="182"/>
        <v>1.123</v>
      </c>
      <c r="I471" s="146">
        <f t="shared" si="183"/>
        <v>181024</v>
      </c>
      <c r="J471" s="145">
        <f>'[2]Расчет прогнозных дефляторов'!$D$75</f>
        <v>1.0429999999999999</v>
      </c>
      <c r="K471" s="146">
        <f t="shared" si="184"/>
        <v>188808</v>
      </c>
      <c r="L471" s="146">
        <f t="shared" si="185"/>
        <v>186473</v>
      </c>
      <c r="M471" s="147"/>
      <c r="N471" s="147"/>
      <c r="O471" s="147"/>
    </row>
    <row r="472" spans="1:15" s="148" customFormat="1" ht="15.75" hidden="1" outlineLevel="1" x14ac:dyDescent="0.2">
      <c r="A472" s="200"/>
      <c r="B472" s="95"/>
      <c r="C472" s="42" t="s">
        <v>1425</v>
      </c>
      <c r="D472" s="42" t="s">
        <v>1406</v>
      </c>
      <c r="E472" s="100" t="s">
        <v>300</v>
      </c>
      <c r="F472" s="100">
        <f>84.47</f>
        <v>84.47</v>
      </c>
      <c r="G472" s="149">
        <f>(10389)*(1.023*1.005-2.3%*15%)*6.99+0*4.09</f>
        <v>74410</v>
      </c>
      <c r="H472" s="145">
        <f t="shared" si="182"/>
        <v>1.123</v>
      </c>
      <c r="I472" s="146">
        <f t="shared" si="183"/>
        <v>83562</v>
      </c>
      <c r="J472" s="145">
        <f>'[2]Расчет прогнозных дефляторов'!$D$75</f>
        <v>1.0429999999999999</v>
      </c>
      <c r="K472" s="146">
        <f t="shared" si="184"/>
        <v>87155</v>
      </c>
      <c r="L472" s="146">
        <f t="shared" si="185"/>
        <v>86077</v>
      </c>
      <c r="M472" s="147"/>
      <c r="N472" s="147"/>
      <c r="O472" s="147"/>
    </row>
    <row r="473" spans="1:15" s="148" customFormat="1" ht="25.5" hidden="1" outlineLevel="1" x14ac:dyDescent="0.2">
      <c r="A473" s="200"/>
      <c r="B473" s="95"/>
      <c r="C473" s="42" t="s">
        <v>1426</v>
      </c>
      <c r="D473" s="42" t="s">
        <v>750</v>
      </c>
      <c r="E473" s="100" t="s">
        <v>300</v>
      </c>
      <c r="F473" s="100">
        <f>566.09</f>
        <v>566.09</v>
      </c>
      <c r="G473" s="149">
        <f>(7654)*(1.023*1.005-2.3%*15%)*6.99+0*4.09</f>
        <v>54821</v>
      </c>
      <c r="H473" s="145">
        <f t="shared" si="182"/>
        <v>1.123</v>
      </c>
      <c r="I473" s="146">
        <f t="shared" si="183"/>
        <v>61564</v>
      </c>
      <c r="J473" s="145">
        <f>'[2]Расчет прогнозных дефляторов'!$D$75</f>
        <v>1.0429999999999999</v>
      </c>
      <c r="K473" s="146">
        <f t="shared" si="184"/>
        <v>64211</v>
      </c>
      <c r="L473" s="146">
        <f t="shared" si="185"/>
        <v>63417</v>
      </c>
      <c r="M473" s="147"/>
      <c r="N473" s="147"/>
      <c r="O473" s="147"/>
    </row>
    <row r="474" spans="1:15" s="148" customFormat="1" ht="25.5" hidden="1" outlineLevel="1" x14ac:dyDescent="0.2">
      <c r="A474" s="200"/>
      <c r="B474" s="95"/>
      <c r="C474" s="42" t="s">
        <v>1428</v>
      </c>
      <c r="D474" s="42" t="s">
        <v>1427</v>
      </c>
      <c r="E474" s="100" t="s">
        <v>377</v>
      </c>
      <c r="F474" s="100">
        <v>2396</v>
      </c>
      <c r="G474" s="149">
        <f>(571892)*(1.023*1.005-2.3%*15%)*6.99+0*4.09</f>
        <v>4096124</v>
      </c>
      <c r="H474" s="145">
        <f t="shared" si="182"/>
        <v>1.123</v>
      </c>
      <c r="I474" s="146">
        <f t="shared" si="183"/>
        <v>4599947</v>
      </c>
      <c r="J474" s="145">
        <f>'[2]Расчет прогнозных дефляторов'!$D$75</f>
        <v>1.0429999999999999</v>
      </c>
      <c r="K474" s="146">
        <f t="shared" si="184"/>
        <v>4797745</v>
      </c>
      <c r="L474" s="146">
        <f t="shared" si="185"/>
        <v>4738406</v>
      </c>
      <c r="M474" s="172" t="s">
        <v>1411</v>
      </c>
      <c r="N474" s="147"/>
      <c r="O474" s="147"/>
    </row>
    <row r="475" spans="1:15" s="148" customFormat="1" ht="15.75" hidden="1" outlineLevel="1" x14ac:dyDescent="0.2">
      <c r="A475" s="200"/>
      <c r="B475" s="95"/>
      <c r="C475" s="42"/>
      <c r="D475" s="42" t="s">
        <v>379</v>
      </c>
      <c r="E475" s="100"/>
      <c r="F475" s="100"/>
      <c r="G475" s="149"/>
      <c r="H475" s="145"/>
      <c r="I475" s="146"/>
      <c r="J475" s="145"/>
      <c r="K475" s="146"/>
      <c r="L475" s="146"/>
      <c r="M475" s="147"/>
      <c r="N475" s="147"/>
      <c r="O475" s="147"/>
    </row>
    <row r="476" spans="1:15" s="148" customFormat="1" ht="15.75" hidden="1" outlineLevel="1" x14ac:dyDescent="0.2">
      <c r="A476" s="200"/>
      <c r="B476" s="95"/>
      <c r="C476" s="42" t="s">
        <v>1430</v>
      </c>
      <c r="D476" s="42" t="s">
        <v>1429</v>
      </c>
      <c r="E476" s="100" t="s">
        <v>377</v>
      </c>
      <c r="F476" s="100">
        <v>10</v>
      </c>
      <c r="G476" s="149">
        <f>(1067)*(1.023*1.005-2.3%*15%)*6.99+0*4.09</f>
        <v>7642</v>
      </c>
      <c r="H476" s="145">
        <f t="shared" ref="H476:H505" si="186">$H$772</f>
        <v>1.123</v>
      </c>
      <c r="I476" s="146">
        <f t="shared" ref="I476:I505" si="187">G476*H476</f>
        <v>8582</v>
      </c>
      <c r="J476" s="145">
        <f>'[2]Расчет прогнозных дефляторов'!$D$75</f>
        <v>1.0429999999999999</v>
      </c>
      <c r="K476" s="146">
        <f t="shared" ref="K476:K505" si="188">I476*J476</f>
        <v>8951</v>
      </c>
      <c r="L476" s="146">
        <f t="shared" ref="L476:L505" si="189">I476+(K476-I476)*(1-30/100)</f>
        <v>8840</v>
      </c>
      <c r="M476" s="147"/>
      <c r="N476" s="147"/>
      <c r="O476" s="147"/>
    </row>
    <row r="477" spans="1:15" s="148" customFormat="1" ht="25.5" hidden="1" outlineLevel="1" x14ac:dyDescent="0.2">
      <c r="A477" s="200"/>
      <c r="B477" s="95"/>
      <c r="C477" s="42" t="s">
        <v>1432</v>
      </c>
      <c r="D477" s="42" t="s">
        <v>1431</v>
      </c>
      <c r="E477" s="100" t="s">
        <v>377</v>
      </c>
      <c r="F477" s="100">
        <v>180</v>
      </c>
      <c r="G477" s="149">
        <f>(45395)*(1.023*1.005-2.3%*15%)*6.99+0*4.09</f>
        <v>325138</v>
      </c>
      <c r="H477" s="145">
        <f t="shared" si="186"/>
        <v>1.123</v>
      </c>
      <c r="I477" s="146">
        <f t="shared" si="187"/>
        <v>365130</v>
      </c>
      <c r="J477" s="145">
        <f>'[2]Расчет прогнозных дефляторов'!$D$75</f>
        <v>1.0429999999999999</v>
      </c>
      <c r="K477" s="146">
        <f t="shared" si="188"/>
        <v>380831</v>
      </c>
      <c r="L477" s="146">
        <f t="shared" si="189"/>
        <v>376121</v>
      </c>
      <c r="M477" s="147"/>
      <c r="N477" s="147"/>
      <c r="O477" s="147"/>
    </row>
    <row r="478" spans="1:15" s="148" customFormat="1" ht="15.75" hidden="1" outlineLevel="1" x14ac:dyDescent="0.2">
      <c r="A478" s="200"/>
      <c r="B478" s="95"/>
      <c r="C478" s="42" t="s">
        <v>1435</v>
      </c>
      <c r="D478" s="42" t="s">
        <v>1433</v>
      </c>
      <c r="E478" s="100" t="s">
        <v>377</v>
      </c>
      <c r="F478" s="100">
        <v>7</v>
      </c>
      <c r="G478" s="149">
        <f>(4510)*(1.023*1.005-2.3%*15%)*6.99+0*4.09</f>
        <v>32302</v>
      </c>
      <c r="H478" s="145">
        <f t="shared" si="186"/>
        <v>1.123</v>
      </c>
      <c r="I478" s="146">
        <f t="shared" si="187"/>
        <v>36275</v>
      </c>
      <c r="J478" s="145">
        <f>'[2]Расчет прогнозных дефляторов'!$D$75</f>
        <v>1.0429999999999999</v>
      </c>
      <c r="K478" s="146">
        <f t="shared" si="188"/>
        <v>37835</v>
      </c>
      <c r="L478" s="146">
        <f t="shared" si="189"/>
        <v>37367</v>
      </c>
      <c r="M478" s="147"/>
      <c r="N478" s="147"/>
      <c r="O478" s="147"/>
    </row>
    <row r="479" spans="1:15" s="148" customFormat="1" ht="15.75" hidden="1" outlineLevel="1" x14ac:dyDescent="0.2">
      <c r="A479" s="200"/>
      <c r="B479" s="95"/>
      <c r="C479" s="42" t="s">
        <v>1436</v>
      </c>
      <c r="D479" s="42" t="s">
        <v>1434</v>
      </c>
      <c r="E479" s="100" t="s">
        <v>377</v>
      </c>
      <c r="F479" s="100">
        <v>1955</v>
      </c>
      <c r="G479" s="149">
        <f>(1027302)*(1.023*1.005-2.3%*15%)*6.99+0*4.09</f>
        <v>7357956</v>
      </c>
      <c r="H479" s="145">
        <f t="shared" si="186"/>
        <v>1.123</v>
      </c>
      <c r="I479" s="146">
        <f t="shared" si="187"/>
        <v>8262985</v>
      </c>
      <c r="J479" s="145">
        <f>'[2]Расчет прогнозных дефляторов'!$D$75</f>
        <v>1.0429999999999999</v>
      </c>
      <c r="K479" s="146">
        <f t="shared" si="188"/>
        <v>8618293</v>
      </c>
      <c r="L479" s="146">
        <f t="shared" si="189"/>
        <v>8511701</v>
      </c>
      <c r="M479" s="147"/>
      <c r="N479" s="147"/>
      <c r="O479" s="147"/>
    </row>
    <row r="480" spans="1:15" s="148" customFormat="1" ht="15.75" hidden="1" outlineLevel="1" x14ac:dyDescent="0.2">
      <c r="A480" s="200"/>
      <c r="B480" s="95"/>
      <c r="C480" s="42" t="s">
        <v>1437</v>
      </c>
      <c r="D480" s="42" t="s">
        <v>1438</v>
      </c>
      <c r="E480" s="100" t="s">
        <v>377</v>
      </c>
      <c r="F480" s="100">
        <v>412</v>
      </c>
      <c r="G480" s="149">
        <f>(412559)*(1.023*1.005-2.3%*15%)*6.99+0*4.09</f>
        <v>2954916</v>
      </c>
      <c r="H480" s="145">
        <f t="shared" si="186"/>
        <v>1.123</v>
      </c>
      <c r="I480" s="146">
        <f t="shared" si="187"/>
        <v>3318371</v>
      </c>
      <c r="J480" s="145">
        <f>'[2]Расчет прогнозных дефляторов'!$D$75</f>
        <v>1.0429999999999999</v>
      </c>
      <c r="K480" s="146">
        <f t="shared" si="188"/>
        <v>3461061</v>
      </c>
      <c r="L480" s="146">
        <f t="shared" si="189"/>
        <v>3418254</v>
      </c>
      <c r="M480" s="147"/>
      <c r="N480" s="147"/>
      <c r="O480" s="147"/>
    </row>
    <row r="481" spans="1:15" s="148" customFormat="1" ht="25.5" hidden="1" outlineLevel="1" x14ac:dyDescent="0.2">
      <c r="A481" s="200"/>
      <c r="B481" s="95"/>
      <c r="C481" s="42" t="s">
        <v>1439</v>
      </c>
      <c r="D481" s="42" t="s">
        <v>1440</v>
      </c>
      <c r="E481" s="100" t="s">
        <v>377</v>
      </c>
      <c r="F481" s="100">
        <v>7</v>
      </c>
      <c r="G481" s="149">
        <f>(742)*(1.023*1.005-2.3%*15%)*6.99+0*4.09</f>
        <v>5315</v>
      </c>
      <c r="H481" s="145">
        <f t="shared" si="186"/>
        <v>1.123</v>
      </c>
      <c r="I481" s="146">
        <f t="shared" si="187"/>
        <v>5969</v>
      </c>
      <c r="J481" s="145">
        <f>'[2]Расчет прогнозных дефляторов'!$D$75</f>
        <v>1.0429999999999999</v>
      </c>
      <c r="K481" s="146">
        <f t="shared" si="188"/>
        <v>6226</v>
      </c>
      <c r="L481" s="146">
        <f t="shared" si="189"/>
        <v>6149</v>
      </c>
      <c r="M481" s="147"/>
      <c r="N481" s="147"/>
      <c r="O481" s="147"/>
    </row>
    <row r="482" spans="1:15" s="148" customFormat="1" ht="25.5" hidden="1" outlineLevel="1" x14ac:dyDescent="0.2">
      <c r="A482" s="200"/>
      <c r="B482" s="95"/>
      <c r="C482" s="42" t="s">
        <v>1442</v>
      </c>
      <c r="D482" s="42" t="s">
        <v>1441</v>
      </c>
      <c r="E482" s="100" t="s">
        <v>377</v>
      </c>
      <c r="F482" s="100">
        <f>50</f>
        <v>50</v>
      </c>
      <c r="G482" s="149">
        <f>(5622)*(1.023*1.005-2.3%*15%)*6.99+0*4.09</f>
        <v>40267</v>
      </c>
      <c r="H482" s="145">
        <f t="shared" si="186"/>
        <v>1.123</v>
      </c>
      <c r="I482" s="146">
        <f t="shared" si="187"/>
        <v>45220</v>
      </c>
      <c r="J482" s="145">
        <f>'[2]Расчет прогнозных дефляторов'!$D$75</f>
        <v>1.0429999999999999</v>
      </c>
      <c r="K482" s="146">
        <f t="shared" si="188"/>
        <v>47164</v>
      </c>
      <c r="L482" s="146">
        <f t="shared" si="189"/>
        <v>46581</v>
      </c>
      <c r="M482" s="147"/>
      <c r="N482" s="147"/>
      <c r="O482" s="147"/>
    </row>
    <row r="483" spans="1:15" s="148" customFormat="1" ht="25.5" hidden="1" outlineLevel="1" x14ac:dyDescent="0.2">
      <c r="A483" s="200"/>
      <c r="B483" s="95"/>
      <c r="C483" s="42" t="s">
        <v>1444</v>
      </c>
      <c r="D483" s="42" t="s">
        <v>1443</v>
      </c>
      <c r="E483" s="100" t="s">
        <v>377</v>
      </c>
      <c r="F483" s="100">
        <v>100</v>
      </c>
      <c r="G483" s="149">
        <f>(31596)*(1.023*1.005-2.3%*15%)*6.99+0*4.09</f>
        <v>226303</v>
      </c>
      <c r="H483" s="145">
        <f t="shared" si="186"/>
        <v>1.123</v>
      </c>
      <c r="I483" s="146">
        <f t="shared" si="187"/>
        <v>254138</v>
      </c>
      <c r="J483" s="145">
        <f>'[2]Расчет прогнозных дефляторов'!$D$75</f>
        <v>1.0429999999999999</v>
      </c>
      <c r="K483" s="146">
        <f t="shared" si="188"/>
        <v>265066</v>
      </c>
      <c r="L483" s="146">
        <f t="shared" si="189"/>
        <v>261788</v>
      </c>
      <c r="M483" s="147"/>
      <c r="N483" s="147"/>
      <c r="O483" s="147"/>
    </row>
    <row r="484" spans="1:15" s="148" customFormat="1" ht="38.25" hidden="1" outlineLevel="1" x14ac:dyDescent="0.2">
      <c r="A484" s="200"/>
      <c r="B484" s="95"/>
      <c r="C484" s="42" t="s">
        <v>1446</v>
      </c>
      <c r="D484" s="42" t="s">
        <v>1445</v>
      </c>
      <c r="E484" s="100" t="s">
        <v>377</v>
      </c>
      <c r="F484" s="100">
        <v>100</v>
      </c>
      <c r="G484" s="149">
        <f>(25026)*(1.023*1.005-2.3%*15%)*6.99+0*4.09</f>
        <v>179246</v>
      </c>
      <c r="H484" s="145">
        <f t="shared" si="186"/>
        <v>1.123</v>
      </c>
      <c r="I484" s="146">
        <f t="shared" si="187"/>
        <v>201293</v>
      </c>
      <c r="J484" s="145">
        <f>'[2]Расчет прогнозных дефляторов'!$D$75</f>
        <v>1.0429999999999999</v>
      </c>
      <c r="K484" s="146">
        <f t="shared" si="188"/>
        <v>209949</v>
      </c>
      <c r="L484" s="146">
        <f t="shared" si="189"/>
        <v>207352</v>
      </c>
      <c r="M484" s="147"/>
      <c r="N484" s="147"/>
      <c r="O484" s="147"/>
    </row>
    <row r="485" spans="1:15" s="148" customFormat="1" ht="38.25" hidden="1" outlineLevel="1" x14ac:dyDescent="0.2">
      <c r="A485" s="200"/>
      <c r="B485" s="95"/>
      <c r="C485" s="42" t="s">
        <v>1447</v>
      </c>
      <c r="D485" s="42" t="s">
        <v>1449</v>
      </c>
      <c r="E485" s="100" t="s">
        <v>377</v>
      </c>
      <c r="F485" s="100">
        <v>12</v>
      </c>
      <c r="G485" s="149">
        <f>(7708)*(1.023*1.005-2.3%*15%)*6.99+0*4.09</f>
        <v>55208</v>
      </c>
      <c r="H485" s="145">
        <f t="shared" si="186"/>
        <v>1.123</v>
      </c>
      <c r="I485" s="146">
        <f t="shared" si="187"/>
        <v>61999</v>
      </c>
      <c r="J485" s="145">
        <f>'[2]Расчет прогнозных дефляторов'!$D$75</f>
        <v>1.0429999999999999</v>
      </c>
      <c r="K485" s="146">
        <f t="shared" si="188"/>
        <v>64665</v>
      </c>
      <c r="L485" s="146">
        <f t="shared" si="189"/>
        <v>63865</v>
      </c>
      <c r="M485" s="147"/>
      <c r="N485" s="147"/>
      <c r="O485" s="147"/>
    </row>
    <row r="486" spans="1:15" s="148" customFormat="1" ht="38.25" hidden="1" outlineLevel="1" x14ac:dyDescent="0.2">
      <c r="A486" s="200"/>
      <c r="B486" s="95"/>
      <c r="C486" s="42" t="s">
        <v>1448</v>
      </c>
      <c r="D486" s="42" t="s">
        <v>1450</v>
      </c>
      <c r="E486" s="100" t="s">
        <v>377</v>
      </c>
      <c r="F486" s="100">
        <v>40</v>
      </c>
      <c r="G486" s="149">
        <f>(20941)*(1.023*1.005-2.3%*15%)*6.99+0*4.09</f>
        <v>149988</v>
      </c>
      <c r="H486" s="145">
        <f t="shared" si="186"/>
        <v>1.123</v>
      </c>
      <c r="I486" s="146">
        <f t="shared" si="187"/>
        <v>168437</v>
      </c>
      <c r="J486" s="145">
        <f>'[2]Расчет прогнозных дефляторов'!$D$75</f>
        <v>1.0429999999999999</v>
      </c>
      <c r="K486" s="146">
        <f t="shared" si="188"/>
        <v>175680</v>
      </c>
      <c r="L486" s="146">
        <f t="shared" si="189"/>
        <v>173507</v>
      </c>
      <c r="M486" s="147"/>
      <c r="N486" s="147"/>
      <c r="O486" s="147"/>
    </row>
    <row r="487" spans="1:15" s="148" customFormat="1" ht="38.25" hidden="1" outlineLevel="1" x14ac:dyDescent="0.2">
      <c r="A487" s="200"/>
      <c r="B487" s="95"/>
      <c r="C487" s="42" t="s">
        <v>1451</v>
      </c>
      <c r="D487" s="42" t="s">
        <v>1453</v>
      </c>
      <c r="E487" s="100" t="s">
        <v>377</v>
      </c>
      <c r="F487" s="100">
        <v>62</v>
      </c>
      <c r="G487" s="149">
        <f>(61954)*(1.023*1.005-2.3%*15%)*6.99+0*4.09</f>
        <v>443740</v>
      </c>
      <c r="H487" s="145">
        <f t="shared" si="186"/>
        <v>1.123</v>
      </c>
      <c r="I487" s="146">
        <f t="shared" si="187"/>
        <v>498320</v>
      </c>
      <c r="J487" s="145">
        <f>'[2]Расчет прогнозных дефляторов'!$D$75</f>
        <v>1.0429999999999999</v>
      </c>
      <c r="K487" s="146">
        <f t="shared" si="188"/>
        <v>519748</v>
      </c>
      <c r="L487" s="146">
        <f t="shared" si="189"/>
        <v>513320</v>
      </c>
      <c r="M487" s="147"/>
      <c r="N487" s="147"/>
      <c r="O487" s="147"/>
    </row>
    <row r="488" spans="1:15" s="148" customFormat="1" ht="38.25" hidden="1" outlineLevel="1" x14ac:dyDescent="0.2">
      <c r="A488" s="200"/>
      <c r="B488" s="95"/>
      <c r="C488" s="42" t="s">
        <v>1452</v>
      </c>
      <c r="D488" s="42" t="s">
        <v>1454</v>
      </c>
      <c r="E488" s="100" t="s">
        <v>377</v>
      </c>
      <c r="F488" s="100">
        <v>120</v>
      </c>
      <c r="G488" s="149">
        <f>(128300)*(1.023*1.005-2.3%*15%)*6.99+0*4.09</f>
        <v>918937</v>
      </c>
      <c r="H488" s="145">
        <f t="shared" si="186"/>
        <v>1.123</v>
      </c>
      <c r="I488" s="146">
        <f t="shared" si="187"/>
        <v>1031966</v>
      </c>
      <c r="J488" s="145">
        <f>'[2]Расчет прогнозных дефляторов'!$D$75</f>
        <v>1.0429999999999999</v>
      </c>
      <c r="K488" s="146">
        <f t="shared" si="188"/>
        <v>1076341</v>
      </c>
      <c r="L488" s="146">
        <f t="shared" si="189"/>
        <v>1063029</v>
      </c>
      <c r="M488" s="147"/>
      <c r="N488" s="147"/>
      <c r="O488" s="147"/>
    </row>
    <row r="489" spans="1:15" s="148" customFormat="1" ht="15.75" hidden="1" outlineLevel="1" x14ac:dyDescent="0.2">
      <c r="A489" s="200"/>
      <c r="B489" s="95"/>
      <c r="C489" s="42" t="s">
        <v>1456</v>
      </c>
      <c r="D489" s="42" t="s">
        <v>1455</v>
      </c>
      <c r="E489" s="100" t="s">
        <v>300</v>
      </c>
      <c r="F489" s="100">
        <v>7.2</v>
      </c>
      <c r="G489" s="149">
        <f>(1295)*(1.023*1.005-2.3%*15%)*6.99+0*4.09</f>
        <v>9275</v>
      </c>
      <c r="H489" s="145">
        <f t="shared" si="186"/>
        <v>1.123</v>
      </c>
      <c r="I489" s="146">
        <f t="shared" si="187"/>
        <v>10416</v>
      </c>
      <c r="J489" s="145">
        <f>'[2]Расчет прогнозных дефляторов'!$D$75</f>
        <v>1.0429999999999999</v>
      </c>
      <c r="K489" s="146">
        <f t="shared" si="188"/>
        <v>10864</v>
      </c>
      <c r="L489" s="146">
        <f t="shared" si="189"/>
        <v>10730</v>
      </c>
      <c r="M489" s="147"/>
      <c r="N489" s="147"/>
      <c r="O489" s="147"/>
    </row>
    <row r="490" spans="1:15" s="148" customFormat="1" ht="15.75" hidden="1" outlineLevel="1" x14ac:dyDescent="0.2">
      <c r="A490" s="200"/>
      <c r="B490" s="95"/>
      <c r="C490" s="42" t="s">
        <v>1463</v>
      </c>
      <c r="D490" s="42" t="s">
        <v>1457</v>
      </c>
      <c r="E490" s="100" t="s">
        <v>377</v>
      </c>
      <c r="F490" s="100">
        <v>33</v>
      </c>
      <c r="G490" s="149">
        <f>(21303)*(1.023*1.005-2.3%*15%)*6.99+0*4.09</f>
        <v>152581</v>
      </c>
      <c r="H490" s="145">
        <f t="shared" si="186"/>
        <v>1.123</v>
      </c>
      <c r="I490" s="146">
        <f t="shared" si="187"/>
        <v>171348</v>
      </c>
      <c r="J490" s="145">
        <f>'[2]Расчет прогнозных дефляторов'!$D$75</f>
        <v>1.0429999999999999</v>
      </c>
      <c r="K490" s="146">
        <f t="shared" si="188"/>
        <v>178716</v>
      </c>
      <c r="L490" s="146">
        <f t="shared" si="189"/>
        <v>176506</v>
      </c>
      <c r="M490" s="147"/>
      <c r="N490" s="147"/>
      <c r="O490" s="147"/>
    </row>
    <row r="491" spans="1:15" s="148" customFormat="1" ht="15.75" hidden="1" outlineLevel="1" x14ac:dyDescent="0.2">
      <c r="A491" s="200"/>
      <c r="B491" s="95"/>
      <c r="C491" s="42" t="s">
        <v>1462</v>
      </c>
      <c r="D491" s="42" t="s">
        <v>1461</v>
      </c>
      <c r="E491" s="100" t="s">
        <v>377</v>
      </c>
      <c r="F491" s="100">
        <v>120</v>
      </c>
      <c r="G491" s="149">
        <f>(63211)*(1.023*1.005-2.3%*15%)*6.99+0*4.09</f>
        <v>452743</v>
      </c>
      <c r="H491" s="145">
        <f t="shared" si="186"/>
        <v>1.123</v>
      </c>
      <c r="I491" s="146">
        <f t="shared" si="187"/>
        <v>508430</v>
      </c>
      <c r="J491" s="145">
        <f>'[2]Расчет прогнозных дефляторов'!$D$75</f>
        <v>1.0429999999999999</v>
      </c>
      <c r="K491" s="146">
        <f t="shared" si="188"/>
        <v>530292</v>
      </c>
      <c r="L491" s="146">
        <f t="shared" si="189"/>
        <v>523733</v>
      </c>
      <c r="M491" s="147"/>
      <c r="N491" s="147"/>
      <c r="O491" s="147"/>
    </row>
    <row r="492" spans="1:15" s="148" customFormat="1" ht="25.5" hidden="1" outlineLevel="1" x14ac:dyDescent="0.2">
      <c r="A492" s="200"/>
      <c r="B492" s="95"/>
      <c r="C492" s="42" t="s">
        <v>1468</v>
      </c>
      <c r="D492" s="42" t="s">
        <v>1464</v>
      </c>
      <c r="E492" s="100" t="s">
        <v>408</v>
      </c>
      <c r="F492" s="100">
        <v>80</v>
      </c>
      <c r="G492" s="149">
        <f>(366)*(1.023*1.005-2.3%*15%)*6.99+0*4.09</f>
        <v>2621</v>
      </c>
      <c r="H492" s="145">
        <f t="shared" si="186"/>
        <v>1.123</v>
      </c>
      <c r="I492" s="146">
        <f t="shared" si="187"/>
        <v>2943</v>
      </c>
      <c r="J492" s="145">
        <f>'[2]Расчет прогнозных дефляторов'!$D$75</f>
        <v>1.0429999999999999</v>
      </c>
      <c r="K492" s="146">
        <f t="shared" si="188"/>
        <v>3070</v>
      </c>
      <c r="L492" s="146">
        <f t="shared" si="189"/>
        <v>3032</v>
      </c>
      <c r="M492" s="147"/>
      <c r="N492" s="147"/>
      <c r="O492" s="147"/>
    </row>
    <row r="493" spans="1:15" s="148" customFormat="1" ht="25.5" hidden="1" outlineLevel="1" x14ac:dyDescent="0.2">
      <c r="A493" s="200"/>
      <c r="B493" s="95"/>
      <c r="C493" s="42" t="s">
        <v>1469</v>
      </c>
      <c r="D493" s="42" t="s">
        <v>1465</v>
      </c>
      <c r="E493" s="100" t="s">
        <v>408</v>
      </c>
      <c r="F493" s="100">
        <v>80</v>
      </c>
      <c r="G493" s="149">
        <f>(457)*(1.023*1.005-2.3%*15%)*6.99+0*4.09</f>
        <v>3273</v>
      </c>
      <c r="H493" s="145">
        <f t="shared" si="186"/>
        <v>1.123</v>
      </c>
      <c r="I493" s="146">
        <f t="shared" si="187"/>
        <v>3676</v>
      </c>
      <c r="J493" s="145">
        <f>'[2]Расчет прогнозных дефляторов'!$D$75</f>
        <v>1.0429999999999999</v>
      </c>
      <c r="K493" s="146">
        <f t="shared" si="188"/>
        <v>3834</v>
      </c>
      <c r="L493" s="146">
        <f t="shared" si="189"/>
        <v>3787</v>
      </c>
      <c r="M493" s="147"/>
      <c r="N493" s="147"/>
      <c r="O493" s="147"/>
    </row>
    <row r="494" spans="1:15" s="148" customFormat="1" ht="25.5" hidden="1" outlineLevel="1" x14ac:dyDescent="0.2">
      <c r="A494" s="200"/>
      <c r="B494" s="95"/>
      <c r="C494" s="42" t="s">
        <v>1470</v>
      </c>
      <c r="D494" s="42" t="s">
        <v>1466</v>
      </c>
      <c r="E494" s="100" t="s">
        <v>408</v>
      </c>
      <c r="F494" s="100">
        <v>88</v>
      </c>
      <c r="G494" s="149">
        <f>(755)*(1.023*1.005-2.3%*15%)*6.99+0*4.09</f>
        <v>5408</v>
      </c>
      <c r="H494" s="145">
        <f t="shared" si="186"/>
        <v>1.123</v>
      </c>
      <c r="I494" s="146">
        <f t="shared" si="187"/>
        <v>6073</v>
      </c>
      <c r="J494" s="145">
        <f>'[2]Расчет прогнозных дефляторов'!$D$75</f>
        <v>1.0429999999999999</v>
      </c>
      <c r="K494" s="146">
        <f t="shared" si="188"/>
        <v>6334</v>
      </c>
      <c r="L494" s="146">
        <f t="shared" si="189"/>
        <v>6256</v>
      </c>
      <c r="M494" s="147"/>
      <c r="N494" s="147"/>
      <c r="O494" s="147"/>
    </row>
    <row r="495" spans="1:15" s="148" customFormat="1" ht="25.5" hidden="1" outlineLevel="1" x14ac:dyDescent="0.2">
      <c r="A495" s="200"/>
      <c r="B495" s="95"/>
      <c r="C495" s="42" t="s">
        <v>1471</v>
      </c>
      <c r="D495" s="42" t="s">
        <v>1467</v>
      </c>
      <c r="E495" s="100" t="s">
        <v>408</v>
      </c>
      <c r="F495" s="100">
        <v>96</v>
      </c>
      <c r="G495" s="149">
        <f>(1101)*(1.023*1.005-2.3%*15%)*6.99+0*4.09</f>
        <v>7886</v>
      </c>
      <c r="H495" s="145">
        <f t="shared" si="186"/>
        <v>1.123</v>
      </c>
      <c r="I495" s="146">
        <f t="shared" si="187"/>
        <v>8856</v>
      </c>
      <c r="J495" s="145">
        <f>'[2]Расчет прогнозных дефляторов'!$D$75</f>
        <v>1.0429999999999999</v>
      </c>
      <c r="K495" s="146">
        <f t="shared" si="188"/>
        <v>9237</v>
      </c>
      <c r="L495" s="146">
        <f t="shared" si="189"/>
        <v>9123</v>
      </c>
      <c r="M495" s="147"/>
      <c r="N495" s="147"/>
      <c r="O495" s="147"/>
    </row>
    <row r="496" spans="1:15" s="148" customFormat="1" ht="15.75" hidden="1" outlineLevel="1" x14ac:dyDescent="0.2">
      <c r="A496" s="200"/>
      <c r="B496" s="95"/>
      <c r="C496" s="42" t="s">
        <v>1474</v>
      </c>
      <c r="D496" s="42" t="s">
        <v>1472</v>
      </c>
      <c r="E496" s="100" t="s">
        <v>408</v>
      </c>
      <c r="F496" s="100">
        <v>16</v>
      </c>
      <c r="G496" s="149">
        <f>(107116)*(1.023*1.005-2.3%*15%)*6.99+0*4.09</f>
        <v>767209</v>
      </c>
      <c r="H496" s="145">
        <f t="shared" si="186"/>
        <v>1.123</v>
      </c>
      <c r="I496" s="146">
        <f t="shared" si="187"/>
        <v>861576</v>
      </c>
      <c r="J496" s="145">
        <f>'[2]Расчет прогнозных дефляторов'!$D$75</f>
        <v>1.0429999999999999</v>
      </c>
      <c r="K496" s="146">
        <f t="shared" si="188"/>
        <v>898624</v>
      </c>
      <c r="L496" s="146">
        <f t="shared" si="189"/>
        <v>887510</v>
      </c>
      <c r="M496" s="147"/>
      <c r="N496" s="147"/>
      <c r="O496" s="147"/>
    </row>
    <row r="497" spans="1:15" s="148" customFormat="1" ht="15.75" hidden="1" outlineLevel="1" x14ac:dyDescent="0.2">
      <c r="A497" s="200"/>
      <c r="B497" s="95"/>
      <c r="C497" s="42" t="s">
        <v>1475</v>
      </c>
      <c r="D497" s="42" t="s">
        <v>1473</v>
      </c>
      <c r="E497" s="100" t="s">
        <v>408</v>
      </c>
      <c r="F497" s="100">
        <v>8</v>
      </c>
      <c r="G497" s="149">
        <f>(20026)*(1.023*1.005-2.3%*15%)*6.99+0*4.09</f>
        <v>143434</v>
      </c>
      <c r="H497" s="145">
        <f t="shared" si="186"/>
        <v>1.123</v>
      </c>
      <c r="I497" s="146">
        <f t="shared" si="187"/>
        <v>161076</v>
      </c>
      <c r="J497" s="145">
        <f>'[2]Расчет прогнозных дефляторов'!$D$75</f>
        <v>1.0429999999999999</v>
      </c>
      <c r="K497" s="146">
        <f t="shared" si="188"/>
        <v>168002</v>
      </c>
      <c r="L497" s="146">
        <f t="shared" si="189"/>
        <v>165924</v>
      </c>
      <c r="M497" s="147"/>
      <c r="N497" s="147"/>
      <c r="O497" s="147"/>
    </row>
    <row r="498" spans="1:15" s="148" customFormat="1" ht="15.75" hidden="1" outlineLevel="1" x14ac:dyDescent="0.2">
      <c r="A498" s="200"/>
      <c r="B498" s="95"/>
      <c r="C498" s="42" t="s">
        <v>1478</v>
      </c>
      <c r="D498" s="42" t="s">
        <v>1476</v>
      </c>
      <c r="E498" s="100" t="s">
        <v>408</v>
      </c>
      <c r="F498" s="100">
        <v>4</v>
      </c>
      <c r="G498" s="149">
        <f>(24765)*(1.023*1.005-2.3%*15%)*6.99+0*4.09</f>
        <v>177377</v>
      </c>
      <c r="H498" s="145">
        <f t="shared" si="186"/>
        <v>1.123</v>
      </c>
      <c r="I498" s="146">
        <f t="shared" si="187"/>
        <v>199194</v>
      </c>
      <c r="J498" s="145">
        <f>'[2]Расчет прогнозных дефляторов'!$D$75</f>
        <v>1.0429999999999999</v>
      </c>
      <c r="K498" s="146">
        <f t="shared" si="188"/>
        <v>207759</v>
      </c>
      <c r="L498" s="146">
        <f t="shared" si="189"/>
        <v>205190</v>
      </c>
      <c r="M498" s="147"/>
      <c r="N498" s="147"/>
      <c r="O498" s="147"/>
    </row>
    <row r="499" spans="1:15" s="148" customFormat="1" ht="15.75" hidden="1" outlineLevel="1" x14ac:dyDescent="0.2">
      <c r="A499" s="200"/>
      <c r="B499" s="95"/>
      <c r="C499" s="42" t="s">
        <v>1479</v>
      </c>
      <c r="D499" s="42" t="s">
        <v>1477</v>
      </c>
      <c r="E499" s="100" t="s">
        <v>408</v>
      </c>
      <c r="F499" s="100">
        <v>16</v>
      </c>
      <c r="G499" s="149">
        <f>(102811)*(1.023*1.005-2.3%*15%)*6.99+0*4.09</f>
        <v>736374</v>
      </c>
      <c r="H499" s="145">
        <f t="shared" si="186"/>
        <v>1.123</v>
      </c>
      <c r="I499" s="146">
        <f t="shared" si="187"/>
        <v>826948</v>
      </c>
      <c r="J499" s="145">
        <f>'[2]Расчет прогнозных дефляторов'!$D$75</f>
        <v>1.0429999999999999</v>
      </c>
      <c r="K499" s="146">
        <f t="shared" si="188"/>
        <v>862507</v>
      </c>
      <c r="L499" s="146">
        <f t="shared" si="189"/>
        <v>851839</v>
      </c>
      <c r="M499" s="147"/>
      <c r="N499" s="147"/>
      <c r="O499" s="147"/>
    </row>
    <row r="500" spans="1:15" s="148" customFormat="1" ht="25.5" hidden="1" outlineLevel="1" x14ac:dyDescent="0.2">
      <c r="A500" s="200"/>
      <c r="B500" s="95"/>
      <c r="C500" s="42" t="s">
        <v>1481</v>
      </c>
      <c r="D500" s="42" t="s">
        <v>1480</v>
      </c>
      <c r="E500" s="100" t="s">
        <v>408</v>
      </c>
      <c r="F500" s="100">
        <v>8</v>
      </c>
      <c r="G500" s="149">
        <f>(11275)*(1.023*1.005-2.3%*15%)*6.99+0*4.09</f>
        <v>80756</v>
      </c>
      <c r="H500" s="145">
        <f t="shared" si="186"/>
        <v>1.123</v>
      </c>
      <c r="I500" s="146">
        <f t="shared" si="187"/>
        <v>90689</v>
      </c>
      <c r="J500" s="145">
        <f>'[2]Расчет прогнозных дефляторов'!$D$75</f>
        <v>1.0429999999999999</v>
      </c>
      <c r="K500" s="146">
        <f t="shared" si="188"/>
        <v>94589</v>
      </c>
      <c r="L500" s="146">
        <f t="shared" si="189"/>
        <v>93419</v>
      </c>
      <c r="M500" s="147"/>
      <c r="N500" s="147"/>
      <c r="O500" s="147"/>
    </row>
    <row r="501" spans="1:15" s="148" customFormat="1" ht="15.75" hidden="1" outlineLevel="1" x14ac:dyDescent="0.2">
      <c r="A501" s="200"/>
      <c r="B501" s="95"/>
      <c r="C501" s="42" t="s">
        <v>1483</v>
      </c>
      <c r="D501" s="42" t="s">
        <v>1482</v>
      </c>
      <c r="E501" s="100" t="s">
        <v>408</v>
      </c>
      <c r="F501" s="100">
        <v>4</v>
      </c>
      <c r="G501" s="149">
        <f>(19239)*(1.023*1.005-2.3%*15%)*6.99+0*4.09</f>
        <v>137798</v>
      </c>
      <c r="H501" s="145">
        <f t="shared" si="186"/>
        <v>1.123</v>
      </c>
      <c r="I501" s="146">
        <f t="shared" si="187"/>
        <v>154747</v>
      </c>
      <c r="J501" s="145">
        <f>'[2]Расчет прогнозных дефляторов'!$D$75</f>
        <v>1.0429999999999999</v>
      </c>
      <c r="K501" s="146">
        <f t="shared" si="188"/>
        <v>161401</v>
      </c>
      <c r="L501" s="146">
        <f t="shared" si="189"/>
        <v>159405</v>
      </c>
      <c r="M501" s="147"/>
      <c r="N501" s="147"/>
      <c r="O501" s="147"/>
    </row>
    <row r="502" spans="1:15" s="148" customFormat="1" ht="25.5" hidden="1" outlineLevel="1" x14ac:dyDescent="0.2">
      <c r="A502" s="200"/>
      <c r="B502" s="95"/>
      <c r="C502" s="42" t="s">
        <v>1485</v>
      </c>
      <c r="D502" s="42" t="s">
        <v>1484</v>
      </c>
      <c r="E502" s="100" t="s">
        <v>408</v>
      </c>
      <c r="F502" s="100">
        <v>2</v>
      </c>
      <c r="G502" s="149">
        <f>(15735)*(1.023*1.005-2.3%*15%)*6.99+0*4.09</f>
        <v>112700</v>
      </c>
      <c r="H502" s="145">
        <f t="shared" si="186"/>
        <v>1.123</v>
      </c>
      <c r="I502" s="146">
        <f t="shared" si="187"/>
        <v>126562</v>
      </c>
      <c r="J502" s="145">
        <f>'[2]Расчет прогнозных дефляторов'!$D$75</f>
        <v>1.0429999999999999</v>
      </c>
      <c r="K502" s="146">
        <f t="shared" si="188"/>
        <v>132004</v>
      </c>
      <c r="L502" s="146">
        <f t="shared" si="189"/>
        <v>130371</v>
      </c>
      <c r="M502" s="147"/>
      <c r="N502" s="147"/>
      <c r="O502" s="147"/>
    </row>
    <row r="503" spans="1:15" s="148" customFormat="1" ht="15.75" hidden="1" outlineLevel="1" x14ac:dyDescent="0.2">
      <c r="A503" s="200"/>
      <c r="B503" s="95"/>
      <c r="C503" s="42" t="s">
        <v>1486</v>
      </c>
      <c r="D503" s="42" t="s">
        <v>1487</v>
      </c>
      <c r="E503" s="100" t="s">
        <v>408</v>
      </c>
      <c r="F503" s="100">
        <v>6</v>
      </c>
      <c r="G503" s="149">
        <f>(699)*(1.023*1.005-2.3%*15%)*6.99+361*4.09</f>
        <v>6483</v>
      </c>
      <c r="H503" s="145">
        <f t="shared" si="186"/>
        <v>1.123</v>
      </c>
      <c r="I503" s="146">
        <f t="shared" si="187"/>
        <v>7280</v>
      </c>
      <c r="J503" s="145">
        <f>'[2]Расчет прогнозных дефляторов'!$D$75</f>
        <v>1.0429999999999999</v>
      </c>
      <c r="K503" s="146">
        <f t="shared" si="188"/>
        <v>7593</v>
      </c>
      <c r="L503" s="146">
        <f t="shared" si="189"/>
        <v>7499</v>
      </c>
      <c r="M503" s="147"/>
      <c r="N503" s="147"/>
      <c r="O503" s="147"/>
    </row>
    <row r="504" spans="1:15" s="148" customFormat="1" ht="38.25" hidden="1" outlineLevel="1" x14ac:dyDescent="0.2">
      <c r="A504" s="200"/>
      <c r="B504" s="95"/>
      <c r="C504" s="42" t="s">
        <v>1488</v>
      </c>
      <c r="D504" s="42" t="s">
        <v>1489</v>
      </c>
      <c r="E504" s="100" t="s">
        <v>408</v>
      </c>
      <c r="F504" s="100">
        <v>2</v>
      </c>
      <c r="G504" s="149">
        <f>(62+6500)*(1.023*1.005-2.3%*15%)*6.99+0*4.09</f>
        <v>47000</v>
      </c>
      <c r="H504" s="145">
        <f t="shared" si="186"/>
        <v>1.123</v>
      </c>
      <c r="I504" s="146">
        <f t="shared" si="187"/>
        <v>52781</v>
      </c>
      <c r="J504" s="145">
        <f>'[2]Расчет прогнозных дефляторов'!$D$75</f>
        <v>1.0429999999999999</v>
      </c>
      <c r="K504" s="146">
        <f t="shared" si="188"/>
        <v>55051</v>
      </c>
      <c r="L504" s="146">
        <f t="shared" si="189"/>
        <v>54370</v>
      </c>
      <c r="M504" s="147"/>
      <c r="N504" s="147"/>
      <c r="O504" s="147"/>
    </row>
    <row r="505" spans="1:15" s="148" customFormat="1" ht="25.5" hidden="1" outlineLevel="1" x14ac:dyDescent="0.2">
      <c r="A505" s="200"/>
      <c r="B505" s="95"/>
      <c r="C505" s="42" t="s">
        <v>1491</v>
      </c>
      <c r="D505" s="42" t="s">
        <v>1490</v>
      </c>
      <c r="E505" s="100" t="s">
        <v>404</v>
      </c>
      <c r="F505" s="100">
        <f>111.2</f>
        <v>111.2</v>
      </c>
      <c r="G505" s="149">
        <f>(8236)*(1.023*1.005-2.3%*15%)*6.99+0*4.09</f>
        <v>58990</v>
      </c>
      <c r="H505" s="145">
        <f t="shared" si="186"/>
        <v>1.123</v>
      </c>
      <c r="I505" s="146">
        <f t="shared" si="187"/>
        <v>66246</v>
      </c>
      <c r="J505" s="145">
        <f>'[2]Расчет прогнозных дефляторов'!$D$75</f>
        <v>1.0429999999999999</v>
      </c>
      <c r="K505" s="146">
        <f t="shared" si="188"/>
        <v>69095</v>
      </c>
      <c r="L505" s="146">
        <f t="shared" si="189"/>
        <v>68240</v>
      </c>
      <c r="M505" s="147"/>
      <c r="N505" s="147"/>
      <c r="O505" s="147"/>
    </row>
    <row r="506" spans="1:15" s="148" customFormat="1" ht="15.75" collapsed="1" x14ac:dyDescent="0.2">
      <c r="A506" s="258"/>
      <c r="B506" s="259"/>
      <c r="C506" s="257" t="s">
        <v>39</v>
      </c>
      <c r="D506" s="257" t="s">
        <v>1784</v>
      </c>
      <c r="E506" s="260" t="s">
        <v>408</v>
      </c>
      <c r="F506" s="261">
        <v>1</v>
      </c>
      <c r="G506" s="261">
        <f>SUM(G507:G520)</f>
        <v>25566042</v>
      </c>
      <c r="H506" s="262"/>
      <c r="I506" s="261">
        <f>SUM(I507:I520)</f>
        <v>28710667</v>
      </c>
      <c r="J506" s="262"/>
      <c r="K506" s="261">
        <f>SUM(K507:K520)</f>
        <v>29945226</v>
      </c>
      <c r="L506" s="261">
        <f>SUM(L507:L520)</f>
        <v>29574859</v>
      </c>
      <c r="M506" s="147"/>
      <c r="N506" s="147"/>
      <c r="O506" s="147"/>
    </row>
    <row r="507" spans="1:15" s="148" customFormat="1" ht="15.75" hidden="1" outlineLevel="1" x14ac:dyDescent="0.2">
      <c r="A507" s="200"/>
      <c r="B507" s="95"/>
      <c r="C507" s="42"/>
      <c r="D507" s="229" t="s">
        <v>648</v>
      </c>
      <c r="E507" s="100"/>
      <c r="F507" s="149"/>
      <c r="G507" s="149"/>
      <c r="H507" s="145"/>
      <c r="I507" s="149"/>
      <c r="J507" s="145"/>
      <c r="K507" s="149"/>
      <c r="L507" s="149"/>
      <c r="M507" s="147"/>
      <c r="N507" s="147"/>
      <c r="O507" s="147"/>
    </row>
    <row r="508" spans="1:15" s="148" customFormat="1" ht="15.75" hidden="1" outlineLevel="1" x14ac:dyDescent="0.2">
      <c r="A508" s="200"/>
      <c r="B508" s="95"/>
      <c r="C508" s="42"/>
      <c r="D508" s="42" t="s">
        <v>367</v>
      </c>
      <c r="E508" s="100"/>
      <c r="F508" s="100"/>
      <c r="G508" s="149"/>
      <c r="H508" s="145"/>
      <c r="I508" s="146"/>
      <c r="J508" s="145"/>
      <c r="K508" s="146"/>
      <c r="L508" s="146"/>
      <c r="M508" s="147"/>
      <c r="N508" s="147"/>
      <c r="O508" s="147"/>
    </row>
    <row r="509" spans="1:15" s="148" customFormat="1" ht="25.5" hidden="1" outlineLevel="1" x14ac:dyDescent="0.2">
      <c r="A509" s="200"/>
      <c r="B509" s="95"/>
      <c r="C509" s="42" t="s">
        <v>506</v>
      </c>
      <c r="D509" s="42" t="s">
        <v>1492</v>
      </c>
      <c r="E509" s="100" t="s">
        <v>300</v>
      </c>
      <c r="F509" s="100">
        <f>176</f>
        <v>176</v>
      </c>
      <c r="G509" s="149">
        <f>(35096)*(1.023*1.005-2.3%*15%)*6.99+0*4.09+28</f>
        <v>251400</v>
      </c>
      <c r="H509" s="145">
        <f t="shared" ref="H509:H518" si="190">$H$772</f>
        <v>1.123</v>
      </c>
      <c r="I509" s="146">
        <f t="shared" ref="I509:I518" si="191">G509*H509</f>
        <v>282322</v>
      </c>
      <c r="J509" s="145">
        <f>'[2]Расчет прогнозных дефляторов'!$D$75</f>
        <v>1.0429999999999999</v>
      </c>
      <c r="K509" s="146">
        <f t="shared" ref="K509:K518" si="192">I509*J509</f>
        <v>294462</v>
      </c>
      <c r="L509" s="146">
        <f t="shared" ref="L509:L518" si="193">I509+(K509-I509)*(1-30/100)</f>
        <v>290820</v>
      </c>
      <c r="M509" s="147"/>
      <c r="N509" s="147"/>
      <c r="O509" s="147"/>
    </row>
    <row r="510" spans="1:15" s="148" customFormat="1" ht="15.75" hidden="1" outlineLevel="1" x14ac:dyDescent="0.2">
      <c r="A510" s="200"/>
      <c r="B510" s="95"/>
      <c r="C510" s="42" t="s">
        <v>1494</v>
      </c>
      <c r="D510" s="42" t="s">
        <v>656</v>
      </c>
      <c r="E510" s="100" t="s">
        <v>300</v>
      </c>
      <c r="F510" s="100">
        <f>76.32</f>
        <v>76.319999999999993</v>
      </c>
      <c r="G510" s="149">
        <f>(3577)*(1.023*1.005-2.3%*15%)*6.99+0*4.09</f>
        <v>25620</v>
      </c>
      <c r="H510" s="145">
        <f t="shared" si="190"/>
        <v>1.123</v>
      </c>
      <c r="I510" s="146">
        <f t="shared" si="191"/>
        <v>28771</v>
      </c>
      <c r="J510" s="145">
        <f>'[2]Расчет прогнозных дефляторов'!$D$75</f>
        <v>1.0429999999999999</v>
      </c>
      <c r="K510" s="146">
        <f t="shared" si="192"/>
        <v>30008</v>
      </c>
      <c r="L510" s="146">
        <f t="shared" si="193"/>
        <v>29637</v>
      </c>
      <c r="M510" s="147"/>
      <c r="N510" s="147"/>
      <c r="O510" s="147"/>
    </row>
    <row r="511" spans="1:15" s="148" customFormat="1" ht="15.75" hidden="1" outlineLevel="1" x14ac:dyDescent="0.2">
      <c r="A511" s="200"/>
      <c r="B511" s="95"/>
      <c r="C511" s="42" t="s">
        <v>1495</v>
      </c>
      <c r="D511" s="42" t="s">
        <v>1493</v>
      </c>
      <c r="E511" s="100" t="s">
        <v>300</v>
      </c>
      <c r="F511" s="100">
        <f>99.68</f>
        <v>99.68</v>
      </c>
      <c r="G511" s="149">
        <f>(1279)*(1.023*1.005-2.3%*15%)*6.99+0*4.09</f>
        <v>9161</v>
      </c>
      <c r="H511" s="145">
        <f t="shared" si="190"/>
        <v>1.123</v>
      </c>
      <c r="I511" s="146">
        <f t="shared" si="191"/>
        <v>10288</v>
      </c>
      <c r="J511" s="145">
        <f>'[2]Расчет прогнозных дефляторов'!$D$75</f>
        <v>1.0429999999999999</v>
      </c>
      <c r="K511" s="146">
        <f t="shared" si="192"/>
        <v>10730</v>
      </c>
      <c r="L511" s="146">
        <f t="shared" si="193"/>
        <v>10597</v>
      </c>
      <c r="M511" s="147"/>
      <c r="N511" s="147"/>
      <c r="O511" s="147"/>
    </row>
    <row r="512" spans="1:15" s="148" customFormat="1" ht="25.5" hidden="1" outlineLevel="1" x14ac:dyDescent="0.2">
      <c r="A512" s="200"/>
      <c r="B512" s="95"/>
      <c r="C512" s="42" t="s">
        <v>1496</v>
      </c>
      <c r="D512" s="42" t="s">
        <v>750</v>
      </c>
      <c r="E512" s="100" t="s">
        <v>300</v>
      </c>
      <c r="F512" s="100">
        <f>99.68</f>
        <v>99.68</v>
      </c>
      <c r="G512" s="149">
        <f>(1071)*(1.023*1.005-2.3%*15%)*6.99+0*4.09</f>
        <v>7671</v>
      </c>
      <c r="H512" s="145">
        <f t="shared" si="190"/>
        <v>1.123</v>
      </c>
      <c r="I512" s="146">
        <f t="shared" si="191"/>
        <v>8615</v>
      </c>
      <c r="J512" s="145">
        <f>'[2]Расчет прогнозных дефляторов'!$D$75</f>
        <v>1.0429999999999999</v>
      </c>
      <c r="K512" s="146">
        <f t="shared" si="192"/>
        <v>8985</v>
      </c>
      <c r="L512" s="146">
        <f t="shared" si="193"/>
        <v>8874</v>
      </c>
      <c r="M512" s="147"/>
      <c r="N512" s="147"/>
      <c r="O512" s="147"/>
    </row>
    <row r="513" spans="1:15" s="148" customFormat="1" ht="15.75" hidden="1" outlineLevel="1" x14ac:dyDescent="0.2">
      <c r="A513" s="200"/>
      <c r="B513" s="95"/>
      <c r="C513" s="42" t="s">
        <v>1497</v>
      </c>
      <c r="D513" s="42" t="s">
        <v>492</v>
      </c>
      <c r="E513" s="100" t="s">
        <v>300</v>
      </c>
      <c r="F513" s="100">
        <f>9.72</f>
        <v>9.7200000000000006</v>
      </c>
      <c r="G513" s="149">
        <f>(36328)*(1.023*1.005-2.3%*15%)*6.99+0*4.09</f>
        <v>260196</v>
      </c>
      <c r="H513" s="145">
        <f t="shared" si="190"/>
        <v>1.123</v>
      </c>
      <c r="I513" s="146">
        <f t="shared" si="191"/>
        <v>292200</v>
      </c>
      <c r="J513" s="145">
        <f>'[2]Расчет прогнозных дефляторов'!$D$75</f>
        <v>1.0429999999999999</v>
      </c>
      <c r="K513" s="146">
        <f t="shared" si="192"/>
        <v>304765</v>
      </c>
      <c r="L513" s="146">
        <f t="shared" si="193"/>
        <v>300996</v>
      </c>
      <c r="M513" s="147"/>
      <c r="N513" s="147"/>
      <c r="O513" s="147"/>
    </row>
    <row r="514" spans="1:15" s="148" customFormat="1" ht="15.75" hidden="1" outlineLevel="1" x14ac:dyDescent="0.2">
      <c r="A514" s="200"/>
      <c r="B514" s="95"/>
      <c r="C514" s="42" t="s">
        <v>1499</v>
      </c>
      <c r="D514" s="42" t="s">
        <v>1498</v>
      </c>
      <c r="E514" s="100" t="s">
        <v>292</v>
      </c>
      <c r="F514" s="100">
        <v>1</v>
      </c>
      <c r="G514" s="149">
        <f>(3101)*(1.023*1.005-2.3%*15%)*6.99+0*4.09</f>
        <v>22211</v>
      </c>
      <c r="H514" s="145">
        <f t="shared" si="190"/>
        <v>1.123</v>
      </c>
      <c r="I514" s="146">
        <f t="shared" si="191"/>
        <v>24943</v>
      </c>
      <c r="J514" s="145">
        <f>'[2]Расчет прогнозных дефляторов'!$D$75</f>
        <v>1.0429999999999999</v>
      </c>
      <c r="K514" s="146">
        <f t="shared" si="192"/>
        <v>26016</v>
      </c>
      <c r="L514" s="146">
        <f t="shared" si="193"/>
        <v>25694</v>
      </c>
      <c r="M514" s="147"/>
      <c r="N514" s="147"/>
      <c r="O514" s="147"/>
    </row>
    <row r="515" spans="1:15" s="148" customFormat="1" ht="15.75" hidden="1" outlineLevel="1" x14ac:dyDescent="0.2">
      <c r="A515" s="200"/>
      <c r="B515" s="95"/>
      <c r="C515" s="42" t="s">
        <v>1500</v>
      </c>
      <c r="D515" s="42" t="s">
        <v>414</v>
      </c>
      <c r="E515" s="100" t="s">
        <v>404</v>
      </c>
      <c r="F515" s="100">
        <v>28</v>
      </c>
      <c r="G515" s="149">
        <f>(4589)*(1.023*1.005-2.3%*15%)*6.99+0*4.09</f>
        <v>32868</v>
      </c>
      <c r="H515" s="145">
        <f t="shared" si="190"/>
        <v>1.123</v>
      </c>
      <c r="I515" s="146">
        <f t="shared" si="191"/>
        <v>36911</v>
      </c>
      <c r="J515" s="145">
        <f>'[2]Расчет прогнозных дефляторов'!$D$75</f>
        <v>1.0429999999999999</v>
      </c>
      <c r="K515" s="146">
        <f t="shared" si="192"/>
        <v>38498</v>
      </c>
      <c r="L515" s="146">
        <f t="shared" si="193"/>
        <v>38022</v>
      </c>
      <c r="M515" s="147"/>
      <c r="N515" s="147"/>
      <c r="O515" s="147"/>
    </row>
    <row r="516" spans="1:15" s="148" customFormat="1" ht="15.75" hidden="1" outlineLevel="1" x14ac:dyDescent="0.2">
      <c r="A516" s="200"/>
      <c r="B516" s="95"/>
      <c r="C516" s="42" t="s">
        <v>1502</v>
      </c>
      <c r="D516" s="42" t="s">
        <v>1501</v>
      </c>
      <c r="E516" s="100" t="s">
        <v>637</v>
      </c>
      <c r="F516" s="145">
        <f>0.144+0.152</f>
        <v>0.29599999999999999</v>
      </c>
      <c r="G516" s="149">
        <f>(3336)*(1.023*1.005-2.3%*15%)*6.99+0*4.09</f>
        <v>23894</v>
      </c>
      <c r="H516" s="145">
        <f t="shared" si="190"/>
        <v>1.123</v>
      </c>
      <c r="I516" s="146">
        <f t="shared" si="191"/>
        <v>26833</v>
      </c>
      <c r="J516" s="145">
        <f>'[2]Расчет прогнозных дефляторов'!$D$75</f>
        <v>1.0429999999999999</v>
      </c>
      <c r="K516" s="146">
        <f t="shared" si="192"/>
        <v>27987</v>
      </c>
      <c r="L516" s="146">
        <f t="shared" si="193"/>
        <v>27641</v>
      </c>
      <c r="M516" s="147"/>
      <c r="N516" s="147"/>
      <c r="O516" s="147"/>
    </row>
    <row r="517" spans="1:15" s="148" customFormat="1" ht="15.75" hidden="1" outlineLevel="1" x14ac:dyDescent="0.2">
      <c r="A517" s="200"/>
      <c r="B517" s="95"/>
      <c r="C517" s="42" t="s">
        <v>1503</v>
      </c>
      <c r="D517" s="42" t="s">
        <v>493</v>
      </c>
      <c r="E517" s="100" t="s">
        <v>292</v>
      </c>
      <c r="F517" s="100">
        <v>1</v>
      </c>
      <c r="G517" s="149">
        <f>(11876)*(1.023*1.005-2.3%*15%)*6.99+0*4.09</f>
        <v>85061</v>
      </c>
      <c r="H517" s="145">
        <f t="shared" si="190"/>
        <v>1.123</v>
      </c>
      <c r="I517" s="146">
        <f t="shared" si="191"/>
        <v>95524</v>
      </c>
      <c r="J517" s="145">
        <f>'[2]Расчет прогнозных дефляторов'!$D$75</f>
        <v>1.0429999999999999</v>
      </c>
      <c r="K517" s="146">
        <f t="shared" si="192"/>
        <v>99632</v>
      </c>
      <c r="L517" s="146">
        <f t="shared" si="193"/>
        <v>98400</v>
      </c>
      <c r="M517" s="147"/>
      <c r="N517" s="147"/>
      <c r="O517" s="147"/>
    </row>
    <row r="518" spans="1:15" s="148" customFormat="1" ht="15.75" hidden="1" outlineLevel="1" x14ac:dyDescent="0.2">
      <c r="A518" s="200"/>
      <c r="B518" s="95"/>
      <c r="C518" s="42" t="s">
        <v>1504</v>
      </c>
      <c r="D518" s="42" t="s">
        <v>494</v>
      </c>
      <c r="E518" s="100" t="s">
        <v>404</v>
      </c>
      <c r="F518" s="100">
        <f>21.2</f>
        <v>21.2</v>
      </c>
      <c r="G518" s="149">
        <f>(2373)*(1.023*1.005-2.3%*15%)*6.99+0*4.09</f>
        <v>16996</v>
      </c>
      <c r="H518" s="145">
        <f t="shared" si="190"/>
        <v>1.123</v>
      </c>
      <c r="I518" s="146">
        <f t="shared" si="191"/>
        <v>19087</v>
      </c>
      <c r="J518" s="145">
        <f>'[2]Расчет прогнозных дефляторов'!$D$75</f>
        <v>1.0429999999999999</v>
      </c>
      <c r="K518" s="146">
        <f t="shared" si="192"/>
        <v>19908</v>
      </c>
      <c r="L518" s="146">
        <f t="shared" si="193"/>
        <v>19662</v>
      </c>
      <c r="M518" s="147"/>
      <c r="N518" s="147"/>
      <c r="O518" s="147"/>
    </row>
    <row r="519" spans="1:15" s="148" customFormat="1" ht="15.75" hidden="1" outlineLevel="1" x14ac:dyDescent="0.2">
      <c r="A519" s="200"/>
      <c r="B519" s="95"/>
      <c r="C519" s="42"/>
      <c r="D519" s="229" t="s">
        <v>646</v>
      </c>
      <c r="E519" s="100"/>
      <c r="F519" s="149"/>
      <c r="G519" s="149"/>
      <c r="H519" s="145"/>
      <c r="I519" s="146"/>
      <c r="J519" s="145"/>
      <c r="K519" s="146"/>
      <c r="L519" s="146"/>
      <c r="M519" s="147"/>
      <c r="N519" s="147"/>
      <c r="O519" s="147"/>
    </row>
    <row r="520" spans="1:15" s="148" customFormat="1" ht="25.5" hidden="1" outlineLevel="1" x14ac:dyDescent="0.2">
      <c r="A520" s="200"/>
      <c r="B520" s="95"/>
      <c r="C520" s="42" t="s">
        <v>1505</v>
      </c>
      <c r="D520" s="42" t="s">
        <v>496</v>
      </c>
      <c r="E520" s="100" t="s">
        <v>408</v>
      </c>
      <c r="F520" s="100">
        <v>1</v>
      </c>
      <c r="G520" s="149">
        <f>(1059+70040)*(1.023*1.005-2.3%*15%)*6.99+5946634*4.09-9</f>
        <v>24830964</v>
      </c>
      <c r="H520" s="145">
        <f>$H$772</f>
        <v>1.123</v>
      </c>
      <c r="I520" s="146">
        <f t="shared" ref="I520" si="194">G520*H520</f>
        <v>27885173</v>
      </c>
      <c r="J520" s="145">
        <f>'[2]Расчет прогнозных дефляторов'!$D$75</f>
        <v>1.0429999999999999</v>
      </c>
      <c r="K520" s="146">
        <f t="shared" ref="K520" si="195">I520*J520</f>
        <v>29084235</v>
      </c>
      <c r="L520" s="146">
        <f t="shared" ref="L520" si="196">I520+(K520-I520)*(1-30/100)</f>
        <v>28724516</v>
      </c>
      <c r="M520" s="147"/>
      <c r="N520" s="147"/>
      <c r="O520" s="147"/>
    </row>
    <row r="521" spans="1:15" s="237" customFormat="1" ht="15.75" collapsed="1" x14ac:dyDescent="0.2">
      <c r="A521" s="258"/>
      <c r="B521" s="259"/>
      <c r="C521" s="257" t="s">
        <v>41</v>
      </c>
      <c r="D521" s="257" t="s">
        <v>1783</v>
      </c>
      <c r="E521" s="260" t="s">
        <v>408</v>
      </c>
      <c r="F521" s="261">
        <v>1</v>
      </c>
      <c r="G521" s="261">
        <f>SUM(G522:G534)</f>
        <v>30784938</v>
      </c>
      <c r="H521" s="262"/>
      <c r="I521" s="261">
        <f>SUM(I522:I534)</f>
        <v>34571486</v>
      </c>
      <c r="J521" s="262"/>
      <c r="K521" s="261">
        <f>SUM(K522:K534)</f>
        <v>36058061</v>
      </c>
      <c r="L521" s="261">
        <f>SUM(L522:L534)</f>
        <v>35612090</v>
      </c>
      <c r="M521" s="256"/>
      <c r="N521" s="256"/>
      <c r="O521" s="256"/>
    </row>
    <row r="522" spans="1:15" s="148" customFormat="1" ht="15.75" hidden="1" outlineLevel="1" x14ac:dyDescent="0.2">
      <c r="A522" s="200"/>
      <c r="B522" s="95"/>
      <c r="C522" s="42"/>
      <c r="D522" s="229" t="s">
        <v>648</v>
      </c>
      <c r="E522" s="100"/>
      <c r="F522" s="100"/>
      <c r="G522" s="149"/>
      <c r="H522" s="145"/>
      <c r="I522" s="146"/>
      <c r="J522" s="145"/>
      <c r="K522" s="146"/>
      <c r="L522" s="146"/>
      <c r="M522" s="147"/>
      <c r="N522" s="147"/>
      <c r="O522" s="147"/>
    </row>
    <row r="523" spans="1:15" s="148" customFormat="1" ht="15.75" hidden="1" outlineLevel="1" x14ac:dyDescent="0.2">
      <c r="A523" s="200"/>
      <c r="B523" s="95"/>
      <c r="C523" s="42"/>
      <c r="D523" s="42" t="s">
        <v>367</v>
      </c>
      <c r="E523" s="100"/>
      <c r="F523" s="100"/>
      <c r="G523" s="149"/>
      <c r="H523" s="145"/>
      <c r="I523" s="146"/>
      <c r="J523" s="145"/>
      <c r="K523" s="146"/>
      <c r="L523" s="146"/>
      <c r="M523" s="147"/>
      <c r="N523" s="147"/>
      <c r="O523" s="147"/>
    </row>
    <row r="524" spans="1:15" s="148" customFormat="1" ht="25.5" hidden="1" outlineLevel="1" x14ac:dyDescent="0.2">
      <c r="A524" s="200"/>
      <c r="B524" s="95"/>
      <c r="C524" s="42" t="s">
        <v>1507</v>
      </c>
      <c r="D524" s="42" t="s">
        <v>1506</v>
      </c>
      <c r="E524" s="100" t="s">
        <v>300</v>
      </c>
      <c r="F524" s="100">
        <f>176</f>
        <v>176</v>
      </c>
      <c r="G524" s="149">
        <f>(35096)*(1.023*1.005-2.3%*15%)*6.99+0*4.09-36</f>
        <v>251336</v>
      </c>
      <c r="H524" s="145">
        <f t="shared" ref="H524:H532" si="197">$H$772</f>
        <v>1.123</v>
      </c>
      <c r="I524" s="146">
        <f t="shared" ref="I524:I532" si="198">G524*H524</f>
        <v>282250</v>
      </c>
      <c r="J524" s="145">
        <f>'[2]Расчет прогнозных дефляторов'!$D$75</f>
        <v>1.0429999999999999</v>
      </c>
      <c r="K524" s="146">
        <f t="shared" ref="K524:K532" si="199">I524*J524</f>
        <v>294387</v>
      </c>
      <c r="L524" s="146">
        <f t="shared" ref="L524:L532" si="200">I524+(K524-I524)*(1-30/100)</f>
        <v>290746</v>
      </c>
      <c r="M524" s="147"/>
      <c r="N524" s="147"/>
      <c r="O524" s="147"/>
    </row>
    <row r="525" spans="1:15" s="148" customFormat="1" ht="15.75" hidden="1" outlineLevel="1" x14ac:dyDescent="0.2">
      <c r="A525" s="200"/>
      <c r="B525" s="95"/>
      <c r="C525" s="42" t="s">
        <v>1508</v>
      </c>
      <c r="D525" s="42" t="s">
        <v>656</v>
      </c>
      <c r="E525" s="100" t="s">
        <v>300</v>
      </c>
      <c r="F525" s="100">
        <f>76.32</f>
        <v>76.319999999999993</v>
      </c>
      <c r="G525" s="149">
        <f>(3577)*(1.023*1.005-2.3%*15%)*6.99+0*4.09</f>
        <v>25620</v>
      </c>
      <c r="H525" s="145">
        <f t="shared" si="197"/>
        <v>1.123</v>
      </c>
      <c r="I525" s="146">
        <f t="shared" si="198"/>
        <v>28771</v>
      </c>
      <c r="J525" s="145">
        <f>'[2]Расчет прогнозных дефляторов'!$D$75</f>
        <v>1.0429999999999999</v>
      </c>
      <c r="K525" s="146">
        <f t="shared" si="199"/>
        <v>30008</v>
      </c>
      <c r="L525" s="146">
        <f t="shared" si="200"/>
        <v>29637</v>
      </c>
      <c r="M525" s="147"/>
      <c r="N525" s="147"/>
      <c r="O525" s="147"/>
    </row>
    <row r="526" spans="1:15" s="148" customFormat="1" ht="15.75" hidden="1" outlineLevel="1" x14ac:dyDescent="0.2">
      <c r="A526" s="200"/>
      <c r="B526" s="95"/>
      <c r="C526" s="42" t="s">
        <v>1509</v>
      </c>
      <c r="D526" s="42" t="s">
        <v>1493</v>
      </c>
      <c r="E526" s="100" t="s">
        <v>300</v>
      </c>
      <c r="F526" s="100">
        <f>99.68</f>
        <v>99.68</v>
      </c>
      <c r="G526" s="149">
        <f>(1279)*(1.023*1.005-2.3%*15%)*6.99+0*4.09</f>
        <v>9161</v>
      </c>
      <c r="H526" s="145">
        <f t="shared" si="197"/>
        <v>1.123</v>
      </c>
      <c r="I526" s="146">
        <f t="shared" si="198"/>
        <v>10288</v>
      </c>
      <c r="J526" s="145">
        <f>'[2]Расчет прогнозных дефляторов'!$D$75</f>
        <v>1.0429999999999999</v>
      </c>
      <c r="K526" s="146">
        <f t="shared" si="199"/>
        <v>10730</v>
      </c>
      <c r="L526" s="146">
        <f t="shared" si="200"/>
        <v>10597</v>
      </c>
      <c r="M526" s="147"/>
      <c r="N526" s="147"/>
      <c r="O526" s="147"/>
    </row>
    <row r="527" spans="1:15" s="148" customFormat="1" ht="15.75" hidden="1" outlineLevel="1" x14ac:dyDescent="0.2">
      <c r="A527" s="200"/>
      <c r="B527" s="95"/>
      <c r="C527" s="42" t="s">
        <v>1510</v>
      </c>
      <c r="D527" s="42" t="s">
        <v>492</v>
      </c>
      <c r="E527" s="100" t="s">
        <v>300</v>
      </c>
      <c r="F527" s="100">
        <f>9.72</f>
        <v>9.7200000000000006</v>
      </c>
      <c r="G527" s="149">
        <f>(36328)*(1.023*1.005-2.3%*15%)*6.99+0*4.09</f>
        <v>260196</v>
      </c>
      <c r="H527" s="145">
        <f t="shared" si="197"/>
        <v>1.123</v>
      </c>
      <c r="I527" s="146">
        <f t="shared" si="198"/>
        <v>292200</v>
      </c>
      <c r="J527" s="145">
        <f>'[2]Расчет прогнозных дефляторов'!$D$75</f>
        <v>1.0429999999999999</v>
      </c>
      <c r="K527" s="146">
        <f t="shared" si="199"/>
        <v>304765</v>
      </c>
      <c r="L527" s="146">
        <f t="shared" si="200"/>
        <v>300996</v>
      </c>
      <c r="M527" s="147"/>
      <c r="N527" s="147"/>
      <c r="O527" s="147"/>
    </row>
    <row r="528" spans="1:15" s="148" customFormat="1" ht="15.75" hidden="1" outlineLevel="1" x14ac:dyDescent="0.2">
      <c r="A528" s="200"/>
      <c r="B528" s="95"/>
      <c r="C528" s="42" t="s">
        <v>1511</v>
      </c>
      <c r="D528" s="42" t="s">
        <v>1498</v>
      </c>
      <c r="E528" s="100" t="s">
        <v>292</v>
      </c>
      <c r="F528" s="100">
        <v>1</v>
      </c>
      <c r="G528" s="149">
        <f>(3101)*(1.023*1.005-2.3%*15%)*6.99+0*4.09</f>
        <v>22211</v>
      </c>
      <c r="H528" s="145">
        <f t="shared" si="197"/>
        <v>1.123</v>
      </c>
      <c r="I528" s="146">
        <f t="shared" si="198"/>
        <v>24943</v>
      </c>
      <c r="J528" s="145">
        <f>'[2]Расчет прогнозных дефляторов'!$D$75</f>
        <v>1.0429999999999999</v>
      </c>
      <c r="K528" s="146">
        <f t="shared" si="199"/>
        <v>26016</v>
      </c>
      <c r="L528" s="146">
        <f t="shared" si="200"/>
        <v>25694</v>
      </c>
      <c r="M528" s="147"/>
      <c r="N528" s="147"/>
      <c r="O528" s="147"/>
    </row>
    <row r="529" spans="1:15" s="148" customFormat="1" ht="15.75" hidden="1" outlineLevel="1" x14ac:dyDescent="0.2">
      <c r="A529" s="200"/>
      <c r="B529" s="95"/>
      <c r="C529" s="42" t="s">
        <v>1512</v>
      </c>
      <c r="D529" s="42" t="s">
        <v>414</v>
      </c>
      <c r="E529" s="100" t="s">
        <v>404</v>
      </c>
      <c r="F529" s="100">
        <v>28</v>
      </c>
      <c r="G529" s="149">
        <f>(4589)*(1.023*1.005-2.3%*15%)*6.99+0*4.09</f>
        <v>32868</v>
      </c>
      <c r="H529" s="145">
        <f t="shared" si="197"/>
        <v>1.123</v>
      </c>
      <c r="I529" s="146">
        <f t="shared" si="198"/>
        <v>36911</v>
      </c>
      <c r="J529" s="145">
        <f>'[2]Расчет прогнозных дефляторов'!$D$75</f>
        <v>1.0429999999999999</v>
      </c>
      <c r="K529" s="146">
        <f t="shared" si="199"/>
        <v>38498</v>
      </c>
      <c r="L529" s="146">
        <f t="shared" si="200"/>
        <v>38022</v>
      </c>
      <c r="M529" s="147"/>
      <c r="N529" s="147"/>
      <c r="O529" s="147"/>
    </row>
    <row r="530" spans="1:15" s="148" customFormat="1" ht="15.75" hidden="1" outlineLevel="1" x14ac:dyDescent="0.2">
      <c r="A530" s="200"/>
      <c r="B530" s="95"/>
      <c r="C530" s="42" t="s">
        <v>1513</v>
      </c>
      <c r="D530" s="42" t="s">
        <v>1514</v>
      </c>
      <c r="E530" s="100" t="s">
        <v>637</v>
      </c>
      <c r="F530" s="145">
        <f>0.144+0.152</f>
        <v>0.29599999999999999</v>
      </c>
      <c r="G530" s="149">
        <f>(3336)*(1.023*1.005-2.3%*15%)*6.99+0*4.09</f>
        <v>23894</v>
      </c>
      <c r="H530" s="145">
        <f t="shared" si="197"/>
        <v>1.123</v>
      </c>
      <c r="I530" s="146">
        <f t="shared" si="198"/>
        <v>26833</v>
      </c>
      <c r="J530" s="145">
        <f>'[2]Расчет прогнозных дефляторов'!$D$75</f>
        <v>1.0429999999999999</v>
      </c>
      <c r="K530" s="146">
        <f t="shared" si="199"/>
        <v>27987</v>
      </c>
      <c r="L530" s="146">
        <f t="shared" si="200"/>
        <v>27641</v>
      </c>
      <c r="M530" s="147"/>
      <c r="N530" s="147"/>
      <c r="O530" s="147"/>
    </row>
    <row r="531" spans="1:15" s="148" customFormat="1" ht="15.75" hidden="1" outlineLevel="1" x14ac:dyDescent="0.2">
      <c r="A531" s="200"/>
      <c r="B531" s="95"/>
      <c r="C531" s="42" t="s">
        <v>1515</v>
      </c>
      <c r="D531" s="42" t="s">
        <v>493</v>
      </c>
      <c r="E531" s="100" t="s">
        <v>292</v>
      </c>
      <c r="F531" s="100">
        <v>1</v>
      </c>
      <c r="G531" s="149">
        <f>(11876)*(1.023*1.005-2.3%*15%)*6.99+0*4.09</f>
        <v>85061</v>
      </c>
      <c r="H531" s="145">
        <f t="shared" si="197"/>
        <v>1.123</v>
      </c>
      <c r="I531" s="146">
        <f t="shared" si="198"/>
        <v>95524</v>
      </c>
      <c r="J531" s="145">
        <f>'[2]Расчет прогнозных дефляторов'!$D$75</f>
        <v>1.0429999999999999</v>
      </c>
      <c r="K531" s="146">
        <f t="shared" si="199"/>
        <v>99632</v>
      </c>
      <c r="L531" s="146">
        <f t="shared" si="200"/>
        <v>98400</v>
      </c>
      <c r="M531" s="147"/>
      <c r="N531" s="147"/>
      <c r="O531" s="147"/>
    </row>
    <row r="532" spans="1:15" s="148" customFormat="1" ht="15.75" hidden="1" outlineLevel="1" x14ac:dyDescent="0.2">
      <c r="A532" s="200"/>
      <c r="B532" s="95"/>
      <c r="C532" s="42" t="s">
        <v>1516</v>
      </c>
      <c r="D532" s="42" t="s">
        <v>494</v>
      </c>
      <c r="E532" s="100" t="s">
        <v>404</v>
      </c>
      <c r="F532" s="100">
        <f>21.2</f>
        <v>21.2</v>
      </c>
      <c r="G532" s="149">
        <f>(2373)*(1.023*1.005-2.3%*15%)*6.99+0*4.09</f>
        <v>16996</v>
      </c>
      <c r="H532" s="145">
        <f t="shared" si="197"/>
        <v>1.123</v>
      </c>
      <c r="I532" s="146">
        <f t="shared" si="198"/>
        <v>19087</v>
      </c>
      <c r="J532" s="145">
        <f>'[2]Расчет прогнозных дефляторов'!$D$75</f>
        <v>1.0429999999999999</v>
      </c>
      <c r="K532" s="146">
        <f t="shared" si="199"/>
        <v>19908</v>
      </c>
      <c r="L532" s="146">
        <f t="shared" si="200"/>
        <v>19662</v>
      </c>
      <c r="M532" s="147"/>
      <c r="N532" s="147"/>
      <c r="O532" s="147"/>
    </row>
    <row r="533" spans="1:15" s="148" customFormat="1" ht="15.75" hidden="1" outlineLevel="1" x14ac:dyDescent="0.2">
      <c r="A533" s="200"/>
      <c r="B533" s="95"/>
      <c r="C533" s="42"/>
      <c r="D533" s="229" t="s">
        <v>646</v>
      </c>
      <c r="E533" s="100"/>
      <c r="F533" s="100"/>
      <c r="G533" s="149"/>
      <c r="H533" s="145"/>
      <c r="I533" s="146"/>
      <c r="J533" s="145"/>
      <c r="K533" s="146"/>
      <c r="L533" s="146"/>
      <c r="M533" s="147"/>
      <c r="N533" s="147"/>
      <c r="O533" s="147"/>
    </row>
    <row r="534" spans="1:15" s="148" customFormat="1" ht="38.25" hidden="1" outlineLevel="1" x14ac:dyDescent="0.2">
      <c r="A534" s="200"/>
      <c r="B534" s="95"/>
      <c r="C534" s="42" t="s">
        <v>1517</v>
      </c>
      <c r="D534" s="42" t="s">
        <v>1518</v>
      </c>
      <c r="E534" s="100" t="s">
        <v>408</v>
      </c>
      <c r="F534" s="100">
        <v>1</v>
      </c>
      <c r="G534" s="149">
        <f>(1059+72109)*(1.023*1.005-2.3%*15%)*6.99+7220913*4.09+2</f>
        <v>30057595</v>
      </c>
      <c r="H534" s="145">
        <f>$H$772</f>
        <v>1.123</v>
      </c>
      <c r="I534" s="146">
        <f t="shared" ref="I534:I535" si="201">G534*H534</f>
        <v>33754679</v>
      </c>
      <c r="J534" s="145">
        <f>'[2]Расчет прогнозных дефляторов'!$D$75</f>
        <v>1.0429999999999999</v>
      </c>
      <c r="K534" s="146">
        <f t="shared" ref="K534:K535" si="202">I534*J534</f>
        <v>35206130</v>
      </c>
      <c r="L534" s="146">
        <f t="shared" ref="L534:L535" si="203">I534+(K534-I534)*(1-30/100)</f>
        <v>34770695</v>
      </c>
      <c r="M534" s="147"/>
      <c r="N534" s="147"/>
      <c r="O534" s="147"/>
    </row>
    <row r="535" spans="1:15" s="148" customFormat="1" ht="15.75" collapsed="1" x14ac:dyDescent="0.2">
      <c r="A535" s="258"/>
      <c r="B535" s="259"/>
      <c r="C535" s="257" t="s">
        <v>1519</v>
      </c>
      <c r="D535" s="257" t="s">
        <v>46</v>
      </c>
      <c r="E535" s="260" t="s">
        <v>292</v>
      </c>
      <c r="F535" s="261">
        <v>1</v>
      </c>
      <c r="G535" s="261">
        <f>(18122+268877)*(1.023*1.005-2.3%*15%)*6.99+4903*4.09-5</f>
        <v>2075652</v>
      </c>
      <c r="H535" s="262">
        <f>$H$772</f>
        <v>1.123</v>
      </c>
      <c r="I535" s="263">
        <f t="shared" si="201"/>
        <v>2330957</v>
      </c>
      <c r="J535" s="262">
        <f>'[2]Расчет прогнозных дефляторов'!$D$75</f>
        <v>1.0429999999999999</v>
      </c>
      <c r="K535" s="263">
        <f t="shared" si="202"/>
        <v>2431188</v>
      </c>
      <c r="L535" s="263">
        <f t="shared" si="203"/>
        <v>2401119</v>
      </c>
      <c r="M535" s="147"/>
      <c r="N535" s="147"/>
      <c r="O535" s="147"/>
    </row>
    <row r="536" spans="1:15" s="148" customFormat="1" ht="15.75" x14ac:dyDescent="0.2">
      <c r="A536" s="258"/>
      <c r="B536" s="259"/>
      <c r="C536" s="257" t="s">
        <v>49</v>
      </c>
      <c r="D536" s="257" t="s">
        <v>50</v>
      </c>
      <c r="E536" s="260" t="s">
        <v>292</v>
      </c>
      <c r="F536" s="261">
        <v>1</v>
      </c>
      <c r="G536" s="261">
        <f>G537+G588+G594</f>
        <v>102030049</v>
      </c>
      <c r="H536" s="262"/>
      <c r="I536" s="261">
        <f>I537+I588+I594</f>
        <v>114579747</v>
      </c>
      <c r="J536" s="262"/>
      <c r="K536" s="261">
        <f>K537+K588+K594</f>
        <v>119506675</v>
      </c>
      <c r="L536" s="261">
        <f>L537+L588+L594</f>
        <v>118028596</v>
      </c>
      <c r="M536" s="147"/>
      <c r="N536" s="147"/>
      <c r="O536" s="147"/>
    </row>
    <row r="537" spans="1:15" s="148" customFormat="1" ht="15.75" outlineLevel="1" x14ac:dyDescent="0.2">
      <c r="A537" s="243"/>
      <c r="B537" s="244"/>
      <c r="C537" s="245" t="s">
        <v>239</v>
      </c>
      <c r="D537" s="245" t="s">
        <v>240</v>
      </c>
      <c r="E537" s="246" t="s">
        <v>292</v>
      </c>
      <c r="F537" s="247">
        <v>1</v>
      </c>
      <c r="G537" s="247">
        <f>SUM(G539:G587)</f>
        <v>71817612</v>
      </c>
      <c r="H537" s="248"/>
      <c r="I537" s="247">
        <f>SUM(I539:I587)</f>
        <v>80651179</v>
      </c>
      <c r="J537" s="248"/>
      <c r="K537" s="247">
        <f>SUM(K539:K587)</f>
        <v>84119179</v>
      </c>
      <c r="L537" s="247">
        <f>SUM(L539:L587)</f>
        <v>83078778</v>
      </c>
      <c r="M537" s="147"/>
      <c r="N537" s="147"/>
      <c r="O537" s="147"/>
    </row>
    <row r="538" spans="1:15" s="148" customFormat="1" ht="15.75" hidden="1" outlineLevel="2" x14ac:dyDescent="0.2">
      <c r="A538" s="200"/>
      <c r="B538" s="95"/>
      <c r="C538" s="42"/>
      <c r="D538" s="42" t="s">
        <v>367</v>
      </c>
      <c r="E538" s="100"/>
      <c r="F538" s="100"/>
      <c r="G538" s="149"/>
      <c r="H538" s="145"/>
      <c r="I538" s="146"/>
      <c r="J538" s="145"/>
      <c r="K538" s="146"/>
      <c r="L538" s="146"/>
      <c r="M538" s="147"/>
      <c r="N538" s="147"/>
      <c r="O538" s="147"/>
    </row>
    <row r="539" spans="1:15" s="148" customFormat="1" ht="25.5" hidden="1" outlineLevel="2" x14ac:dyDescent="0.2">
      <c r="A539" s="200"/>
      <c r="B539" s="95"/>
      <c r="C539" s="42" t="s">
        <v>1520</v>
      </c>
      <c r="D539" s="42" t="s">
        <v>510</v>
      </c>
      <c r="E539" s="100" t="s">
        <v>300</v>
      </c>
      <c r="F539" s="100">
        <f>22435</f>
        <v>22435</v>
      </c>
      <c r="G539" s="149">
        <f>(4473740)*(1.023*1.005-2.3%*15%)*6.99+0*4.09-62</f>
        <v>32042691</v>
      </c>
      <c r="H539" s="145">
        <f t="shared" ref="H539:H562" si="204">$H$772</f>
        <v>1.123</v>
      </c>
      <c r="I539" s="146">
        <f t="shared" ref="I539:I562" si="205">G539*H539</f>
        <v>35983942</v>
      </c>
      <c r="J539" s="145">
        <f>'[2]Расчет прогнозных дефляторов'!$D$75</f>
        <v>1.0429999999999999</v>
      </c>
      <c r="K539" s="146">
        <f t="shared" ref="K539:K562" si="206">I539*J539</f>
        <v>37531252</v>
      </c>
      <c r="L539" s="146">
        <f t="shared" ref="L539:L562" si="207">I539+(K539-I539)*(1-30/100)</f>
        <v>37067059</v>
      </c>
      <c r="M539" s="147"/>
      <c r="N539" s="147"/>
      <c r="O539" s="147"/>
    </row>
    <row r="540" spans="1:15" s="148" customFormat="1" ht="38.25" hidden="1" outlineLevel="2" x14ac:dyDescent="0.2">
      <c r="A540" s="200"/>
      <c r="B540" s="95"/>
      <c r="C540" s="42" t="s">
        <v>1523</v>
      </c>
      <c r="D540" s="42" t="s">
        <v>1521</v>
      </c>
      <c r="E540" s="100" t="s">
        <v>300</v>
      </c>
      <c r="F540" s="100">
        <f>20191.5</f>
        <v>20191.5</v>
      </c>
      <c r="G540" s="149">
        <f>(331083)*(1.023*1.005-2.3%*15%)*6.99+0*4.09</f>
        <v>2371352</v>
      </c>
      <c r="H540" s="145">
        <f t="shared" si="204"/>
        <v>1.123</v>
      </c>
      <c r="I540" s="146">
        <f t="shared" si="205"/>
        <v>2663028</v>
      </c>
      <c r="J540" s="145">
        <f>'[2]Расчет прогнозных дефляторов'!$D$75</f>
        <v>1.0429999999999999</v>
      </c>
      <c r="K540" s="146">
        <f t="shared" si="206"/>
        <v>2777538</v>
      </c>
      <c r="L540" s="146">
        <f t="shared" si="207"/>
        <v>2743185</v>
      </c>
      <c r="M540" s="147"/>
      <c r="N540" s="147"/>
      <c r="O540" s="147"/>
    </row>
    <row r="541" spans="1:15" s="148" customFormat="1" ht="25.5" hidden="1" outlineLevel="2" x14ac:dyDescent="0.2">
      <c r="A541" s="200"/>
      <c r="B541" s="95"/>
      <c r="C541" s="42" t="s">
        <v>1524</v>
      </c>
      <c r="D541" s="42" t="s">
        <v>1522</v>
      </c>
      <c r="E541" s="100" t="s">
        <v>300</v>
      </c>
      <c r="F541" s="100">
        <f>2243.5</f>
        <v>2243.5</v>
      </c>
      <c r="G541" s="149">
        <f>(229932)*(1.023*1.005-2.3%*15%)*6.99+0*4.09</f>
        <v>1646867</v>
      </c>
      <c r="H541" s="145">
        <f t="shared" si="204"/>
        <v>1.123</v>
      </c>
      <c r="I541" s="146">
        <f t="shared" si="205"/>
        <v>1849432</v>
      </c>
      <c r="J541" s="145">
        <f>'[2]Расчет прогнозных дефляторов'!$D$75</f>
        <v>1.0429999999999999</v>
      </c>
      <c r="K541" s="146">
        <f t="shared" si="206"/>
        <v>1928958</v>
      </c>
      <c r="L541" s="146">
        <f t="shared" si="207"/>
        <v>1905100</v>
      </c>
      <c r="M541" s="147"/>
      <c r="N541" s="147"/>
      <c r="O541" s="147"/>
    </row>
    <row r="542" spans="1:15" s="148" customFormat="1" ht="15.75" hidden="1" outlineLevel="2" x14ac:dyDescent="0.2">
      <c r="A542" s="200"/>
      <c r="B542" s="95"/>
      <c r="C542" s="42" t="s">
        <v>1526</v>
      </c>
      <c r="D542" s="42" t="s">
        <v>1525</v>
      </c>
      <c r="E542" s="100" t="s">
        <v>300</v>
      </c>
      <c r="F542" s="100">
        <f>572.5</f>
        <v>572.5</v>
      </c>
      <c r="G542" s="149">
        <f>(114826)*(1.023*1.005-2.3%*15%)*6.99+0*4.09</f>
        <v>822431</v>
      </c>
      <c r="H542" s="145">
        <f t="shared" si="204"/>
        <v>1.123</v>
      </c>
      <c r="I542" s="146">
        <f t="shared" si="205"/>
        <v>923590</v>
      </c>
      <c r="J542" s="145">
        <f>'[2]Расчет прогнозных дефляторов'!$D$75</f>
        <v>1.0429999999999999</v>
      </c>
      <c r="K542" s="146">
        <f t="shared" si="206"/>
        <v>963304</v>
      </c>
      <c r="L542" s="146">
        <f t="shared" si="207"/>
        <v>951390</v>
      </c>
      <c r="M542" s="147"/>
      <c r="N542" s="147"/>
      <c r="O542" s="147"/>
    </row>
    <row r="543" spans="1:15" s="148" customFormat="1" ht="25.5" hidden="1" outlineLevel="2" x14ac:dyDescent="0.2">
      <c r="A543" s="200"/>
      <c r="B543" s="95"/>
      <c r="C543" s="42" t="s">
        <v>1528</v>
      </c>
      <c r="D543" s="42" t="s">
        <v>1529</v>
      </c>
      <c r="E543" s="100" t="s">
        <v>300</v>
      </c>
      <c r="F543" s="100">
        <f>2863.6</f>
        <v>2863.6</v>
      </c>
      <c r="G543" s="149">
        <f>(221455)*(1.023*1.005-2.3%*15%)*6.99+0*4.09</f>
        <v>1586151</v>
      </c>
      <c r="H543" s="145">
        <f t="shared" si="204"/>
        <v>1.123</v>
      </c>
      <c r="I543" s="146">
        <f t="shared" si="205"/>
        <v>1781248</v>
      </c>
      <c r="J543" s="145">
        <f>'[2]Расчет прогнозных дефляторов'!$D$75</f>
        <v>1.0429999999999999</v>
      </c>
      <c r="K543" s="146">
        <f t="shared" si="206"/>
        <v>1857842</v>
      </c>
      <c r="L543" s="146">
        <f t="shared" si="207"/>
        <v>1834864</v>
      </c>
      <c r="M543" s="147"/>
      <c r="N543" s="147"/>
      <c r="O543" s="147"/>
    </row>
    <row r="544" spans="1:15" s="148" customFormat="1" ht="25.5" hidden="1" outlineLevel="2" x14ac:dyDescent="0.2">
      <c r="A544" s="200"/>
      <c r="B544" s="95"/>
      <c r="C544" s="42" t="s">
        <v>1531</v>
      </c>
      <c r="D544" s="42" t="s">
        <v>1530</v>
      </c>
      <c r="E544" s="100" t="s">
        <v>300</v>
      </c>
      <c r="F544" s="100">
        <f>18444.7</f>
        <v>18444.7</v>
      </c>
      <c r="G544" s="149">
        <f>(277216)*(1.023*1.005-2.3%*15%)*6.99+0*4.09</f>
        <v>1985534</v>
      </c>
      <c r="H544" s="145">
        <f t="shared" si="204"/>
        <v>1.123</v>
      </c>
      <c r="I544" s="146">
        <f t="shared" si="205"/>
        <v>2229755</v>
      </c>
      <c r="J544" s="145">
        <f>'[2]Расчет прогнозных дефляторов'!$D$75</f>
        <v>1.0429999999999999</v>
      </c>
      <c r="K544" s="146">
        <f t="shared" si="206"/>
        <v>2325634</v>
      </c>
      <c r="L544" s="146">
        <f t="shared" si="207"/>
        <v>2296870</v>
      </c>
      <c r="M544" s="147"/>
      <c r="N544" s="147"/>
      <c r="O544" s="147"/>
    </row>
    <row r="545" spans="1:15" s="148" customFormat="1" ht="15.75" hidden="1" outlineLevel="2" x14ac:dyDescent="0.2">
      <c r="A545" s="200"/>
      <c r="B545" s="95"/>
      <c r="C545" s="42" t="s">
        <v>1533</v>
      </c>
      <c r="D545" s="42" t="s">
        <v>1532</v>
      </c>
      <c r="E545" s="100" t="s">
        <v>300</v>
      </c>
      <c r="F545" s="100">
        <f>3990.3</f>
        <v>3990.3</v>
      </c>
      <c r="G545" s="149">
        <f>(55031)*(1.023*1.005-2.3%*15%)*6.99+0*4.09</f>
        <v>394154</v>
      </c>
      <c r="H545" s="145">
        <f t="shared" si="204"/>
        <v>1.123</v>
      </c>
      <c r="I545" s="146">
        <f t="shared" si="205"/>
        <v>442635</v>
      </c>
      <c r="J545" s="145">
        <f>'[2]Расчет прогнозных дефляторов'!$D$75</f>
        <v>1.0429999999999999</v>
      </c>
      <c r="K545" s="146">
        <f t="shared" si="206"/>
        <v>461668</v>
      </c>
      <c r="L545" s="146">
        <f t="shared" si="207"/>
        <v>455958</v>
      </c>
      <c r="M545" s="147"/>
      <c r="N545" s="147"/>
      <c r="O545" s="147"/>
    </row>
    <row r="546" spans="1:15" s="148" customFormat="1" ht="25.5" hidden="1" outlineLevel="2" x14ac:dyDescent="0.2">
      <c r="A546" s="200"/>
      <c r="B546" s="95"/>
      <c r="C546" s="42" t="s">
        <v>1534</v>
      </c>
      <c r="D546" s="42" t="s">
        <v>1535</v>
      </c>
      <c r="E546" s="100" t="s">
        <v>404</v>
      </c>
      <c r="F546" s="100">
        <v>5370</v>
      </c>
      <c r="G546" s="149">
        <f>(109770)*(1.023*1.005-2.3%*15%)*6.99+0*4.09</f>
        <v>786218</v>
      </c>
      <c r="H546" s="145">
        <f t="shared" si="204"/>
        <v>1.123</v>
      </c>
      <c r="I546" s="146">
        <f t="shared" si="205"/>
        <v>882923</v>
      </c>
      <c r="J546" s="145">
        <f>'[2]Расчет прогнозных дефляторов'!$D$75</f>
        <v>1.0429999999999999</v>
      </c>
      <c r="K546" s="146">
        <f t="shared" si="206"/>
        <v>920889</v>
      </c>
      <c r="L546" s="146">
        <f t="shared" si="207"/>
        <v>909499</v>
      </c>
      <c r="M546" s="147"/>
      <c r="N546" s="147"/>
      <c r="O546" s="147"/>
    </row>
    <row r="547" spans="1:15" s="148" customFormat="1" ht="25.5" hidden="1" outlineLevel="2" x14ac:dyDescent="0.2">
      <c r="A547" s="200"/>
      <c r="B547" s="95"/>
      <c r="C547" s="42" t="s">
        <v>1537</v>
      </c>
      <c r="D547" s="42" t="s">
        <v>1536</v>
      </c>
      <c r="E547" s="100" t="s">
        <v>404</v>
      </c>
      <c r="F547" s="100">
        <f>3*2*20</f>
        <v>120</v>
      </c>
      <c r="G547" s="149">
        <f>(22613)*(1.023*1.005-2.3%*15%)*6.99+0*4.09</f>
        <v>161964</v>
      </c>
      <c r="H547" s="145">
        <f t="shared" si="204"/>
        <v>1.123</v>
      </c>
      <c r="I547" s="146">
        <f t="shared" si="205"/>
        <v>181886</v>
      </c>
      <c r="J547" s="145">
        <f>'[2]Расчет прогнозных дефляторов'!$D$75</f>
        <v>1.0429999999999999</v>
      </c>
      <c r="K547" s="146">
        <f t="shared" si="206"/>
        <v>189707</v>
      </c>
      <c r="L547" s="146">
        <f t="shared" si="207"/>
        <v>187361</v>
      </c>
      <c r="M547" s="147"/>
      <c r="N547" s="147"/>
      <c r="O547" s="147"/>
    </row>
    <row r="548" spans="1:15" s="148" customFormat="1" ht="25.5" hidden="1" outlineLevel="2" x14ac:dyDescent="0.2">
      <c r="A548" s="200"/>
      <c r="B548" s="95"/>
      <c r="C548" s="42" t="s">
        <v>1539</v>
      </c>
      <c r="D548" s="42" t="s">
        <v>1538</v>
      </c>
      <c r="E548" s="100" t="s">
        <v>377</v>
      </c>
      <c r="F548" s="100">
        <f>105</f>
        <v>105</v>
      </c>
      <c r="G548" s="149">
        <f>(66198)*(1.023*1.005-2.3%*15%)*6.99+0*4.09</f>
        <v>474137</v>
      </c>
      <c r="H548" s="145">
        <f t="shared" si="204"/>
        <v>1.123</v>
      </c>
      <c r="I548" s="146">
        <f t="shared" si="205"/>
        <v>532456</v>
      </c>
      <c r="J548" s="145">
        <f>'[2]Расчет прогнозных дефляторов'!$D$75</f>
        <v>1.0429999999999999</v>
      </c>
      <c r="K548" s="146">
        <f t="shared" si="206"/>
        <v>555352</v>
      </c>
      <c r="L548" s="146">
        <f t="shared" si="207"/>
        <v>548483</v>
      </c>
      <c r="M548" s="147"/>
      <c r="N548" s="147"/>
      <c r="O548" s="147"/>
    </row>
    <row r="549" spans="1:15" s="148" customFormat="1" ht="25.5" hidden="1" outlineLevel="2" x14ac:dyDescent="0.2">
      <c r="A549" s="200"/>
      <c r="B549" s="95"/>
      <c r="C549" s="42" t="s">
        <v>1541</v>
      </c>
      <c r="D549" s="42" t="s">
        <v>1540</v>
      </c>
      <c r="E549" s="100" t="s">
        <v>377</v>
      </c>
      <c r="F549" s="100">
        <f>135</f>
        <v>135</v>
      </c>
      <c r="G549" s="149">
        <f>(343866)*(1.023*1.005-2.3%*15%)*6.99+0*4.09</f>
        <v>2462909</v>
      </c>
      <c r="H549" s="145">
        <f t="shared" si="204"/>
        <v>1.123</v>
      </c>
      <c r="I549" s="146">
        <f t="shared" si="205"/>
        <v>2765847</v>
      </c>
      <c r="J549" s="145">
        <f>'[2]Расчет прогнозных дефляторов'!$D$75</f>
        <v>1.0429999999999999</v>
      </c>
      <c r="K549" s="146">
        <f t="shared" si="206"/>
        <v>2884778</v>
      </c>
      <c r="L549" s="146">
        <f t="shared" si="207"/>
        <v>2849099</v>
      </c>
      <c r="M549" s="147"/>
      <c r="N549" s="147"/>
      <c r="O549" s="147"/>
    </row>
    <row r="550" spans="1:15" s="148" customFormat="1" ht="25.5" hidden="1" outlineLevel="2" x14ac:dyDescent="0.2">
      <c r="A550" s="200"/>
      <c r="B550" s="95"/>
      <c r="C550" s="42" t="s">
        <v>1543</v>
      </c>
      <c r="D550" s="42" t="s">
        <v>1542</v>
      </c>
      <c r="E550" s="100" t="s">
        <v>377</v>
      </c>
      <c r="F550" s="100">
        <f>55</f>
        <v>55</v>
      </c>
      <c r="G550" s="149">
        <f>(55321)*(1.023*1.005-2.3%*15%)*6.99+0*4.09</f>
        <v>396232</v>
      </c>
      <c r="H550" s="145">
        <f t="shared" si="204"/>
        <v>1.123</v>
      </c>
      <c r="I550" s="146">
        <f t="shared" si="205"/>
        <v>444969</v>
      </c>
      <c r="J550" s="145">
        <f>'[2]Расчет прогнозных дефляторов'!$D$75</f>
        <v>1.0429999999999999</v>
      </c>
      <c r="K550" s="146">
        <f t="shared" si="206"/>
        <v>464103</v>
      </c>
      <c r="L550" s="146">
        <f t="shared" si="207"/>
        <v>458363</v>
      </c>
      <c r="M550" s="147"/>
      <c r="N550" s="147"/>
      <c r="O550" s="147"/>
    </row>
    <row r="551" spans="1:15" s="148" customFormat="1" ht="25.5" hidden="1" outlineLevel="2" x14ac:dyDescent="0.2">
      <c r="A551" s="200"/>
      <c r="B551" s="95"/>
      <c r="C551" s="42" t="s">
        <v>1546</v>
      </c>
      <c r="D551" s="42" t="s">
        <v>1544</v>
      </c>
      <c r="E551" s="100" t="s">
        <v>377</v>
      </c>
      <c r="F551" s="100">
        <v>25</v>
      </c>
      <c r="G551" s="149">
        <f>(78606)*(1.023*1.005-2.3%*15%)*6.99+0*4.09</f>
        <v>563008</v>
      </c>
      <c r="H551" s="145">
        <f t="shared" si="204"/>
        <v>1.123</v>
      </c>
      <c r="I551" s="146">
        <f t="shared" si="205"/>
        <v>632258</v>
      </c>
      <c r="J551" s="145">
        <f>'[2]Расчет прогнозных дефляторов'!$D$75</f>
        <v>1.0429999999999999</v>
      </c>
      <c r="K551" s="146">
        <f t="shared" si="206"/>
        <v>659445</v>
      </c>
      <c r="L551" s="146">
        <f t="shared" si="207"/>
        <v>651289</v>
      </c>
      <c r="M551" s="147"/>
      <c r="N551" s="147"/>
      <c r="O551" s="147"/>
    </row>
    <row r="552" spans="1:15" s="148" customFormat="1" ht="25.5" hidden="1" outlineLevel="2" x14ac:dyDescent="0.2">
      <c r="A552" s="200"/>
      <c r="B552" s="95"/>
      <c r="C552" s="42" t="s">
        <v>1547</v>
      </c>
      <c r="D552" s="42" t="s">
        <v>1545</v>
      </c>
      <c r="E552" s="100" t="s">
        <v>377</v>
      </c>
      <c r="F552" s="100">
        <v>20</v>
      </c>
      <c r="G552" s="149">
        <f>(63009)*(1.023*1.005-2.3%*15%)*6.99+0*4.09</f>
        <v>451296</v>
      </c>
      <c r="H552" s="145">
        <f t="shared" si="204"/>
        <v>1.123</v>
      </c>
      <c r="I552" s="146">
        <f t="shared" si="205"/>
        <v>506805</v>
      </c>
      <c r="J552" s="145">
        <f>'[2]Расчет прогнозных дефляторов'!$D$75</f>
        <v>1.0429999999999999</v>
      </c>
      <c r="K552" s="146">
        <f t="shared" si="206"/>
        <v>528598</v>
      </c>
      <c r="L552" s="146">
        <f t="shared" si="207"/>
        <v>522060</v>
      </c>
      <c r="M552" s="147"/>
      <c r="N552" s="147"/>
      <c r="O552" s="147"/>
    </row>
    <row r="553" spans="1:15" s="148" customFormat="1" ht="25.5" hidden="1" outlineLevel="2" x14ac:dyDescent="0.2">
      <c r="A553" s="200"/>
      <c r="B553" s="95"/>
      <c r="C553" s="42" t="s">
        <v>1548</v>
      </c>
      <c r="D553" s="42" t="s">
        <v>1549</v>
      </c>
      <c r="E553" s="100" t="s">
        <v>377</v>
      </c>
      <c r="F553" s="100">
        <v>13</v>
      </c>
      <c r="G553" s="149">
        <f>(22484)*(1.023*1.005-2.3%*15%)*6.99+0*4.09</f>
        <v>161040</v>
      </c>
      <c r="H553" s="145">
        <f t="shared" si="204"/>
        <v>1.123</v>
      </c>
      <c r="I553" s="146">
        <f t="shared" si="205"/>
        <v>180848</v>
      </c>
      <c r="J553" s="145">
        <f>'[2]Расчет прогнозных дефляторов'!$D$75</f>
        <v>1.0429999999999999</v>
      </c>
      <c r="K553" s="146">
        <f t="shared" si="206"/>
        <v>188624</v>
      </c>
      <c r="L553" s="146">
        <f t="shared" si="207"/>
        <v>186291</v>
      </c>
      <c r="M553" s="147"/>
      <c r="N553" s="147"/>
      <c r="O553" s="147"/>
    </row>
    <row r="554" spans="1:15" s="148" customFormat="1" ht="38.25" hidden="1" outlineLevel="2" x14ac:dyDescent="0.2">
      <c r="A554" s="200"/>
      <c r="B554" s="95"/>
      <c r="C554" s="42" t="s">
        <v>1551</v>
      </c>
      <c r="D554" s="42" t="s">
        <v>1550</v>
      </c>
      <c r="E554" s="100" t="s">
        <v>377</v>
      </c>
      <c r="F554" s="100">
        <f>1895</f>
        <v>1895</v>
      </c>
      <c r="G554" s="149">
        <f>(396114)*(1.023*1.005-2.3%*15%)*6.99+0*4.09</f>
        <v>2837130</v>
      </c>
      <c r="H554" s="145">
        <f t="shared" si="204"/>
        <v>1.123</v>
      </c>
      <c r="I554" s="146">
        <f t="shared" si="205"/>
        <v>3186097</v>
      </c>
      <c r="J554" s="145">
        <f>'[2]Расчет прогнозных дефляторов'!$D$75</f>
        <v>1.0429999999999999</v>
      </c>
      <c r="K554" s="146">
        <f t="shared" si="206"/>
        <v>3323099</v>
      </c>
      <c r="L554" s="146">
        <f t="shared" si="207"/>
        <v>3281998</v>
      </c>
      <c r="M554" s="147"/>
      <c r="N554" s="147"/>
      <c r="O554" s="147"/>
    </row>
    <row r="555" spans="1:15" s="148" customFormat="1" ht="38.25" hidden="1" outlineLevel="2" x14ac:dyDescent="0.2">
      <c r="A555" s="200"/>
      <c r="B555" s="95"/>
      <c r="C555" s="42" t="s">
        <v>1551</v>
      </c>
      <c r="D555" s="42" t="s">
        <v>1552</v>
      </c>
      <c r="E555" s="100" t="s">
        <v>377</v>
      </c>
      <c r="F555" s="100">
        <v>3441</v>
      </c>
      <c r="G555" s="149">
        <f>(719272)*(1.023*1.005-2.3%*15%)*6.99+0*4.09</f>
        <v>5151720</v>
      </c>
      <c r="H555" s="145">
        <f t="shared" si="204"/>
        <v>1.123</v>
      </c>
      <c r="I555" s="146">
        <f t="shared" si="205"/>
        <v>5785382</v>
      </c>
      <c r="J555" s="145">
        <f>'[2]Расчет прогнозных дефляторов'!$D$75</f>
        <v>1.0429999999999999</v>
      </c>
      <c r="K555" s="146">
        <f t="shared" si="206"/>
        <v>6034153</v>
      </c>
      <c r="L555" s="146">
        <f t="shared" si="207"/>
        <v>5959522</v>
      </c>
      <c r="M555" s="147"/>
      <c r="N555" s="147"/>
      <c r="O555" s="147"/>
    </row>
    <row r="556" spans="1:15" s="148" customFormat="1" ht="15.75" hidden="1" outlineLevel="2" x14ac:dyDescent="0.2">
      <c r="A556" s="200"/>
      <c r="B556" s="95"/>
      <c r="C556" s="42" t="s">
        <v>1554</v>
      </c>
      <c r="D556" s="42" t="s">
        <v>1553</v>
      </c>
      <c r="E556" s="100" t="s">
        <v>377</v>
      </c>
      <c r="F556" s="100">
        <v>65</v>
      </c>
      <c r="G556" s="149">
        <f>(7002)*(1.023*1.005-2.3%*15%)*6.99+0*4.09</f>
        <v>50151</v>
      </c>
      <c r="H556" s="145">
        <f t="shared" si="204"/>
        <v>1.123</v>
      </c>
      <c r="I556" s="146">
        <f t="shared" si="205"/>
        <v>56320</v>
      </c>
      <c r="J556" s="145">
        <f>'[2]Расчет прогнозных дефляторов'!$D$75</f>
        <v>1.0429999999999999</v>
      </c>
      <c r="K556" s="146">
        <f t="shared" si="206"/>
        <v>58742</v>
      </c>
      <c r="L556" s="146">
        <f t="shared" si="207"/>
        <v>58015</v>
      </c>
      <c r="M556" s="147"/>
      <c r="N556" s="147"/>
      <c r="O556" s="147"/>
    </row>
    <row r="557" spans="1:15" s="148" customFormat="1" ht="15.75" hidden="1" outlineLevel="2" x14ac:dyDescent="0.2">
      <c r="A557" s="200"/>
      <c r="B557" s="95"/>
      <c r="C557" s="42" t="s">
        <v>1555</v>
      </c>
      <c r="D557" s="42" t="s">
        <v>1556</v>
      </c>
      <c r="E557" s="100" t="s">
        <v>377</v>
      </c>
      <c r="F557" s="100">
        <f>15</f>
        <v>15</v>
      </c>
      <c r="G557" s="149">
        <f>(3199)*(1.023*1.005-2.3%*15%)*6.99+0*4.09</f>
        <v>22913</v>
      </c>
      <c r="H557" s="145">
        <f t="shared" si="204"/>
        <v>1.123</v>
      </c>
      <c r="I557" s="146">
        <f t="shared" si="205"/>
        <v>25731</v>
      </c>
      <c r="J557" s="145">
        <f>'[2]Расчет прогнозных дефляторов'!$D$75</f>
        <v>1.0429999999999999</v>
      </c>
      <c r="K557" s="146">
        <f t="shared" si="206"/>
        <v>26837</v>
      </c>
      <c r="L557" s="146">
        <f t="shared" si="207"/>
        <v>26505</v>
      </c>
      <c r="M557" s="147"/>
      <c r="N557" s="147"/>
      <c r="O557" s="147"/>
    </row>
    <row r="558" spans="1:15" s="148" customFormat="1" ht="15.75" hidden="1" outlineLevel="2" x14ac:dyDescent="0.2">
      <c r="A558" s="200"/>
      <c r="B558" s="95"/>
      <c r="C558" s="42" t="s">
        <v>1558</v>
      </c>
      <c r="D558" s="42" t="s">
        <v>1557</v>
      </c>
      <c r="E558" s="100" t="s">
        <v>377</v>
      </c>
      <c r="F558" s="100">
        <f>25</f>
        <v>25</v>
      </c>
      <c r="G558" s="149">
        <f>(1143)*(1.023*1.005-2.3%*15%)*6.99+0*4.09</f>
        <v>8187</v>
      </c>
      <c r="H558" s="145">
        <f t="shared" si="204"/>
        <v>1.123</v>
      </c>
      <c r="I558" s="146">
        <f t="shared" si="205"/>
        <v>9194</v>
      </c>
      <c r="J558" s="145">
        <f>'[2]Расчет прогнозных дефляторов'!$D$75</f>
        <v>1.0429999999999999</v>
      </c>
      <c r="K558" s="146">
        <f t="shared" si="206"/>
        <v>9589</v>
      </c>
      <c r="L558" s="146">
        <f t="shared" si="207"/>
        <v>9471</v>
      </c>
      <c r="M558" s="147"/>
      <c r="N558" s="147"/>
      <c r="O558" s="147"/>
    </row>
    <row r="559" spans="1:15" s="148" customFormat="1" ht="15.75" hidden="1" outlineLevel="2" x14ac:dyDescent="0.2">
      <c r="A559" s="200"/>
      <c r="B559" s="95"/>
      <c r="C559" s="42" t="s">
        <v>1560</v>
      </c>
      <c r="D559" s="42" t="s">
        <v>1559</v>
      </c>
      <c r="E559" s="100" t="s">
        <v>377</v>
      </c>
      <c r="F559" s="100">
        <v>24</v>
      </c>
      <c r="G559" s="149">
        <f>(10526)*(1.023*1.005-2.3%*15%)*6.99+0*4.09</f>
        <v>75392</v>
      </c>
      <c r="H559" s="145">
        <f t="shared" si="204"/>
        <v>1.123</v>
      </c>
      <c r="I559" s="146">
        <f t="shared" si="205"/>
        <v>84665</v>
      </c>
      <c r="J559" s="145">
        <f>'[2]Расчет прогнозных дефляторов'!$D$75</f>
        <v>1.0429999999999999</v>
      </c>
      <c r="K559" s="146">
        <f t="shared" si="206"/>
        <v>88306</v>
      </c>
      <c r="L559" s="146">
        <f t="shared" si="207"/>
        <v>87214</v>
      </c>
      <c r="M559" s="147"/>
      <c r="N559" s="147"/>
      <c r="O559" s="147"/>
    </row>
    <row r="560" spans="1:15" s="148" customFormat="1" ht="15.75" hidden="1" outlineLevel="2" x14ac:dyDescent="0.2">
      <c r="A560" s="200"/>
      <c r="B560" s="95"/>
      <c r="C560" s="42" t="s">
        <v>1562</v>
      </c>
      <c r="D560" s="42" t="s">
        <v>1561</v>
      </c>
      <c r="E560" s="100" t="s">
        <v>377</v>
      </c>
      <c r="F560" s="100">
        <v>13</v>
      </c>
      <c r="G560" s="149">
        <f>(10357)*(1.023*1.005-2.3%*15%)*6.99+0*4.09</f>
        <v>74181</v>
      </c>
      <c r="H560" s="145">
        <f t="shared" si="204"/>
        <v>1.123</v>
      </c>
      <c r="I560" s="146">
        <f t="shared" si="205"/>
        <v>83305</v>
      </c>
      <c r="J560" s="145">
        <f>'[2]Расчет прогнозных дефляторов'!$D$75</f>
        <v>1.0429999999999999</v>
      </c>
      <c r="K560" s="146">
        <f t="shared" si="206"/>
        <v>86887</v>
      </c>
      <c r="L560" s="146">
        <f t="shared" si="207"/>
        <v>85812</v>
      </c>
      <c r="M560" s="147"/>
      <c r="N560" s="147"/>
      <c r="O560" s="147"/>
    </row>
    <row r="561" spans="1:15" s="148" customFormat="1" ht="15.75" hidden="1" outlineLevel="2" x14ac:dyDescent="0.2">
      <c r="A561" s="200"/>
      <c r="B561" s="95"/>
      <c r="C561" s="42" t="s">
        <v>1563</v>
      </c>
      <c r="D561" s="42" t="s">
        <v>1564</v>
      </c>
      <c r="E561" s="100" t="s">
        <v>377</v>
      </c>
      <c r="F561" s="100">
        <v>18</v>
      </c>
      <c r="G561" s="149">
        <f>(9486)*(1.023*1.005-2.3%*15%)*6.99+0*4.09</f>
        <v>67943</v>
      </c>
      <c r="H561" s="145">
        <f t="shared" si="204"/>
        <v>1.123</v>
      </c>
      <c r="I561" s="146">
        <f t="shared" si="205"/>
        <v>76300</v>
      </c>
      <c r="J561" s="145">
        <f>'[2]Расчет прогнозных дефляторов'!$D$75</f>
        <v>1.0429999999999999</v>
      </c>
      <c r="K561" s="146">
        <f t="shared" si="206"/>
        <v>79581</v>
      </c>
      <c r="L561" s="146">
        <f t="shared" si="207"/>
        <v>78597</v>
      </c>
      <c r="M561" s="147"/>
      <c r="N561" s="147"/>
      <c r="O561" s="147"/>
    </row>
    <row r="562" spans="1:15" s="148" customFormat="1" ht="15.75" hidden="1" outlineLevel="2" x14ac:dyDescent="0.2">
      <c r="A562" s="200"/>
      <c r="B562" s="95"/>
      <c r="C562" s="42" t="s">
        <v>1566</v>
      </c>
      <c r="D562" s="42" t="s">
        <v>1565</v>
      </c>
      <c r="E562" s="100" t="s">
        <v>300</v>
      </c>
      <c r="F562" s="100">
        <v>410</v>
      </c>
      <c r="G562" s="149">
        <f>(1280847)*(1.023*1.005-2.3%*15%)*6.99+0*4.09</f>
        <v>9173949</v>
      </c>
      <c r="H562" s="145">
        <f t="shared" si="204"/>
        <v>1.123</v>
      </c>
      <c r="I562" s="146">
        <f t="shared" si="205"/>
        <v>10302345</v>
      </c>
      <c r="J562" s="145">
        <f>'[2]Расчет прогнозных дефляторов'!$D$75</f>
        <v>1.0429999999999999</v>
      </c>
      <c r="K562" s="146">
        <f t="shared" si="206"/>
        <v>10745346</v>
      </c>
      <c r="L562" s="146">
        <f t="shared" si="207"/>
        <v>10612446</v>
      </c>
      <c r="M562" s="147"/>
      <c r="N562" s="147"/>
      <c r="O562" s="147"/>
    </row>
    <row r="563" spans="1:15" s="148" customFormat="1" ht="15.75" hidden="1" outlineLevel="2" x14ac:dyDescent="0.2">
      <c r="A563" s="200"/>
      <c r="B563" s="95"/>
      <c r="C563" s="42"/>
      <c r="D563" s="42" t="s">
        <v>1567</v>
      </c>
      <c r="E563" s="100"/>
      <c r="F563" s="100"/>
      <c r="G563" s="149"/>
      <c r="H563" s="145"/>
      <c r="I563" s="146"/>
      <c r="J563" s="145"/>
      <c r="K563" s="146"/>
      <c r="L563" s="146"/>
      <c r="M563" s="147"/>
      <c r="N563" s="147"/>
      <c r="O563" s="147"/>
    </row>
    <row r="564" spans="1:15" s="148" customFormat="1" ht="15.75" hidden="1" outlineLevel="2" x14ac:dyDescent="0.2">
      <c r="A564" s="200"/>
      <c r="B564" s="95"/>
      <c r="C564" s="42" t="s">
        <v>1569</v>
      </c>
      <c r="D564" s="42" t="s">
        <v>1568</v>
      </c>
      <c r="E564" s="100" t="s">
        <v>408</v>
      </c>
      <c r="F564" s="100">
        <v>2</v>
      </c>
      <c r="G564" s="149">
        <f>(737)*(1.023*1.005-2.3%*15%)*6.99+0*4.09</f>
        <v>5279</v>
      </c>
      <c r="H564" s="145">
        <f t="shared" ref="H564:H572" si="208">$H$772</f>
        <v>1.123</v>
      </c>
      <c r="I564" s="146">
        <f t="shared" ref="I564:I572" si="209">G564*H564</f>
        <v>5928</v>
      </c>
      <c r="J564" s="145">
        <f>'[2]Расчет прогнозных дефляторов'!$D$75</f>
        <v>1.0429999999999999</v>
      </c>
      <c r="K564" s="146">
        <f t="shared" ref="K564:K572" si="210">I564*J564</f>
        <v>6183</v>
      </c>
      <c r="L564" s="146">
        <f t="shared" ref="L564:L572" si="211">I564+(K564-I564)*(1-30/100)</f>
        <v>6107</v>
      </c>
      <c r="M564" s="147"/>
      <c r="N564" s="147"/>
      <c r="O564" s="147"/>
    </row>
    <row r="565" spans="1:15" s="148" customFormat="1" ht="25.5" hidden="1" outlineLevel="2" x14ac:dyDescent="0.2">
      <c r="A565" s="200"/>
      <c r="B565" s="95"/>
      <c r="C565" s="42" t="s">
        <v>1571</v>
      </c>
      <c r="D565" s="42" t="s">
        <v>1570</v>
      </c>
      <c r="E565" s="100" t="s">
        <v>408</v>
      </c>
      <c r="F565" s="100">
        <v>5</v>
      </c>
      <c r="G565" s="99">
        <f>(10867)*(1.023*1.005-2.3%*15%)*6.99+0*4.09</f>
        <v>77834</v>
      </c>
      <c r="H565" s="145">
        <f t="shared" si="208"/>
        <v>1.123</v>
      </c>
      <c r="I565" s="146">
        <f t="shared" si="209"/>
        <v>87408</v>
      </c>
      <c r="J565" s="145">
        <f>'[2]Расчет прогнозных дефляторов'!$D$75</f>
        <v>1.0429999999999999</v>
      </c>
      <c r="K565" s="146">
        <f t="shared" si="210"/>
        <v>91167</v>
      </c>
      <c r="L565" s="146">
        <f t="shared" si="211"/>
        <v>90039</v>
      </c>
      <c r="M565" s="147" t="s">
        <v>1572</v>
      </c>
      <c r="N565" s="147"/>
      <c r="O565" s="147"/>
    </row>
    <row r="566" spans="1:15" s="148" customFormat="1" ht="25.5" hidden="1" outlineLevel="2" x14ac:dyDescent="0.2">
      <c r="A566" s="200"/>
      <c r="B566" s="95"/>
      <c r="C566" s="42" t="s">
        <v>1573</v>
      </c>
      <c r="D566" s="42" t="s">
        <v>1574</v>
      </c>
      <c r="E566" s="100" t="s">
        <v>408</v>
      </c>
      <c r="F566" s="100">
        <v>2</v>
      </c>
      <c r="G566" s="149">
        <f>(1937)*(1.023*1.005-2.3%*15%)*6.99+0*4.09</f>
        <v>13874</v>
      </c>
      <c r="H566" s="145">
        <f t="shared" si="208"/>
        <v>1.123</v>
      </c>
      <c r="I566" s="146">
        <f t="shared" si="209"/>
        <v>15581</v>
      </c>
      <c r="J566" s="145">
        <f>'[2]Расчет прогнозных дефляторов'!$D$75</f>
        <v>1.0429999999999999</v>
      </c>
      <c r="K566" s="146">
        <f t="shared" si="210"/>
        <v>16251</v>
      </c>
      <c r="L566" s="146">
        <f t="shared" si="211"/>
        <v>16050</v>
      </c>
      <c r="M566" s="147"/>
      <c r="N566" s="147"/>
      <c r="O566" s="147"/>
    </row>
    <row r="567" spans="1:15" s="148" customFormat="1" ht="15.75" hidden="1" outlineLevel="2" x14ac:dyDescent="0.2">
      <c r="A567" s="200"/>
      <c r="B567" s="95"/>
      <c r="C567" s="42" t="s">
        <v>1576</v>
      </c>
      <c r="D567" s="42" t="s">
        <v>1575</v>
      </c>
      <c r="E567" s="100" t="s">
        <v>408</v>
      </c>
      <c r="F567" s="100">
        <v>2</v>
      </c>
      <c r="G567" s="149">
        <f>(7342)*(1.023*1.005-2.3%*15%)*6.99+0*4.09</f>
        <v>52586</v>
      </c>
      <c r="H567" s="145">
        <f t="shared" si="208"/>
        <v>1.123</v>
      </c>
      <c r="I567" s="146">
        <f t="shared" si="209"/>
        <v>59054</v>
      </c>
      <c r="J567" s="145">
        <f>'[2]Расчет прогнозных дефляторов'!$D$75</f>
        <v>1.0429999999999999</v>
      </c>
      <c r="K567" s="146">
        <f t="shared" si="210"/>
        <v>61593</v>
      </c>
      <c r="L567" s="146">
        <f t="shared" si="211"/>
        <v>60831</v>
      </c>
      <c r="M567" s="147"/>
      <c r="N567" s="147"/>
      <c r="O567" s="147"/>
    </row>
    <row r="568" spans="1:15" s="148" customFormat="1" ht="15.75" hidden="1" outlineLevel="2" x14ac:dyDescent="0.2">
      <c r="A568" s="200"/>
      <c r="B568" s="95"/>
      <c r="C568" s="42" t="s">
        <v>1578</v>
      </c>
      <c r="D568" s="42" t="s">
        <v>1577</v>
      </c>
      <c r="E568" s="100" t="s">
        <v>408</v>
      </c>
      <c r="F568" s="100">
        <v>1</v>
      </c>
      <c r="G568" s="149">
        <f>(1119)*(1.023*1.005-2.3%*15%)*6.99+0*4.09</f>
        <v>8015</v>
      </c>
      <c r="H568" s="145">
        <f t="shared" si="208"/>
        <v>1.123</v>
      </c>
      <c r="I568" s="146">
        <f t="shared" si="209"/>
        <v>9001</v>
      </c>
      <c r="J568" s="145">
        <f>'[2]Расчет прогнозных дефляторов'!$D$75</f>
        <v>1.0429999999999999</v>
      </c>
      <c r="K568" s="146">
        <f t="shared" si="210"/>
        <v>9388</v>
      </c>
      <c r="L568" s="146">
        <f t="shared" si="211"/>
        <v>9272</v>
      </c>
      <c r="M568" s="147"/>
      <c r="N568" s="147"/>
      <c r="O568" s="147"/>
    </row>
    <row r="569" spans="1:15" s="148" customFormat="1" ht="15.75" hidden="1" outlineLevel="2" x14ac:dyDescent="0.2">
      <c r="A569" s="200"/>
      <c r="B569" s="95"/>
      <c r="C569" s="42" t="s">
        <v>1581</v>
      </c>
      <c r="D569" s="42" t="s">
        <v>1579</v>
      </c>
      <c r="E569" s="100" t="s">
        <v>408</v>
      </c>
      <c r="F569" s="100">
        <v>1</v>
      </c>
      <c r="G569" s="149">
        <f>(4523)*(1.023*1.005-2.3%*15%)*6.99+0*4.09</f>
        <v>32396</v>
      </c>
      <c r="H569" s="145">
        <f t="shared" si="208"/>
        <v>1.123</v>
      </c>
      <c r="I569" s="146">
        <f t="shared" si="209"/>
        <v>36381</v>
      </c>
      <c r="J569" s="145">
        <f>'[2]Расчет прогнозных дефляторов'!$D$75</f>
        <v>1.0429999999999999</v>
      </c>
      <c r="K569" s="146">
        <f t="shared" si="210"/>
        <v>37945</v>
      </c>
      <c r="L569" s="146">
        <f t="shared" si="211"/>
        <v>37476</v>
      </c>
      <c r="M569" s="147"/>
      <c r="N569" s="147"/>
      <c r="O569" s="147"/>
    </row>
    <row r="570" spans="1:15" s="148" customFormat="1" ht="15.75" hidden="1" outlineLevel="2" x14ac:dyDescent="0.2">
      <c r="A570" s="200"/>
      <c r="B570" s="95"/>
      <c r="C570" s="42" t="s">
        <v>1582</v>
      </c>
      <c r="D570" s="42" t="s">
        <v>1580</v>
      </c>
      <c r="E570" s="100" t="s">
        <v>408</v>
      </c>
      <c r="F570" s="100">
        <v>1</v>
      </c>
      <c r="G570" s="149">
        <f>(2695)*(1.023*1.005-2.3%*15%)*6.99+0*4.09</f>
        <v>19303</v>
      </c>
      <c r="H570" s="145">
        <f t="shared" si="208"/>
        <v>1.123</v>
      </c>
      <c r="I570" s="146">
        <f t="shared" si="209"/>
        <v>21677</v>
      </c>
      <c r="J570" s="145">
        <f>'[2]Расчет прогнозных дефляторов'!$D$75</f>
        <v>1.0429999999999999</v>
      </c>
      <c r="K570" s="146">
        <f t="shared" si="210"/>
        <v>22609</v>
      </c>
      <c r="L570" s="146">
        <f t="shared" si="211"/>
        <v>22329</v>
      </c>
      <c r="M570" s="147"/>
      <c r="N570" s="147"/>
      <c r="O570" s="147"/>
    </row>
    <row r="571" spans="1:15" s="148" customFormat="1" ht="15.75" hidden="1" outlineLevel="2" x14ac:dyDescent="0.2">
      <c r="A571" s="200"/>
      <c r="B571" s="95"/>
      <c r="C571" s="42" t="s">
        <v>1584</v>
      </c>
      <c r="D571" s="42" t="s">
        <v>1583</v>
      </c>
      <c r="E571" s="100" t="s">
        <v>408</v>
      </c>
      <c r="F571" s="100">
        <v>2</v>
      </c>
      <c r="G571" s="149">
        <f>(5523)*(1.023*1.005-2.3%*15%)*6.99+0*4.09</f>
        <v>39558</v>
      </c>
      <c r="H571" s="145">
        <f t="shared" si="208"/>
        <v>1.123</v>
      </c>
      <c r="I571" s="146">
        <f t="shared" si="209"/>
        <v>44424</v>
      </c>
      <c r="J571" s="145">
        <f>'[2]Расчет прогнозных дефляторов'!$D$75</f>
        <v>1.0429999999999999</v>
      </c>
      <c r="K571" s="146">
        <f t="shared" si="210"/>
        <v>46334</v>
      </c>
      <c r="L571" s="146">
        <f t="shared" si="211"/>
        <v>45761</v>
      </c>
      <c r="M571" s="147"/>
      <c r="N571" s="147"/>
      <c r="O571" s="147"/>
    </row>
    <row r="572" spans="1:15" s="148" customFormat="1" ht="25.5" hidden="1" outlineLevel="2" x14ac:dyDescent="0.2">
      <c r="A572" s="200"/>
      <c r="B572" s="95"/>
      <c r="C572" s="42" t="s">
        <v>1586</v>
      </c>
      <c r="D572" s="42" t="s">
        <v>1585</v>
      </c>
      <c r="E572" s="100" t="s">
        <v>408</v>
      </c>
      <c r="F572" s="100">
        <v>2</v>
      </c>
      <c r="G572" s="149">
        <f>(3535)*(1.023*1.005-2.3%*15%)*6.99+0*4.09</f>
        <v>25319</v>
      </c>
      <c r="H572" s="145">
        <f t="shared" si="208"/>
        <v>1.123</v>
      </c>
      <c r="I572" s="146">
        <f t="shared" si="209"/>
        <v>28433</v>
      </c>
      <c r="J572" s="145">
        <f>'[2]Расчет прогнозных дефляторов'!$D$75</f>
        <v>1.0429999999999999</v>
      </c>
      <c r="K572" s="146">
        <f t="shared" si="210"/>
        <v>29656</v>
      </c>
      <c r="L572" s="146">
        <f t="shared" si="211"/>
        <v>29289</v>
      </c>
      <c r="M572" s="147"/>
      <c r="N572" s="147"/>
      <c r="O572" s="147"/>
    </row>
    <row r="573" spans="1:15" s="148" customFormat="1" ht="15.75" hidden="1" outlineLevel="2" x14ac:dyDescent="0.2">
      <c r="A573" s="200"/>
      <c r="B573" s="95"/>
      <c r="C573" s="42"/>
      <c r="D573" s="42" t="s">
        <v>1587</v>
      </c>
      <c r="E573" s="100"/>
      <c r="F573" s="100"/>
      <c r="G573" s="149"/>
      <c r="H573" s="145"/>
      <c r="I573" s="146"/>
      <c r="J573" s="145"/>
      <c r="K573" s="146"/>
      <c r="L573" s="146"/>
      <c r="M573" s="147"/>
      <c r="N573" s="147"/>
      <c r="O573" s="147"/>
    </row>
    <row r="574" spans="1:15" s="148" customFormat="1" ht="51" hidden="1" outlineLevel="2" x14ac:dyDescent="0.2">
      <c r="A574" s="200"/>
      <c r="B574" s="95"/>
      <c r="C574" s="42" t="s">
        <v>1598</v>
      </c>
      <c r="D574" s="42" t="s">
        <v>1588</v>
      </c>
      <c r="E574" s="100" t="s">
        <v>408</v>
      </c>
      <c r="F574" s="100">
        <v>1</v>
      </c>
      <c r="G574" s="149">
        <f>(48059/11+30686+4863/11)*(1.023*1.005-2.3%*15%)*6.99+0*4.09</f>
        <v>254245</v>
      </c>
      <c r="H574" s="145">
        <f t="shared" ref="H574:H585" si="212">$H$772</f>
        <v>1.123</v>
      </c>
      <c r="I574" s="146">
        <f t="shared" ref="I574:I585" si="213">G574*H574</f>
        <v>285517</v>
      </c>
      <c r="J574" s="145">
        <f>'[2]Расчет прогнозных дефляторов'!$D$75</f>
        <v>1.0429999999999999</v>
      </c>
      <c r="K574" s="146">
        <f t="shared" ref="K574:K585" si="214">I574*J574</f>
        <v>297794</v>
      </c>
      <c r="L574" s="146">
        <f t="shared" ref="L574:L585" si="215">I574+(K574-I574)*(1-30/100)</f>
        <v>294111</v>
      </c>
      <c r="M574" s="147"/>
      <c r="N574" s="147"/>
      <c r="O574" s="147"/>
    </row>
    <row r="575" spans="1:15" s="148" customFormat="1" ht="38.25" hidden="1" outlineLevel="2" x14ac:dyDescent="0.2">
      <c r="A575" s="200"/>
      <c r="B575" s="95"/>
      <c r="C575" s="42" t="s">
        <v>1599</v>
      </c>
      <c r="D575" s="42" t="s">
        <v>1589</v>
      </c>
      <c r="E575" s="100" t="s">
        <v>408</v>
      </c>
      <c r="F575" s="100">
        <v>1</v>
      </c>
      <c r="G575" s="149">
        <f>(48059/11+84439+4863/11)*(1.023*1.005-2.3%*15%)*6.99+0*4.09</f>
        <v>639246</v>
      </c>
      <c r="H575" s="145">
        <f t="shared" si="212"/>
        <v>1.123</v>
      </c>
      <c r="I575" s="146">
        <f t="shared" si="213"/>
        <v>717873</v>
      </c>
      <c r="J575" s="145">
        <f>'[2]Расчет прогнозных дефляторов'!$D$75</f>
        <v>1.0429999999999999</v>
      </c>
      <c r="K575" s="146">
        <f t="shared" si="214"/>
        <v>748742</v>
      </c>
      <c r="L575" s="146">
        <f t="shared" si="215"/>
        <v>739481</v>
      </c>
      <c r="M575" s="147"/>
      <c r="N575" s="147"/>
      <c r="O575" s="147"/>
    </row>
    <row r="576" spans="1:15" s="148" customFormat="1" ht="38.25" hidden="1" outlineLevel="2" x14ac:dyDescent="0.2">
      <c r="A576" s="200"/>
      <c r="B576" s="95"/>
      <c r="C576" s="42" t="s">
        <v>1600</v>
      </c>
      <c r="D576" s="42" t="s">
        <v>1590</v>
      </c>
      <c r="E576" s="100" t="s">
        <v>408</v>
      </c>
      <c r="F576" s="100">
        <v>1</v>
      </c>
      <c r="G576" s="149">
        <f>(48059/11+84439+4863/11)*(1.023*1.005-2.3%*15%)*6.99+0*4.09</f>
        <v>639246</v>
      </c>
      <c r="H576" s="145">
        <f t="shared" si="212"/>
        <v>1.123</v>
      </c>
      <c r="I576" s="146">
        <f t="shared" si="213"/>
        <v>717873</v>
      </c>
      <c r="J576" s="145">
        <f>'[2]Расчет прогнозных дефляторов'!$D$75</f>
        <v>1.0429999999999999</v>
      </c>
      <c r="K576" s="146">
        <f t="shared" si="214"/>
        <v>748742</v>
      </c>
      <c r="L576" s="146">
        <f t="shared" si="215"/>
        <v>739481</v>
      </c>
      <c r="M576" s="147"/>
      <c r="N576" s="147"/>
      <c r="O576" s="147"/>
    </row>
    <row r="577" spans="1:15" s="148" customFormat="1" ht="63.75" hidden="1" outlineLevel="2" x14ac:dyDescent="0.2">
      <c r="A577" s="200"/>
      <c r="B577" s="95"/>
      <c r="C577" s="42" t="s">
        <v>1601</v>
      </c>
      <c r="D577" s="42" t="s">
        <v>1591</v>
      </c>
      <c r="E577" s="100" t="s">
        <v>408</v>
      </c>
      <c r="F577" s="100">
        <v>1</v>
      </c>
      <c r="G577" s="149">
        <f>(48059/11+44957+4863/11)*(1.023*1.005-2.3%*15%)*6.99+0*4.09</f>
        <v>356459</v>
      </c>
      <c r="H577" s="145">
        <f t="shared" si="212"/>
        <v>1.123</v>
      </c>
      <c r="I577" s="146">
        <f t="shared" si="213"/>
        <v>400303</v>
      </c>
      <c r="J577" s="145">
        <f>'[2]Расчет прогнозных дефляторов'!$D$75</f>
        <v>1.0429999999999999</v>
      </c>
      <c r="K577" s="146">
        <f t="shared" si="214"/>
        <v>417516</v>
      </c>
      <c r="L577" s="146">
        <f t="shared" si="215"/>
        <v>412352</v>
      </c>
      <c r="M577" s="147"/>
      <c r="N577" s="147"/>
      <c r="O577" s="147"/>
    </row>
    <row r="578" spans="1:15" s="148" customFormat="1" ht="38.25" hidden="1" outlineLevel="2" x14ac:dyDescent="0.2">
      <c r="A578" s="200"/>
      <c r="B578" s="95"/>
      <c r="C578" s="42" t="s">
        <v>1602</v>
      </c>
      <c r="D578" s="42" t="s">
        <v>1592</v>
      </c>
      <c r="E578" s="100" t="s">
        <v>408</v>
      </c>
      <c r="F578" s="100">
        <v>2</v>
      </c>
      <c r="G578" s="149">
        <f>(48059/11*2+89913+4863/11*2)*(1.023*1.005-2.3%*15%)*6.99+0*4.09</f>
        <v>712912</v>
      </c>
      <c r="H578" s="145">
        <f t="shared" si="212"/>
        <v>1.123</v>
      </c>
      <c r="I578" s="146">
        <f t="shared" si="213"/>
        <v>800600</v>
      </c>
      <c r="J578" s="145">
        <f>'[2]Расчет прогнозных дефляторов'!$D$75</f>
        <v>1.0429999999999999</v>
      </c>
      <c r="K578" s="146">
        <f t="shared" si="214"/>
        <v>835026</v>
      </c>
      <c r="L578" s="146">
        <f t="shared" si="215"/>
        <v>824698</v>
      </c>
      <c r="M578" s="147"/>
      <c r="N578" s="147"/>
      <c r="O578" s="147"/>
    </row>
    <row r="579" spans="1:15" s="148" customFormat="1" ht="38.25" hidden="1" outlineLevel="2" x14ac:dyDescent="0.2">
      <c r="A579" s="200"/>
      <c r="B579" s="95"/>
      <c r="C579" s="42" t="s">
        <v>1603</v>
      </c>
      <c r="D579" s="42" t="s">
        <v>1593</v>
      </c>
      <c r="E579" s="100" t="s">
        <v>408</v>
      </c>
      <c r="F579" s="100">
        <v>1</v>
      </c>
      <c r="G579" s="149">
        <f>(48059/11+44957+4863/11)*(1.023*1.005-2.3%*15%)*6.99+0*4.09</f>
        <v>356459</v>
      </c>
      <c r="H579" s="145">
        <f t="shared" si="212"/>
        <v>1.123</v>
      </c>
      <c r="I579" s="146">
        <f t="shared" si="213"/>
        <v>400303</v>
      </c>
      <c r="J579" s="145">
        <f>'[2]Расчет прогнозных дефляторов'!$D$75</f>
        <v>1.0429999999999999</v>
      </c>
      <c r="K579" s="146">
        <f t="shared" si="214"/>
        <v>417516</v>
      </c>
      <c r="L579" s="146">
        <f t="shared" si="215"/>
        <v>412352</v>
      </c>
      <c r="M579" s="147"/>
      <c r="N579" s="147"/>
      <c r="O579" s="147"/>
    </row>
    <row r="580" spans="1:15" s="148" customFormat="1" ht="38.25" hidden="1" outlineLevel="2" x14ac:dyDescent="0.2">
      <c r="A580" s="200"/>
      <c r="B580" s="95"/>
      <c r="C580" s="42" t="s">
        <v>1604</v>
      </c>
      <c r="D580" s="42" t="s">
        <v>1594</v>
      </c>
      <c r="E580" s="100" t="s">
        <v>408</v>
      </c>
      <c r="F580" s="100">
        <v>1</v>
      </c>
      <c r="G580" s="149">
        <f>(48059/11+30686+4863/11)*(1.023*1.005-2.3%*15%)*6.99+0*4.09</f>
        <v>254245</v>
      </c>
      <c r="H580" s="145">
        <f t="shared" si="212"/>
        <v>1.123</v>
      </c>
      <c r="I580" s="146">
        <f t="shared" si="213"/>
        <v>285517</v>
      </c>
      <c r="J580" s="145">
        <f>'[2]Расчет прогнозных дефляторов'!$D$75</f>
        <v>1.0429999999999999</v>
      </c>
      <c r="K580" s="146">
        <f t="shared" si="214"/>
        <v>297794</v>
      </c>
      <c r="L580" s="146">
        <f t="shared" si="215"/>
        <v>294111</v>
      </c>
      <c r="M580" s="147"/>
      <c r="N580" s="147"/>
      <c r="O580" s="147"/>
    </row>
    <row r="581" spans="1:15" s="148" customFormat="1" ht="38.25" hidden="1" outlineLevel="2" x14ac:dyDescent="0.2">
      <c r="A581" s="200"/>
      <c r="B581" s="95"/>
      <c r="C581" s="42" t="s">
        <v>1605</v>
      </c>
      <c r="D581" s="42" t="s">
        <v>1595</v>
      </c>
      <c r="E581" s="100" t="s">
        <v>408</v>
      </c>
      <c r="F581" s="100">
        <v>1</v>
      </c>
      <c r="G581" s="149">
        <f>(48059/11+44957+4863/11)*(1.023*1.005-2.3%*15%)*6.99+0*4.09</f>
        <v>356459</v>
      </c>
      <c r="H581" s="145">
        <f t="shared" si="212"/>
        <v>1.123</v>
      </c>
      <c r="I581" s="146">
        <f t="shared" si="213"/>
        <v>400303</v>
      </c>
      <c r="J581" s="145">
        <f>'[2]Расчет прогнозных дефляторов'!$D$75</f>
        <v>1.0429999999999999</v>
      </c>
      <c r="K581" s="146">
        <f t="shared" si="214"/>
        <v>417516</v>
      </c>
      <c r="L581" s="146">
        <f t="shared" si="215"/>
        <v>412352</v>
      </c>
      <c r="M581" s="147"/>
      <c r="N581" s="147"/>
      <c r="O581" s="147"/>
    </row>
    <row r="582" spans="1:15" s="148" customFormat="1" ht="38.25" hidden="1" outlineLevel="2" x14ac:dyDescent="0.2">
      <c r="A582" s="200"/>
      <c r="B582" s="95"/>
      <c r="C582" s="42" t="s">
        <v>1606</v>
      </c>
      <c r="D582" s="42" t="s">
        <v>1596</v>
      </c>
      <c r="E582" s="100" t="s">
        <v>408</v>
      </c>
      <c r="F582" s="100">
        <v>1</v>
      </c>
      <c r="G582" s="149">
        <f>(48059/11+29686+4863/11)*(1.023*1.005-2.3%*15%)*6.99+0*4.09</f>
        <v>247082</v>
      </c>
      <c r="H582" s="145">
        <f t="shared" si="212"/>
        <v>1.123</v>
      </c>
      <c r="I582" s="146">
        <f t="shared" si="213"/>
        <v>277473</v>
      </c>
      <c r="J582" s="145">
        <f>'[2]Расчет прогнозных дефляторов'!$D$75</f>
        <v>1.0429999999999999</v>
      </c>
      <c r="K582" s="146">
        <f t="shared" si="214"/>
        <v>289404</v>
      </c>
      <c r="L582" s="146">
        <f t="shared" si="215"/>
        <v>285825</v>
      </c>
      <c r="M582" s="147"/>
      <c r="N582" s="147"/>
      <c r="O582" s="147"/>
    </row>
    <row r="583" spans="1:15" s="148" customFormat="1" ht="51" hidden="1" outlineLevel="2" x14ac:dyDescent="0.2">
      <c r="A583" s="200"/>
      <c r="B583" s="95"/>
      <c r="C583" s="42" t="s">
        <v>1607</v>
      </c>
      <c r="D583" s="42" t="s">
        <v>1597</v>
      </c>
      <c r="E583" s="100" t="s">
        <v>408</v>
      </c>
      <c r="F583" s="100">
        <v>1</v>
      </c>
      <c r="G583" s="149">
        <f>(48059/11+29686+4863/11)*(1.023*1.005-2.3%*15%)*6.99+0*4.09</f>
        <v>247082</v>
      </c>
      <c r="H583" s="145">
        <f t="shared" si="212"/>
        <v>1.123</v>
      </c>
      <c r="I583" s="146">
        <f t="shared" si="213"/>
        <v>277473</v>
      </c>
      <c r="J583" s="145">
        <f>'[2]Расчет прогнозных дефляторов'!$D$75</f>
        <v>1.0429999999999999</v>
      </c>
      <c r="K583" s="146">
        <f t="shared" si="214"/>
        <v>289404</v>
      </c>
      <c r="L583" s="146">
        <f t="shared" si="215"/>
        <v>285825</v>
      </c>
      <c r="M583" s="147"/>
      <c r="N583" s="147"/>
      <c r="O583" s="147"/>
    </row>
    <row r="584" spans="1:15" s="148" customFormat="1" ht="15.75" hidden="1" outlineLevel="2" x14ac:dyDescent="0.2">
      <c r="A584" s="200"/>
      <c r="B584" s="95"/>
      <c r="C584" s="42" t="s">
        <v>1608</v>
      </c>
      <c r="D584" s="42" t="s">
        <v>1559</v>
      </c>
      <c r="E584" s="100" t="s">
        <v>377</v>
      </c>
      <c r="F584" s="100">
        <v>7.2</v>
      </c>
      <c r="G584" s="149">
        <f>(3141)*(1.023*1.005-2.3%*15%)*6.99+0*4.09</f>
        <v>22497</v>
      </c>
      <c r="H584" s="145">
        <f t="shared" si="212"/>
        <v>1.123</v>
      </c>
      <c r="I584" s="146">
        <f t="shared" si="213"/>
        <v>25264</v>
      </c>
      <c r="J584" s="145">
        <f>'[2]Расчет прогнозных дефляторов'!$D$75</f>
        <v>1.0429999999999999</v>
      </c>
      <c r="K584" s="146">
        <f t="shared" si="214"/>
        <v>26350</v>
      </c>
      <c r="L584" s="146">
        <f t="shared" si="215"/>
        <v>26024</v>
      </c>
      <c r="M584" s="147"/>
      <c r="N584" s="147"/>
      <c r="O584" s="147"/>
    </row>
    <row r="585" spans="1:15" s="148" customFormat="1" ht="25.5" hidden="1" outlineLevel="2" x14ac:dyDescent="0.2">
      <c r="A585" s="200"/>
      <c r="B585" s="95"/>
      <c r="C585" s="42" t="s">
        <v>1610</v>
      </c>
      <c r="D585" s="42" t="s">
        <v>1609</v>
      </c>
      <c r="E585" s="100" t="s">
        <v>300</v>
      </c>
      <c r="F585" s="100">
        <v>12.6</v>
      </c>
      <c r="G585" s="149">
        <f>(38807)*(1.023*1.005-2.3%*15%)*6.99+0*4.09</f>
        <v>277952</v>
      </c>
      <c r="H585" s="145">
        <f t="shared" si="212"/>
        <v>1.123</v>
      </c>
      <c r="I585" s="146">
        <f t="shared" si="213"/>
        <v>312140</v>
      </c>
      <c r="J585" s="145">
        <f>'[2]Расчет прогнозных дефляторов'!$D$75</f>
        <v>1.0429999999999999</v>
      </c>
      <c r="K585" s="146">
        <f t="shared" si="214"/>
        <v>325562</v>
      </c>
      <c r="L585" s="146">
        <f t="shared" si="215"/>
        <v>321535</v>
      </c>
      <c r="M585" s="147"/>
      <c r="N585" s="147"/>
      <c r="O585" s="147"/>
    </row>
    <row r="586" spans="1:15" s="148" customFormat="1" ht="15.75" hidden="1" outlineLevel="2" x14ac:dyDescent="0.2">
      <c r="A586" s="200"/>
      <c r="B586" s="95"/>
      <c r="C586" s="42"/>
      <c r="D586" s="42" t="s">
        <v>1612</v>
      </c>
      <c r="E586" s="100"/>
      <c r="F586" s="100"/>
      <c r="G586" s="149"/>
      <c r="H586" s="145"/>
      <c r="I586" s="146"/>
      <c r="J586" s="145"/>
      <c r="K586" s="146"/>
      <c r="L586" s="146"/>
      <c r="M586" s="147"/>
      <c r="N586" s="147"/>
      <c r="O586" s="147"/>
    </row>
    <row r="587" spans="1:15" s="148" customFormat="1" ht="25.5" hidden="1" outlineLevel="2" x14ac:dyDescent="0.2">
      <c r="A587" s="200"/>
      <c r="B587" s="95"/>
      <c r="C587" s="42" t="s">
        <v>1613</v>
      </c>
      <c r="D587" s="42" t="s">
        <v>1611</v>
      </c>
      <c r="E587" s="100" t="s">
        <v>377</v>
      </c>
      <c r="F587" s="100">
        <v>3547</v>
      </c>
      <c r="G587" s="149">
        <f>(476378)*(1.023*1.005-2.3%*15%)*6.99+0*4.09</f>
        <v>3412014</v>
      </c>
      <c r="H587" s="145">
        <f>$H$772</f>
        <v>1.123</v>
      </c>
      <c r="I587" s="146">
        <f t="shared" ref="I587" si="216">G587*H587</f>
        <v>3831692</v>
      </c>
      <c r="J587" s="145">
        <f>'[2]Расчет прогнозных дефляторов'!$D$75</f>
        <v>1.0429999999999999</v>
      </c>
      <c r="K587" s="146">
        <f t="shared" ref="K587" si="217">I587*J587</f>
        <v>3996455</v>
      </c>
      <c r="L587" s="146">
        <f t="shared" ref="L587" si="218">I587+(K587-I587)*(1-30/100)</f>
        <v>3947026</v>
      </c>
      <c r="M587" s="147"/>
      <c r="N587" s="147"/>
      <c r="O587" s="147"/>
    </row>
    <row r="588" spans="1:15" s="237" customFormat="1" ht="15.75" outlineLevel="1" collapsed="1" x14ac:dyDescent="0.2">
      <c r="A588" s="243"/>
      <c r="B588" s="244"/>
      <c r="C588" s="245" t="s">
        <v>241</v>
      </c>
      <c r="D588" s="245" t="s">
        <v>242</v>
      </c>
      <c r="E588" s="246" t="s">
        <v>292</v>
      </c>
      <c r="F588" s="247">
        <v>1</v>
      </c>
      <c r="G588" s="247">
        <f>SUM(G589:G593)</f>
        <v>24530069</v>
      </c>
      <c r="H588" s="248"/>
      <c r="I588" s="247">
        <f>SUM(I589:I593)</f>
        <v>27547268</v>
      </c>
      <c r="J588" s="248"/>
      <c r="K588" s="247">
        <f>SUM(K589:K593)</f>
        <v>28731800</v>
      </c>
      <c r="L588" s="247">
        <f>SUM(L589:L593)</f>
        <v>28376440</v>
      </c>
      <c r="M588" s="256"/>
      <c r="N588" s="256"/>
      <c r="O588" s="256"/>
    </row>
    <row r="589" spans="1:15" s="148" customFormat="1" ht="15.75" hidden="1" outlineLevel="2" x14ac:dyDescent="0.2">
      <c r="A589" s="200"/>
      <c r="B589" s="95"/>
      <c r="C589" s="42"/>
      <c r="D589" s="42" t="s">
        <v>1614</v>
      </c>
      <c r="E589" s="100"/>
      <c r="F589" s="100"/>
      <c r="G589" s="149"/>
      <c r="H589" s="145"/>
      <c r="I589" s="146"/>
      <c r="J589" s="145"/>
      <c r="K589" s="146"/>
      <c r="L589" s="146"/>
      <c r="M589" s="147"/>
      <c r="N589" s="147"/>
      <c r="O589" s="147"/>
    </row>
    <row r="590" spans="1:15" s="148" customFormat="1" ht="51" hidden="1" outlineLevel="2" x14ac:dyDescent="0.2">
      <c r="A590" s="200"/>
      <c r="B590" s="95"/>
      <c r="C590" s="42" t="s">
        <v>1616</v>
      </c>
      <c r="D590" s="42" t="s">
        <v>1615</v>
      </c>
      <c r="E590" s="100" t="s">
        <v>408</v>
      </c>
      <c r="F590" s="100">
        <v>2</v>
      </c>
      <c r="G590" s="149">
        <f>(3489)*(1.023*1.005-2.3%*15%)*6.99+5297474*4.09+13</f>
        <v>21691671</v>
      </c>
      <c r="H590" s="145">
        <f>$H$772</f>
        <v>1.123</v>
      </c>
      <c r="I590" s="146">
        <f t="shared" ref="I590:I593" si="219">G590*H590</f>
        <v>24359747</v>
      </c>
      <c r="J590" s="145">
        <f>'[2]Расчет прогнозных дефляторов'!$D$75</f>
        <v>1.0429999999999999</v>
      </c>
      <c r="K590" s="146">
        <f t="shared" ref="K590:K593" si="220">I590*J590</f>
        <v>25407216</v>
      </c>
      <c r="L590" s="146">
        <f t="shared" ref="L590:L593" si="221">I590+(K590-I590)*(1-30/100)</f>
        <v>25092975</v>
      </c>
      <c r="M590" s="147"/>
      <c r="N590" s="147"/>
      <c r="O590" s="147"/>
    </row>
    <row r="591" spans="1:15" s="148" customFormat="1" ht="63.75" hidden="1" outlineLevel="2" x14ac:dyDescent="0.2">
      <c r="A591" s="200"/>
      <c r="B591" s="95"/>
      <c r="C591" s="42" t="s">
        <v>1618</v>
      </c>
      <c r="D591" s="42" t="s">
        <v>1617</v>
      </c>
      <c r="E591" s="100" t="s">
        <v>408</v>
      </c>
      <c r="F591" s="100">
        <v>1</v>
      </c>
      <c r="G591" s="149">
        <f>(1392)*(1.023*1.005-2.3%*15%)*6.99+461654*4.09</f>
        <v>1898135</v>
      </c>
      <c r="H591" s="145">
        <f>$H$772</f>
        <v>1.123</v>
      </c>
      <c r="I591" s="146">
        <f t="shared" si="219"/>
        <v>2131606</v>
      </c>
      <c r="J591" s="145">
        <f>'[2]Расчет прогнозных дефляторов'!$D$75</f>
        <v>1.0429999999999999</v>
      </c>
      <c r="K591" s="146">
        <f t="shared" si="220"/>
        <v>2223265</v>
      </c>
      <c r="L591" s="146">
        <f t="shared" si="221"/>
        <v>2195767</v>
      </c>
      <c r="M591" s="147"/>
      <c r="N591" s="147"/>
      <c r="O591" s="147"/>
    </row>
    <row r="592" spans="1:15" s="148" customFormat="1" ht="76.5" hidden="1" outlineLevel="2" x14ac:dyDescent="0.2">
      <c r="A592" s="200"/>
      <c r="B592" s="95"/>
      <c r="C592" s="42" t="s">
        <v>1620</v>
      </c>
      <c r="D592" s="42" t="s">
        <v>1619</v>
      </c>
      <c r="E592" s="100" t="s">
        <v>408</v>
      </c>
      <c r="F592" s="100">
        <v>1</v>
      </c>
      <c r="G592" s="149">
        <f>(1043)*(1.023*1.005-2.3%*15%)*6.99+112828*4.09</f>
        <v>468937</v>
      </c>
      <c r="H592" s="145">
        <f>$H$772</f>
        <v>1.123</v>
      </c>
      <c r="I592" s="146">
        <f t="shared" si="219"/>
        <v>526616</v>
      </c>
      <c r="J592" s="145">
        <f>'[2]Расчет прогнозных дефляторов'!$D$75</f>
        <v>1.0429999999999999</v>
      </c>
      <c r="K592" s="146">
        <f t="shared" si="220"/>
        <v>549260</v>
      </c>
      <c r="L592" s="146">
        <f t="shared" si="221"/>
        <v>542467</v>
      </c>
      <c r="M592" s="147"/>
      <c r="N592" s="147"/>
      <c r="O592" s="147"/>
    </row>
    <row r="593" spans="1:15" s="148" customFormat="1" ht="51" hidden="1" outlineLevel="2" x14ac:dyDescent="0.2">
      <c r="A593" s="200"/>
      <c r="B593" s="95"/>
      <c r="C593" s="42" t="s">
        <v>1622</v>
      </c>
      <c r="D593" s="42" t="s">
        <v>1621</v>
      </c>
      <c r="E593" s="100" t="s">
        <v>408</v>
      </c>
      <c r="F593" s="100">
        <v>1</v>
      </c>
      <c r="G593" s="149">
        <f>(1746)*(1.023*1.005-2.3%*15%)*6.99+112181*4.09</f>
        <v>471326</v>
      </c>
      <c r="H593" s="145">
        <f>$H$772</f>
        <v>1.123</v>
      </c>
      <c r="I593" s="146">
        <f t="shared" si="219"/>
        <v>529299</v>
      </c>
      <c r="J593" s="145">
        <f>'[2]Расчет прогнозных дефляторов'!$D$75</f>
        <v>1.0429999999999999</v>
      </c>
      <c r="K593" s="146">
        <f t="shared" si="220"/>
        <v>552059</v>
      </c>
      <c r="L593" s="146">
        <f t="shared" si="221"/>
        <v>545231</v>
      </c>
      <c r="M593" s="147"/>
      <c r="N593" s="147"/>
      <c r="O593" s="147"/>
    </row>
    <row r="594" spans="1:15" s="148" customFormat="1" ht="25.5" outlineLevel="1" collapsed="1" x14ac:dyDescent="0.2">
      <c r="A594" s="243"/>
      <c r="B594" s="244"/>
      <c r="C594" s="245" t="s">
        <v>243</v>
      </c>
      <c r="D594" s="245" t="s">
        <v>244</v>
      </c>
      <c r="E594" s="246" t="s">
        <v>292</v>
      </c>
      <c r="F594" s="247">
        <v>1</v>
      </c>
      <c r="G594" s="247">
        <f>SUM(G595:G631)</f>
        <v>5682368</v>
      </c>
      <c r="H594" s="248"/>
      <c r="I594" s="247">
        <f>SUM(I595:I631)</f>
        <v>6381300</v>
      </c>
      <c r="J594" s="248"/>
      <c r="K594" s="247">
        <f>SUM(K595:K631)</f>
        <v>6655696</v>
      </c>
      <c r="L594" s="247">
        <f>SUM(L595:L631)</f>
        <v>6573378</v>
      </c>
      <c r="M594" s="147"/>
      <c r="N594" s="147"/>
      <c r="O594" s="147"/>
    </row>
    <row r="595" spans="1:15" s="148" customFormat="1" ht="25.5" outlineLevel="1" x14ac:dyDescent="0.2">
      <c r="A595" s="200"/>
      <c r="B595" s="95"/>
      <c r="C595" s="42"/>
      <c r="D595" s="157" t="s">
        <v>1623</v>
      </c>
      <c r="E595" s="100"/>
      <c r="F595" s="100"/>
      <c r="G595" s="149"/>
      <c r="H595" s="145"/>
      <c r="I595" s="146"/>
      <c r="J595" s="145"/>
      <c r="K595" s="146"/>
      <c r="L595" s="146"/>
      <c r="M595" s="147"/>
      <c r="N595" s="147"/>
      <c r="O595" s="147"/>
    </row>
    <row r="596" spans="1:15" s="148" customFormat="1" ht="15.75" outlineLevel="1" x14ac:dyDescent="0.2">
      <c r="A596" s="200"/>
      <c r="B596" s="95"/>
      <c r="C596" s="42"/>
      <c r="D596" s="42" t="s">
        <v>367</v>
      </c>
      <c r="E596" s="100"/>
      <c r="F596" s="100"/>
      <c r="G596" s="149"/>
      <c r="H596" s="145"/>
      <c r="I596" s="146"/>
      <c r="J596" s="145"/>
      <c r="K596" s="146"/>
      <c r="L596" s="146"/>
      <c r="M596" s="147"/>
      <c r="N596" s="147"/>
      <c r="O596" s="147"/>
    </row>
    <row r="597" spans="1:15" s="148" customFormat="1" ht="25.5" outlineLevel="1" x14ac:dyDescent="0.2">
      <c r="A597" s="200"/>
      <c r="B597" s="95"/>
      <c r="C597" s="42" t="s">
        <v>1624</v>
      </c>
      <c r="D597" s="42" t="s">
        <v>356</v>
      </c>
      <c r="E597" s="100" t="s">
        <v>300</v>
      </c>
      <c r="F597" s="100">
        <f>122.5</f>
        <v>122.5</v>
      </c>
      <c r="G597" s="149">
        <f>(24427)*(1.023*1.005-2.3%*15%)*6.99+0*4.09+13</f>
        <v>174969</v>
      </c>
      <c r="H597" s="145">
        <f>$H$772</f>
        <v>1.123</v>
      </c>
      <c r="I597" s="146">
        <f t="shared" ref="I597:I601" si="222">G597*H597</f>
        <v>196490</v>
      </c>
      <c r="J597" s="145">
        <f>'[2]Расчет прогнозных дефляторов'!$D$75</f>
        <v>1.0429999999999999</v>
      </c>
      <c r="K597" s="146">
        <f t="shared" ref="K597:K601" si="223">I597*J597</f>
        <v>204939</v>
      </c>
      <c r="L597" s="146">
        <f t="shared" ref="L597:L601" si="224">I597+(K597-I597)*(1-30/100)</f>
        <v>202404</v>
      </c>
      <c r="M597" s="147"/>
      <c r="N597" s="147"/>
      <c r="O597" s="147"/>
    </row>
    <row r="598" spans="1:15" s="148" customFormat="1" ht="15.75" outlineLevel="1" x14ac:dyDescent="0.2">
      <c r="A598" s="200"/>
      <c r="B598" s="95"/>
      <c r="C598" s="42" t="s">
        <v>1626</v>
      </c>
      <c r="D598" s="42" t="s">
        <v>1625</v>
      </c>
      <c r="E598" s="100" t="s">
        <v>300</v>
      </c>
      <c r="F598" s="100">
        <f>85.6</f>
        <v>85.6</v>
      </c>
      <c r="G598" s="149">
        <f>(1451)*(1.023*1.005-2.3%*15%)*6.99+0*4.09</f>
        <v>10393</v>
      </c>
      <c r="H598" s="145">
        <f>$H$772</f>
        <v>1.123</v>
      </c>
      <c r="I598" s="146">
        <f t="shared" si="222"/>
        <v>11671</v>
      </c>
      <c r="J598" s="145">
        <f>'[2]Расчет прогнозных дефляторов'!$D$75</f>
        <v>1.0429999999999999</v>
      </c>
      <c r="K598" s="146">
        <f t="shared" si="223"/>
        <v>12173</v>
      </c>
      <c r="L598" s="146">
        <f t="shared" si="224"/>
        <v>12022</v>
      </c>
      <c r="M598" s="147"/>
      <c r="N598" s="147"/>
      <c r="O598" s="147"/>
    </row>
    <row r="599" spans="1:15" s="148" customFormat="1" ht="25.5" outlineLevel="1" x14ac:dyDescent="0.2">
      <c r="A599" s="200"/>
      <c r="B599" s="95"/>
      <c r="C599" s="42" t="s">
        <v>1628</v>
      </c>
      <c r="D599" s="42" t="s">
        <v>1627</v>
      </c>
      <c r="E599" s="100" t="s">
        <v>300</v>
      </c>
      <c r="F599" s="100">
        <f>36.9</f>
        <v>36.9</v>
      </c>
      <c r="G599" s="149">
        <f>(1250)*(1.023*1.005-2.3%*15%)*6.99+0*4.09</f>
        <v>8953</v>
      </c>
      <c r="H599" s="145">
        <f>$H$772</f>
        <v>1.123</v>
      </c>
      <c r="I599" s="146">
        <f t="shared" si="222"/>
        <v>10054</v>
      </c>
      <c r="J599" s="145">
        <f>'[2]Расчет прогнозных дефляторов'!$D$75</f>
        <v>1.0429999999999999</v>
      </c>
      <c r="K599" s="146">
        <f t="shared" si="223"/>
        <v>10486</v>
      </c>
      <c r="L599" s="146">
        <f t="shared" si="224"/>
        <v>10356</v>
      </c>
      <c r="M599" s="147"/>
      <c r="N599" s="147"/>
      <c r="O599" s="147"/>
    </row>
    <row r="600" spans="1:15" s="148" customFormat="1" ht="25.5" outlineLevel="1" x14ac:dyDescent="0.2">
      <c r="A600" s="200"/>
      <c r="B600" s="95"/>
      <c r="C600" s="42" t="s">
        <v>1629</v>
      </c>
      <c r="D600" s="42" t="s">
        <v>1051</v>
      </c>
      <c r="E600" s="100" t="s">
        <v>300</v>
      </c>
      <c r="F600" s="100">
        <f>85.6</f>
        <v>85.6</v>
      </c>
      <c r="G600" s="149">
        <f>(1103)*(1.023*1.005-2.3%*15%)*6.99+0*4.09</f>
        <v>7900</v>
      </c>
      <c r="H600" s="145">
        <f>$H$772</f>
        <v>1.123</v>
      </c>
      <c r="I600" s="146">
        <f t="shared" si="222"/>
        <v>8872</v>
      </c>
      <c r="J600" s="145">
        <f>'[2]Расчет прогнозных дефляторов'!$D$75</f>
        <v>1.0429999999999999</v>
      </c>
      <c r="K600" s="146">
        <f t="shared" si="223"/>
        <v>9253</v>
      </c>
      <c r="L600" s="146">
        <f t="shared" si="224"/>
        <v>9139</v>
      </c>
      <c r="M600" s="147"/>
      <c r="N600" s="147"/>
      <c r="O600" s="147"/>
    </row>
    <row r="601" spans="1:15" s="148" customFormat="1" ht="15.75" outlineLevel="1" x14ac:dyDescent="0.2">
      <c r="A601" s="200"/>
      <c r="B601" s="95"/>
      <c r="C601" s="42" t="s">
        <v>1631</v>
      </c>
      <c r="D601" s="42" t="s">
        <v>1630</v>
      </c>
      <c r="E601" s="100" t="s">
        <v>300</v>
      </c>
      <c r="F601" s="100">
        <f>17.51</f>
        <v>17.510000000000002</v>
      </c>
      <c r="G601" s="149">
        <f>(70955)*(1.023*1.005-2.3%*15%)*6.99+0*4.09</f>
        <v>508209</v>
      </c>
      <c r="H601" s="145">
        <f>$H$772</f>
        <v>1.123</v>
      </c>
      <c r="I601" s="146">
        <f t="shared" si="222"/>
        <v>570719</v>
      </c>
      <c r="J601" s="145">
        <f>'[2]Расчет прогнозных дефляторов'!$D$75</f>
        <v>1.0429999999999999</v>
      </c>
      <c r="K601" s="146">
        <f t="shared" si="223"/>
        <v>595260</v>
      </c>
      <c r="L601" s="146">
        <f t="shared" si="224"/>
        <v>587898</v>
      </c>
      <c r="M601" s="147"/>
      <c r="N601" s="147"/>
      <c r="O601" s="147"/>
    </row>
    <row r="602" spans="1:15" s="148" customFormat="1" ht="15.75" outlineLevel="1" x14ac:dyDescent="0.2">
      <c r="A602" s="200"/>
      <c r="B602" s="95"/>
      <c r="C602" s="42"/>
      <c r="D602" s="157" t="s">
        <v>1632</v>
      </c>
      <c r="E602" s="100"/>
      <c r="F602" s="100"/>
      <c r="G602" s="149"/>
      <c r="H602" s="145"/>
      <c r="I602" s="146"/>
      <c r="J602" s="145"/>
      <c r="K602" s="146"/>
      <c r="L602" s="146"/>
      <c r="M602" s="147"/>
      <c r="N602" s="147"/>
      <c r="O602" s="147"/>
    </row>
    <row r="603" spans="1:15" s="148" customFormat="1" ht="15.75" outlineLevel="1" x14ac:dyDescent="0.2">
      <c r="A603" s="200"/>
      <c r="B603" s="95"/>
      <c r="C603" s="42"/>
      <c r="D603" s="42" t="s">
        <v>367</v>
      </c>
      <c r="E603" s="100"/>
      <c r="F603" s="100"/>
      <c r="G603" s="149"/>
      <c r="H603" s="145"/>
      <c r="I603" s="146"/>
      <c r="J603" s="145"/>
      <c r="K603" s="146"/>
      <c r="L603" s="146"/>
      <c r="M603" s="147"/>
      <c r="N603" s="147"/>
      <c r="O603" s="147"/>
    </row>
    <row r="604" spans="1:15" s="148" customFormat="1" ht="25.5" outlineLevel="1" x14ac:dyDescent="0.2">
      <c r="A604" s="200"/>
      <c r="B604" s="95"/>
      <c r="C604" s="42" t="s">
        <v>1633</v>
      </c>
      <c r="D604" s="42" t="s">
        <v>356</v>
      </c>
      <c r="E604" s="100" t="s">
        <v>300</v>
      </c>
      <c r="F604" s="100">
        <f>486.4</f>
        <v>486.4</v>
      </c>
      <c r="G604" s="149">
        <f>(96993)*(1.023*1.005-2.3%*15%)*6.99+0*4.09</f>
        <v>694703</v>
      </c>
      <c r="H604" s="145">
        <f t="shared" ref="H604:H609" si="225">$H$772</f>
        <v>1.123</v>
      </c>
      <c r="I604" s="146">
        <f t="shared" ref="I604:I609" si="226">G604*H604</f>
        <v>780151</v>
      </c>
      <c r="J604" s="145">
        <f>'[2]Расчет прогнозных дефляторов'!$D$75</f>
        <v>1.0429999999999999</v>
      </c>
      <c r="K604" s="146">
        <f t="shared" ref="K604:K609" si="227">I604*J604</f>
        <v>813697</v>
      </c>
      <c r="L604" s="146">
        <f t="shared" ref="L604:L609" si="228">I604+(K604-I604)*(1-30/100)</f>
        <v>803633</v>
      </c>
      <c r="M604" s="147"/>
      <c r="N604" s="147"/>
      <c r="O604" s="147"/>
    </row>
    <row r="605" spans="1:15" s="148" customFormat="1" ht="15.75" outlineLevel="1" x14ac:dyDescent="0.2">
      <c r="A605" s="200"/>
      <c r="B605" s="95"/>
      <c r="C605" s="42" t="s">
        <v>1634</v>
      </c>
      <c r="D605" s="42" t="s">
        <v>1625</v>
      </c>
      <c r="E605" s="100" t="s">
        <v>300</v>
      </c>
      <c r="F605" s="100">
        <f>324.9</f>
        <v>324.89999999999998</v>
      </c>
      <c r="G605" s="149">
        <f>(5514)*(1.023*1.005-2.3%*15%)*6.99+0*4.09</f>
        <v>39494</v>
      </c>
      <c r="H605" s="145">
        <f t="shared" si="225"/>
        <v>1.123</v>
      </c>
      <c r="I605" s="146">
        <f t="shared" si="226"/>
        <v>44352</v>
      </c>
      <c r="J605" s="145">
        <f>'[2]Расчет прогнозных дефляторов'!$D$75</f>
        <v>1.0429999999999999</v>
      </c>
      <c r="K605" s="146">
        <f t="shared" si="227"/>
        <v>46259</v>
      </c>
      <c r="L605" s="146">
        <f t="shared" si="228"/>
        <v>45687</v>
      </c>
      <c r="M605" s="147"/>
      <c r="N605" s="147"/>
      <c r="O605" s="147"/>
    </row>
    <row r="606" spans="1:15" s="148" customFormat="1" ht="25.5" outlineLevel="1" x14ac:dyDescent="0.2">
      <c r="A606" s="200"/>
      <c r="B606" s="95"/>
      <c r="C606" s="42" t="s">
        <v>1635</v>
      </c>
      <c r="D606" s="42" t="s">
        <v>1627</v>
      </c>
      <c r="E606" s="100" t="s">
        <v>300</v>
      </c>
      <c r="F606" s="100">
        <f>161.5</f>
        <v>161.5</v>
      </c>
      <c r="G606" s="149">
        <f>(5470)*(1.023*1.005-2.3%*15%)*6.99+0*4.09</f>
        <v>39178</v>
      </c>
      <c r="H606" s="145">
        <f t="shared" si="225"/>
        <v>1.123</v>
      </c>
      <c r="I606" s="146">
        <f t="shared" si="226"/>
        <v>43997</v>
      </c>
      <c r="J606" s="145">
        <f>'[2]Расчет прогнозных дефляторов'!$D$75</f>
        <v>1.0429999999999999</v>
      </c>
      <c r="K606" s="146">
        <f t="shared" si="227"/>
        <v>45889</v>
      </c>
      <c r="L606" s="146">
        <f t="shared" si="228"/>
        <v>45321</v>
      </c>
      <c r="M606" s="147"/>
      <c r="N606" s="147"/>
      <c r="O606" s="147"/>
    </row>
    <row r="607" spans="1:15" s="148" customFormat="1" ht="25.5" outlineLevel="1" x14ac:dyDescent="0.2">
      <c r="A607" s="200"/>
      <c r="B607" s="95"/>
      <c r="C607" s="42" t="s">
        <v>1636</v>
      </c>
      <c r="D607" s="42" t="s">
        <v>1051</v>
      </c>
      <c r="E607" s="100" t="s">
        <v>300</v>
      </c>
      <c r="F607" s="100">
        <f>324.9</f>
        <v>324.89999999999998</v>
      </c>
      <c r="G607" s="149">
        <f>(4180)*(1.023*1.005-2.3%*15%)*6.99+0*4.09</f>
        <v>29939</v>
      </c>
      <c r="H607" s="145">
        <f t="shared" si="225"/>
        <v>1.123</v>
      </c>
      <c r="I607" s="146">
        <f t="shared" si="226"/>
        <v>33621</v>
      </c>
      <c r="J607" s="145">
        <f>'[2]Расчет прогнозных дефляторов'!$D$75</f>
        <v>1.0429999999999999</v>
      </c>
      <c r="K607" s="146">
        <f t="shared" si="227"/>
        <v>35067</v>
      </c>
      <c r="L607" s="146">
        <f t="shared" si="228"/>
        <v>34633</v>
      </c>
      <c r="M607" s="147"/>
      <c r="N607" s="147"/>
      <c r="O607" s="147"/>
    </row>
    <row r="608" spans="1:15" s="148" customFormat="1" ht="15.75" outlineLevel="1" x14ac:dyDescent="0.2">
      <c r="A608" s="200"/>
      <c r="B608" s="95"/>
      <c r="C608" s="42" t="s">
        <v>1638</v>
      </c>
      <c r="D608" s="42" t="s">
        <v>1637</v>
      </c>
      <c r="E608" s="100" t="s">
        <v>300</v>
      </c>
      <c r="F608" s="100">
        <f>62.2</f>
        <v>62.2</v>
      </c>
      <c r="G608" s="149">
        <f>(801)*(1.023*1.005-2.3%*15%)*6.99+0*4.09</f>
        <v>5737</v>
      </c>
      <c r="H608" s="145">
        <f t="shared" si="225"/>
        <v>1.123</v>
      </c>
      <c r="I608" s="146">
        <f t="shared" si="226"/>
        <v>6443</v>
      </c>
      <c r="J608" s="145">
        <f>'[2]Расчет прогнозных дефляторов'!$D$75</f>
        <v>1.0429999999999999</v>
      </c>
      <c r="K608" s="146">
        <f t="shared" si="227"/>
        <v>6720</v>
      </c>
      <c r="L608" s="146">
        <f t="shared" si="228"/>
        <v>6637</v>
      </c>
      <c r="M608" s="147"/>
      <c r="N608" s="147"/>
      <c r="O608" s="147"/>
    </row>
    <row r="609" spans="1:15" s="148" customFormat="1" ht="15.75" outlineLevel="1" x14ac:dyDescent="0.2">
      <c r="A609" s="200"/>
      <c r="B609" s="95"/>
      <c r="C609" s="42" t="s">
        <v>1640</v>
      </c>
      <c r="D609" s="42" t="s">
        <v>1639</v>
      </c>
      <c r="E609" s="100" t="s">
        <v>292</v>
      </c>
      <c r="F609" s="100">
        <v>1</v>
      </c>
      <c r="G609" s="149">
        <f>(182397)*(1.023*1.005-2.3%*15%)*6.99+0*4.09</f>
        <v>1306402</v>
      </c>
      <c r="H609" s="145">
        <f t="shared" si="225"/>
        <v>1.123</v>
      </c>
      <c r="I609" s="146">
        <f t="shared" si="226"/>
        <v>1467089</v>
      </c>
      <c r="J609" s="145">
        <f>'[2]Расчет прогнозных дефляторов'!$D$75</f>
        <v>1.0429999999999999</v>
      </c>
      <c r="K609" s="146">
        <f t="shared" si="227"/>
        <v>1530174</v>
      </c>
      <c r="L609" s="146">
        <f t="shared" si="228"/>
        <v>1511249</v>
      </c>
      <c r="M609" s="147"/>
      <c r="N609" s="147"/>
      <c r="O609" s="147"/>
    </row>
    <row r="610" spans="1:15" s="148" customFormat="1" ht="25.5" outlineLevel="1" x14ac:dyDescent="0.2">
      <c r="A610" s="200"/>
      <c r="B610" s="95"/>
      <c r="C610" s="42"/>
      <c r="D610" s="157" t="s">
        <v>1641</v>
      </c>
      <c r="E610" s="100"/>
      <c r="F610" s="100"/>
      <c r="G610" s="149"/>
      <c r="H610" s="145"/>
      <c r="I610" s="146"/>
      <c r="J610" s="145"/>
      <c r="K610" s="146"/>
      <c r="L610" s="146"/>
      <c r="M610" s="147"/>
      <c r="N610" s="147"/>
      <c r="O610" s="147"/>
    </row>
    <row r="611" spans="1:15" s="148" customFormat="1" ht="15.75" outlineLevel="1" x14ac:dyDescent="0.2">
      <c r="A611" s="200"/>
      <c r="B611" s="95"/>
      <c r="C611" s="42"/>
      <c r="D611" s="42" t="s">
        <v>367</v>
      </c>
      <c r="E611" s="100"/>
      <c r="F611" s="100"/>
      <c r="G611" s="149"/>
      <c r="H611" s="145"/>
      <c r="I611" s="146"/>
      <c r="J611" s="145"/>
      <c r="K611" s="146"/>
      <c r="L611" s="146"/>
      <c r="M611" s="147"/>
      <c r="N611" s="147"/>
      <c r="O611" s="147"/>
    </row>
    <row r="612" spans="1:15" s="148" customFormat="1" ht="25.5" outlineLevel="1" x14ac:dyDescent="0.2">
      <c r="A612" s="200"/>
      <c r="B612" s="95"/>
      <c r="C612" s="42" t="s">
        <v>1642</v>
      </c>
      <c r="D612" s="42" t="s">
        <v>356</v>
      </c>
      <c r="E612" s="100" t="s">
        <v>300</v>
      </c>
      <c r="F612" s="100">
        <f>320+66.2</f>
        <v>386.2</v>
      </c>
      <c r="G612" s="149">
        <f>(77012)*(1.023*1.005-2.3%*15%)*6.99+0*4.09</f>
        <v>551591</v>
      </c>
      <c r="H612" s="145">
        <f t="shared" ref="H612:H617" si="229">$H$772</f>
        <v>1.123</v>
      </c>
      <c r="I612" s="146">
        <f t="shared" ref="I612:I617" si="230">G612*H612</f>
        <v>619437</v>
      </c>
      <c r="J612" s="145">
        <f>'[2]Расчет прогнозных дефляторов'!$D$75</f>
        <v>1.0429999999999999</v>
      </c>
      <c r="K612" s="146">
        <f t="shared" ref="K612:K617" si="231">I612*J612</f>
        <v>646073</v>
      </c>
      <c r="L612" s="146">
        <f t="shared" ref="L612:L617" si="232">I612+(K612-I612)*(1-30/100)</f>
        <v>638082</v>
      </c>
      <c r="M612" s="147"/>
      <c r="N612" s="147"/>
      <c r="O612" s="147"/>
    </row>
    <row r="613" spans="1:15" s="148" customFormat="1" ht="15.75" outlineLevel="1" x14ac:dyDescent="0.2">
      <c r="A613" s="200"/>
      <c r="B613" s="95"/>
      <c r="C613" s="42" t="s">
        <v>1643</v>
      </c>
      <c r="D613" s="42" t="s">
        <v>1625</v>
      </c>
      <c r="E613" s="100" t="s">
        <v>300</v>
      </c>
      <c r="F613" s="100">
        <f>320+66.2</f>
        <v>386.2</v>
      </c>
      <c r="G613" s="149">
        <f>(6554)*(1.023*1.005-2.3%*15%)*6.99+0*4.09</f>
        <v>46942</v>
      </c>
      <c r="H613" s="145">
        <f t="shared" si="229"/>
        <v>1.123</v>
      </c>
      <c r="I613" s="146">
        <f t="shared" si="230"/>
        <v>52716</v>
      </c>
      <c r="J613" s="145">
        <f>'[2]Расчет прогнозных дефляторов'!$D$75</f>
        <v>1.0429999999999999</v>
      </c>
      <c r="K613" s="146">
        <f t="shared" si="231"/>
        <v>54983</v>
      </c>
      <c r="L613" s="146">
        <f t="shared" si="232"/>
        <v>54303</v>
      </c>
      <c r="M613" s="147"/>
      <c r="N613" s="147"/>
      <c r="O613" s="147"/>
    </row>
    <row r="614" spans="1:15" s="148" customFormat="1" ht="25.5" outlineLevel="1" x14ac:dyDescent="0.2">
      <c r="A614" s="200"/>
      <c r="B614" s="95"/>
      <c r="C614" s="42" t="s">
        <v>1644</v>
      </c>
      <c r="D614" s="42" t="s">
        <v>1627</v>
      </c>
      <c r="E614" s="100" t="s">
        <v>300</v>
      </c>
      <c r="F614" s="100">
        <f>65.8</f>
        <v>65.8</v>
      </c>
      <c r="G614" s="149">
        <f>(2228)*(1.023*1.005-2.3%*15%)*6.99+0*4.09</f>
        <v>15958</v>
      </c>
      <c r="H614" s="145">
        <f t="shared" si="229"/>
        <v>1.123</v>
      </c>
      <c r="I614" s="146">
        <f t="shared" si="230"/>
        <v>17921</v>
      </c>
      <c r="J614" s="145">
        <f>'[2]Расчет прогнозных дефляторов'!$D$75</f>
        <v>1.0429999999999999</v>
      </c>
      <c r="K614" s="146">
        <f t="shared" si="231"/>
        <v>18692</v>
      </c>
      <c r="L614" s="146">
        <f t="shared" si="232"/>
        <v>18461</v>
      </c>
      <c r="M614" s="147" t="s">
        <v>1645</v>
      </c>
      <c r="N614" s="147"/>
      <c r="O614" s="147"/>
    </row>
    <row r="615" spans="1:15" s="148" customFormat="1" ht="25.5" outlineLevel="1" x14ac:dyDescent="0.2">
      <c r="A615" s="200"/>
      <c r="B615" s="95"/>
      <c r="C615" s="42" t="s">
        <v>1646</v>
      </c>
      <c r="D615" s="42" t="s">
        <v>1051</v>
      </c>
      <c r="E615" s="100" t="s">
        <v>300</v>
      </c>
      <c r="F615" s="100">
        <f>320.4</f>
        <v>320.39999999999998</v>
      </c>
      <c r="G615" s="149">
        <f>(4123)*(1.023*1.005-2.3%*15%)*6.99+0*4.09</f>
        <v>29531</v>
      </c>
      <c r="H615" s="145">
        <f t="shared" si="229"/>
        <v>1.123</v>
      </c>
      <c r="I615" s="146">
        <f t="shared" si="230"/>
        <v>33163</v>
      </c>
      <c r="J615" s="145">
        <f>'[2]Расчет прогнозных дефляторов'!$D$75</f>
        <v>1.0429999999999999</v>
      </c>
      <c r="K615" s="146">
        <f t="shared" si="231"/>
        <v>34589</v>
      </c>
      <c r="L615" s="146">
        <f t="shared" si="232"/>
        <v>34161</v>
      </c>
      <c r="M615" s="147"/>
      <c r="N615" s="147"/>
      <c r="O615" s="147"/>
    </row>
    <row r="616" spans="1:15" s="148" customFormat="1" ht="15.75" outlineLevel="1" x14ac:dyDescent="0.2">
      <c r="A616" s="200"/>
      <c r="B616" s="95"/>
      <c r="C616" s="42" t="s">
        <v>1647</v>
      </c>
      <c r="D616" s="42" t="s">
        <v>1630</v>
      </c>
      <c r="E616" s="100" t="s">
        <v>300</v>
      </c>
      <c r="F616" s="100">
        <f>53.04</f>
        <v>53.04</v>
      </c>
      <c r="G616" s="149">
        <f>(198554)*(1.023*1.005-2.3%*15%)*6.99+0*4.09</f>
        <v>1422125</v>
      </c>
      <c r="H616" s="145">
        <f t="shared" si="229"/>
        <v>1.123</v>
      </c>
      <c r="I616" s="146">
        <f t="shared" si="230"/>
        <v>1597046</v>
      </c>
      <c r="J616" s="145">
        <f>'[2]Расчет прогнозных дефляторов'!$D$75</f>
        <v>1.0429999999999999</v>
      </c>
      <c r="K616" s="146">
        <f t="shared" si="231"/>
        <v>1665719</v>
      </c>
      <c r="L616" s="146">
        <f t="shared" si="232"/>
        <v>1645117</v>
      </c>
      <c r="M616" s="147"/>
      <c r="N616" s="147"/>
      <c r="O616" s="147"/>
    </row>
    <row r="617" spans="1:15" s="148" customFormat="1" ht="15.75" outlineLevel="1" x14ac:dyDescent="0.2">
      <c r="A617" s="200"/>
      <c r="B617" s="95"/>
      <c r="C617" s="42" t="s">
        <v>1649</v>
      </c>
      <c r="D617" s="42" t="s">
        <v>1648</v>
      </c>
      <c r="E617" s="100" t="s">
        <v>300</v>
      </c>
      <c r="F617" s="100">
        <f>5.76</f>
        <v>5.76</v>
      </c>
      <c r="G617" s="149">
        <f>(29176)*(1.023*1.005-2.3%*15%)*6.99+0*4.09</f>
        <v>208970</v>
      </c>
      <c r="H617" s="145">
        <f t="shared" si="229"/>
        <v>1.123</v>
      </c>
      <c r="I617" s="146">
        <f t="shared" si="230"/>
        <v>234673</v>
      </c>
      <c r="J617" s="145">
        <f>'[2]Расчет прогнозных дефляторов'!$D$75</f>
        <v>1.0429999999999999</v>
      </c>
      <c r="K617" s="146">
        <f t="shared" si="231"/>
        <v>244764</v>
      </c>
      <c r="L617" s="146">
        <f t="shared" si="232"/>
        <v>241737</v>
      </c>
      <c r="M617" s="147"/>
      <c r="N617" s="147"/>
      <c r="O617" s="147"/>
    </row>
    <row r="618" spans="1:15" s="148" customFormat="1" ht="38.25" outlineLevel="1" x14ac:dyDescent="0.2">
      <c r="A618" s="200"/>
      <c r="B618" s="95"/>
      <c r="C618" s="42"/>
      <c r="D618" s="229" t="s">
        <v>1650</v>
      </c>
      <c r="E618" s="100"/>
      <c r="F618" s="100"/>
      <c r="G618" s="149"/>
      <c r="H618" s="145"/>
      <c r="I618" s="146"/>
      <c r="J618" s="145"/>
      <c r="K618" s="146"/>
      <c r="L618" s="146"/>
      <c r="M618" s="147"/>
      <c r="N618" s="147"/>
      <c r="O618" s="147"/>
    </row>
    <row r="619" spans="1:15" s="148" customFormat="1" ht="15.75" outlineLevel="1" x14ac:dyDescent="0.2">
      <c r="A619" s="200"/>
      <c r="B619" s="95"/>
      <c r="C619" s="42"/>
      <c r="D619" s="42" t="s">
        <v>1651</v>
      </c>
      <c r="E619" s="100"/>
      <c r="F619" s="100"/>
      <c r="G619" s="149"/>
      <c r="H619" s="145"/>
      <c r="I619" s="146"/>
      <c r="J619" s="145"/>
      <c r="K619" s="146"/>
      <c r="L619" s="146"/>
      <c r="M619" s="147"/>
      <c r="N619" s="147"/>
      <c r="O619" s="147"/>
    </row>
    <row r="620" spans="1:15" s="148" customFormat="1" ht="25.5" outlineLevel="1" x14ac:dyDescent="0.2">
      <c r="A620" s="200"/>
      <c r="B620" s="95"/>
      <c r="C620" s="42" t="s">
        <v>1652</v>
      </c>
      <c r="D620" s="42" t="s">
        <v>356</v>
      </c>
      <c r="E620" s="100" t="s">
        <v>300</v>
      </c>
      <c r="F620" s="100">
        <f>157</f>
        <v>157</v>
      </c>
      <c r="G620" s="149">
        <f>(31307)*(1.023*1.005-2.3%*15%)*6.99+0*4.09</f>
        <v>224234</v>
      </c>
      <c r="H620" s="145">
        <f>$H$772</f>
        <v>1.123</v>
      </c>
      <c r="I620" s="146">
        <f t="shared" ref="I620:I623" si="233">G620*H620</f>
        <v>251815</v>
      </c>
      <c r="J620" s="145">
        <f>'[2]Расчет прогнозных дефляторов'!$D$75</f>
        <v>1.0429999999999999</v>
      </c>
      <c r="K620" s="146">
        <f t="shared" ref="K620:K623" si="234">I620*J620</f>
        <v>262643</v>
      </c>
      <c r="L620" s="146">
        <f t="shared" ref="L620:L623" si="235">I620+(K620-I620)*(1-30/100)</f>
        <v>259395</v>
      </c>
      <c r="M620" s="147"/>
      <c r="N620" s="147"/>
      <c r="O620" s="147"/>
    </row>
    <row r="621" spans="1:15" s="148" customFormat="1" ht="15.75" outlineLevel="1" x14ac:dyDescent="0.2">
      <c r="A621" s="200"/>
      <c r="B621" s="95"/>
      <c r="C621" s="42" t="s">
        <v>1653</v>
      </c>
      <c r="D621" s="42" t="s">
        <v>1625</v>
      </c>
      <c r="E621" s="100" t="s">
        <v>300</v>
      </c>
      <c r="F621" s="100">
        <f>157</f>
        <v>157</v>
      </c>
      <c r="G621" s="149">
        <f>(2663)*(1.023*1.005-2.3%*15%)*6.99+0*4.09</f>
        <v>19073</v>
      </c>
      <c r="H621" s="145">
        <f>$H$772</f>
        <v>1.123</v>
      </c>
      <c r="I621" s="146">
        <f t="shared" si="233"/>
        <v>21419</v>
      </c>
      <c r="J621" s="145">
        <f>'[2]Расчет прогнозных дефляторов'!$D$75</f>
        <v>1.0429999999999999</v>
      </c>
      <c r="K621" s="146">
        <f t="shared" si="234"/>
        <v>22340</v>
      </c>
      <c r="L621" s="146">
        <f t="shared" si="235"/>
        <v>22064</v>
      </c>
      <c r="M621" s="147"/>
      <c r="N621" s="147"/>
      <c r="O621" s="147"/>
    </row>
    <row r="622" spans="1:15" s="148" customFormat="1" ht="25.5" outlineLevel="1" x14ac:dyDescent="0.2">
      <c r="A622" s="200"/>
      <c r="B622" s="95"/>
      <c r="C622" s="42" t="s">
        <v>1654</v>
      </c>
      <c r="D622" s="42" t="s">
        <v>1627</v>
      </c>
      <c r="E622" s="100" t="s">
        <v>300</v>
      </c>
      <c r="F622" s="100">
        <v>39</v>
      </c>
      <c r="G622" s="149">
        <f>(1318)*(1.023*1.005-2.3%*15%)*6.99+0*4.09</f>
        <v>9440</v>
      </c>
      <c r="H622" s="145">
        <f>$H$772</f>
        <v>1.123</v>
      </c>
      <c r="I622" s="146">
        <f t="shared" si="233"/>
        <v>10601</v>
      </c>
      <c r="J622" s="145">
        <f>'[2]Расчет прогнозных дефляторов'!$D$75</f>
        <v>1.0429999999999999</v>
      </c>
      <c r="K622" s="146">
        <f t="shared" si="234"/>
        <v>11057</v>
      </c>
      <c r="L622" s="146">
        <f t="shared" si="235"/>
        <v>10920</v>
      </c>
      <c r="M622" s="147" t="s">
        <v>1645</v>
      </c>
      <c r="N622" s="147"/>
      <c r="O622" s="147"/>
    </row>
    <row r="623" spans="1:15" s="148" customFormat="1" ht="25.5" outlineLevel="1" x14ac:dyDescent="0.2">
      <c r="A623" s="200"/>
      <c r="B623" s="95"/>
      <c r="C623" s="42" t="s">
        <v>1655</v>
      </c>
      <c r="D623" s="42" t="s">
        <v>1051</v>
      </c>
      <c r="E623" s="100" t="s">
        <v>300</v>
      </c>
      <c r="F623" s="100">
        <v>118</v>
      </c>
      <c r="G623" s="149">
        <f>(1519)*(1.023*1.005-2.3%*15%)*6.99+0*4.09</f>
        <v>10880</v>
      </c>
      <c r="H623" s="145">
        <f>$H$772</f>
        <v>1.123</v>
      </c>
      <c r="I623" s="146">
        <f t="shared" si="233"/>
        <v>12218</v>
      </c>
      <c r="J623" s="145">
        <f>'[2]Расчет прогнозных дефляторов'!$D$75</f>
        <v>1.0429999999999999</v>
      </c>
      <c r="K623" s="146">
        <f t="shared" si="234"/>
        <v>12743</v>
      </c>
      <c r="L623" s="146">
        <f t="shared" si="235"/>
        <v>12586</v>
      </c>
      <c r="M623" s="147"/>
      <c r="N623" s="147"/>
      <c r="O623" s="147"/>
    </row>
    <row r="624" spans="1:15" s="148" customFormat="1" ht="15.75" outlineLevel="1" x14ac:dyDescent="0.2">
      <c r="A624" s="200"/>
      <c r="B624" s="95"/>
      <c r="C624" s="42"/>
      <c r="D624" s="42" t="s">
        <v>1656</v>
      </c>
      <c r="E624" s="100"/>
      <c r="F624" s="100"/>
      <c r="G624" s="149"/>
      <c r="H624" s="145"/>
      <c r="I624" s="146"/>
      <c r="J624" s="145"/>
      <c r="K624" s="146"/>
      <c r="L624" s="146"/>
      <c r="M624" s="147"/>
      <c r="N624" s="147"/>
      <c r="O624" s="147"/>
    </row>
    <row r="625" spans="1:15" s="148" customFormat="1" ht="25.5" outlineLevel="1" x14ac:dyDescent="0.2">
      <c r="A625" s="200"/>
      <c r="B625" s="95"/>
      <c r="C625" s="42" t="s">
        <v>1657</v>
      </c>
      <c r="D625" s="42" t="s">
        <v>356</v>
      </c>
      <c r="E625" s="100" t="s">
        <v>300</v>
      </c>
      <c r="F625" s="100">
        <f>18</f>
        <v>18</v>
      </c>
      <c r="G625" s="149">
        <f>(3589)*(1.023*1.005-2.3%*15%)*6.99+0*4.09</f>
        <v>25706</v>
      </c>
      <c r="H625" s="145">
        <f t="shared" ref="H625:H631" si="236">$H$772</f>
        <v>1.123</v>
      </c>
      <c r="I625" s="146">
        <f t="shared" ref="I625:I631" si="237">G625*H625</f>
        <v>28868</v>
      </c>
      <c r="J625" s="145">
        <f>'[2]Расчет прогнозных дефляторов'!$D$75</f>
        <v>1.0429999999999999</v>
      </c>
      <c r="K625" s="146">
        <f t="shared" ref="K625:K631" si="238">I625*J625</f>
        <v>30109</v>
      </c>
      <c r="L625" s="146">
        <f t="shared" ref="L625:L631" si="239">I625+(K625-I625)*(1-30/100)</f>
        <v>29737</v>
      </c>
      <c r="M625" s="147"/>
      <c r="N625" s="147"/>
      <c r="O625" s="147"/>
    </row>
    <row r="626" spans="1:15" s="148" customFormat="1" ht="15.75" outlineLevel="1" x14ac:dyDescent="0.2">
      <c r="A626" s="200"/>
      <c r="B626" s="95"/>
      <c r="C626" s="42" t="s">
        <v>1658</v>
      </c>
      <c r="D626" s="42" t="s">
        <v>1625</v>
      </c>
      <c r="E626" s="100" t="s">
        <v>300</v>
      </c>
      <c r="F626" s="100">
        <v>18</v>
      </c>
      <c r="G626" s="149">
        <f>(306)*(1.023*1.005-2.3%*15%)*6.99+0*4.09</f>
        <v>2192</v>
      </c>
      <c r="H626" s="145">
        <f t="shared" si="236"/>
        <v>1.123</v>
      </c>
      <c r="I626" s="146">
        <f t="shared" si="237"/>
        <v>2462</v>
      </c>
      <c r="J626" s="145">
        <f>'[2]Расчет прогнозных дефляторов'!$D$75</f>
        <v>1.0429999999999999</v>
      </c>
      <c r="K626" s="146">
        <f t="shared" si="238"/>
        <v>2568</v>
      </c>
      <c r="L626" s="146">
        <f t="shared" si="239"/>
        <v>2536</v>
      </c>
      <c r="M626" s="147"/>
      <c r="N626" s="147"/>
      <c r="O626" s="147"/>
    </row>
    <row r="627" spans="1:15" s="148" customFormat="1" ht="25.5" outlineLevel="1" x14ac:dyDescent="0.2">
      <c r="A627" s="200"/>
      <c r="B627" s="95"/>
      <c r="C627" s="42" t="s">
        <v>1659</v>
      </c>
      <c r="D627" s="42" t="s">
        <v>1627</v>
      </c>
      <c r="E627" s="100" t="s">
        <v>300</v>
      </c>
      <c r="F627" s="100">
        <v>12</v>
      </c>
      <c r="G627" s="149">
        <f>(406)*(1.023*1.005-2.3%*15%)*6.99+0*4.09</f>
        <v>2908</v>
      </c>
      <c r="H627" s="145">
        <f t="shared" si="236"/>
        <v>1.123</v>
      </c>
      <c r="I627" s="146">
        <f t="shared" si="237"/>
        <v>3266</v>
      </c>
      <c r="J627" s="145">
        <f>'[2]Расчет прогнозных дефляторов'!$D$75</f>
        <v>1.0429999999999999</v>
      </c>
      <c r="K627" s="146">
        <f t="shared" si="238"/>
        <v>3406</v>
      </c>
      <c r="L627" s="146">
        <f t="shared" si="239"/>
        <v>3364</v>
      </c>
      <c r="M627" s="147" t="s">
        <v>1645</v>
      </c>
      <c r="N627" s="147"/>
      <c r="O627" s="147"/>
    </row>
    <row r="628" spans="1:15" s="148" customFormat="1" ht="25.5" outlineLevel="1" x14ac:dyDescent="0.2">
      <c r="A628" s="200"/>
      <c r="B628" s="95"/>
      <c r="C628" s="42" t="s">
        <v>1660</v>
      </c>
      <c r="D628" s="42" t="s">
        <v>1051</v>
      </c>
      <c r="E628" s="100" t="s">
        <v>300</v>
      </c>
      <c r="F628" s="100">
        <v>6</v>
      </c>
      <c r="G628" s="149">
        <f>(77)*(1.023*1.005-2.3%*15%)*6.99+0*4.09</f>
        <v>552</v>
      </c>
      <c r="H628" s="145">
        <f t="shared" si="236"/>
        <v>1.123</v>
      </c>
      <c r="I628" s="146">
        <f t="shared" si="237"/>
        <v>620</v>
      </c>
      <c r="J628" s="145">
        <f>'[2]Расчет прогнозных дефляторов'!$D$75</f>
        <v>1.0429999999999999</v>
      </c>
      <c r="K628" s="146">
        <f t="shared" si="238"/>
        <v>647</v>
      </c>
      <c r="L628" s="146">
        <f t="shared" si="239"/>
        <v>639</v>
      </c>
      <c r="M628" s="147"/>
      <c r="N628" s="147"/>
      <c r="O628" s="147"/>
    </row>
    <row r="629" spans="1:15" s="148" customFormat="1" ht="15.75" outlineLevel="1" x14ac:dyDescent="0.2">
      <c r="A629" s="200"/>
      <c r="B629" s="95"/>
      <c r="C629" s="42" t="s">
        <v>1661</v>
      </c>
      <c r="D629" s="42" t="s">
        <v>1630</v>
      </c>
      <c r="E629" s="100" t="s">
        <v>300</v>
      </c>
      <c r="F629" s="100">
        <f>4.8</f>
        <v>4.8</v>
      </c>
      <c r="G629" s="149">
        <f>(20991)*(1.023*1.005-2.3%*15%)*6.99+0*4.09</f>
        <v>150346</v>
      </c>
      <c r="H629" s="145">
        <f t="shared" si="236"/>
        <v>1.123</v>
      </c>
      <c r="I629" s="146">
        <f t="shared" si="237"/>
        <v>168839</v>
      </c>
      <c r="J629" s="145">
        <f>'[2]Расчет прогнозных дефляторов'!$D$75</f>
        <v>1.0429999999999999</v>
      </c>
      <c r="K629" s="146">
        <f t="shared" si="238"/>
        <v>176099</v>
      </c>
      <c r="L629" s="146">
        <f t="shared" si="239"/>
        <v>173921</v>
      </c>
      <c r="M629" s="147"/>
      <c r="N629" s="147"/>
      <c r="O629" s="147"/>
    </row>
    <row r="630" spans="1:15" s="148" customFormat="1" ht="15.75" outlineLevel="1" x14ac:dyDescent="0.2">
      <c r="A630" s="200"/>
      <c r="B630" s="95"/>
      <c r="C630" s="42" t="s">
        <v>1663</v>
      </c>
      <c r="D630" s="42" t="s">
        <v>1662</v>
      </c>
      <c r="E630" s="100" t="s">
        <v>300</v>
      </c>
      <c r="F630" s="100">
        <f>2.7*2</f>
        <v>5.4</v>
      </c>
      <c r="G630" s="149">
        <f>(14563)*(1.023*1.005-2.3%*15%)*6.99+0*4.09</f>
        <v>104306</v>
      </c>
      <c r="H630" s="145">
        <f t="shared" si="236"/>
        <v>1.123</v>
      </c>
      <c r="I630" s="146">
        <f t="shared" si="237"/>
        <v>117136</v>
      </c>
      <c r="J630" s="145">
        <f>'[2]Расчет прогнозных дефляторов'!$D$75</f>
        <v>1.0429999999999999</v>
      </c>
      <c r="K630" s="146">
        <f t="shared" si="238"/>
        <v>122173</v>
      </c>
      <c r="L630" s="146">
        <f t="shared" si="239"/>
        <v>120662</v>
      </c>
      <c r="M630" s="147"/>
      <c r="N630" s="147"/>
      <c r="O630" s="147"/>
    </row>
    <row r="631" spans="1:15" s="148" customFormat="1" ht="15.75" outlineLevel="1" x14ac:dyDescent="0.2">
      <c r="A631" s="200"/>
      <c r="B631" s="95"/>
      <c r="C631" s="42" t="s">
        <v>1665</v>
      </c>
      <c r="D631" s="42" t="s">
        <v>1664</v>
      </c>
      <c r="E631" s="100" t="s">
        <v>408</v>
      </c>
      <c r="F631" s="100">
        <v>1</v>
      </c>
      <c r="G631" s="149">
        <f>(4431)*(1.023*1.005-2.3%*15%)*6.99+0*4.09</f>
        <v>31737</v>
      </c>
      <c r="H631" s="145">
        <f t="shared" si="236"/>
        <v>1.123</v>
      </c>
      <c r="I631" s="146">
        <f t="shared" si="237"/>
        <v>35641</v>
      </c>
      <c r="J631" s="145">
        <f>'[2]Расчет прогнозных дефляторов'!$D$75</f>
        <v>1.0429999999999999</v>
      </c>
      <c r="K631" s="146">
        <f t="shared" si="238"/>
        <v>37174</v>
      </c>
      <c r="L631" s="146">
        <f t="shared" si="239"/>
        <v>36714</v>
      </c>
      <c r="M631" s="147"/>
      <c r="N631" s="147"/>
      <c r="O631" s="147"/>
    </row>
    <row r="632" spans="1:15" s="237" customFormat="1" ht="15.75" x14ac:dyDescent="0.2">
      <c r="A632" s="258"/>
      <c r="B632" s="259"/>
      <c r="C632" s="257" t="s">
        <v>51</v>
      </c>
      <c r="D632" s="257" t="s">
        <v>138</v>
      </c>
      <c r="E632" s="260" t="s">
        <v>292</v>
      </c>
      <c r="F632" s="261">
        <v>1</v>
      </c>
      <c r="G632" s="261">
        <f>SUM(G633:G674)</f>
        <v>66058620</v>
      </c>
      <c r="H632" s="262"/>
      <c r="I632" s="261">
        <f>SUM(I633:I674)</f>
        <v>74183830</v>
      </c>
      <c r="J632" s="262"/>
      <c r="K632" s="261">
        <f>SUM(K633:K674)</f>
        <v>77373736</v>
      </c>
      <c r="L632" s="261">
        <f>SUM(L633:L674)</f>
        <v>76416764</v>
      </c>
      <c r="M632" s="256"/>
      <c r="N632" s="256"/>
      <c r="O632" s="256"/>
    </row>
    <row r="633" spans="1:15" s="148" customFormat="1" ht="15.75" hidden="1" outlineLevel="1" x14ac:dyDescent="0.2">
      <c r="A633" s="200"/>
      <c r="B633" s="95"/>
      <c r="C633" s="42"/>
      <c r="D633" s="42" t="s">
        <v>367</v>
      </c>
      <c r="E633" s="100"/>
      <c r="F633" s="100"/>
      <c r="G633" s="149"/>
      <c r="H633" s="145"/>
      <c r="I633" s="146"/>
      <c r="J633" s="145"/>
      <c r="K633" s="146"/>
      <c r="L633" s="146"/>
      <c r="M633" s="147"/>
      <c r="N633" s="147"/>
      <c r="O633" s="147"/>
    </row>
    <row r="634" spans="1:15" s="148" customFormat="1" ht="25.5" hidden="1" outlineLevel="1" x14ac:dyDescent="0.2">
      <c r="A634" s="200"/>
      <c r="B634" s="95"/>
      <c r="C634" s="42" t="s">
        <v>1666</v>
      </c>
      <c r="D634" s="42" t="s">
        <v>510</v>
      </c>
      <c r="E634" s="100" t="s">
        <v>300</v>
      </c>
      <c r="F634" s="100">
        <f>18918</f>
        <v>18918</v>
      </c>
      <c r="G634" s="149">
        <f>(3772419)*(1.023*1.005-2.3%*15%)*6.99+0*4.09+63</f>
        <v>27019668</v>
      </c>
      <c r="H634" s="145">
        <f t="shared" ref="H634:H651" si="240">$H$772</f>
        <v>1.123</v>
      </c>
      <c r="I634" s="146">
        <f t="shared" ref="I634:I651" si="241">G634*H634</f>
        <v>30343087</v>
      </c>
      <c r="J634" s="145">
        <f>'[2]Расчет прогнозных дефляторов'!$D$75</f>
        <v>1.0429999999999999</v>
      </c>
      <c r="K634" s="146">
        <f t="shared" ref="K634:K651" si="242">I634*J634</f>
        <v>31647840</v>
      </c>
      <c r="L634" s="146">
        <f t="shared" ref="L634:L651" si="243">I634+(K634-I634)*(1-30/100)</f>
        <v>31256414</v>
      </c>
      <c r="M634" s="147"/>
      <c r="N634" s="147"/>
      <c r="O634" s="147"/>
    </row>
    <row r="635" spans="1:15" s="148" customFormat="1" ht="25.5" hidden="1" outlineLevel="1" x14ac:dyDescent="0.2">
      <c r="A635" s="200"/>
      <c r="B635" s="95"/>
      <c r="C635" s="42" t="s">
        <v>1668</v>
      </c>
      <c r="D635" s="42" t="s">
        <v>1667</v>
      </c>
      <c r="E635" s="100" t="s">
        <v>300</v>
      </c>
      <c r="F635" s="100">
        <f>18918*0.9</f>
        <v>17026.2</v>
      </c>
      <c r="G635" s="149">
        <f>(325338)*(1.023*1.005-2.3%*15%)*6.99+0*4.09</f>
        <v>2330204</v>
      </c>
      <c r="H635" s="145">
        <f t="shared" si="240"/>
        <v>1.123</v>
      </c>
      <c r="I635" s="146">
        <f t="shared" si="241"/>
        <v>2616819</v>
      </c>
      <c r="J635" s="145">
        <f>'[2]Расчет прогнозных дефляторов'!$D$75</f>
        <v>1.0429999999999999</v>
      </c>
      <c r="K635" s="146">
        <f t="shared" si="242"/>
        <v>2729342</v>
      </c>
      <c r="L635" s="146">
        <f t="shared" si="243"/>
        <v>2695585</v>
      </c>
      <c r="M635" s="172" t="s">
        <v>1669</v>
      </c>
      <c r="N635" s="147"/>
      <c r="O635" s="147"/>
    </row>
    <row r="636" spans="1:15" s="148" customFormat="1" ht="15.75" hidden="1" outlineLevel="1" x14ac:dyDescent="0.2">
      <c r="A636" s="200"/>
      <c r="B636" s="95"/>
      <c r="C636" s="42" t="s">
        <v>1670</v>
      </c>
      <c r="D636" s="42" t="s">
        <v>1671</v>
      </c>
      <c r="E636" s="100" t="s">
        <v>300</v>
      </c>
      <c r="F636" s="100">
        <f>18918*0.1</f>
        <v>1891.8</v>
      </c>
      <c r="G636" s="149">
        <f>(193887)*(1.023*1.005-2.3%*15%)*6.99+0*4.09</f>
        <v>1388698</v>
      </c>
      <c r="H636" s="145">
        <f t="shared" si="240"/>
        <v>1.123</v>
      </c>
      <c r="I636" s="146">
        <f t="shared" si="241"/>
        <v>1559508</v>
      </c>
      <c r="J636" s="145">
        <f>'[2]Расчет прогнозных дефляторов'!$D$75</f>
        <v>1.0429999999999999</v>
      </c>
      <c r="K636" s="146">
        <f t="shared" si="242"/>
        <v>1626567</v>
      </c>
      <c r="L636" s="146">
        <f t="shared" si="243"/>
        <v>1606449</v>
      </c>
      <c r="M636" s="147"/>
      <c r="N636" s="147"/>
      <c r="O636" s="147"/>
    </row>
    <row r="637" spans="1:15" s="148" customFormat="1" ht="15.75" hidden="1" outlineLevel="1" x14ac:dyDescent="0.2">
      <c r="A637" s="200"/>
      <c r="B637" s="95"/>
      <c r="C637" s="42" t="s">
        <v>1672</v>
      </c>
      <c r="D637" s="42" t="s">
        <v>1525</v>
      </c>
      <c r="E637" s="100" t="s">
        <v>300</v>
      </c>
      <c r="F637" s="100">
        <f>461.5</f>
        <v>461.5</v>
      </c>
      <c r="G637" s="149">
        <f>(92561)*(1.023*1.005-2.3%*15%)*6.99+0*4.09</f>
        <v>662960</v>
      </c>
      <c r="H637" s="145">
        <f t="shared" si="240"/>
        <v>1.123</v>
      </c>
      <c r="I637" s="146">
        <f t="shared" si="241"/>
        <v>744504</v>
      </c>
      <c r="J637" s="145">
        <f>'[2]Расчет прогнозных дефляторов'!$D$75</f>
        <v>1.0429999999999999</v>
      </c>
      <c r="K637" s="146">
        <f t="shared" si="242"/>
        <v>776518</v>
      </c>
      <c r="L637" s="146">
        <f t="shared" si="243"/>
        <v>766914</v>
      </c>
      <c r="M637" s="147"/>
      <c r="N637" s="147"/>
      <c r="O637" s="147"/>
    </row>
    <row r="638" spans="1:15" s="148" customFormat="1" ht="15.75" hidden="1" outlineLevel="1" x14ac:dyDescent="0.2">
      <c r="A638" s="200"/>
      <c r="B638" s="95"/>
      <c r="C638" s="42" t="s">
        <v>1673</v>
      </c>
      <c r="D638" s="42" t="s">
        <v>1527</v>
      </c>
      <c r="E638" s="100" t="s">
        <v>300</v>
      </c>
      <c r="F638" s="100">
        <f>2742</f>
        <v>2742</v>
      </c>
      <c r="G638" s="149">
        <f>(183247)*(1.023*1.005-2.3%*15%)*6.99+0*4.09</f>
        <v>1312490</v>
      </c>
      <c r="H638" s="145">
        <f t="shared" si="240"/>
        <v>1.123</v>
      </c>
      <c r="I638" s="146">
        <f t="shared" si="241"/>
        <v>1473926</v>
      </c>
      <c r="J638" s="145">
        <f>'[2]Расчет прогнозных дефляторов'!$D$75</f>
        <v>1.0429999999999999</v>
      </c>
      <c r="K638" s="146">
        <f t="shared" si="242"/>
        <v>1537305</v>
      </c>
      <c r="L638" s="146">
        <f t="shared" si="243"/>
        <v>1518291</v>
      </c>
      <c r="M638" s="147"/>
      <c r="N638" s="147"/>
      <c r="O638" s="147"/>
    </row>
    <row r="639" spans="1:15" s="148" customFormat="1" ht="25.5" hidden="1" outlineLevel="1" x14ac:dyDescent="0.2">
      <c r="A639" s="200"/>
      <c r="B639" s="95"/>
      <c r="C639" s="42" t="s">
        <v>1675</v>
      </c>
      <c r="D639" s="42" t="s">
        <v>1674</v>
      </c>
      <c r="E639" s="100" t="s">
        <v>300</v>
      </c>
      <c r="F639" s="100">
        <f>15571.1</f>
        <v>15571.1</v>
      </c>
      <c r="G639" s="149">
        <f>(234026)*(1.023*1.005-2.3%*15%)*6.99+0*4.09</f>
        <v>1676190</v>
      </c>
      <c r="H639" s="145">
        <f t="shared" si="240"/>
        <v>1.123</v>
      </c>
      <c r="I639" s="146">
        <f t="shared" si="241"/>
        <v>1882361</v>
      </c>
      <c r="J639" s="145">
        <f>'[2]Расчет прогнозных дефляторов'!$D$75</f>
        <v>1.0429999999999999</v>
      </c>
      <c r="K639" s="146">
        <f t="shared" si="242"/>
        <v>1963303</v>
      </c>
      <c r="L639" s="146">
        <f t="shared" si="243"/>
        <v>1939020</v>
      </c>
      <c r="M639" s="147"/>
      <c r="N639" s="147"/>
      <c r="O639" s="147"/>
    </row>
    <row r="640" spans="1:15" s="148" customFormat="1" ht="15.75" hidden="1" outlineLevel="1" x14ac:dyDescent="0.2">
      <c r="A640" s="200"/>
      <c r="B640" s="95"/>
      <c r="C640" s="42" t="s">
        <v>1677</v>
      </c>
      <c r="D640" s="42" t="s">
        <v>1676</v>
      </c>
      <c r="E640" s="100" t="s">
        <v>404</v>
      </c>
      <c r="F640" s="100">
        <v>28</v>
      </c>
      <c r="G640" s="149">
        <f>(1406)*(1.023*1.005-2.3%*15%)*6.99+0*4.09</f>
        <v>10070</v>
      </c>
      <c r="H640" s="145">
        <f t="shared" si="240"/>
        <v>1.123</v>
      </c>
      <c r="I640" s="146">
        <f t="shared" si="241"/>
        <v>11309</v>
      </c>
      <c r="J640" s="145">
        <f>'[2]Расчет прогнозных дефляторов'!$D$75</f>
        <v>1.0429999999999999</v>
      </c>
      <c r="K640" s="146">
        <f t="shared" si="242"/>
        <v>11795</v>
      </c>
      <c r="L640" s="146">
        <f t="shared" si="243"/>
        <v>11649</v>
      </c>
      <c r="M640" s="147"/>
      <c r="N640" s="147"/>
      <c r="O640" s="147"/>
    </row>
    <row r="641" spans="1:15" s="148" customFormat="1" ht="15.75" hidden="1" outlineLevel="1" x14ac:dyDescent="0.2">
      <c r="A641" s="200"/>
      <c r="B641" s="95"/>
      <c r="C641" s="42" t="s">
        <v>1679</v>
      </c>
      <c r="D641" s="42" t="s">
        <v>1678</v>
      </c>
      <c r="E641" s="100" t="s">
        <v>404</v>
      </c>
      <c r="F641" s="100">
        <v>5370</v>
      </c>
      <c r="G641" s="149">
        <f>(153476)*(1.023*1.005-2.3%*15%)*6.99+0*4.09</f>
        <v>1099258</v>
      </c>
      <c r="H641" s="145">
        <f t="shared" si="240"/>
        <v>1.123</v>
      </c>
      <c r="I641" s="146">
        <f t="shared" si="241"/>
        <v>1234467</v>
      </c>
      <c r="J641" s="145">
        <f>'[2]Расчет прогнозных дефляторов'!$D$75</f>
        <v>1.0429999999999999</v>
      </c>
      <c r="K641" s="146">
        <f t="shared" si="242"/>
        <v>1287549</v>
      </c>
      <c r="L641" s="146">
        <f t="shared" si="243"/>
        <v>1271624</v>
      </c>
      <c r="M641" s="147"/>
      <c r="N641" s="147"/>
      <c r="O641" s="147"/>
    </row>
    <row r="642" spans="1:15" s="148" customFormat="1" ht="25.5" hidden="1" outlineLevel="1" x14ac:dyDescent="0.2">
      <c r="A642" s="200"/>
      <c r="B642" s="95"/>
      <c r="C642" s="42" t="s">
        <v>1680</v>
      </c>
      <c r="D642" s="42" t="s">
        <v>1681</v>
      </c>
      <c r="E642" s="100" t="s">
        <v>300</v>
      </c>
      <c r="F642" s="100">
        <v>1.8</v>
      </c>
      <c r="G642" s="149">
        <f>(713)*(1.023*1.005-2.3%*15%)*6.99+0*4.09</f>
        <v>5107</v>
      </c>
      <c r="H642" s="145">
        <f t="shared" si="240"/>
        <v>1.123</v>
      </c>
      <c r="I642" s="146">
        <f t="shared" si="241"/>
        <v>5735</v>
      </c>
      <c r="J642" s="145">
        <f>'[2]Расчет прогнозных дефляторов'!$D$75</f>
        <v>1.0429999999999999</v>
      </c>
      <c r="K642" s="146">
        <f t="shared" si="242"/>
        <v>5982</v>
      </c>
      <c r="L642" s="146">
        <f t="shared" si="243"/>
        <v>5908</v>
      </c>
      <c r="M642" s="147"/>
      <c r="N642" s="147"/>
      <c r="O642" s="147"/>
    </row>
    <row r="643" spans="1:15" s="148" customFormat="1" ht="25.5" hidden="1" outlineLevel="1" x14ac:dyDescent="0.2">
      <c r="A643" s="200"/>
      <c r="B643" s="95"/>
      <c r="C643" s="42" t="s">
        <v>1683</v>
      </c>
      <c r="D643" s="42" t="s">
        <v>1682</v>
      </c>
      <c r="E643" s="100" t="s">
        <v>377</v>
      </c>
      <c r="F643" s="100">
        <v>1850</v>
      </c>
      <c r="G643" s="149">
        <f>(977924)*(1.023*1.005-2.3%*15%)*6.99+0*4.09</f>
        <v>7004291</v>
      </c>
      <c r="H643" s="145">
        <f t="shared" si="240"/>
        <v>1.123</v>
      </c>
      <c r="I643" s="146">
        <f t="shared" si="241"/>
        <v>7865819</v>
      </c>
      <c r="J643" s="145">
        <f>'[2]Расчет прогнозных дефляторов'!$D$75</f>
        <v>1.0429999999999999</v>
      </c>
      <c r="K643" s="146">
        <f t="shared" si="242"/>
        <v>8204049</v>
      </c>
      <c r="L643" s="146">
        <f t="shared" si="243"/>
        <v>8102580</v>
      </c>
      <c r="M643" s="147"/>
      <c r="N643" s="147"/>
      <c r="O643" s="147"/>
    </row>
    <row r="644" spans="1:15" s="148" customFormat="1" ht="25.5" hidden="1" outlineLevel="1" x14ac:dyDescent="0.2">
      <c r="A644" s="200"/>
      <c r="B644" s="95"/>
      <c r="C644" s="42" t="s">
        <v>1684</v>
      </c>
      <c r="D644" s="42" t="s">
        <v>1691</v>
      </c>
      <c r="E644" s="100" t="s">
        <v>377</v>
      </c>
      <c r="F644" s="100">
        <f>1416</f>
        <v>1416</v>
      </c>
      <c r="G644" s="149">
        <f>(748510)*(1.023*1.005-2.3%*15%)*6.99+0*4.09</f>
        <v>5361134</v>
      </c>
      <c r="H644" s="145">
        <f t="shared" si="240"/>
        <v>1.123</v>
      </c>
      <c r="I644" s="146">
        <f t="shared" si="241"/>
        <v>6020553</v>
      </c>
      <c r="J644" s="145">
        <f>'[2]Расчет прогнозных дефляторов'!$D$75</f>
        <v>1.0429999999999999</v>
      </c>
      <c r="K644" s="146">
        <f t="shared" si="242"/>
        <v>6279437</v>
      </c>
      <c r="L644" s="146">
        <f t="shared" si="243"/>
        <v>6201772</v>
      </c>
      <c r="M644" s="147"/>
      <c r="N644" s="147"/>
      <c r="O644" s="147"/>
    </row>
    <row r="645" spans="1:15" s="148" customFormat="1" ht="25.5" hidden="1" outlineLevel="1" x14ac:dyDescent="0.2">
      <c r="A645" s="200"/>
      <c r="B645" s="95"/>
      <c r="C645" s="42" t="s">
        <v>1685</v>
      </c>
      <c r="D645" s="42" t="s">
        <v>1692</v>
      </c>
      <c r="E645" s="100" t="s">
        <v>377</v>
      </c>
      <c r="F645" s="100">
        <v>1460</v>
      </c>
      <c r="G645" s="149">
        <f>(771766)*(1.023*1.005-2.3%*15%)*6.99+0*4.09</f>
        <v>5527703</v>
      </c>
      <c r="H645" s="145">
        <f t="shared" si="240"/>
        <v>1.123</v>
      </c>
      <c r="I645" s="146">
        <f t="shared" si="241"/>
        <v>6207610</v>
      </c>
      <c r="J645" s="145">
        <f>'[2]Расчет прогнозных дефляторов'!$D$75</f>
        <v>1.0429999999999999</v>
      </c>
      <c r="K645" s="146">
        <f t="shared" si="242"/>
        <v>6474537</v>
      </c>
      <c r="L645" s="146">
        <f t="shared" si="243"/>
        <v>6394459</v>
      </c>
      <c r="M645" s="147"/>
      <c r="N645" s="147"/>
      <c r="O645" s="147"/>
    </row>
    <row r="646" spans="1:15" s="148" customFormat="1" ht="25.5" hidden="1" outlineLevel="1" x14ac:dyDescent="0.2">
      <c r="A646" s="200"/>
      <c r="B646" s="95"/>
      <c r="C646" s="42" t="s">
        <v>1686</v>
      </c>
      <c r="D646" s="42" t="s">
        <v>1693</v>
      </c>
      <c r="E646" s="100" t="s">
        <v>377</v>
      </c>
      <c r="F646" s="100">
        <v>210</v>
      </c>
      <c r="G646" s="149">
        <f>(111006)*(1.023*1.005-2.3%*15%)*6.99+0*4.09</f>
        <v>795070</v>
      </c>
      <c r="H646" s="145">
        <f t="shared" si="240"/>
        <v>1.123</v>
      </c>
      <c r="I646" s="146">
        <f t="shared" si="241"/>
        <v>892864</v>
      </c>
      <c r="J646" s="145">
        <f>'[2]Расчет прогнозных дефляторов'!$D$75</f>
        <v>1.0429999999999999</v>
      </c>
      <c r="K646" s="146">
        <f t="shared" si="242"/>
        <v>931257</v>
      </c>
      <c r="L646" s="146">
        <f t="shared" si="243"/>
        <v>919739</v>
      </c>
      <c r="M646" s="147"/>
      <c r="N646" s="147"/>
      <c r="O646" s="147"/>
    </row>
    <row r="647" spans="1:15" s="148" customFormat="1" ht="15.75" hidden="1" outlineLevel="1" x14ac:dyDescent="0.2">
      <c r="A647" s="200"/>
      <c r="B647" s="95"/>
      <c r="C647" s="42" t="s">
        <v>1687</v>
      </c>
      <c r="D647" s="42" t="s">
        <v>1694</v>
      </c>
      <c r="E647" s="100" t="s">
        <v>377</v>
      </c>
      <c r="F647" s="100">
        <v>360</v>
      </c>
      <c r="G647" s="149">
        <f>(54674)*(1.023*1.005-2.3%*15%)*6.99+0*4.09</f>
        <v>391598</v>
      </c>
      <c r="H647" s="145">
        <f t="shared" si="240"/>
        <v>1.123</v>
      </c>
      <c r="I647" s="146">
        <f t="shared" si="241"/>
        <v>439765</v>
      </c>
      <c r="J647" s="145">
        <f>'[2]Расчет прогнозных дефляторов'!$D$75</f>
        <v>1.0429999999999999</v>
      </c>
      <c r="K647" s="146">
        <f t="shared" si="242"/>
        <v>458675</v>
      </c>
      <c r="L647" s="146">
        <f t="shared" si="243"/>
        <v>453002</v>
      </c>
      <c r="M647" s="147"/>
      <c r="N647" s="147"/>
      <c r="O647" s="147"/>
    </row>
    <row r="648" spans="1:15" s="148" customFormat="1" ht="15.75" hidden="1" outlineLevel="1" x14ac:dyDescent="0.2">
      <c r="A648" s="200"/>
      <c r="B648" s="95"/>
      <c r="C648" s="42" t="s">
        <v>1688</v>
      </c>
      <c r="D648" s="42" t="s">
        <v>1695</v>
      </c>
      <c r="E648" s="100" t="s">
        <v>377</v>
      </c>
      <c r="F648" s="100">
        <v>12</v>
      </c>
      <c r="G648" s="149">
        <f>(1491)*(1.023*1.005-2.3%*15%)*6.99+0*4.09</f>
        <v>10679</v>
      </c>
      <c r="H648" s="145">
        <f t="shared" si="240"/>
        <v>1.123</v>
      </c>
      <c r="I648" s="146">
        <f t="shared" si="241"/>
        <v>11993</v>
      </c>
      <c r="J648" s="145">
        <f>'[2]Расчет прогнозных дефляторов'!$D$75</f>
        <v>1.0429999999999999</v>
      </c>
      <c r="K648" s="146">
        <f t="shared" si="242"/>
        <v>12509</v>
      </c>
      <c r="L648" s="146">
        <f t="shared" si="243"/>
        <v>12354</v>
      </c>
      <c r="M648" s="147"/>
      <c r="N648" s="147"/>
      <c r="O648" s="147"/>
    </row>
    <row r="649" spans="1:15" s="148" customFormat="1" ht="25.5" hidden="1" outlineLevel="1" x14ac:dyDescent="0.2">
      <c r="A649" s="200"/>
      <c r="B649" s="95"/>
      <c r="C649" s="42" t="s">
        <v>1689</v>
      </c>
      <c r="D649" s="42" t="s">
        <v>1696</v>
      </c>
      <c r="E649" s="100" t="s">
        <v>377</v>
      </c>
      <c r="F649" s="100">
        <v>12</v>
      </c>
      <c r="G649" s="149">
        <f>(2284)*(1.023*1.005-2.3%*15%)*6.99+0*4.09</f>
        <v>16359</v>
      </c>
      <c r="H649" s="145">
        <f t="shared" si="240"/>
        <v>1.123</v>
      </c>
      <c r="I649" s="146">
        <f t="shared" si="241"/>
        <v>18371</v>
      </c>
      <c r="J649" s="145">
        <f>'[2]Расчет прогнозных дефляторов'!$D$75</f>
        <v>1.0429999999999999</v>
      </c>
      <c r="K649" s="146">
        <f t="shared" si="242"/>
        <v>19161</v>
      </c>
      <c r="L649" s="146">
        <f t="shared" si="243"/>
        <v>18924</v>
      </c>
      <c r="M649" s="147"/>
      <c r="N649" s="147"/>
      <c r="O649" s="147"/>
    </row>
    <row r="650" spans="1:15" s="148" customFormat="1" ht="15.75" hidden="1" outlineLevel="1" x14ac:dyDescent="0.2">
      <c r="A650" s="200"/>
      <c r="B650" s="95"/>
      <c r="C650" s="42" t="s">
        <v>1690</v>
      </c>
      <c r="D650" s="42" t="s">
        <v>1697</v>
      </c>
      <c r="E650" s="100" t="s">
        <v>377</v>
      </c>
      <c r="F650" s="100">
        <v>24</v>
      </c>
      <c r="G650" s="149">
        <f>(9003)*(1.023*1.005-2.3%*15%)*6.99+0*4.09</f>
        <v>64483</v>
      </c>
      <c r="H650" s="145">
        <f t="shared" si="240"/>
        <v>1.123</v>
      </c>
      <c r="I650" s="146">
        <f t="shared" si="241"/>
        <v>72414</v>
      </c>
      <c r="J650" s="145">
        <f>'[2]Расчет прогнозных дефляторов'!$D$75</f>
        <v>1.0429999999999999</v>
      </c>
      <c r="K650" s="146">
        <f t="shared" si="242"/>
        <v>75528</v>
      </c>
      <c r="L650" s="146">
        <f t="shared" si="243"/>
        <v>74594</v>
      </c>
      <c r="M650" s="147"/>
      <c r="N650" s="147"/>
      <c r="O650" s="147"/>
    </row>
    <row r="651" spans="1:15" s="148" customFormat="1" ht="15.75" hidden="1" outlineLevel="1" x14ac:dyDescent="0.2">
      <c r="A651" s="200"/>
      <c r="B651" s="95"/>
      <c r="C651" s="42" t="s">
        <v>1699</v>
      </c>
      <c r="D651" s="42" t="s">
        <v>1698</v>
      </c>
      <c r="E651" s="100" t="s">
        <v>408</v>
      </c>
      <c r="F651" s="100">
        <v>2</v>
      </c>
      <c r="G651" s="149">
        <f>(5098)*(1.023*1.005-2.3%*15%)*6.99+0*4.09</f>
        <v>36514</v>
      </c>
      <c r="H651" s="145">
        <f t="shared" si="240"/>
        <v>1.123</v>
      </c>
      <c r="I651" s="146">
        <f t="shared" si="241"/>
        <v>41005</v>
      </c>
      <c r="J651" s="145">
        <f>'[2]Расчет прогнозных дефляторов'!$D$75</f>
        <v>1.0429999999999999</v>
      </c>
      <c r="K651" s="146">
        <f t="shared" si="242"/>
        <v>42768</v>
      </c>
      <c r="L651" s="146">
        <f t="shared" si="243"/>
        <v>42239</v>
      </c>
      <c r="M651" s="147"/>
      <c r="N651" s="147"/>
      <c r="O651" s="147"/>
    </row>
    <row r="652" spans="1:15" s="148" customFormat="1" ht="15.75" hidden="1" outlineLevel="1" x14ac:dyDescent="0.2">
      <c r="A652" s="200"/>
      <c r="B652" s="95"/>
      <c r="C652" s="42"/>
      <c r="D652" s="42" t="s">
        <v>1587</v>
      </c>
      <c r="E652" s="100"/>
      <c r="F652" s="100"/>
      <c r="G652" s="149"/>
      <c r="H652" s="145"/>
      <c r="I652" s="146"/>
      <c r="J652" s="145"/>
      <c r="K652" s="146"/>
      <c r="L652" s="146"/>
      <c r="M652" s="147"/>
      <c r="N652" s="147"/>
      <c r="O652" s="147"/>
    </row>
    <row r="653" spans="1:15" s="148" customFormat="1" ht="15.75" hidden="1" outlineLevel="1" x14ac:dyDescent="0.2">
      <c r="A653" s="200"/>
      <c r="B653" s="95"/>
      <c r="C653" s="42"/>
      <c r="D653" s="42" t="s">
        <v>1700</v>
      </c>
      <c r="E653" s="100"/>
      <c r="F653" s="100"/>
      <c r="G653" s="149"/>
      <c r="H653" s="145"/>
      <c r="I653" s="146"/>
      <c r="J653" s="145"/>
      <c r="K653" s="146"/>
      <c r="L653" s="146"/>
      <c r="M653" s="147"/>
      <c r="N653" s="147"/>
      <c r="O653" s="147"/>
    </row>
    <row r="654" spans="1:15" s="148" customFormat="1" ht="89.25" hidden="1" outlineLevel="1" x14ac:dyDescent="0.2">
      <c r="A654" s="200"/>
      <c r="B654" s="95"/>
      <c r="C654" s="42" t="s">
        <v>1702</v>
      </c>
      <c r="D654" s="42" t="s">
        <v>1701</v>
      </c>
      <c r="E654" s="100" t="s">
        <v>408</v>
      </c>
      <c r="F654" s="100">
        <v>1</v>
      </c>
      <c r="G654" s="149">
        <f>(26141)*(1.023*1.005-2.3%*15%)*6.99+0*4.09</f>
        <v>187233</v>
      </c>
      <c r="H654" s="145">
        <f t="shared" ref="H654:H663" si="244">$H$772</f>
        <v>1.123</v>
      </c>
      <c r="I654" s="146">
        <f t="shared" ref="I654:I663" si="245">G654*H654</f>
        <v>210263</v>
      </c>
      <c r="J654" s="145">
        <f>'[2]Расчет прогнозных дефляторов'!$D$75</f>
        <v>1.0429999999999999</v>
      </c>
      <c r="K654" s="146">
        <f t="shared" ref="K654:K663" si="246">I654*J654</f>
        <v>219304</v>
      </c>
      <c r="L654" s="146">
        <f t="shared" ref="L654:L663" si="247">I654+(K654-I654)*(1-30/100)</f>
        <v>216592</v>
      </c>
      <c r="M654" s="147"/>
      <c r="N654" s="147"/>
      <c r="O654" s="147"/>
    </row>
    <row r="655" spans="1:15" s="148" customFormat="1" ht="114.75" hidden="1" outlineLevel="1" x14ac:dyDescent="0.2">
      <c r="A655" s="200"/>
      <c r="B655" s="95"/>
      <c r="C655" s="42" t="s">
        <v>1704</v>
      </c>
      <c r="D655" s="42" t="s">
        <v>1703</v>
      </c>
      <c r="E655" s="100" t="s">
        <v>408</v>
      </c>
      <c r="F655" s="100">
        <v>1</v>
      </c>
      <c r="G655" s="149">
        <f>(26141)*(1.023*1.005-2.3%*15%)*6.99+0*4.09</f>
        <v>187233</v>
      </c>
      <c r="H655" s="145">
        <f t="shared" si="244"/>
        <v>1.123</v>
      </c>
      <c r="I655" s="146">
        <f t="shared" si="245"/>
        <v>210263</v>
      </c>
      <c r="J655" s="145">
        <f>'[2]Расчет прогнозных дефляторов'!$D$75</f>
        <v>1.0429999999999999</v>
      </c>
      <c r="K655" s="146">
        <f t="shared" si="246"/>
        <v>219304</v>
      </c>
      <c r="L655" s="146">
        <f t="shared" si="247"/>
        <v>216592</v>
      </c>
      <c r="M655" s="147"/>
      <c r="N655" s="147"/>
      <c r="O655" s="147"/>
    </row>
    <row r="656" spans="1:15" s="148" customFormat="1" ht="63.75" hidden="1" outlineLevel="1" x14ac:dyDescent="0.2">
      <c r="A656" s="200"/>
      <c r="B656" s="95"/>
      <c r="C656" s="42" t="s">
        <v>1706</v>
      </c>
      <c r="D656" s="42" t="s">
        <v>1705</v>
      </c>
      <c r="E656" s="100" t="s">
        <v>408</v>
      </c>
      <c r="F656" s="100">
        <v>1</v>
      </c>
      <c r="G656" s="149">
        <f>(61359)*(1.023*1.005-2.3%*15%)*6.99+0*4.09</f>
        <v>439478</v>
      </c>
      <c r="H656" s="145">
        <f t="shared" si="244"/>
        <v>1.123</v>
      </c>
      <c r="I656" s="146">
        <f t="shared" si="245"/>
        <v>493534</v>
      </c>
      <c r="J656" s="145">
        <f>'[2]Расчет прогнозных дефляторов'!$D$75</f>
        <v>1.0429999999999999</v>
      </c>
      <c r="K656" s="146">
        <f t="shared" si="246"/>
        <v>514756</v>
      </c>
      <c r="L656" s="146">
        <f t="shared" si="247"/>
        <v>508389</v>
      </c>
      <c r="M656" s="147"/>
      <c r="N656" s="147"/>
      <c r="O656" s="147"/>
    </row>
    <row r="657" spans="1:15" s="148" customFormat="1" ht="63.75" hidden="1" outlineLevel="1" x14ac:dyDescent="0.2">
      <c r="A657" s="200"/>
      <c r="B657" s="95"/>
      <c r="C657" s="42" t="s">
        <v>1707</v>
      </c>
      <c r="D657" s="42" t="s">
        <v>1710</v>
      </c>
      <c r="E657" s="100" t="s">
        <v>408</v>
      </c>
      <c r="F657" s="100">
        <v>2</v>
      </c>
      <c r="G657" s="149">
        <f>(122557)*(1.023*1.005-2.3%*15%)*6.99+0*4.09</f>
        <v>877803</v>
      </c>
      <c r="H657" s="145">
        <f t="shared" si="244"/>
        <v>1.123</v>
      </c>
      <c r="I657" s="146">
        <f t="shared" si="245"/>
        <v>985773</v>
      </c>
      <c r="J657" s="145">
        <f>'[2]Расчет прогнозных дефляторов'!$D$75</f>
        <v>1.0429999999999999</v>
      </c>
      <c r="K657" s="146">
        <f t="shared" si="246"/>
        <v>1028161</v>
      </c>
      <c r="L657" s="146">
        <f t="shared" si="247"/>
        <v>1015445</v>
      </c>
      <c r="M657" s="147"/>
      <c r="N657" s="147"/>
      <c r="O657" s="147"/>
    </row>
    <row r="658" spans="1:15" s="148" customFormat="1" ht="63.75" hidden="1" outlineLevel="1" x14ac:dyDescent="0.2">
      <c r="A658" s="200"/>
      <c r="B658" s="95"/>
      <c r="C658" s="42" t="s">
        <v>1708</v>
      </c>
      <c r="D658" s="42" t="s">
        <v>1711</v>
      </c>
      <c r="E658" s="100" t="s">
        <v>408</v>
      </c>
      <c r="F658" s="100">
        <v>14</v>
      </c>
      <c r="G658" s="149">
        <f>(460138)*(1.023*1.005-2.3%*15%)*6.99+0*4.09</f>
        <v>3295696</v>
      </c>
      <c r="H658" s="145">
        <f t="shared" si="244"/>
        <v>1.123</v>
      </c>
      <c r="I658" s="146">
        <f t="shared" si="245"/>
        <v>3701067</v>
      </c>
      <c r="J658" s="145">
        <f>'[2]Расчет прогнозных дефляторов'!$D$75</f>
        <v>1.0429999999999999</v>
      </c>
      <c r="K658" s="146">
        <f t="shared" si="246"/>
        <v>3860213</v>
      </c>
      <c r="L658" s="146">
        <f t="shared" si="247"/>
        <v>3812469</v>
      </c>
      <c r="M658" s="147"/>
      <c r="N658" s="147"/>
      <c r="O658" s="147"/>
    </row>
    <row r="659" spans="1:15" s="148" customFormat="1" ht="25.5" hidden="1" outlineLevel="1" x14ac:dyDescent="0.2">
      <c r="A659" s="200"/>
      <c r="B659" s="95"/>
      <c r="C659" s="42" t="s">
        <v>1709</v>
      </c>
      <c r="D659" s="42" t="s">
        <v>1712</v>
      </c>
      <c r="E659" s="100" t="s">
        <v>408</v>
      </c>
      <c r="F659" s="100">
        <v>19</v>
      </c>
      <c r="G659" s="149">
        <f>(8400)*(1.023*1.005-2.3%*15%)*6.99+0*4.09</f>
        <v>60164</v>
      </c>
      <c r="H659" s="145">
        <f t="shared" si="244"/>
        <v>1.123</v>
      </c>
      <c r="I659" s="146">
        <f t="shared" si="245"/>
        <v>67564</v>
      </c>
      <c r="J659" s="145">
        <f>'[2]Расчет прогнозных дефляторов'!$D$75</f>
        <v>1.0429999999999999</v>
      </c>
      <c r="K659" s="146">
        <f t="shared" si="246"/>
        <v>70469</v>
      </c>
      <c r="L659" s="146">
        <f t="shared" si="247"/>
        <v>69598</v>
      </c>
      <c r="M659" s="147"/>
      <c r="N659" s="147"/>
      <c r="O659" s="147"/>
    </row>
    <row r="660" spans="1:15" s="148" customFormat="1" ht="15.75" hidden="1" outlineLevel="1" x14ac:dyDescent="0.2">
      <c r="A660" s="200"/>
      <c r="B660" s="95"/>
      <c r="C660" s="42" t="s">
        <v>1714</v>
      </c>
      <c r="D660" s="42" t="s">
        <v>1713</v>
      </c>
      <c r="E660" s="100" t="s">
        <v>300</v>
      </c>
      <c r="F660" s="100">
        <v>4.5999999999999996</v>
      </c>
      <c r="G660" s="149">
        <f>(11509)*(1.023*1.005-2.3%*15%)*6.99+0*4.09</f>
        <v>82432</v>
      </c>
      <c r="H660" s="145">
        <f t="shared" si="244"/>
        <v>1.123</v>
      </c>
      <c r="I660" s="146">
        <f t="shared" si="245"/>
        <v>92571</v>
      </c>
      <c r="J660" s="145">
        <f>'[2]Расчет прогнозных дефляторов'!$D$75</f>
        <v>1.0429999999999999</v>
      </c>
      <c r="K660" s="146">
        <f t="shared" si="246"/>
        <v>96552</v>
      </c>
      <c r="L660" s="146">
        <f t="shared" si="247"/>
        <v>95358</v>
      </c>
      <c r="M660" s="147"/>
      <c r="N660" s="147"/>
      <c r="O660" s="147"/>
    </row>
    <row r="661" spans="1:15" s="148" customFormat="1" ht="25.5" hidden="1" outlineLevel="1" x14ac:dyDescent="0.2">
      <c r="A661" s="200"/>
      <c r="B661" s="95"/>
      <c r="C661" s="42" t="s">
        <v>1716</v>
      </c>
      <c r="D661" s="42" t="s">
        <v>1712</v>
      </c>
      <c r="E661" s="100" t="s">
        <v>408</v>
      </c>
      <c r="F661" s="100">
        <v>23</v>
      </c>
      <c r="G661" s="149">
        <f>(10169)*(1.023*1.005-2.3%*15%)*6.99+0*4.09</f>
        <v>72835</v>
      </c>
      <c r="H661" s="145">
        <f t="shared" si="244"/>
        <v>1.123</v>
      </c>
      <c r="I661" s="146">
        <f t="shared" si="245"/>
        <v>81794</v>
      </c>
      <c r="J661" s="145">
        <f>'[2]Расчет прогнозных дефляторов'!$D$75</f>
        <v>1.0429999999999999</v>
      </c>
      <c r="K661" s="146">
        <f t="shared" si="246"/>
        <v>85311</v>
      </c>
      <c r="L661" s="146">
        <f t="shared" si="247"/>
        <v>84256</v>
      </c>
      <c r="M661" s="147"/>
      <c r="N661" s="147"/>
      <c r="O661" s="147"/>
    </row>
    <row r="662" spans="1:15" s="148" customFormat="1" ht="25.5" hidden="1" outlineLevel="1" x14ac:dyDescent="0.2">
      <c r="A662" s="200"/>
      <c r="B662" s="95"/>
      <c r="C662" s="42" t="s">
        <v>1717</v>
      </c>
      <c r="D662" s="42" t="s">
        <v>1715</v>
      </c>
      <c r="E662" s="100" t="s">
        <v>408</v>
      </c>
      <c r="F662" s="100">
        <v>2</v>
      </c>
      <c r="G662" s="149">
        <f>(1184)*(1.023*1.005-2.3%*15%)*6.99+0*4.09</f>
        <v>8480</v>
      </c>
      <c r="H662" s="145">
        <f t="shared" si="244"/>
        <v>1.123</v>
      </c>
      <c r="I662" s="146">
        <f t="shared" si="245"/>
        <v>9523</v>
      </c>
      <c r="J662" s="145">
        <f>'[2]Расчет прогнозных дефляторов'!$D$75</f>
        <v>1.0429999999999999</v>
      </c>
      <c r="K662" s="146">
        <f t="shared" si="246"/>
        <v>9932</v>
      </c>
      <c r="L662" s="146">
        <f t="shared" si="247"/>
        <v>9809</v>
      </c>
      <c r="M662" s="147"/>
      <c r="N662" s="147"/>
      <c r="O662" s="147"/>
    </row>
    <row r="663" spans="1:15" s="148" customFormat="1" ht="15.75" hidden="1" outlineLevel="1" x14ac:dyDescent="0.2">
      <c r="A663" s="200"/>
      <c r="B663" s="95"/>
      <c r="C663" s="42" t="s">
        <v>1719</v>
      </c>
      <c r="D663" s="42" t="s">
        <v>1718</v>
      </c>
      <c r="E663" s="100" t="s">
        <v>300</v>
      </c>
      <c r="F663" s="100">
        <v>20</v>
      </c>
      <c r="G663" s="149">
        <f>(16104)*(1.023*1.005-2.3%*15%)*6.99+0*4.09</f>
        <v>115343</v>
      </c>
      <c r="H663" s="145">
        <f t="shared" si="244"/>
        <v>1.123</v>
      </c>
      <c r="I663" s="146">
        <f t="shared" si="245"/>
        <v>129530</v>
      </c>
      <c r="J663" s="145">
        <f>'[2]Расчет прогнозных дефляторов'!$D$75</f>
        <v>1.0429999999999999</v>
      </c>
      <c r="K663" s="146">
        <f t="shared" si="246"/>
        <v>135100</v>
      </c>
      <c r="L663" s="146">
        <f t="shared" si="247"/>
        <v>133429</v>
      </c>
      <c r="M663" s="147"/>
      <c r="N663" s="147"/>
      <c r="O663" s="147"/>
    </row>
    <row r="664" spans="1:15" s="148" customFormat="1" ht="15.75" hidden="1" outlineLevel="1" x14ac:dyDescent="0.2">
      <c r="A664" s="200"/>
      <c r="B664" s="95"/>
      <c r="C664" s="42"/>
      <c r="D664" s="42" t="s">
        <v>1612</v>
      </c>
      <c r="E664" s="100"/>
      <c r="F664" s="100"/>
      <c r="G664" s="149"/>
      <c r="H664" s="145"/>
      <c r="I664" s="146"/>
      <c r="J664" s="145"/>
      <c r="K664" s="146"/>
      <c r="L664" s="146"/>
      <c r="M664" s="147"/>
      <c r="N664" s="147"/>
      <c r="O664" s="147"/>
    </row>
    <row r="665" spans="1:15" s="148" customFormat="1" ht="25.5" hidden="1" outlineLevel="1" x14ac:dyDescent="0.2">
      <c r="A665" s="200"/>
      <c r="B665" s="95"/>
      <c r="C665" s="42" t="s">
        <v>1721</v>
      </c>
      <c r="D665" s="42" t="s">
        <v>1720</v>
      </c>
      <c r="E665" s="100" t="s">
        <v>377</v>
      </c>
      <c r="F665" s="100">
        <v>3650</v>
      </c>
      <c r="G665" s="149">
        <f>(484356)*(1.023*1.005-2.3%*15%)*6.99+0*4.09</f>
        <v>3469155</v>
      </c>
      <c r="H665" s="145">
        <f t="shared" ref="H665:H677" si="248">$H$772</f>
        <v>1.123</v>
      </c>
      <c r="I665" s="146">
        <f t="shared" ref="I665:I674" si="249">G665*H665</f>
        <v>3895861</v>
      </c>
      <c r="J665" s="145">
        <f>'[2]Расчет прогнозных дефляторов'!$D$75</f>
        <v>1.0429999999999999</v>
      </c>
      <c r="K665" s="146">
        <f t="shared" ref="K665:K674" si="250">I665*J665</f>
        <v>4063383</v>
      </c>
      <c r="L665" s="146">
        <f t="shared" ref="L665:L674" si="251">I665+(K665-I665)*(1-30/100)</f>
        <v>4013126</v>
      </c>
      <c r="M665" s="147"/>
      <c r="N665" s="147"/>
      <c r="O665" s="147"/>
    </row>
    <row r="666" spans="1:15" s="148" customFormat="1" ht="165.75" hidden="1" outlineLevel="1" x14ac:dyDescent="0.2">
      <c r="A666" s="200"/>
      <c r="B666" s="95"/>
      <c r="C666" s="42" t="s">
        <v>1723</v>
      </c>
      <c r="D666" s="42" t="s">
        <v>1722</v>
      </c>
      <c r="E666" s="100" t="s">
        <v>408</v>
      </c>
      <c r="F666" s="100">
        <v>2</v>
      </c>
      <c r="G666" s="149">
        <f>(26423)*(1.023*1.005-2.3%*15%)*6.99+344336*4.09</f>
        <v>1597587</v>
      </c>
      <c r="H666" s="145">
        <f t="shared" si="248"/>
        <v>1.123</v>
      </c>
      <c r="I666" s="146">
        <f t="shared" si="249"/>
        <v>1794090</v>
      </c>
      <c r="J666" s="145">
        <f>'[2]Расчет прогнозных дефляторов'!$D$75</f>
        <v>1.0429999999999999</v>
      </c>
      <c r="K666" s="146">
        <f t="shared" si="250"/>
        <v>1871236</v>
      </c>
      <c r="L666" s="146">
        <f t="shared" si="251"/>
        <v>1848092</v>
      </c>
      <c r="M666" s="147"/>
      <c r="N666" s="147"/>
      <c r="O666" s="147"/>
    </row>
    <row r="667" spans="1:15" s="148" customFormat="1" ht="102" hidden="1" outlineLevel="1" x14ac:dyDescent="0.2">
      <c r="A667" s="200"/>
      <c r="B667" s="95"/>
      <c r="C667" s="42" t="s">
        <v>1724</v>
      </c>
      <c r="D667" s="42" t="s">
        <v>1725</v>
      </c>
      <c r="E667" s="100" t="s">
        <v>408</v>
      </c>
      <c r="F667" s="100">
        <v>1</v>
      </c>
      <c r="G667" s="149">
        <f>(8120)*(1.023*1.005-2.3%*15%)*6.99+29763*4.09</f>
        <v>179889</v>
      </c>
      <c r="H667" s="145">
        <f t="shared" si="248"/>
        <v>1.123</v>
      </c>
      <c r="I667" s="146">
        <f t="shared" si="249"/>
        <v>202015</v>
      </c>
      <c r="J667" s="145">
        <f>'[2]Расчет прогнозных дефляторов'!$D$75</f>
        <v>1.0429999999999999</v>
      </c>
      <c r="K667" s="146">
        <f t="shared" si="250"/>
        <v>210702</v>
      </c>
      <c r="L667" s="146">
        <f t="shared" si="251"/>
        <v>208096</v>
      </c>
      <c r="M667" s="147"/>
      <c r="N667" s="147"/>
      <c r="O667" s="147"/>
    </row>
    <row r="668" spans="1:15" s="148" customFormat="1" ht="38.25" hidden="1" outlineLevel="1" x14ac:dyDescent="0.2">
      <c r="A668" s="200"/>
      <c r="B668" s="95"/>
      <c r="C668" s="42" t="s">
        <v>1726</v>
      </c>
      <c r="D668" s="42" t="s">
        <v>1727</v>
      </c>
      <c r="E668" s="100" t="s">
        <v>408</v>
      </c>
      <c r="F668" s="100">
        <v>1</v>
      </c>
      <c r="G668" s="149">
        <f>(4834)*(1.023*1.005-2.3%*15%)*6.99+124188*4.09</f>
        <v>542552</v>
      </c>
      <c r="H668" s="145">
        <f t="shared" si="248"/>
        <v>1.123</v>
      </c>
      <c r="I668" s="146">
        <f t="shared" si="249"/>
        <v>609286</v>
      </c>
      <c r="J668" s="145">
        <f>'[2]Расчет прогнозных дефляторов'!$D$75</f>
        <v>1.0429999999999999</v>
      </c>
      <c r="K668" s="146">
        <f t="shared" si="250"/>
        <v>635485</v>
      </c>
      <c r="L668" s="146">
        <f t="shared" si="251"/>
        <v>627625</v>
      </c>
      <c r="M668" s="147"/>
      <c r="N668" s="147"/>
      <c r="O668" s="147"/>
    </row>
    <row r="669" spans="1:15" s="148" customFormat="1" ht="15.75" hidden="1" outlineLevel="1" x14ac:dyDescent="0.2">
      <c r="A669" s="200"/>
      <c r="B669" s="95"/>
      <c r="C669" s="42" t="s">
        <v>1728</v>
      </c>
      <c r="D669" s="42" t="s">
        <v>1729</v>
      </c>
      <c r="E669" s="100" t="s">
        <v>408</v>
      </c>
      <c r="F669" s="100">
        <v>2</v>
      </c>
      <c r="G669" s="149">
        <f>(20605)*(1.023*1.005-2.3%*15%)*6.99+0*4.09</f>
        <v>147581</v>
      </c>
      <c r="H669" s="145">
        <f t="shared" si="248"/>
        <v>1.123</v>
      </c>
      <c r="I669" s="146">
        <f t="shared" si="249"/>
        <v>165733</v>
      </c>
      <c r="J669" s="145">
        <f>'[2]Расчет прогнозных дефляторов'!$D$75</f>
        <v>1.0429999999999999</v>
      </c>
      <c r="K669" s="146">
        <f t="shared" si="250"/>
        <v>172860</v>
      </c>
      <c r="L669" s="146">
        <f t="shared" si="251"/>
        <v>170722</v>
      </c>
      <c r="M669" s="147"/>
      <c r="N669" s="147"/>
      <c r="O669" s="147"/>
    </row>
    <row r="670" spans="1:15" s="148" customFormat="1" ht="15.75" hidden="1" outlineLevel="1" x14ac:dyDescent="0.2">
      <c r="A670" s="200"/>
      <c r="B670" s="95"/>
      <c r="C670" s="42" t="s">
        <v>1731</v>
      </c>
      <c r="D670" s="42" t="s">
        <v>1730</v>
      </c>
      <c r="E670" s="100" t="s">
        <v>408</v>
      </c>
      <c r="F670" s="100">
        <v>2</v>
      </c>
      <c r="G670" s="149">
        <f>(129)*(1.023*1.005-2.3%*15%)*6.99+0*4.09</f>
        <v>924</v>
      </c>
      <c r="H670" s="145">
        <f t="shared" si="248"/>
        <v>1.123</v>
      </c>
      <c r="I670" s="146">
        <f t="shared" si="249"/>
        <v>1038</v>
      </c>
      <c r="J670" s="145">
        <f>'[2]Расчет прогнозных дефляторов'!$D$75</f>
        <v>1.0429999999999999</v>
      </c>
      <c r="K670" s="146">
        <f t="shared" si="250"/>
        <v>1083</v>
      </c>
      <c r="L670" s="146">
        <f t="shared" si="251"/>
        <v>1070</v>
      </c>
      <c r="M670" s="147"/>
      <c r="N670" s="147"/>
      <c r="O670" s="147"/>
    </row>
    <row r="671" spans="1:15" s="148" customFormat="1" ht="15.75" hidden="1" outlineLevel="1" x14ac:dyDescent="0.2">
      <c r="A671" s="200"/>
      <c r="B671" s="95"/>
      <c r="C671" s="42" t="s">
        <v>1733</v>
      </c>
      <c r="D671" s="42" t="s">
        <v>1732</v>
      </c>
      <c r="E671" s="100" t="s">
        <v>408</v>
      </c>
      <c r="F671" s="100">
        <v>4</v>
      </c>
      <c r="G671" s="149">
        <f>(5067)*(1.023*1.005-2.3%*15%)*6.99+0*4.09</f>
        <v>36292</v>
      </c>
      <c r="H671" s="145">
        <f t="shared" si="248"/>
        <v>1.123</v>
      </c>
      <c r="I671" s="146">
        <f t="shared" si="249"/>
        <v>40756</v>
      </c>
      <c r="J671" s="145">
        <f>'[2]Расчет прогнозных дефляторов'!$D$75</f>
        <v>1.0429999999999999</v>
      </c>
      <c r="K671" s="146">
        <f t="shared" si="250"/>
        <v>42509</v>
      </c>
      <c r="L671" s="146">
        <f t="shared" si="251"/>
        <v>41983</v>
      </c>
      <c r="M671" s="147"/>
      <c r="N671" s="147"/>
      <c r="O671" s="147"/>
    </row>
    <row r="672" spans="1:15" s="148" customFormat="1" ht="25.5" hidden="1" outlineLevel="1" x14ac:dyDescent="0.2">
      <c r="A672" s="200"/>
      <c r="B672" s="95"/>
      <c r="C672" s="42" t="s">
        <v>1735</v>
      </c>
      <c r="D672" s="42" t="s">
        <v>1734</v>
      </c>
      <c r="E672" s="100" t="s">
        <v>408</v>
      </c>
      <c r="F672" s="100">
        <v>1</v>
      </c>
      <c r="G672" s="149">
        <f>(5386)*(1.023*1.005-2.3%*15%)*6.99+0*4.09</f>
        <v>38577</v>
      </c>
      <c r="H672" s="145">
        <f t="shared" si="248"/>
        <v>1.123</v>
      </c>
      <c r="I672" s="146">
        <f t="shared" si="249"/>
        <v>43322</v>
      </c>
      <c r="J672" s="145">
        <f>'[2]Расчет прогнозных дефляторов'!$D$75</f>
        <v>1.0429999999999999</v>
      </c>
      <c r="K672" s="146">
        <f t="shared" si="250"/>
        <v>45185</v>
      </c>
      <c r="L672" s="146">
        <f t="shared" si="251"/>
        <v>44626</v>
      </c>
      <c r="M672" s="147"/>
      <c r="N672" s="147"/>
      <c r="O672" s="147"/>
    </row>
    <row r="673" spans="1:15" s="148" customFormat="1" ht="15.75" hidden="1" outlineLevel="1" x14ac:dyDescent="0.2">
      <c r="A673" s="200"/>
      <c r="B673" s="95"/>
      <c r="C673" s="42" t="s">
        <v>1737</v>
      </c>
      <c r="D673" s="42" t="s">
        <v>1736</v>
      </c>
      <c r="E673" s="100" t="s">
        <v>408</v>
      </c>
      <c r="F673" s="100">
        <v>5</v>
      </c>
      <c r="G673" s="149">
        <f>(805)*(1.023*1.005-2.3%*15%)*6.99+0*4.09</f>
        <v>5766</v>
      </c>
      <c r="H673" s="145">
        <f t="shared" si="248"/>
        <v>1.123</v>
      </c>
      <c r="I673" s="146">
        <f t="shared" si="249"/>
        <v>6475</v>
      </c>
      <c r="J673" s="145">
        <f>'[2]Расчет прогнозных дефляторов'!$D$75</f>
        <v>1.0429999999999999</v>
      </c>
      <c r="K673" s="146">
        <f t="shared" si="250"/>
        <v>6753</v>
      </c>
      <c r="L673" s="146">
        <f t="shared" si="251"/>
        <v>6670</v>
      </c>
      <c r="M673" s="147"/>
      <c r="N673" s="147"/>
      <c r="O673" s="147"/>
    </row>
    <row r="674" spans="1:15" s="148" customFormat="1" ht="15.75" hidden="1" outlineLevel="1" x14ac:dyDescent="0.2">
      <c r="A674" s="200"/>
      <c r="B674" s="95"/>
      <c r="C674" s="42" t="s">
        <v>1739</v>
      </c>
      <c r="D674" s="42" t="s">
        <v>1738</v>
      </c>
      <c r="E674" s="100" t="s">
        <v>408</v>
      </c>
      <c r="F674" s="100">
        <v>1</v>
      </c>
      <c r="G674" s="149">
        <f>(157)*(1.023*1.005-2.3%*15%)*6.99+0*4.09</f>
        <v>1124</v>
      </c>
      <c r="H674" s="145">
        <f t="shared" si="248"/>
        <v>1.123</v>
      </c>
      <c r="I674" s="146">
        <f t="shared" si="249"/>
        <v>1262</v>
      </c>
      <c r="J674" s="145">
        <f>'[2]Расчет прогнозных дефляторов'!$D$75</f>
        <v>1.0429999999999999</v>
      </c>
      <c r="K674" s="146">
        <f t="shared" si="250"/>
        <v>1316</v>
      </c>
      <c r="L674" s="146">
        <f t="shared" si="251"/>
        <v>1300</v>
      </c>
      <c r="M674" s="147"/>
      <c r="N674" s="147"/>
      <c r="O674" s="147"/>
    </row>
    <row r="675" spans="1:15" s="258" customFormat="1" ht="25.5" collapsed="1" x14ac:dyDescent="0.2">
      <c r="B675" s="259"/>
      <c r="C675" s="257" t="s">
        <v>54</v>
      </c>
      <c r="D675" s="257" t="s">
        <v>1740</v>
      </c>
      <c r="E675" s="260" t="s">
        <v>292</v>
      </c>
      <c r="F675" s="261">
        <v>1</v>
      </c>
      <c r="G675" s="261">
        <f>SUM(G676:G694)</f>
        <v>2388806</v>
      </c>
      <c r="H675" s="262">
        <f t="shared" si="248"/>
        <v>1.123</v>
      </c>
      <c r="I675" s="261">
        <f>SUM(I676:I694)</f>
        <v>2682627</v>
      </c>
      <c r="J675" s="262">
        <f>'[2]Расчет прогнозных дефляторов'!$D$75</f>
        <v>1.0429999999999999</v>
      </c>
      <c r="K675" s="261">
        <f>SUM(K676:K694)</f>
        <v>2797979</v>
      </c>
      <c r="L675" s="261">
        <f>SUM(L676:L694)</f>
        <v>2763375</v>
      </c>
      <c r="M675" s="289"/>
      <c r="N675" s="289"/>
      <c r="O675" s="289"/>
    </row>
    <row r="676" spans="1:15" s="148" customFormat="1" ht="15.75" hidden="1" outlineLevel="1" x14ac:dyDescent="0.2">
      <c r="A676" s="200"/>
      <c r="B676" s="95"/>
      <c r="C676" s="42" t="s">
        <v>1742</v>
      </c>
      <c r="D676" s="42" t="s">
        <v>1741</v>
      </c>
      <c r="E676" s="100" t="s">
        <v>292</v>
      </c>
      <c r="F676" s="149">
        <v>1</v>
      </c>
      <c r="G676" s="149">
        <f>(19540)*(1.023*1.005-2.3%*15%)*6.99+0*4.09</f>
        <v>139953</v>
      </c>
      <c r="H676" s="145">
        <f t="shared" si="248"/>
        <v>1.123</v>
      </c>
      <c r="I676" s="146">
        <f t="shared" ref="I676:I677" si="252">G676*H676</f>
        <v>157167</v>
      </c>
      <c r="J676" s="145">
        <f>'[2]Расчет прогнозных дефляторов'!$D$75</f>
        <v>1.0429999999999999</v>
      </c>
      <c r="K676" s="146">
        <f t="shared" ref="K676:K677" si="253">I676*J676</f>
        <v>163925</v>
      </c>
      <c r="L676" s="146">
        <f t="shared" ref="L676:L677" si="254">I676+(K676-I676)*(1-30/100)</f>
        <v>161898</v>
      </c>
      <c r="M676" s="147"/>
      <c r="N676" s="147"/>
      <c r="O676" s="147"/>
    </row>
    <row r="677" spans="1:15" s="148" customFormat="1" ht="25.5" hidden="1" outlineLevel="1" x14ac:dyDescent="0.2">
      <c r="A677" s="200"/>
      <c r="B677" s="95"/>
      <c r="C677" s="42" t="s">
        <v>1744</v>
      </c>
      <c r="D677" s="42" t="s">
        <v>1743</v>
      </c>
      <c r="E677" s="100" t="s">
        <v>292</v>
      </c>
      <c r="F677" s="149">
        <v>1</v>
      </c>
      <c r="G677" s="149">
        <f>(10070)*(1.023*1.005-2.3%*15%)*6.99+0*4.09</f>
        <v>72125</v>
      </c>
      <c r="H677" s="145">
        <f t="shared" si="248"/>
        <v>1.123</v>
      </c>
      <c r="I677" s="146">
        <f t="shared" si="252"/>
        <v>80996</v>
      </c>
      <c r="J677" s="145">
        <f>'[2]Расчет прогнозных дефляторов'!$D$75</f>
        <v>1.0429999999999999</v>
      </c>
      <c r="K677" s="146">
        <f t="shared" si="253"/>
        <v>84479</v>
      </c>
      <c r="L677" s="146">
        <f t="shared" si="254"/>
        <v>83434</v>
      </c>
      <c r="M677" s="147"/>
      <c r="N677" s="147"/>
      <c r="O677" s="147"/>
    </row>
    <row r="678" spans="1:15" s="148" customFormat="1" ht="15.75" hidden="1" outlineLevel="1" x14ac:dyDescent="0.2">
      <c r="A678" s="200"/>
      <c r="B678" s="95"/>
      <c r="C678" s="42"/>
      <c r="D678" s="157" t="s">
        <v>1745</v>
      </c>
      <c r="E678" s="100"/>
      <c r="F678" s="100"/>
      <c r="G678" s="149"/>
      <c r="H678" s="145"/>
      <c r="I678" s="146"/>
      <c r="J678" s="145"/>
      <c r="K678" s="146"/>
      <c r="L678" s="146"/>
      <c r="M678" s="147"/>
      <c r="N678" s="147"/>
      <c r="O678" s="147"/>
    </row>
    <row r="679" spans="1:15" s="148" customFormat="1" ht="25.5" hidden="1" outlineLevel="1" x14ac:dyDescent="0.2">
      <c r="A679" s="200"/>
      <c r="B679" s="95"/>
      <c r="C679" s="42" t="s">
        <v>1748</v>
      </c>
      <c r="D679" s="42" t="s">
        <v>356</v>
      </c>
      <c r="E679" s="100" t="s">
        <v>300</v>
      </c>
      <c r="F679" s="100">
        <v>792</v>
      </c>
      <c r="G679" s="149">
        <f>(157931)*(1.023*1.005-2.3%*15%)*6.99+0*4.09+7</f>
        <v>1131173</v>
      </c>
      <c r="H679" s="145">
        <f>$H$772</f>
        <v>1.123</v>
      </c>
      <c r="I679" s="146">
        <f t="shared" ref="I679:I683" si="255">G679*H679</f>
        <v>1270307</v>
      </c>
      <c r="J679" s="145">
        <f>'[2]Расчет прогнозных дефляторов'!$D$75</f>
        <v>1.0429999999999999</v>
      </c>
      <c r="K679" s="146">
        <f t="shared" ref="K679:K683" si="256">I679*J679</f>
        <v>1324930</v>
      </c>
      <c r="L679" s="146">
        <f t="shared" ref="L679:L683" si="257">I679+(K679-I679)*(1-30/100)</f>
        <v>1308543</v>
      </c>
      <c r="M679" s="147"/>
      <c r="N679" s="147"/>
      <c r="O679" s="147"/>
    </row>
    <row r="680" spans="1:15" s="148" customFormat="1" ht="15.75" hidden="1" outlineLevel="1" x14ac:dyDescent="0.2">
      <c r="A680" s="200"/>
      <c r="B680" s="95"/>
      <c r="C680" s="42" t="s">
        <v>1752</v>
      </c>
      <c r="D680" s="42" t="s">
        <v>1493</v>
      </c>
      <c r="E680" s="100" t="s">
        <v>300</v>
      </c>
      <c r="F680" s="100">
        <v>792</v>
      </c>
      <c r="G680" s="149">
        <f>(10139)*(1.023*1.005-2.3%*15%)*6.99+0*4.09</f>
        <v>72620</v>
      </c>
      <c r="H680" s="145">
        <f>$H$772</f>
        <v>1.123</v>
      </c>
      <c r="I680" s="146">
        <f t="shared" si="255"/>
        <v>81552</v>
      </c>
      <c r="J680" s="145">
        <f>'[2]Расчет прогнозных дефляторов'!$D$75</f>
        <v>1.0429999999999999</v>
      </c>
      <c r="K680" s="146">
        <f t="shared" si="256"/>
        <v>85059</v>
      </c>
      <c r="L680" s="146">
        <f t="shared" si="257"/>
        <v>84007</v>
      </c>
      <c r="M680" s="147"/>
      <c r="N680" s="147"/>
      <c r="O680" s="147"/>
    </row>
    <row r="681" spans="1:15" s="148" customFormat="1" ht="15.75" hidden="1" outlineLevel="1" x14ac:dyDescent="0.2">
      <c r="A681" s="200"/>
      <c r="B681" s="95"/>
      <c r="C681" s="42" t="s">
        <v>1751</v>
      </c>
      <c r="D681" s="42" t="s">
        <v>1750</v>
      </c>
      <c r="E681" s="100" t="s">
        <v>300</v>
      </c>
      <c r="F681" s="100">
        <v>847</v>
      </c>
      <c r="G681" s="149">
        <f>(42317)*(1.023*1.005-2.3%*15%)*6.99+0*4.09</f>
        <v>303092</v>
      </c>
      <c r="H681" s="145">
        <f>$H$772</f>
        <v>1.123</v>
      </c>
      <c r="I681" s="146">
        <f t="shared" si="255"/>
        <v>340372</v>
      </c>
      <c r="J681" s="145">
        <f>'[2]Расчет прогнозных дефляторов'!$D$75</f>
        <v>1.0429999999999999</v>
      </c>
      <c r="K681" s="146">
        <f t="shared" si="256"/>
        <v>355008</v>
      </c>
      <c r="L681" s="146">
        <f t="shared" si="257"/>
        <v>350617</v>
      </c>
      <c r="M681" s="147"/>
      <c r="N681" s="147"/>
      <c r="O681" s="147"/>
    </row>
    <row r="682" spans="1:15" s="148" customFormat="1" ht="15.75" hidden="1" outlineLevel="1" x14ac:dyDescent="0.2">
      <c r="A682" s="200"/>
      <c r="B682" s="95"/>
      <c r="C682" s="42" t="s">
        <v>1754</v>
      </c>
      <c r="D682" s="42" t="s">
        <v>1753</v>
      </c>
      <c r="E682" s="100" t="s">
        <v>404</v>
      </c>
      <c r="F682" s="100">
        <f>5619</f>
        <v>5619</v>
      </c>
      <c r="G682" s="149">
        <f>(240)*(1.023*1.005-2.3%*15%)*6.99+0*4.09</f>
        <v>1719</v>
      </c>
      <c r="H682" s="145">
        <f>$H$772</f>
        <v>1.123</v>
      </c>
      <c r="I682" s="146">
        <f t="shared" si="255"/>
        <v>1930</v>
      </c>
      <c r="J682" s="145">
        <f>'[2]Расчет прогнозных дефляторов'!$D$75</f>
        <v>1.0429999999999999</v>
      </c>
      <c r="K682" s="146">
        <f t="shared" si="256"/>
        <v>2013</v>
      </c>
      <c r="L682" s="146">
        <f t="shared" si="257"/>
        <v>1988</v>
      </c>
      <c r="M682" s="147"/>
      <c r="N682" s="147"/>
      <c r="O682" s="147"/>
    </row>
    <row r="683" spans="1:15" s="148" customFormat="1" ht="25.5" hidden="1" outlineLevel="1" x14ac:dyDescent="0.2">
      <c r="A683" s="200"/>
      <c r="B683" s="95"/>
      <c r="C683" s="42" t="s">
        <v>1747</v>
      </c>
      <c r="D683" s="42" t="s">
        <v>1746</v>
      </c>
      <c r="E683" s="100" t="s">
        <v>292</v>
      </c>
      <c r="F683" s="100">
        <v>1</v>
      </c>
      <c r="G683" s="149">
        <f>(14947)*(1.023*1.005-2.3%*15%)*6.99+0*4.09</f>
        <v>107057</v>
      </c>
      <c r="H683" s="145">
        <f>$H$772</f>
        <v>1.123</v>
      </c>
      <c r="I683" s="146">
        <f t="shared" si="255"/>
        <v>120225</v>
      </c>
      <c r="J683" s="145">
        <f>'[2]Расчет прогнозных дефляторов'!$D$75</f>
        <v>1.0429999999999999</v>
      </c>
      <c r="K683" s="146">
        <f t="shared" si="256"/>
        <v>125395</v>
      </c>
      <c r="L683" s="146">
        <f t="shared" si="257"/>
        <v>123844</v>
      </c>
      <c r="M683" s="147"/>
      <c r="N683" s="147"/>
      <c r="O683" s="147"/>
    </row>
    <row r="684" spans="1:15" s="148" customFormat="1" ht="25.5" hidden="1" outlineLevel="1" x14ac:dyDescent="0.2">
      <c r="A684" s="200"/>
      <c r="B684" s="95"/>
      <c r="C684" s="42"/>
      <c r="D684" s="157" t="s">
        <v>1755</v>
      </c>
      <c r="E684" s="100"/>
      <c r="F684" s="100"/>
      <c r="G684" s="149"/>
      <c r="H684" s="145"/>
      <c r="I684" s="146"/>
      <c r="J684" s="145"/>
      <c r="K684" s="146"/>
      <c r="L684" s="146"/>
      <c r="M684" s="147"/>
      <c r="N684" s="147"/>
      <c r="O684" s="147"/>
    </row>
    <row r="685" spans="1:15" s="148" customFormat="1" ht="25.5" hidden="1" outlineLevel="1" x14ac:dyDescent="0.2">
      <c r="A685" s="200"/>
      <c r="B685" s="95"/>
      <c r="C685" s="42" t="s">
        <v>1756</v>
      </c>
      <c r="D685" s="42" t="s">
        <v>356</v>
      </c>
      <c r="E685" s="100" t="s">
        <v>300</v>
      </c>
      <c r="F685" s="100">
        <v>58</v>
      </c>
      <c r="G685" s="149">
        <f>(11566)*(1.023*1.005-2.3%*15%)*6.99+0*4.09</f>
        <v>82840</v>
      </c>
      <c r="H685" s="145">
        <f>$H$772</f>
        <v>1.123</v>
      </c>
      <c r="I685" s="146">
        <f t="shared" ref="I685:I687" si="258">G685*H685</f>
        <v>93029</v>
      </c>
      <c r="J685" s="145">
        <f>'[2]Расчет прогнозных дефляторов'!$D$75</f>
        <v>1.0429999999999999</v>
      </c>
      <c r="K685" s="146">
        <f t="shared" ref="K685:K687" si="259">I685*J685</f>
        <v>97029</v>
      </c>
      <c r="L685" s="146">
        <f t="shared" ref="L685:L687" si="260">I685+(K685-I685)*(1-30/100)</f>
        <v>95829</v>
      </c>
      <c r="M685" s="147"/>
      <c r="N685" s="147"/>
      <c r="O685" s="147"/>
    </row>
    <row r="686" spans="1:15" s="148" customFormat="1" ht="15.75" hidden="1" outlineLevel="1" x14ac:dyDescent="0.2">
      <c r="A686" s="200"/>
      <c r="B686" s="95"/>
      <c r="C686" s="42" t="s">
        <v>1757</v>
      </c>
      <c r="D686" s="42" t="s">
        <v>1758</v>
      </c>
      <c r="E686" s="100" t="s">
        <v>404</v>
      </c>
      <c r="F686" s="100">
        <v>290</v>
      </c>
      <c r="G686" s="149">
        <f>(12)*(1.023*1.005-2.3%*15%)*6.99+0*4.09</f>
        <v>86</v>
      </c>
      <c r="H686" s="145">
        <f>$H$772</f>
        <v>1.123</v>
      </c>
      <c r="I686" s="146">
        <f t="shared" si="258"/>
        <v>97</v>
      </c>
      <c r="J686" s="145">
        <f>'[2]Расчет прогнозных дефляторов'!$D$75</f>
        <v>1.0429999999999999</v>
      </c>
      <c r="K686" s="146">
        <f t="shared" si="259"/>
        <v>101</v>
      </c>
      <c r="L686" s="146">
        <f t="shared" si="260"/>
        <v>100</v>
      </c>
      <c r="M686" s="147"/>
      <c r="N686" s="147"/>
      <c r="O686" s="147"/>
    </row>
    <row r="687" spans="1:15" s="148" customFormat="1" ht="25.5" hidden="1" outlineLevel="1" x14ac:dyDescent="0.2">
      <c r="A687" s="200"/>
      <c r="B687" s="95"/>
      <c r="C687" s="42" t="s">
        <v>1760</v>
      </c>
      <c r="D687" s="157" t="s">
        <v>1759</v>
      </c>
      <c r="E687" s="100" t="s">
        <v>292</v>
      </c>
      <c r="F687" s="100">
        <v>1</v>
      </c>
      <c r="G687" s="149">
        <f>(4138)*(1.023*1.005-2.3%*15%)*6.99+0*4.09</f>
        <v>29638</v>
      </c>
      <c r="H687" s="145">
        <f>$H$772</f>
        <v>1.123</v>
      </c>
      <c r="I687" s="146">
        <f t="shared" si="258"/>
        <v>33283</v>
      </c>
      <c r="J687" s="145">
        <f>'[2]Расчет прогнозных дефляторов'!$D$75</f>
        <v>1.0429999999999999</v>
      </c>
      <c r="K687" s="146">
        <f t="shared" si="259"/>
        <v>34714</v>
      </c>
      <c r="L687" s="146">
        <f t="shared" si="260"/>
        <v>34285</v>
      </c>
      <c r="M687" s="147"/>
      <c r="N687" s="147"/>
      <c r="O687" s="147"/>
    </row>
    <row r="688" spans="1:15" s="148" customFormat="1" ht="25.5" hidden="1" outlineLevel="1" x14ac:dyDescent="0.2">
      <c r="A688" s="200"/>
      <c r="B688" s="95"/>
      <c r="C688" s="42"/>
      <c r="D688" s="157" t="s">
        <v>1761</v>
      </c>
      <c r="E688" s="100"/>
      <c r="F688" s="100"/>
      <c r="G688" s="149"/>
      <c r="H688" s="145"/>
      <c r="I688" s="146"/>
      <c r="J688" s="145"/>
      <c r="K688" s="146"/>
      <c r="L688" s="146"/>
      <c r="M688" s="147"/>
      <c r="N688" s="147"/>
      <c r="O688" s="147"/>
    </row>
    <row r="689" spans="1:15" s="148" customFormat="1" ht="25.5" hidden="1" outlineLevel="1" x14ac:dyDescent="0.2">
      <c r="A689" s="200"/>
      <c r="B689" s="95"/>
      <c r="C689" s="42" t="s">
        <v>1762</v>
      </c>
      <c r="D689" s="42" t="s">
        <v>356</v>
      </c>
      <c r="E689" s="100" t="s">
        <v>300</v>
      </c>
      <c r="F689" s="100">
        <v>219</v>
      </c>
      <c r="G689" s="149">
        <f>(43671)*(1.023*1.005-2.3%*15%)*6.99+0*4.09</f>
        <v>312790</v>
      </c>
      <c r="H689" s="145">
        <f t="shared" ref="H689:H694" si="261">$H$772</f>
        <v>1.123</v>
      </c>
      <c r="I689" s="146">
        <f t="shared" ref="I689:I694" si="262">G689*H689</f>
        <v>351263</v>
      </c>
      <c r="J689" s="145">
        <f>'[2]Расчет прогнозных дефляторов'!$D$75</f>
        <v>1.0429999999999999</v>
      </c>
      <c r="K689" s="146">
        <f t="shared" ref="K689:K694" si="263">I689*J689</f>
        <v>366367</v>
      </c>
      <c r="L689" s="146">
        <f t="shared" ref="L689:L694" si="264">I689+(K689-I689)*(1-30/100)</f>
        <v>361836</v>
      </c>
      <c r="M689" s="147"/>
      <c r="N689" s="147"/>
      <c r="O689" s="147"/>
    </row>
    <row r="690" spans="1:15" s="148" customFormat="1" ht="15.75" hidden="1" outlineLevel="1" x14ac:dyDescent="0.2">
      <c r="A690" s="200"/>
      <c r="B690" s="95"/>
      <c r="C690" s="42" t="s">
        <v>1763</v>
      </c>
      <c r="D690" s="42" t="s">
        <v>1493</v>
      </c>
      <c r="E690" s="100" t="s">
        <v>300</v>
      </c>
      <c r="F690" s="100">
        <v>62</v>
      </c>
      <c r="G690" s="149">
        <f>(793)*(1.023*1.005-2.3%*15%)*6.99+0*4.09</f>
        <v>5680</v>
      </c>
      <c r="H690" s="145">
        <f t="shared" si="261"/>
        <v>1.123</v>
      </c>
      <c r="I690" s="146">
        <f t="shared" si="262"/>
        <v>6379</v>
      </c>
      <c r="J690" s="145">
        <f>'[2]Расчет прогнозных дефляторов'!$D$75</f>
        <v>1.0429999999999999</v>
      </c>
      <c r="K690" s="146">
        <f t="shared" si="263"/>
        <v>6653</v>
      </c>
      <c r="L690" s="146">
        <f t="shared" si="264"/>
        <v>6571</v>
      </c>
      <c r="M690" s="147"/>
      <c r="N690" s="147"/>
      <c r="O690" s="147"/>
    </row>
    <row r="691" spans="1:15" s="148" customFormat="1" ht="25.5" hidden="1" outlineLevel="1" x14ac:dyDescent="0.2">
      <c r="A691" s="200"/>
      <c r="B691" s="95"/>
      <c r="C691" s="42" t="s">
        <v>1764</v>
      </c>
      <c r="D691" s="42" t="s">
        <v>1765</v>
      </c>
      <c r="E691" s="100" t="s">
        <v>300</v>
      </c>
      <c r="F691" s="100">
        <v>187</v>
      </c>
      <c r="G691" s="149">
        <f>(7734)*(1.023*1.005-2.3%*15%)*6.99+0*4.09</f>
        <v>55394</v>
      </c>
      <c r="H691" s="145">
        <f t="shared" si="261"/>
        <v>1.123</v>
      </c>
      <c r="I691" s="146">
        <f t="shared" si="262"/>
        <v>62207</v>
      </c>
      <c r="J691" s="145">
        <f>'[2]Расчет прогнозных дефляторов'!$D$75</f>
        <v>1.0429999999999999</v>
      </c>
      <c r="K691" s="146">
        <f t="shared" si="263"/>
        <v>64882</v>
      </c>
      <c r="L691" s="146">
        <f t="shared" si="264"/>
        <v>64080</v>
      </c>
      <c r="M691" s="147"/>
      <c r="N691" s="147"/>
      <c r="O691" s="147"/>
    </row>
    <row r="692" spans="1:15" s="148" customFormat="1" ht="15.75" hidden="1" outlineLevel="1" x14ac:dyDescent="0.2">
      <c r="A692" s="200"/>
      <c r="B692" s="95"/>
      <c r="C692" s="42" t="s">
        <v>1766</v>
      </c>
      <c r="D692" s="42" t="s">
        <v>1749</v>
      </c>
      <c r="E692" s="100" t="s">
        <v>300</v>
      </c>
      <c r="F692" s="100">
        <v>62</v>
      </c>
      <c r="G692" s="149">
        <f>(617)*(1.023*1.005-2.3%*15%)*6.99+0*4.09</f>
        <v>4419</v>
      </c>
      <c r="H692" s="145">
        <f t="shared" si="261"/>
        <v>1.123</v>
      </c>
      <c r="I692" s="146">
        <f t="shared" si="262"/>
        <v>4963</v>
      </c>
      <c r="J692" s="145">
        <f>'[2]Расчет прогнозных дефляторов'!$D$75</f>
        <v>1.0429999999999999</v>
      </c>
      <c r="K692" s="146">
        <f t="shared" si="263"/>
        <v>5176</v>
      </c>
      <c r="L692" s="146">
        <f t="shared" si="264"/>
        <v>5112</v>
      </c>
      <c r="M692" s="147"/>
      <c r="N692" s="147"/>
      <c r="O692" s="147"/>
    </row>
    <row r="693" spans="1:15" s="148" customFormat="1" ht="15.75" hidden="1" outlineLevel="1" x14ac:dyDescent="0.2">
      <c r="A693" s="200"/>
      <c r="B693" s="95"/>
      <c r="C693" s="42" t="s">
        <v>1767</v>
      </c>
      <c r="D693" s="42" t="s">
        <v>1753</v>
      </c>
      <c r="E693" s="100" t="s">
        <v>404</v>
      </c>
      <c r="F693" s="100">
        <v>1016</v>
      </c>
      <c r="G693" s="149">
        <f>(43)*(1.023*1.005-2.3%*15%)*6.99+0*4.09</f>
        <v>308</v>
      </c>
      <c r="H693" s="145">
        <f t="shared" si="261"/>
        <v>1.123</v>
      </c>
      <c r="I693" s="146">
        <f t="shared" si="262"/>
        <v>346</v>
      </c>
      <c r="J693" s="145">
        <f>'[2]Расчет прогнозных дефляторов'!$D$75</f>
        <v>1.0429999999999999</v>
      </c>
      <c r="K693" s="146">
        <f t="shared" si="263"/>
        <v>361</v>
      </c>
      <c r="L693" s="146">
        <f t="shared" si="264"/>
        <v>357</v>
      </c>
      <c r="M693" s="147"/>
      <c r="N693" s="147"/>
      <c r="O693" s="147"/>
    </row>
    <row r="694" spans="1:15" s="148" customFormat="1" ht="25.5" hidden="1" outlineLevel="1" x14ac:dyDescent="0.2">
      <c r="A694" s="200"/>
      <c r="B694" s="95"/>
      <c r="C694" s="42" t="s">
        <v>1769</v>
      </c>
      <c r="D694" s="157" t="s">
        <v>1768</v>
      </c>
      <c r="E694" s="100" t="s">
        <v>292</v>
      </c>
      <c r="F694" s="100">
        <v>1</v>
      </c>
      <c r="G694" s="149">
        <f>(9761)*(1.023*1.005-2.3%*15%)*6.99+0*4.09</f>
        <v>69912</v>
      </c>
      <c r="H694" s="145">
        <f t="shared" si="261"/>
        <v>1.123</v>
      </c>
      <c r="I694" s="146">
        <f t="shared" si="262"/>
        <v>78511</v>
      </c>
      <c r="J694" s="145">
        <f>'[2]Расчет прогнозных дефляторов'!$D$75</f>
        <v>1.0429999999999999</v>
      </c>
      <c r="K694" s="146">
        <f t="shared" si="263"/>
        <v>81887</v>
      </c>
      <c r="L694" s="146">
        <f t="shared" si="264"/>
        <v>80874</v>
      </c>
      <c r="M694" s="147"/>
      <c r="N694" s="147"/>
      <c r="O694" s="147"/>
    </row>
    <row r="695" spans="1:15" s="237" customFormat="1" ht="25.5" collapsed="1" x14ac:dyDescent="0.2">
      <c r="A695" s="290"/>
      <c r="B695" s="179"/>
      <c r="C695" s="180"/>
      <c r="D695" s="180" t="s">
        <v>803</v>
      </c>
      <c r="E695" s="125"/>
      <c r="F695" s="126"/>
      <c r="G695" s="126"/>
      <c r="H695" s="127"/>
      <c r="I695" s="128"/>
      <c r="J695" s="127"/>
      <c r="K695" s="128"/>
      <c r="L695" s="128"/>
      <c r="M695" s="286"/>
      <c r="N695" s="256"/>
      <c r="O695" s="256"/>
    </row>
    <row r="696" spans="1:15" s="148" customFormat="1" ht="15.75" x14ac:dyDescent="0.2">
      <c r="A696" s="266"/>
      <c r="B696" s="95"/>
      <c r="C696" s="42" t="s">
        <v>793</v>
      </c>
      <c r="D696" s="42" t="s">
        <v>794</v>
      </c>
      <c r="E696" s="100" t="s">
        <v>292</v>
      </c>
      <c r="F696" s="149">
        <v>1</v>
      </c>
      <c r="G696" s="149">
        <f>15028*(1.023*1.005-2.3%*15%)*6.99+210588*4.09</f>
        <v>968942</v>
      </c>
      <c r="H696" s="145">
        <f>$H$772</f>
        <v>1.123</v>
      </c>
      <c r="I696" s="146">
        <f t="shared" ref="I696" si="265">G696*H696</f>
        <v>1088122</v>
      </c>
      <c r="J696" s="145">
        <f>'[2]Расчет прогнозных дефляторов'!$D$75</f>
        <v>1.0429999999999999</v>
      </c>
      <c r="K696" s="146">
        <f t="shared" ref="K696" si="266">I696*J696</f>
        <v>1134911</v>
      </c>
      <c r="L696" s="146">
        <f t="shared" ref="L696" si="267">I696+(K696-I696)*(1-30/100)</f>
        <v>1120874</v>
      </c>
      <c r="M696" s="172"/>
      <c r="N696" s="147"/>
      <c r="O696" s="147"/>
    </row>
    <row r="697" spans="1:15" s="148" customFormat="1" ht="15.75" x14ac:dyDescent="0.2">
      <c r="A697" s="266"/>
      <c r="B697" s="95"/>
      <c r="C697" s="42"/>
      <c r="D697" s="157" t="s">
        <v>599</v>
      </c>
      <c r="E697" s="100"/>
      <c r="F697" s="149"/>
      <c r="G697" s="149"/>
      <c r="H697" s="145"/>
      <c r="I697" s="146"/>
      <c r="J697" s="145"/>
      <c r="K697" s="146"/>
      <c r="L697" s="146"/>
      <c r="M697" s="172"/>
      <c r="N697" s="147"/>
      <c r="O697" s="147"/>
    </row>
    <row r="698" spans="1:15" s="148" customFormat="1" ht="15.75" x14ac:dyDescent="0.2">
      <c r="A698" s="266"/>
      <c r="B698" s="95"/>
      <c r="C698" s="42" t="s">
        <v>804</v>
      </c>
      <c r="D698" s="42" t="s">
        <v>601</v>
      </c>
      <c r="E698" s="100" t="s">
        <v>292</v>
      </c>
      <c r="F698" s="149">
        <v>1</v>
      </c>
      <c r="G698" s="149">
        <f>19076*(1.023*1.005-2.3%*15%)*6.99+162324*4.09</f>
        <v>800535</v>
      </c>
      <c r="H698" s="145">
        <f>$H$772</f>
        <v>1.123</v>
      </c>
      <c r="I698" s="146">
        <f t="shared" ref="I698:I700" si="268">G698*H698</f>
        <v>899001</v>
      </c>
      <c r="J698" s="145">
        <f>'[2]Расчет прогнозных дефляторов'!$D$75</f>
        <v>1.0429999999999999</v>
      </c>
      <c r="K698" s="146">
        <f t="shared" ref="K698:K700" si="269">I698*J698</f>
        <v>937658</v>
      </c>
      <c r="L698" s="146">
        <f t="shared" ref="L698:L700" si="270">I698+(K698-I698)*(1-30/100)</f>
        <v>926061</v>
      </c>
      <c r="M698" s="172"/>
      <c r="N698" s="147"/>
      <c r="O698" s="147"/>
    </row>
    <row r="699" spans="1:15" s="148" customFormat="1" ht="15.75" x14ac:dyDescent="0.2">
      <c r="A699" s="266"/>
      <c r="B699" s="95"/>
      <c r="C699" s="42" t="s">
        <v>805</v>
      </c>
      <c r="D699" s="42" t="s">
        <v>603</v>
      </c>
      <c r="E699" s="100" t="s">
        <v>292</v>
      </c>
      <c r="F699" s="149">
        <v>1</v>
      </c>
      <c r="G699" s="149">
        <f>3005*(1.023*1.005-2.3%*15%)*6.99+3644*4.09</f>
        <v>36427</v>
      </c>
      <c r="H699" s="145">
        <f>$H$772</f>
        <v>1.123</v>
      </c>
      <c r="I699" s="146">
        <f t="shared" si="268"/>
        <v>40908</v>
      </c>
      <c r="J699" s="145">
        <f>'[2]Расчет прогнозных дефляторов'!$D$75</f>
        <v>1.0429999999999999</v>
      </c>
      <c r="K699" s="146">
        <f t="shared" si="269"/>
        <v>42667</v>
      </c>
      <c r="L699" s="146">
        <f t="shared" si="270"/>
        <v>42139</v>
      </c>
      <c r="M699" s="172"/>
      <c r="N699" s="147"/>
      <c r="O699" s="147"/>
    </row>
    <row r="700" spans="1:15" s="148" customFormat="1" ht="15.75" x14ac:dyDescent="0.2">
      <c r="A700" s="266"/>
      <c r="B700" s="95"/>
      <c r="C700" s="42" t="s">
        <v>807</v>
      </c>
      <c r="D700" s="42" t="s">
        <v>806</v>
      </c>
      <c r="E700" s="100" t="s">
        <v>292</v>
      </c>
      <c r="F700" s="149">
        <v>1</v>
      </c>
      <c r="G700" s="149">
        <f>129307*(1.023*1.005-2.3%*15%)*6.99+226856*4.09</f>
        <v>1853991</v>
      </c>
      <c r="H700" s="145">
        <f>$H$772</f>
        <v>1.123</v>
      </c>
      <c r="I700" s="146">
        <f t="shared" si="268"/>
        <v>2082032</v>
      </c>
      <c r="J700" s="145">
        <f>'[2]Расчет прогнозных дефляторов'!$D$75</f>
        <v>1.0429999999999999</v>
      </c>
      <c r="K700" s="146">
        <f t="shared" si="269"/>
        <v>2171559</v>
      </c>
      <c r="L700" s="146">
        <f t="shared" si="270"/>
        <v>2144701</v>
      </c>
      <c r="M700" s="172"/>
      <c r="N700" s="147"/>
      <c r="O700" s="147"/>
    </row>
    <row r="701" spans="1:15" s="131" customFormat="1" ht="25.5" x14ac:dyDescent="0.2">
      <c r="A701" s="265"/>
      <c r="B701" s="179" t="s">
        <v>504</v>
      </c>
      <c r="C701" s="180" t="s">
        <v>304</v>
      </c>
      <c r="D701" s="180" t="s">
        <v>707</v>
      </c>
      <c r="E701" s="291" t="s">
        <v>408</v>
      </c>
      <c r="F701" s="126">
        <v>1</v>
      </c>
      <c r="G701" s="126">
        <f>105070*(1.023*1.005-2.3%*15%)*6.99</f>
        <v>752554</v>
      </c>
      <c r="H701" s="127">
        <f>$H$772</f>
        <v>1.123</v>
      </c>
      <c r="I701" s="128">
        <f t="shared" si="46"/>
        <v>845118</v>
      </c>
      <c r="J701" s="127">
        <f>'[2]Расчет прогнозных дефляторов'!$D$84</f>
        <v>1.0449999999999999</v>
      </c>
      <c r="K701" s="128">
        <f t="shared" si="13"/>
        <v>883148</v>
      </c>
      <c r="L701" s="128">
        <f t="shared" si="14"/>
        <v>871739</v>
      </c>
      <c r="M701" s="129"/>
      <c r="N701" s="126">
        <v>12794</v>
      </c>
      <c r="O701" s="129"/>
    </row>
    <row r="702" spans="1:15" s="237" customFormat="1" ht="15.75" x14ac:dyDescent="0.2">
      <c r="A702" s="265"/>
      <c r="B702" s="179"/>
      <c r="C702" s="180" t="s">
        <v>154</v>
      </c>
      <c r="D702" s="180" t="s">
        <v>155</v>
      </c>
      <c r="E702" s="125" t="s">
        <v>292</v>
      </c>
      <c r="F702" s="126">
        <v>1</v>
      </c>
      <c r="G702" s="126">
        <f>SUM(G703:G722)</f>
        <v>109675309</v>
      </c>
      <c r="H702" s="127"/>
      <c r="I702" s="126">
        <f>SUM(I703:I722)</f>
        <v>123165370</v>
      </c>
      <c r="J702" s="127"/>
      <c r="K702" s="126">
        <f>SUM(K703:K722)</f>
        <v>128338318</v>
      </c>
      <c r="L702" s="126">
        <f>SUM(L703:L722)</f>
        <v>126786434</v>
      </c>
      <c r="M702" s="286"/>
      <c r="N702" s="256"/>
      <c r="O702" s="256"/>
    </row>
    <row r="703" spans="1:15" s="155" customFormat="1" ht="15.75" hidden="1" outlineLevel="1" x14ac:dyDescent="0.2">
      <c r="B703" s="93"/>
      <c r="C703" s="94"/>
      <c r="D703" s="157" t="s">
        <v>811</v>
      </c>
      <c r="E703" s="150"/>
      <c r="F703" s="151"/>
      <c r="G703" s="151"/>
      <c r="H703" s="152"/>
      <c r="I703" s="153"/>
      <c r="J703" s="152"/>
      <c r="K703" s="153"/>
      <c r="L703" s="153"/>
      <c r="M703" s="154"/>
      <c r="N703" s="96"/>
      <c r="O703" s="96"/>
    </row>
    <row r="704" spans="1:15" s="148" customFormat="1" ht="25.5" hidden="1" outlineLevel="1" x14ac:dyDescent="0.2">
      <c r="A704" s="200"/>
      <c r="B704" s="95"/>
      <c r="C704" s="42" t="s">
        <v>818</v>
      </c>
      <c r="D704" s="42" t="s">
        <v>812</v>
      </c>
      <c r="E704" s="100" t="s">
        <v>377</v>
      </c>
      <c r="F704" s="168">
        <v>128.5</v>
      </c>
      <c r="G704" s="149">
        <f>2802255*(1.023*1.005-2.3%*15%)*6.99+15</f>
        <v>20070910</v>
      </c>
      <c r="H704" s="174">
        <f t="shared" ref="H704:H710" si="271">$H$772</f>
        <v>1.123</v>
      </c>
      <c r="I704" s="146">
        <f>G704*H704</f>
        <v>22539632</v>
      </c>
      <c r="J704" s="145">
        <f>'[2]Расчет прогнозных дефляторов'!$D$93</f>
        <v>1.042</v>
      </c>
      <c r="K704" s="146">
        <f>I704*J704</f>
        <v>23486297</v>
      </c>
      <c r="L704" s="146">
        <f t="shared" ref="L704:L723" si="272">I704+(K704-I704)*(1-30/100)</f>
        <v>23202298</v>
      </c>
      <c r="M704" s="172"/>
      <c r="N704" s="147"/>
      <c r="O704" s="147"/>
    </row>
    <row r="705" spans="1:15" s="148" customFormat="1" ht="15.75" hidden="1" outlineLevel="1" x14ac:dyDescent="0.2">
      <c r="A705" s="200"/>
      <c r="B705" s="95"/>
      <c r="C705" s="42" t="s">
        <v>819</v>
      </c>
      <c r="D705" s="42" t="s">
        <v>813</v>
      </c>
      <c r="E705" s="100" t="s">
        <v>408</v>
      </c>
      <c r="F705" s="149">
        <v>27</v>
      </c>
      <c r="G705" s="149">
        <f>1674188*(1.023*1.005-2.3%*15%)*6.99</f>
        <v>11991218</v>
      </c>
      <c r="H705" s="174">
        <f t="shared" si="271"/>
        <v>1.123</v>
      </c>
      <c r="I705" s="146">
        <f t="shared" ref="I705:I723" si="273">G705*H705</f>
        <v>13466138</v>
      </c>
      <c r="J705" s="145">
        <f>'[2]Расчет прогнозных дефляторов'!$D$93</f>
        <v>1.042</v>
      </c>
      <c r="K705" s="146">
        <f t="shared" ref="K705:K723" si="274">I705*J705</f>
        <v>14031716</v>
      </c>
      <c r="L705" s="146">
        <f t="shared" si="272"/>
        <v>13862043</v>
      </c>
      <c r="M705" s="172"/>
      <c r="N705" s="147"/>
      <c r="O705" s="147"/>
    </row>
    <row r="706" spans="1:15" s="155" customFormat="1" ht="15.75" hidden="1" outlineLevel="1" x14ac:dyDescent="0.2">
      <c r="A706" s="222"/>
      <c r="B706" s="93"/>
      <c r="C706" s="42" t="s">
        <v>820</v>
      </c>
      <c r="D706" s="42" t="s">
        <v>814</v>
      </c>
      <c r="E706" s="100" t="s">
        <v>408</v>
      </c>
      <c r="F706" s="149">
        <v>8</v>
      </c>
      <c r="G706" s="149">
        <f>1073167*(1.023*1.005-2.3%*15%)*6.99</f>
        <v>7686460</v>
      </c>
      <c r="H706" s="174">
        <f t="shared" si="271"/>
        <v>1.123</v>
      </c>
      <c r="I706" s="146">
        <f t="shared" si="273"/>
        <v>8631895</v>
      </c>
      <c r="J706" s="145">
        <f>'[2]Расчет прогнозных дефляторов'!$D$93</f>
        <v>1.042</v>
      </c>
      <c r="K706" s="146">
        <f t="shared" si="274"/>
        <v>8994435</v>
      </c>
      <c r="L706" s="146">
        <f t="shared" si="272"/>
        <v>8885673</v>
      </c>
      <c r="M706" s="154"/>
      <c r="N706" s="96"/>
      <c r="O706" s="96"/>
    </row>
    <row r="707" spans="1:15" s="155" customFormat="1" ht="15.75" hidden="1" outlineLevel="1" x14ac:dyDescent="0.2">
      <c r="A707" s="222"/>
      <c r="B707" s="93"/>
      <c r="C707" s="42" t="s">
        <v>822</v>
      </c>
      <c r="D707" s="42" t="s">
        <v>815</v>
      </c>
      <c r="E707" s="100" t="s">
        <v>408</v>
      </c>
      <c r="F707" s="99">
        <v>31</v>
      </c>
      <c r="G707" s="149">
        <f>4671332*(1.023*1.005-2.3%*15%)*6.99</f>
        <v>33457987</v>
      </c>
      <c r="H707" s="174">
        <f t="shared" si="271"/>
        <v>1.123</v>
      </c>
      <c r="I707" s="146">
        <f t="shared" si="273"/>
        <v>37573319</v>
      </c>
      <c r="J707" s="145">
        <f>'[2]Расчет прогнозных дефляторов'!$D$93</f>
        <v>1.042</v>
      </c>
      <c r="K707" s="146">
        <f t="shared" si="274"/>
        <v>39151398</v>
      </c>
      <c r="L707" s="146">
        <f t="shared" si="272"/>
        <v>38677974</v>
      </c>
      <c r="M707" s="172" t="s">
        <v>821</v>
      </c>
      <c r="N707" s="96"/>
      <c r="O707" s="96"/>
    </row>
    <row r="708" spans="1:15" s="155" customFormat="1" ht="15.75" hidden="1" outlineLevel="1" x14ac:dyDescent="0.2">
      <c r="A708" s="222"/>
      <c r="B708" s="93"/>
      <c r="C708" s="42" t="s">
        <v>823</v>
      </c>
      <c r="D708" s="42" t="s">
        <v>816</v>
      </c>
      <c r="E708" s="100" t="s">
        <v>408</v>
      </c>
      <c r="F708" s="149">
        <v>8</v>
      </c>
      <c r="G708" s="149">
        <f>1337842*(1.023*1.005-2.3%*15%)*6.99</f>
        <v>9582171</v>
      </c>
      <c r="H708" s="174">
        <f t="shared" si="271"/>
        <v>1.123</v>
      </c>
      <c r="I708" s="146">
        <f t="shared" si="273"/>
        <v>10760778</v>
      </c>
      <c r="J708" s="145">
        <f>'[2]Расчет прогнозных дефляторов'!$D$93</f>
        <v>1.042</v>
      </c>
      <c r="K708" s="146">
        <f t="shared" si="274"/>
        <v>11212731</v>
      </c>
      <c r="L708" s="146">
        <f t="shared" si="272"/>
        <v>11077145</v>
      </c>
      <c r="M708" s="154"/>
      <c r="N708" s="96"/>
      <c r="O708" s="96"/>
    </row>
    <row r="709" spans="1:15" s="155" customFormat="1" ht="15.75" hidden="1" outlineLevel="1" x14ac:dyDescent="0.2">
      <c r="A709" s="222"/>
      <c r="B709" s="93"/>
      <c r="C709" s="42" t="s">
        <v>825</v>
      </c>
      <c r="D709" s="42" t="s">
        <v>817</v>
      </c>
      <c r="E709" s="100" t="s">
        <v>377</v>
      </c>
      <c r="F709" s="149">
        <v>42</v>
      </c>
      <c r="G709" s="149">
        <f>152109*(1.023*1.005-2.3%*15%)*6.99</f>
        <v>1089467</v>
      </c>
      <c r="H709" s="174">
        <f t="shared" si="271"/>
        <v>1.123</v>
      </c>
      <c r="I709" s="146">
        <f t="shared" si="273"/>
        <v>1223471</v>
      </c>
      <c r="J709" s="145">
        <f>'[2]Расчет прогнозных дефляторов'!$D$93</f>
        <v>1.042</v>
      </c>
      <c r="K709" s="146">
        <f t="shared" si="274"/>
        <v>1274857</v>
      </c>
      <c r="L709" s="146">
        <f t="shared" si="272"/>
        <v>1259441</v>
      </c>
      <c r="M709" s="154"/>
      <c r="N709" s="96"/>
      <c r="O709" s="96"/>
    </row>
    <row r="710" spans="1:15" s="155" customFormat="1" ht="15.75" hidden="1" outlineLevel="1" x14ac:dyDescent="0.2">
      <c r="A710" s="222"/>
      <c r="B710" s="97"/>
      <c r="C710" s="91" t="s">
        <v>826</v>
      </c>
      <c r="D710" s="91" t="s">
        <v>824</v>
      </c>
      <c r="E710" s="161" t="s">
        <v>404</v>
      </c>
      <c r="F710" s="99">
        <v>5740</v>
      </c>
      <c r="G710" s="99">
        <f>261916*(1.023*1.005-2.3%*15%)*6.99</f>
        <v>1875949</v>
      </c>
      <c r="H710" s="163">
        <f t="shared" si="271"/>
        <v>1.123</v>
      </c>
      <c r="I710" s="164">
        <f t="shared" si="273"/>
        <v>2106691</v>
      </c>
      <c r="J710" s="145">
        <f>'[2]Расчет прогнозных дефляторов'!$D$93</f>
        <v>1.042</v>
      </c>
      <c r="K710" s="164">
        <f t="shared" si="274"/>
        <v>2195172</v>
      </c>
      <c r="L710" s="146">
        <f t="shared" si="272"/>
        <v>2168628</v>
      </c>
      <c r="M710" s="172" t="s">
        <v>836</v>
      </c>
      <c r="N710" s="96"/>
      <c r="O710" s="96"/>
    </row>
    <row r="711" spans="1:15" s="155" customFormat="1" ht="15.75" hidden="1" outlineLevel="1" x14ac:dyDescent="0.2">
      <c r="A711" s="222"/>
      <c r="B711" s="93"/>
      <c r="C711" s="94"/>
      <c r="D711" s="157" t="s">
        <v>827</v>
      </c>
      <c r="E711" s="150"/>
      <c r="F711" s="151"/>
      <c r="G711" s="151"/>
      <c r="H711" s="174"/>
      <c r="I711" s="146"/>
      <c r="J711" s="145">
        <f>'[2]Расчет прогнозных дефляторов'!$D$93</f>
        <v>1.042</v>
      </c>
      <c r="K711" s="146">
        <f t="shared" si="274"/>
        <v>0</v>
      </c>
      <c r="L711" s="146"/>
      <c r="M711" s="154"/>
      <c r="N711" s="96"/>
      <c r="O711" s="96"/>
    </row>
    <row r="712" spans="1:15" s="148" customFormat="1" ht="25.5" hidden="1" outlineLevel="1" x14ac:dyDescent="0.2">
      <c r="A712" s="200"/>
      <c r="B712" s="95"/>
      <c r="C712" s="42" t="s">
        <v>830</v>
      </c>
      <c r="D712" s="42" t="s">
        <v>828</v>
      </c>
      <c r="E712" s="100" t="s">
        <v>377</v>
      </c>
      <c r="F712" s="168">
        <f>41.5</f>
        <v>41.5</v>
      </c>
      <c r="G712" s="149">
        <f>906858*(1.023*1.005-2.3%*15%)*6.99</f>
        <v>6495287</v>
      </c>
      <c r="H712" s="174">
        <f t="shared" ref="H712:H717" si="275">$H$772</f>
        <v>1.123</v>
      </c>
      <c r="I712" s="146">
        <f t="shared" si="273"/>
        <v>7294207</v>
      </c>
      <c r="J712" s="145">
        <f>'[2]Расчет прогнозных дефляторов'!$D$93</f>
        <v>1.042</v>
      </c>
      <c r="K712" s="146">
        <f t="shared" si="274"/>
        <v>7600564</v>
      </c>
      <c r="L712" s="146">
        <f t="shared" si="272"/>
        <v>7508657</v>
      </c>
      <c r="M712" s="172"/>
      <c r="N712" s="147"/>
      <c r="O712" s="147"/>
    </row>
    <row r="713" spans="1:15" s="148" customFormat="1" ht="15.75" hidden="1" outlineLevel="1" x14ac:dyDescent="0.2">
      <c r="A713" s="200"/>
      <c r="B713" s="95"/>
      <c r="C713" s="42" t="s">
        <v>831</v>
      </c>
      <c r="D713" s="42" t="s">
        <v>829</v>
      </c>
      <c r="E713" s="100" t="s">
        <v>408</v>
      </c>
      <c r="F713" s="149">
        <v>8</v>
      </c>
      <c r="G713" s="149">
        <f>537430*(1.023*1.005-2.3%*15%)*6.99</f>
        <v>3849293</v>
      </c>
      <c r="H713" s="174">
        <f t="shared" si="275"/>
        <v>1.123</v>
      </c>
      <c r="I713" s="146">
        <f t="shared" si="273"/>
        <v>4322756</v>
      </c>
      <c r="J713" s="145">
        <f>'[2]Расчет прогнозных дефляторов'!$D$93</f>
        <v>1.042</v>
      </c>
      <c r="K713" s="146">
        <f t="shared" si="274"/>
        <v>4504312</v>
      </c>
      <c r="L713" s="146">
        <f t="shared" si="272"/>
        <v>4449845</v>
      </c>
      <c r="M713" s="172"/>
      <c r="N713" s="147"/>
      <c r="O713" s="147"/>
    </row>
    <row r="714" spans="1:15" s="148" customFormat="1" ht="15.75" hidden="1" outlineLevel="1" x14ac:dyDescent="0.2">
      <c r="A714" s="200"/>
      <c r="B714" s="95"/>
      <c r="C714" s="42" t="s">
        <v>832</v>
      </c>
      <c r="D714" s="42" t="s">
        <v>814</v>
      </c>
      <c r="E714" s="100" t="s">
        <v>408</v>
      </c>
      <c r="F714" s="149">
        <v>4</v>
      </c>
      <c r="G714" s="149">
        <f>306068*(1.023*1.005-2.3%*15%)*6.99</f>
        <v>2192184</v>
      </c>
      <c r="H714" s="174">
        <f t="shared" si="275"/>
        <v>1.123</v>
      </c>
      <c r="I714" s="146">
        <f t="shared" si="273"/>
        <v>2461823</v>
      </c>
      <c r="J714" s="145">
        <f>'[2]Расчет прогнозных дефляторов'!$D$93</f>
        <v>1.042</v>
      </c>
      <c r="K714" s="146">
        <f t="shared" si="274"/>
        <v>2565220</v>
      </c>
      <c r="L714" s="146">
        <f t="shared" si="272"/>
        <v>2534201</v>
      </c>
      <c r="M714" s="172"/>
      <c r="N714" s="147"/>
      <c r="O714" s="147"/>
    </row>
    <row r="715" spans="1:15" s="148" customFormat="1" ht="15.75" hidden="1" outlineLevel="1" x14ac:dyDescent="0.2">
      <c r="A715" s="200"/>
      <c r="B715" s="95"/>
      <c r="C715" s="42" t="s">
        <v>833</v>
      </c>
      <c r="D715" s="42" t="s">
        <v>815</v>
      </c>
      <c r="E715" s="100" t="s">
        <v>408</v>
      </c>
      <c r="F715" s="149">
        <v>10</v>
      </c>
      <c r="G715" s="149">
        <f>858564*(1.023*1.005-2.3%*15%)*6.99</f>
        <v>6149386</v>
      </c>
      <c r="H715" s="174">
        <f t="shared" si="275"/>
        <v>1.123</v>
      </c>
      <c r="I715" s="146">
        <f t="shared" si="273"/>
        <v>6905760</v>
      </c>
      <c r="J715" s="145">
        <f>'[2]Расчет прогнозных дефляторов'!$D$93</f>
        <v>1.042</v>
      </c>
      <c r="K715" s="146">
        <f t="shared" si="274"/>
        <v>7195802</v>
      </c>
      <c r="L715" s="146">
        <f t="shared" si="272"/>
        <v>7108789</v>
      </c>
      <c r="M715" s="172"/>
      <c r="N715" s="147"/>
      <c r="O715" s="147"/>
    </row>
    <row r="716" spans="1:15" s="148" customFormat="1" ht="15.75" hidden="1" outlineLevel="1" x14ac:dyDescent="0.2">
      <c r="A716" s="200"/>
      <c r="B716" s="95"/>
      <c r="C716" s="42" t="s">
        <v>834</v>
      </c>
      <c r="D716" s="42" t="s">
        <v>816</v>
      </c>
      <c r="E716" s="100" t="s">
        <v>408</v>
      </c>
      <c r="F716" s="149">
        <v>4</v>
      </c>
      <c r="G716" s="149">
        <f>380777*(1.023*1.005-2.3%*15%)*6.99</f>
        <v>2727280</v>
      </c>
      <c r="H716" s="174">
        <f t="shared" si="275"/>
        <v>1.123</v>
      </c>
      <c r="I716" s="146">
        <f t="shared" si="273"/>
        <v>3062735</v>
      </c>
      <c r="J716" s="145">
        <f>'[2]Расчет прогнозных дефляторов'!$D$93</f>
        <v>1.042</v>
      </c>
      <c r="K716" s="146">
        <f t="shared" si="274"/>
        <v>3191370</v>
      </c>
      <c r="L716" s="146">
        <f t="shared" si="272"/>
        <v>3152780</v>
      </c>
      <c r="M716" s="172"/>
      <c r="N716" s="147"/>
      <c r="O716" s="147"/>
    </row>
    <row r="717" spans="1:15" s="148" customFormat="1" ht="15.75" hidden="1" outlineLevel="1" x14ac:dyDescent="0.2">
      <c r="A717" s="200"/>
      <c r="B717" s="95"/>
      <c r="C717" s="42" t="s">
        <v>835</v>
      </c>
      <c r="D717" s="42" t="s">
        <v>824</v>
      </c>
      <c r="E717" s="100" t="s">
        <v>404</v>
      </c>
      <c r="F717" s="149">
        <v>3760</v>
      </c>
      <c r="G717" s="149">
        <f>171569*(1.023*1.005-2.3%*15%)*6.99</f>
        <v>1228847</v>
      </c>
      <c r="H717" s="174">
        <f t="shared" si="275"/>
        <v>1.123</v>
      </c>
      <c r="I717" s="146">
        <f t="shared" si="273"/>
        <v>1379995</v>
      </c>
      <c r="J717" s="145">
        <f>'[2]Расчет прогнозных дефляторов'!$D$93</f>
        <v>1.042</v>
      </c>
      <c r="K717" s="146">
        <f t="shared" si="274"/>
        <v>1437955</v>
      </c>
      <c r="L717" s="146">
        <f t="shared" si="272"/>
        <v>1420567</v>
      </c>
      <c r="M717" s="172"/>
      <c r="N717" s="147"/>
      <c r="O717" s="147"/>
    </row>
    <row r="718" spans="1:15" s="148" customFormat="1" ht="15.75" hidden="1" outlineLevel="1" x14ac:dyDescent="0.2">
      <c r="A718" s="200"/>
      <c r="B718" s="95"/>
      <c r="C718" s="42"/>
      <c r="D718" s="157" t="s">
        <v>837</v>
      </c>
      <c r="E718" s="100"/>
      <c r="F718" s="149"/>
      <c r="G718" s="149"/>
      <c r="H718" s="174"/>
      <c r="I718" s="146"/>
      <c r="J718" s="145"/>
      <c r="K718" s="146">
        <f t="shared" si="274"/>
        <v>0</v>
      </c>
      <c r="L718" s="146"/>
      <c r="M718" s="172"/>
      <c r="N718" s="147"/>
      <c r="O718" s="147"/>
    </row>
    <row r="719" spans="1:15" s="148" customFormat="1" ht="15.75" hidden="1" outlineLevel="1" x14ac:dyDescent="0.2">
      <c r="A719" s="200"/>
      <c r="B719" s="95"/>
      <c r="C719" s="42"/>
      <c r="D719" s="157" t="s">
        <v>838</v>
      </c>
      <c r="E719" s="100"/>
      <c r="F719" s="149"/>
      <c r="G719" s="149"/>
      <c r="H719" s="174"/>
      <c r="I719" s="146"/>
      <c r="J719" s="145"/>
      <c r="K719" s="146">
        <f t="shared" si="274"/>
        <v>0</v>
      </c>
      <c r="L719" s="146"/>
      <c r="M719" s="172"/>
      <c r="N719" s="147"/>
      <c r="O719" s="147"/>
    </row>
    <row r="720" spans="1:15" s="148" customFormat="1" ht="25.5" hidden="1" outlineLevel="1" x14ac:dyDescent="0.2">
      <c r="A720" s="200"/>
      <c r="B720" s="95"/>
      <c r="C720" s="42" t="s">
        <v>842</v>
      </c>
      <c r="D720" s="42" t="s">
        <v>839</v>
      </c>
      <c r="E720" s="100" t="s">
        <v>300</v>
      </c>
      <c r="F720" s="149">
        <v>1115</v>
      </c>
      <c r="G720" s="149">
        <f>133953*(1.023*1.005-2.3%*15%)*6.99</f>
        <v>959426</v>
      </c>
      <c r="H720" s="174">
        <f>$H$772</f>
        <v>1.123</v>
      </c>
      <c r="I720" s="146">
        <f t="shared" si="273"/>
        <v>1077435</v>
      </c>
      <c r="J720" s="145">
        <f>'[2]Расчет прогнозных дефляторов'!$D$93</f>
        <v>1.042</v>
      </c>
      <c r="K720" s="146">
        <f t="shared" si="274"/>
        <v>1122687</v>
      </c>
      <c r="L720" s="146">
        <f t="shared" si="272"/>
        <v>1109111</v>
      </c>
      <c r="M720" s="172"/>
      <c r="N720" s="147"/>
      <c r="O720" s="147"/>
    </row>
    <row r="721" spans="1:15" s="148" customFormat="1" ht="25.5" hidden="1" outlineLevel="1" x14ac:dyDescent="0.2">
      <c r="A721" s="200"/>
      <c r="B721" s="95"/>
      <c r="C721" s="42" t="s">
        <v>843</v>
      </c>
      <c r="D721" s="42" t="s">
        <v>840</v>
      </c>
      <c r="E721" s="100" t="s">
        <v>300</v>
      </c>
      <c r="F721" s="149">
        <v>185</v>
      </c>
      <c r="G721" s="149">
        <f>34830*(1.023*1.005-2.3%*15%)*6.99</f>
        <v>249467</v>
      </c>
      <c r="H721" s="174">
        <f>$H$772</f>
        <v>1.123</v>
      </c>
      <c r="I721" s="146">
        <f t="shared" si="273"/>
        <v>280151</v>
      </c>
      <c r="J721" s="145">
        <f>'[2]Расчет прогнозных дефляторов'!$D$93</f>
        <v>1.042</v>
      </c>
      <c r="K721" s="146">
        <f t="shared" si="274"/>
        <v>291917</v>
      </c>
      <c r="L721" s="146">
        <f t="shared" si="272"/>
        <v>288387</v>
      </c>
      <c r="M721" s="172"/>
      <c r="N721" s="147"/>
      <c r="O721" s="147"/>
    </row>
    <row r="722" spans="1:15" s="148" customFormat="1" ht="25.5" hidden="1" outlineLevel="1" x14ac:dyDescent="0.2">
      <c r="A722" s="200"/>
      <c r="B722" s="95"/>
      <c r="C722" s="42" t="s">
        <v>844</v>
      </c>
      <c r="D722" s="42" t="s">
        <v>841</v>
      </c>
      <c r="E722" s="100" t="s">
        <v>300</v>
      </c>
      <c r="F722" s="149">
        <v>895</v>
      </c>
      <c r="G722" s="149">
        <f>9770*(1.023*1.005-2.3%*15%)*6.99</f>
        <v>69977</v>
      </c>
      <c r="H722" s="174">
        <f>$H$772</f>
        <v>1.123</v>
      </c>
      <c r="I722" s="146">
        <f t="shared" si="273"/>
        <v>78584</v>
      </c>
      <c r="J722" s="145">
        <f>'[2]Расчет прогнозных дефляторов'!$D$93</f>
        <v>1.042</v>
      </c>
      <c r="K722" s="146">
        <f t="shared" si="274"/>
        <v>81885</v>
      </c>
      <c r="L722" s="146">
        <f t="shared" si="272"/>
        <v>80895</v>
      </c>
      <c r="M722" s="172"/>
      <c r="N722" s="147"/>
      <c r="O722" s="147"/>
    </row>
    <row r="723" spans="1:15" s="237" customFormat="1" ht="25.5" collapsed="1" x14ac:dyDescent="0.2">
      <c r="A723" s="131"/>
      <c r="B723" s="179"/>
      <c r="C723" s="180" t="s">
        <v>845</v>
      </c>
      <c r="D723" s="180" t="s">
        <v>157</v>
      </c>
      <c r="E723" s="125" t="s">
        <v>292</v>
      </c>
      <c r="F723" s="126">
        <v>1</v>
      </c>
      <c r="G723" s="126">
        <f>8732*(1.023*1.005-2.3%*15%)*6.99</f>
        <v>62542</v>
      </c>
      <c r="H723" s="127">
        <f>$H$772</f>
        <v>1.123</v>
      </c>
      <c r="I723" s="128">
        <f t="shared" si="273"/>
        <v>70235</v>
      </c>
      <c r="J723" s="127"/>
      <c r="K723" s="128">
        <f t="shared" si="274"/>
        <v>0</v>
      </c>
      <c r="L723" s="128">
        <f t="shared" si="272"/>
        <v>21071</v>
      </c>
      <c r="M723" s="286"/>
      <c r="N723" s="256"/>
      <c r="O723" s="256"/>
    </row>
    <row r="724" spans="1:15" s="237" customFormat="1" ht="25.5" x14ac:dyDescent="0.2">
      <c r="A724" s="131"/>
      <c r="B724" s="179"/>
      <c r="C724" s="180" t="s">
        <v>144</v>
      </c>
      <c r="D724" s="180" t="s">
        <v>1786</v>
      </c>
      <c r="E724" s="125" t="s">
        <v>292</v>
      </c>
      <c r="F724" s="126">
        <v>1</v>
      </c>
      <c r="G724" s="126">
        <f>SUM(G725:G735)</f>
        <v>2167037</v>
      </c>
      <c r="H724" s="127">
        <f>$H$772</f>
        <v>1.123</v>
      </c>
      <c r="I724" s="126">
        <f>SUM(I725:I735)</f>
        <v>2433582</v>
      </c>
      <c r="J724" s="127">
        <f>'[2]Расчет прогнозных дефляторов'!$D$102</f>
        <v>1.0429999999999999</v>
      </c>
      <c r="K724" s="126">
        <f>SUM(K725:K735)</f>
        <v>2538225</v>
      </c>
      <c r="L724" s="126">
        <f>SUM(L725:L735)</f>
        <v>2506831</v>
      </c>
      <c r="M724" s="286"/>
      <c r="N724" s="256"/>
      <c r="O724" s="256"/>
    </row>
    <row r="725" spans="1:15" s="148" customFormat="1" ht="15.75" hidden="1" outlineLevel="1" x14ac:dyDescent="0.2">
      <c r="B725" s="95"/>
      <c r="C725" s="42"/>
      <c r="D725" s="157" t="s">
        <v>367</v>
      </c>
      <c r="E725" s="100"/>
      <c r="F725" s="149"/>
      <c r="G725" s="149"/>
      <c r="H725" s="145"/>
      <c r="I725" s="146"/>
      <c r="J725" s="145">
        <f>'[2]Расчет прогнозных дефляторов'!$D$102</f>
        <v>1.0429999999999999</v>
      </c>
      <c r="K725" s="146">
        <f t="shared" ref="K725:K735" si="276">I725*J725</f>
        <v>0</v>
      </c>
      <c r="L725" s="146">
        <f t="shared" ref="L725:L735" si="277">I725+(K725-I725)*(1-30/100)</f>
        <v>0</v>
      </c>
      <c r="M725" s="147"/>
      <c r="N725" s="147"/>
      <c r="O725" s="147"/>
    </row>
    <row r="726" spans="1:15" s="148" customFormat="1" ht="25.5" hidden="1" outlineLevel="1" x14ac:dyDescent="0.2">
      <c r="A726" s="200"/>
      <c r="B726" s="95" t="s">
        <v>511</v>
      </c>
      <c r="C726" s="42" t="s">
        <v>369</v>
      </c>
      <c r="D726" s="42" t="s">
        <v>356</v>
      </c>
      <c r="E726" s="100" t="s">
        <v>300</v>
      </c>
      <c r="F726" s="149">
        <v>332</v>
      </c>
      <c r="G726" s="149">
        <f>65647*(1.023*1.005-2.3%*15%)*6.99-37</f>
        <v>470154</v>
      </c>
      <c r="H726" s="145">
        <f t="shared" ref="H726:H731" si="278">$H$772</f>
        <v>1.123</v>
      </c>
      <c r="I726" s="146">
        <f t="shared" ref="I726:I743" si="279">G726*H726</f>
        <v>527983</v>
      </c>
      <c r="J726" s="145">
        <f>'[2]Расчет прогнозных дефляторов'!$D$102</f>
        <v>1.0429999999999999</v>
      </c>
      <c r="K726" s="146">
        <f t="shared" si="276"/>
        <v>550686</v>
      </c>
      <c r="L726" s="146">
        <f t="shared" si="277"/>
        <v>543875</v>
      </c>
      <c r="M726" s="147"/>
      <c r="N726" s="147"/>
      <c r="O726" s="147"/>
    </row>
    <row r="727" spans="1:15" s="148" customFormat="1" ht="15.75" hidden="1" outlineLevel="1" x14ac:dyDescent="0.2">
      <c r="A727" s="200"/>
      <c r="B727" s="95" t="s">
        <v>655</v>
      </c>
      <c r="C727" s="42" t="s">
        <v>772</v>
      </c>
      <c r="D727" s="42" t="s">
        <v>656</v>
      </c>
      <c r="E727" s="100" t="s">
        <v>300</v>
      </c>
      <c r="F727" s="168">
        <v>232.4</v>
      </c>
      <c r="G727" s="149">
        <f>(5022+2772+405)*(1.023*1.005-2.3%*15%)*6.99</f>
        <v>58725</v>
      </c>
      <c r="H727" s="145">
        <f t="shared" si="278"/>
        <v>1.123</v>
      </c>
      <c r="I727" s="146">
        <f t="shared" si="279"/>
        <v>65948</v>
      </c>
      <c r="J727" s="145">
        <f>'[2]Расчет прогнозных дефляторов'!$D$102</f>
        <v>1.0429999999999999</v>
      </c>
      <c r="K727" s="146">
        <f t="shared" si="276"/>
        <v>68784</v>
      </c>
      <c r="L727" s="146">
        <f t="shared" si="277"/>
        <v>67933</v>
      </c>
      <c r="M727" s="147"/>
      <c r="N727" s="147"/>
      <c r="O727" s="147"/>
    </row>
    <row r="728" spans="1:15" s="148" customFormat="1" ht="15.75" hidden="1" outlineLevel="1" x14ac:dyDescent="0.2">
      <c r="A728" s="200"/>
      <c r="B728" s="95" t="s">
        <v>657</v>
      </c>
      <c r="C728" s="42" t="s">
        <v>372</v>
      </c>
      <c r="D728" s="42" t="s">
        <v>460</v>
      </c>
      <c r="E728" s="100" t="s">
        <v>300</v>
      </c>
      <c r="F728" s="168">
        <v>99.6</v>
      </c>
      <c r="G728" s="149">
        <f>1669*(1.023*1.005-2.3%*15%)*6.99</f>
        <v>11954</v>
      </c>
      <c r="H728" s="145">
        <f t="shared" si="278"/>
        <v>1.123</v>
      </c>
      <c r="I728" s="146">
        <f t="shared" si="279"/>
        <v>13424</v>
      </c>
      <c r="J728" s="145">
        <f>'[2]Расчет прогнозных дефляторов'!$D$102</f>
        <v>1.0429999999999999</v>
      </c>
      <c r="K728" s="146">
        <f t="shared" si="276"/>
        <v>14001</v>
      </c>
      <c r="L728" s="146">
        <f t="shared" si="277"/>
        <v>13828</v>
      </c>
      <c r="M728" s="147"/>
      <c r="N728" s="147"/>
      <c r="O728" s="147"/>
    </row>
    <row r="729" spans="1:15" s="148" customFormat="1" ht="15.75" hidden="1" outlineLevel="1" x14ac:dyDescent="0.2">
      <c r="A729" s="200"/>
      <c r="B729" s="95" t="s">
        <v>658</v>
      </c>
      <c r="C729" s="42" t="s">
        <v>375</v>
      </c>
      <c r="D729" s="42" t="s">
        <v>359</v>
      </c>
      <c r="E729" s="100" t="s">
        <v>300</v>
      </c>
      <c r="F729" s="168">
        <v>99.6</v>
      </c>
      <c r="G729" s="149">
        <f>(339+239+1021)*(1.023*1.005-2.3%*15%)*6.99</f>
        <v>11453</v>
      </c>
      <c r="H729" s="145">
        <f t="shared" si="278"/>
        <v>1.123</v>
      </c>
      <c r="I729" s="146">
        <f t="shared" si="279"/>
        <v>12862</v>
      </c>
      <c r="J729" s="145">
        <f>'[2]Расчет прогнозных дефляторов'!$D$102</f>
        <v>1.0429999999999999</v>
      </c>
      <c r="K729" s="146">
        <f t="shared" si="276"/>
        <v>13415</v>
      </c>
      <c r="L729" s="146">
        <f t="shared" si="277"/>
        <v>13249</v>
      </c>
      <c r="M729" s="147"/>
      <c r="N729" s="147"/>
      <c r="O729" s="147"/>
    </row>
    <row r="730" spans="1:15" s="148" customFormat="1" ht="25.5" hidden="1" outlineLevel="1" x14ac:dyDescent="0.2">
      <c r="A730" s="200"/>
      <c r="B730" s="95" t="s">
        <v>659</v>
      </c>
      <c r="C730" s="42" t="s">
        <v>774</v>
      </c>
      <c r="D730" s="42" t="s">
        <v>773</v>
      </c>
      <c r="E730" s="100" t="s">
        <v>377</v>
      </c>
      <c r="F730" s="149">
        <v>60</v>
      </c>
      <c r="G730" s="149">
        <f>(60/190*(864+5408+10382)+789)*(1.023*1.005-2.3%*15%)*6.99</f>
        <v>43319</v>
      </c>
      <c r="H730" s="145">
        <f t="shared" si="278"/>
        <v>1.123</v>
      </c>
      <c r="I730" s="146">
        <f t="shared" si="279"/>
        <v>48647</v>
      </c>
      <c r="J730" s="145">
        <f>'[2]Расчет прогнозных дефляторов'!$D$102</f>
        <v>1.0429999999999999</v>
      </c>
      <c r="K730" s="146">
        <f t="shared" si="276"/>
        <v>50739</v>
      </c>
      <c r="L730" s="146">
        <f t="shared" si="277"/>
        <v>50111</v>
      </c>
      <c r="M730" s="147"/>
      <c r="N730" s="147"/>
      <c r="O730" s="147"/>
    </row>
    <row r="731" spans="1:15" s="148" customFormat="1" ht="25.5" hidden="1" outlineLevel="1" x14ac:dyDescent="0.2">
      <c r="A731" s="200"/>
      <c r="B731" s="95" t="s">
        <v>660</v>
      </c>
      <c r="C731" s="42" t="s">
        <v>776</v>
      </c>
      <c r="D731" s="42" t="s">
        <v>775</v>
      </c>
      <c r="E731" s="100" t="s">
        <v>377</v>
      </c>
      <c r="F731" s="149">
        <v>130</v>
      </c>
      <c r="G731" s="149">
        <f>(130/190*(864+5408+10382)+6269)*(1.023*1.005-2.3%*15%)*6.99</f>
        <v>126516</v>
      </c>
      <c r="H731" s="145">
        <f t="shared" si="278"/>
        <v>1.123</v>
      </c>
      <c r="I731" s="146">
        <f t="shared" si="279"/>
        <v>142077</v>
      </c>
      <c r="J731" s="145">
        <f>'[2]Расчет прогнозных дефляторов'!$D$102</f>
        <v>1.0429999999999999</v>
      </c>
      <c r="K731" s="146">
        <f t="shared" si="276"/>
        <v>148186</v>
      </c>
      <c r="L731" s="146">
        <f t="shared" si="277"/>
        <v>146353</v>
      </c>
      <c r="M731" s="147"/>
      <c r="N731" s="147"/>
      <c r="O731" s="147"/>
    </row>
    <row r="732" spans="1:15" s="148" customFormat="1" ht="15.75" hidden="1" outlineLevel="1" x14ac:dyDescent="0.2">
      <c r="B732" s="95"/>
      <c r="C732" s="42"/>
      <c r="D732" s="157" t="s">
        <v>379</v>
      </c>
      <c r="E732" s="100"/>
      <c r="F732" s="149"/>
      <c r="G732" s="149"/>
      <c r="H732" s="145"/>
      <c r="I732" s="146"/>
      <c r="J732" s="145">
        <f>'[2]Расчет прогнозных дефляторов'!$D$102</f>
        <v>1.0429999999999999</v>
      </c>
      <c r="K732" s="146">
        <f t="shared" si="276"/>
        <v>0</v>
      </c>
      <c r="L732" s="146">
        <f t="shared" si="277"/>
        <v>0</v>
      </c>
      <c r="M732" s="147"/>
      <c r="N732" s="147"/>
      <c r="O732" s="147"/>
    </row>
    <row r="733" spans="1:15" s="148" customFormat="1" ht="25.5" hidden="1" outlineLevel="1" x14ac:dyDescent="0.2">
      <c r="A733" s="200"/>
      <c r="B733" s="95" t="s">
        <v>661</v>
      </c>
      <c r="C733" s="42" t="s">
        <v>381</v>
      </c>
      <c r="D733" s="42" t="s">
        <v>778</v>
      </c>
      <c r="E733" s="100" t="s">
        <v>377</v>
      </c>
      <c r="F733" s="149">
        <v>120</v>
      </c>
      <c r="G733" s="149">
        <f>(1923+123008)*(1.023*1.005-2.3%*15%)*6.99</f>
        <v>894807</v>
      </c>
      <c r="H733" s="145">
        <f t="shared" ref="H733:H740" si="280">$H$772</f>
        <v>1.123</v>
      </c>
      <c r="I733" s="146">
        <f t="shared" si="279"/>
        <v>1004868</v>
      </c>
      <c r="J733" s="145">
        <f>'[2]Расчет прогнозных дефляторов'!$D$102</f>
        <v>1.0429999999999999</v>
      </c>
      <c r="K733" s="146">
        <f t="shared" si="276"/>
        <v>1048077</v>
      </c>
      <c r="L733" s="146">
        <f t="shared" si="277"/>
        <v>1035114</v>
      </c>
      <c r="M733" s="147"/>
      <c r="N733" s="147"/>
      <c r="O733" s="147"/>
    </row>
    <row r="734" spans="1:15" s="148" customFormat="1" ht="25.5" hidden="1" outlineLevel="1" x14ac:dyDescent="0.2">
      <c r="A734" s="200"/>
      <c r="B734" s="95" t="s">
        <v>662</v>
      </c>
      <c r="C734" s="42" t="s">
        <v>383</v>
      </c>
      <c r="D734" s="42" t="s">
        <v>777</v>
      </c>
      <c r="E734" s="100" t="s">
        <v>377</v>
      </c>
      <c r="F734" s="149">
        <v>120</v>
      </c>
      <c r="G734" s="149">
        <f>(1239+35765)*(1.023*1.005-2.3%*15%)*6.99</f>
        <v>265038</v>
      </c>
      <c r="H734" s="145">
        <f t="shared" si="280"/>
        <v>1.123</v>
      </c>
      <c r="I734" s="146">
        <f t="shared" si="279"/>
        <v>297638</v>
      </c>
      <c r="J734" s="145">
        <f>'[2]Расчет прогнозных дефляторов'!$D$102</f>
        <v>1.0429999999999999</v>
      </c>
      <c r="K734" s="146">
        <f t="shared" si="276"/>
        <v>310436</v>
      </c>
      <c r="L734" s="146">
        <f t="shared" si="277"/>
        <v>306597</v>
      </c>
      <c r="M734" s="147"/>
      <c r="N734" s="147"/>
      <c r="O734" s="147"/>
    </row>
    <row r="735" spans="1:15" s="148" customFormat="1" ht="25.5" hidden="1" outlineLevel="1" x14ac:dyDescent="0.2">
      <c r="A735" s="200"/>
      <c r="B735" s="95" t="s">
        <v>663</v>
      </c>
      <c r="C735" s="42" t="s">
        <v>385</v>
      </c>
      <c r="D735" s="42" t="s">
        <v>386</v>
      </c>
      <c r="E735" s="100" t="s">
        <v>377</v>
      </c>
      <c r="F735" s="149">
        <v>830</v>
      </c>
      <c r="G735" s="149">
        <f>(13357+26444)*(1.023*1.005-2.3%*15%)*6.99</f>
        <v>285071</v>
      </c>
      <c r="H735" s="145">
        <f t="shared" si="280"/>
        <v>1.123</v>
      </c>
      <c r="I735" s="146">
        <f t="shared" si="279"/>
        <v>320135</v>
      </c>
      <c r="J735" s="145">
        <f>'[2]Расчет прогнозных дефляторов'!$D$102</f>
        <v>1.0429999999999999</v>
      </c>
      <c r="K735" s="146">
        <f t="shared" si="276"/>
        <v>333901</v>
      </c>
      <c r="L735" s="146">
        <f t="shared" si="277"/>
        <v>329771</v>
      </c>
      <c r="M735" s="147"/>
      <c r="N735" s="147"/>
      <c r="O735" s="147"/>
    </row>
    <row r="736" spans="1:15" s="138" customFormat="1" ht="15.75" collapsed="1" x14ac:dyDescent="0.2">
      <c r="A736" s="131"/>
      <c r="B736" s="179" t="s">
        <v>518</v>
      </c>
      <c r="C736" s="180" t="s">
        <v>1787</v>
      </c>
      <c r="D736" s="180" t="s">
        <v>680</v>
      </c>
      <c r="E736" s="125" t="s">
        <v>292</v>
      </c>
      <c r="F736" s="126">
        <v>1</v>
      </c>
      <c r="G736" s="126">
        <f>SUM(G737:G738)</f>
        <v>712108</v>
      </c>
      <c r="H736" s="127">
        <f t="shared" si="280"/>
        <v>1.123</v>
      </c>
      <c r="I736" s="128">
        <f>SUM(I737:I738)</f>
        <v>799697</v>
      </c>
      <c r="J736" s="127">
        <f>'[2]Расчет прогнозных дефляторов'!$D$138</f>
        <v>1.0469999999999999</v>
      </c>
      <c r="K736" s="128">
        <f>SUM(K737:K738)</f>
        <v>837283</v>
      </c>
      <c r="L736" s="128">
        <f>SUM(L737:L738)</f>
        <v>826007</v>
      </c>
      <c r="M736" s="137"/>
      <c r="N736" s="137"/>
      <c r="O736" s="137"/>
    </row>
    <row r="737" spans="1:16" s="148" customFormat="1" ht="79.5" hidden="1" customHeight="1" outlineLevel="1" x14ac:dyDescent="0.2">
      <c r="A737" s="200"/>
      <c r="B737" s="95" t="s">
        <v>681</v>
      </c>
      <c r="C737" s="42" t="s">
        <v>307</v>
      </c>
      <c r="D737" s="42" t="s">
        <v>708</v>
      </c>
      <c r="E737" s="100" t="s">
        <v>305</v>
      </c>
      <c r="F737" s="149">
        <v>28</v>
      </c>
      <c r="G737" s="149">
        <f>97608*(1.023*1.005-2.3%*15%)*6.99+0*4.09</f>
        <v>699108</v>
      </c>
      <c r="H737" s="145">
        <f t="shared" si="280"/>
        <v>1.123</v>
      </c>
      <c r="I737" s="146">
        <f t="shared" si="279"/>
        <v>785098</v>
      </c>
      <c r="J737" s="145">
        <f>'[2]Расчет прогнозных дефляторов'!$D$138</f>
        <v>1.0469999999999999</v>
      </c>
      <c r="K737" s="146">
        <f t="shared" ref="K737:K747" si="281">I737*J737</f>
        <v>821998</v>
      </c>
      <c r="L737" s="146">
        <f t="shared" ref="L737:L747" si="282">I737+(K737-I737)*(1-30/100)</f>
        <v>810928</v>
      </c>
      <c r="M737" s="204" t="s">
        <v>709</v>
      </c>
      <c r="N737" s="168">
        <v>823.2</v>
      </c>
      <c r="O737" s="147">
        <f>F737*N737</f>
        <v>23049.599999999999</v>
      </c>
      <c r="P737" s="205">
        <f>(97608-51003)*(1.023*1.005-2.3%*15%)*6.99*1.2</f>
        <v>400565</v>
      </c>
    </row>
    <row r="738" spans="1:16" s="148" customFormat="1" ht="69.75" hidden="1" customHeight="1" outlineLevel="1" x14ac:dyDescent="0.2">
      <c r="A738" s="200"/>
      <c r="B738" s="95" t="s">
        <v>682</v>
      </c>
      <c r="C738" s="42" t="s">
        <v>311</v>
      </c>
      <c r="D738" s="42" t="s">
        <v>309</v>
      </c>
      <c r="E738" s="100" t="s">
        <v>305</v>
      </c>
      <c r="F738" s="149">
        <v>1</v>
      </c>
      <c r="G738" s="149">
        <f>1815*(1.023*1.005-2.3%*15%)*6.99+0*4.09</f>
        <v>13000</v>
      </c>
      <c r="H738" s="145">
        <f t="shared" si="280"/>
        <v>1.123</v>
      </c>
      <c r="I738" s="146">
        <f t="shared" si="279"/>
        <v>14599</v>
      </c>
      <c r="J738" s="145">
        <f>'[2]Расчет прогнозных дефляторов'!$D$138</f>
        <v>1.0469999999999999</v>
      </c>
      <c r="K738" s="146">
        <f t="shared" si="281"/>
        <v>15285</v>
      </c>
      <c r="L738" s="146">
        <f t="shared" si="282"/>
        <v>15079</v>
      </c>
      <c r="M738" s="203" t="s">
        <v>710</v>
      </c>
      <c r="N738" s="168">
        <v>475.5</v>
      </c>
      <c r="O738" s="147">
        <f>F738*N738</f>
        <v>475.5</v>
      </c>
      <c r="P738" s="205">
        <f>(1815-1542)*(1.023*1.005-2.3%*15%)*6.99*1.2</f>
        <v>2346</v>
      </c>
    </row>
    <row r="739" spans="1:16" s="131" customFormat="1" ht="25.5" collapsed="1" x14ac:dyDescent="0.2">
      <c r="B739" s="179" t="s">
        <v>522</v>
      </c>
      <c r="C739" s="180" t="s">
        <v>65</v>
      </c>
      <c r="D739" s="180" t="s">
        <v>519</v>
      </c>
      <c r="E739" s="125" t="s">
        <v>292</v>
      </c>
      <c r="F739" s="126">
        <v>1</v>
      </c>
      <c r="G739" s="126">
        <f>'Затраты подрядчика'!O97</f>
        <v>1044688</v>
      </c>
      <c r="H739" s="127">
        <f t="shared" si="280"/>
        <v>1.123</v>
      </c>
      <c r="I739" s="128">
        <f t="shared" si="279"/>
        <v>1173185</v>
      </c>
      <c r="J739" s="127">
        <f>'[2]Расчет прогнозных дефляторов'!$D$165</f>
        <v>1.038</v>
      </c>
      <c r="K739" s="128">
        <f t="shared" si="281"/>
        <v>1217766</v>
      </c>
      <c r="L739" s="128">
        <f t="shared" si="282"/>
        <v>1204392</v>
      </c>
      <c r="M739" s="129"/>
      <c r="N739" s="129"/>
      <c r="O739" s="129"/>
    </row>
    <row r="740" spans="1:16" s="131" customFormat="1" ht="15.75" x14ac:dyDescent="0.2">
      <c r="B740" s="179" t="s">
        <v>686</v>
      </c>
      <c r="C740" s="180" t="s">
        <v>67</v>
      </c>
      <c r="D740" s="180" t="s">
        <v>68</v>
      </c>
      <c r="E740" s="125" t="s">
        <v>292</v>
      </c>
      <c r="F740" s="126">
        <v>1</v>
      </c>
      <c r="G740" s="126">
        <f>'Затраты подрядчика'!O98</f>
        <v>625992</v>
      </c>
      <c r="H740" s="127">
        <f t="shared" si="280"/>
        <v>1.123</v>
      </c>
      <c r="I740" s="128">
        <f>G740*H740</f>
        <v>702989</v>
      </c>
      <c r="J740" s="127">
        <f>'[2]Расчет прогнозных дефляторов'!$D$183</f>
        <v>1.038</v>
      </c>
      <c r="K740" s="128">
        <f>I740*J740</f>
        <v>729703</v>
      </c>
      <c r="L740" s="128">
        <f>I740+(K740-I740)*(1-30/100)</f>
        <v>721689</v>
      </c>
      <c r="M740" s="129"/>
      <c r="N740" s="129"/>
      <c r="O740" s="129"/>
    </row>
    <row r="741" spans="1:16" s="131" customFormat="1" ht="15.75" x14ac:dyDescent="0.2">
      <c r="B741" s="179" t="s">
        <v>523</v>
      </c>
      <c r="C741" s="180" t="s">
        <v>71</v>
      </c>
      <c r="D741" s="180" t="s">
        <v>72</v>
      </c>
      <c r="E741" s="125" t="s">
        <v>292</v>
      </c>
      <c r="F741" s="126">
        <v>1</v>
      </c>
      <c r="G741" s="126">
        <f>SUM(G742:G744)</f>
        <v>13109951</v>
      </c>
      <c r="H741" s="127"/>
      <c r="I741" s="126">
        <f>SUM(I742:I744)</f>
        <v>13473162</v>
      </c>
      <c r="J741" s="127"/>
      <c r="K741" s="126">
        <f>SUM(K742:K744)</f>
        <v>13551549</v>
      </c>
      <c r="L741" s="126">
        <f>SUM(L742:L744)</f>
        <v>13528033</v>
      </c>
      <c r="M741" s="129"/>
      <c r="N741" s="129"/>
      <c r="O741" s="129"/>
    </row>
    <row r="742" spans="1:16" s="267" customFormat="1" ht="25.5" outlineLevel="1" x14ac:dyDescent="0.2">
      <c r="A742" s="200"/>
      <c r="B742" s="177" t="s">
        <v>684</v>
      </c>
      <c r="C742" s="42" t="s">
        <v>1789</v>
      </c>
      <c r="D742" s="42" t="s">
        <v>1788</v>
      </c>
      <c r="E742" s="100" t="s">
        <v>292</v>
      </c>
      <c r="F742" s="149">
        <v>1</v>
      </c>
      <c r="G742" s="149">
        <f>103591*10.79-G762</f>
        <v>1116047</v>
      </c>
      <c r="H742" s="145">
        <f>$H$772</f>
        <v>1.123</v>
      </c>
      <c r="I742" s="146">
        <f t="shared" si="279"/>
        <v>1253321</v>
      </c>
      <c r="J742" s="145">
        <f>'[2]Расчет прогнозных дефляторов'!$D$192</f>
        <v>1.038</v>
      </c>
      <c r="K742" s="146">
        <f>I742*J744</f>
        <v>1253321</v>
      </c>
      <c r="L742" s="146">
        <f t="shared" si="282"/>
        <v>1253321</v>
      </c>
      <c r="M742" s="292"/>
      <c r="N742" s="292"/>
      <c r="O742" s="292"/>
    </row>
    <row r="743" spans="1:16" s="267" customFormat="1" ht="38.25" outlineLevel="1" x14ac:dyDescent="0.2">
      <c r="A743" s="200"/>
      <c r="B743" s="177"/>
      <c r="C743" s="42" t="s">
        <v>274</v>
      </c>
      <c r="D743" s="42" t="s">
        <v>1791</v>
      </c>
      <c r="E743" s="100" t="s">
        <v>292</v>
      </c>
      <c r="F743" s="149">
        <v>1</v>
      </c>
      <c r="G743" s="149">
        <f>170499*10.79-G763</f>
        <v>1836886</v>
      </c>
      <c r="H743" s="145">
        <f>$H$772</f>
        <v>1.123</v>
      </c>
      <c r="I743" s="146">
        <f t="shared" si="279"/>
        <v>2062823</v>
      </c>
      <c r="J743" s="145">
        <f>'[2]Расчет прогнозных дефляторов'!$D$192</f>
        <v>1.038</v>
      </c>
      <c r="K743" s="146">
        <f>I743*J743</f>
        <v>2141210</v>
      </c>
      <c r="L743" s="146">
        <f t="shared" si="282"/>
        <v>2117694</v>
      </c>
      <c r="M743" s="292"/>
      <c r="N743" s="292"/>
      <c r="O743" s="292"/>
    </row>
    <row r="744" spans="1:16" s="267" customFormat="1" ht="15.75" outlineLevel="1" x14ac:dyDescent="0.2">
      <c r="A744" s="200"/>
      <c r="B744" s="177" t="s">
        <v>683</v>
      </c>
      <c r="C744" s="42" t="s">
        <v>1790</v>
      </c>
      <c r="D744" s="42" t="s">
        <v>685</v>
      </c>
      <c r="E744" s="100" t="s">
        <v>292</v>
      </c>
      <c r="F744" s="149">
        <v>1</v>
      </c>
      <c r="G744" s="149">
        <f>((100816+841948)*10.79+64)-G764</f>
        <v>10157018</v>
      </c>
      <c r="H744" s="145">
        <v>1</v>
      </c>
      <c r="I744" s="146">
        <f>G744*H744</f>
        <v>10157018</v>
      </c>
      <c r="J744" s="145">
        <v>1</v>
      </c>
      <c r="K744" s="146">
        <f>I744*J744</f>
        <v>10157018</v>
      </c>
      <c r="L744" s="146">
        <f>I744+(K744-I744)*(1-30/100)</f>
        <v>10157018</v>
      </c>
      <c r="M744" s="292"/>
      <c r="N744" s="292"/>
      <c r="O744" s="292"/>
    </row>
    <row r="745" spans="1:16" s="131" customFormat="1" ht="15.75" x14ac:dyDescent="0.2">
      <c r="B745" s="295"/>
      <c r="C745" s="180" t="s">
        <v>729</v>
      </c>
      <c r="D745" s="180" t="s">
        <v>1792</v>
      </c>
      <c r="E745" s="125" t="s">
        <v>292</v>
      </c>
      <c r="F745" s="126">
        <v>1</v>
      </c>
      <c r="G745" s="126">
        <f>805650000/1.2</f>
        <v>671375000</v>
      </c>
      <c r="H745" s="127">
        <f>$H$772</f>
        <v>1.123</v>
      </c>
      <c r="I745" s="128">
        <f t="shared" ref="I745:I765" si="283">G745*H745</f>
        <v>753954125</v>
      </c>
      <c r="J745" s="127">
        <f>'[2]Расчет прогнозных дефляторов'!$D$201</f>
        <v>1.0429999999999999</v>
      </c>
      <c r="K745" s="128">
        <f t="shared" ref="K745" si="284">I745*J745</f>
        <v>786374152</v>
      </c>
      <c r="L745" s="128">
        <f t="shared" ref="L745" si="285">I745+(K745-I745)*(1-30/100)</f>
        <v>776648144</v>
      </c>
      <c r="M745" s="129"/>
      <c r="N745" s="129"/>
      <c r="O745" s="129"/>
    </row>
    <row r="746" spans="1:16" s="131" customFormat="1" ht="15.75" x14ac:dyDescent="0.2">
      <c r="A746" s="265"/>
      <c r="B746" s="179" t="s">
        <v>687</v>
      </c>
      <c r="C746" s="180" t="s">
        <v>729</v>
      </c>
      <c r="D746" s="293" t="s">
        <v>728</v>
      </c>
      <c r="E746" s="294" t="s">
        <v>292</v>
      </c>
      <c r="F746" s="126">
        <v>1</v>
      </c>
      <c r="G746" s="126">
        <f>40800000/1.2</f>
        <v>34000000</v>
      </c>
      <c r="H746" s="127">
        <f>$H$772</f>
        <v>1.123</v>
      </c>
      <c r="I746" s="128">
        <f t="shared" si="283"/>
        <v>38182000</v>
      </c>
      <c r="J746" s="127">
        <f>'[2]Расчет прогнозных дефляторов'!$D$201</f>
        <v>1.0429999999999999</v>
      </c>
      <c r="K746" s="128">
        <f t="shared" si="281"/>
        <v>39823826</v>
      </c>
      <c r="L746" s="128">
        <f t="shared" si="282"/>
        <v>39331278</v>
      </c>
      <c r="M746" s="129"/>
      <c r="N746" s="129"/>
      <c r="O746" s="129"/>
    </row>
    <row r="747" spans="1:16" s="131" customFormat="1" ht="15.75" x14ac:dyDescent="0.2">
      <c r="B747" s="179" t="s">
        <v>689</v>
      </c>
      <c r="C747" s="180"/>
      <c r="D747" s="180" t="s">
        <v>556</v>
      </c>
      <c r="E747" s="294" t="s">
        <v>292</v>
      </c>
      <c r="F747" s="126">
        <v>1</v>
      </c>
      <c r="G747" s="126">
        <f>'Затраты подрядчика'!P125-'НМЦК (черновик)'!G14-'НМЦК (черновик)'!G765</f>
        <v>16191337</v>
      </c>
      <c r="H747" s="127">
        <f>$H$772</f>
        <v>1.123</v>
      </c>
      <c r="I747" s="128">
        <f t="shared" si="283"/>
        <v>18182871</v>
      </c>
      <c r="J747" s="127">
        <f>'[2]Расчет прогнозных дефляторов'!$D$210</f>
        <v>1.038</v>
      </c>
      <c r="K747" s="128">
        <f t="shared" si="281"/>
        <v>18873820</v>
      </c>
      <c r="L747" s="128">
        <f t="shared" si="282"/>
        <v>18666535</v>
      </c>
      <c r="M747" s="129"/>
      <c r="N747" s="129"/>
      <c r="O747" s="129"/>
    </row>
    <row r="748" spans="1:16" s="185" customFormat="1" ht="54" customHeight="1" x14ac:dyDescent="0.2">
      <c r="B748" s="179" t="s">
        <v>524</v>
      </c>
      <c r="C748" s="180"/>
      <c r="D748" s="181" t="s">
        <v>70</v>
      </c>
      <c r="E748" s="125" t="s">
        <v>292</v>
      </c>
      <c r="F748" s="126">
        <v>1</v>
      </c>
      <c r="G748" s="126">
        <f>G749+G754+G761+G765</f>
        <v>978262</v>
      </c>
      <c r="H748" s="127"/>
      <c r="I748" s="126">
        <f>I749+I754+I761+I765</f>
        <v>1096684</v>
      </c>
      <c r="J748" s="127"/>
      <c r="K748" s="126">
        <f>K749+K754+K761+K765</f>
        <v>1147605</v>
      </c>
      <c r="L748" s="126">
        <f>L749+L754+L761+L765</f>
        <v>1132328</v>
      </c>
      <c r="M748" s="182"/>
      <c r="N748" s="183"/>
      <c r="O748" s="184"/>
    </row>
    <row r="749" spans="1:16" s="138" customFormat="1" ht="15.75" x14ac:dyDescent="0.2">
      <c r="B749" s="141" t="s">
        <v>525</v>
      </c>
      <c r="C749" s="141"/>
      <c r="D749" s="142" t="s">
        <v>646</v>
      </c>
      <c r="E749" s="134" t="s">
        <v>292</v>
      </c>
      <c r="F749" s="90">
        <v>1</v>
      </c>
      <c r="G749" s="90">
        <f>SUM(G750:G753)</f>
        <v>247199</v>
      </c>
      <c r="H749" s="135">
        <f t="shared" ref="H749:H760" si="286">$H$772</f>
        <v>1.123</v>
      </c>
      <c r="I749" s="90">
        <f>SUM(I750:I753)</f>
        <v>277604</v>
      </c>
      <c r="J749" s="135">
        <f>'[2]Расчет прогнозных дефляторов'!$D$220</f>
        <v>1.0449999999999999</v>
      </c>
      <c r="K749" s="90">
        <f>SUM(K750:K753)</f>
        <v>290097</v>
      </c>
      <c r="L749" s="90">
        <f>SUM(L750:L753)</f>
        <v>286349</v>
      </c>
      <c r="M749" s="137"/>
      <c r="N749" s="137"/>
      <c r="O749" s="137"/>
    </row>
    <row r="750" spans="1:16" s="148" customFormat="1" ht="15.75" outlineLevel="1" x14ac:dyDescent="0.2">
      <c r="A750" s="200"/>
      <c r="B750" s="95" t="s">
        <v>526</v>
      </c>
      <c r="C750" s="42" t="s">
        <v>248</v>
      </c>
      <c r="D750" s="42" t="s">
        <v>1794</v>
      </c>
      <c r="E750" s="100" t="s">
        <v>292</v>
      </c>
      <c r="F750" s="149">
        <v>1</v>
      </c>
      <c r="G750" s="149">
        <f>'Затраты подрядчика'!O100</f>
        <v>36956</v>
      </c>
      <c r="H750" s="145">
        <f t="shared" si="286"/>
        <v>1.123</v>
      </c>
      <c r="I750" s="146">
        <f t="shared" si="283"/>
        <v>41502</v>
      </c>
      <c r="J750" s="145">
        <f>'[2]Расчет прогнозных дефляторов'!$D$220</f>
        <v>1.0449999999999999</v>
      </c>
      <c r="K750" s="146">
        <f t="shared" ref="K750:K753" si="287">I750*J750</f>
        <v>43370</v>
      </c>
      <c r="L750" s="146">
        <f t="shared" ref="L750:L753" si="288">I750+(K750-I750)*(1-30/100)</f>
        <v>42810</v>
      </c>
      <c r="M750" s="147"/>
      <c r="N750" s="147"/>
      <c r="O750" s="147"/>
    </row>
    <row r="751" spans="1:16" s="148" customFormat="1" ht="15.75" outlineLevel="1" x14ac:dyDescent="0.2">
      <c r="A751" s="200"/>
      <c r="B751" s="95" t="s">
        <v>527</v>
      </c>
      <c r="C751" s="42" t="s">
        <v>250</v>
      </c>
      <c r="D751" s="42" t="s">
        <v>1793</v>
      </c>
      <c r="E751" s="100" t="s">
        <v>292</v>
      </c>
      <c r="F751" s="149">
        <v>1</v>
      </c>
      <c r="G751" s="149">
        <f>'Затраты подрядчика'!O101</f>
        <v>109262</v>
      </c>
      <c r="H751" s="145">
        <f t="shared" si="286"/>
        <v>1.123</v>
      </c>
      <c r="I751" s="146">
        <f t="shared" si="283"/>
        <v>122701</v>
      </c>
      <c r="J751" s="145">
        <f>'[2]Расчет прогнозных дефляторов'!$D$220</f>
        <v>1.0449999999999999</v>
      </c>
      <c r="K751" s="146">
        <f t="shared" si="287"/>
        <v>128223</v>
      </c>
      <c r="L751" s="146">
        <f t="shared" si="288"/>
        <v>126566</v>
      </c>
      <c r="M751" s="147"/>
      <c r="N751" s="147"/>
      <c r="O751" s="147"/>
    </row>
    <row r="752" spans="1:16" s="148" customFormat="1" ht="15.75" outlineLevel="1" x14ac:dyDescent="0.2">
      <c r="A752" s="200"/>
      <c r="B752" s="95" t="s">
        <v>528</v>
      </c>
      <c r="C752" s="42" t="s">
        <v>252</v>
      </c>
      <c r="D752" s="42" t="s">
        <v>1795</v>
      </c>
      <c r="E752" s="178" t="s">
        <v>292</v>
      </c>
      <c r="F752" s="149">
        <v>1</v>
      </c>
      <c r="G752" s="149">
        <f>'Затраты подрядчика'!O102</f>
        <v>47833</v>
      </c>
      <c r="H752" s="145">
        <f t="shared" si="286"/>
        <v>1.123</v>
      </c>
      <c r="I752" s="146">
        <f t="shared" si="283"/>
        <v>53716</v>
      </c>
      <c r="J752" s="145">
        <f>'[2]Расчет прогнозных дефляторов'!$D$220</f>
        <v>1.0449999999999999</v>
      </c>
      <c r="K752" s="146">
        <f t="shared" si="287"/>
        <v>56133</v>
      </c>
      <c r="L752" s="146">
        <f t="shared" si="288"/>
        <v>55408</v>
      </c>
      <c r="M752" s="147"/>
      <c r="N752" s="147"/>
      <c r="O752" s="147"/>
    </row>
    <row r="753" spans="1:15" s="148" customFormat="1" ht="15.75" outlineLevel="1" x14ac:dyDescent="0.2">
      <c r="A753" s="200"/>
      <c r="B753" s="95" t="s">
        <v>529</v>
      </c>
      <c r="C753" s="42" t="s">
        <v>254</v>
      </c>
      <c r="D753" s="42" t="s">
        <v>1796</v>
      </c>
      <c r="E753" s="178" t="s">
        <v>292</v>
      </c>
      <c r="F753" s="149">
        <v>1</v>
      </c>
      <c r="G753" s="149">
        <f>'Затраты подрядчика'!O103</f>
        <v>53148</v>
      </c>
      <c r="H753" s="145">
        <f t="shared" si="286"/>
        <v>1.123</v>
      </c>
      <c r="I753" s="146">
        <f t="shared" si="283"/>
        <v>59685</v>
      </c>
      <c r="J753" s="145">
        <f>'[2]Расчет прогнозных дефляторов'!$D$220</f>
        <v>1.0449999999999999</v>
      </c>
      <c r="K753" s="146">
        <f t="shared" si="287"/>
        <v>62371</v>
      </c>
      <c r="L753" s="146">
        <f t="shared" si="288"/>
        <v>61565</v>
      </c>
      <c r="M753" s="147"/>
      <c r="N753" s="147"/>
      <c r="O753" s="147"/>
    </row>
    <row r="754" spans="1:15" s="138" customFormat="1" ht="15.75" x14ac:dyDescent="0.2">
      <c r="B754" s="132" t="s">
        <v>532</v>
      </c>
      <c r="C754" s="139"/>
      <c r="D754" s="139" t="s">
        <v>1797</v>
      </c>
      <c r="E754" s="134" t="s">
        <v>292</v>
      </c>
      <c r="F754" s="90">
        <v>1</v>
      </c>
      <c r="G754" s="90">
        <f>G755+G758+G759+G760</f>
        <v>691913</v>
      </c>
      <c r="H754" s="135">
        <f t="shared" si="286"/>
        <v>1.123</v>
      </c>
      <c r="I754" s="90">
        <f>I755+I758+I759+I760</f>
        <v>777018</v>
      </c>
      <c r="J754" s="135">
        <f>'[2]Расчет прогнозных дефляторов'!$D$229</f>
        <v>1.048</v>
      </c>
      <c r="K754" s="90">
        <f>K755+K758+K759+K760</f>
        <v>814315</v>
      </c>
      <c r="L754" s="90">
        <f>L755+L758+L759+L760</f>
        <v>803126</v>
      </c>
      <c r="M754" s="137"/>
      <c r="N754" s="137"/>
      <c r="O754" s="137"/>
    </row>
    <row r="755" spans="1:15" s="148" customFormat="1" ht="15.75" outlineLevel="1" x14ac:dyDescent="0.2">
      <c r="A755" s="200"/>
      <c r="B755" s="95" t="s">
        <v>690</v>
      </c>
      <c r="C755" s="42" t="s">
        <v>256</v>
      </c>
      <c r="D755" s="42" t="s">
        <v>1800</v>
      </c>
      <c r="E755" s="178" t="s">
        <v>292</v>
      </c>
      <c r="F755" s="149">
        <v>1</v>
      </c>
      <c r="G755" s="149">
        <f>G756+G757</f>
        <v>120634</v>
      </c>
      <c r="H755" s="145">
        <f t="shared" si="286"/>
        <v>1.123</v>
      </c>
      <c r="I755" s="146">
        <f>I756+I757</f>
        <v>135472</v>
      </c>
      <c r="J755" s="145">
        <f>'[2]Расчет прогнозных дефляторов'!$D$229</f>
        <v>1.048</v>
      </c>
      <c r="K755" s="146">
        <f>K756+K757</f>
        <v>141975</v>
      </c>
      <c r="L755" s="146">
        <f>L756+L757</f>
        <v>140024</v>
      </c>
      <c r="M755" s="147"/>
      <c r="N755" s="147"/>
      <c r="O755" s="147"/>
    </row>
    <row r="756" spans="1:15" s="155" customFormat="1" ht="15.75" hidden="1" outlineLevel="2" x14ac:dyDescent="0.2">
      <c r="A756" s="222"/>
      <c r="B756" s="93" t="s">
        <v>691</v>
      </c>
      <c r="C756" s="94" t="s">
        <v>1770</v>
      </c>
      <c r="D756" s="94" t="s">
        <v>530</v>
      </c>
      <c r="E756" s="186" t="s">
        <v>292</v>
      </c>
      <c r="F756" s="151">
        <v>1</v>
      </c>
      <c r="G756" s="151">
        <f>5705*0.8*12.36</f>
        <v>56411</v>
      </c>
      <c r="H756" s="152">
        <f t="shared" si="286"/>
        <v>1.123</v>
      </c>
      <c r="I756" s="153">
        <f t="shared" si="283"/>
        <v>63350</v>
      </c>
      <c r="J756" s="152">
        <f>'[2]Расчет прогнозных дефляторов'!$D$229</f>
        <v>1.048</v>
      </c>
      <c r="K756" s="153">
        <f t="shared" ref="K756:K765" si="289">I756*J756</f>
        <v>66391</v>
      </c>
      <c r="L756" s="153">
        <f t="shared" ref="L756:L765" si="290">I756+(K756-I756)*(1-30/100)</f>
        <v>65479</v>
      </c>
      <c r="M756" s="96"/>
      <c r="N756" s="96"/>
      <c r="O756" s="96"/>
    </row>
    <row r="757" spans="1:15" s="155" customFormat="1" ht="15.75" hidden="1" outlineLevel="2" x14ac:dyDescent="0.2">
      <c r="A757" s="222"/>
      <c r="B757" s="93" t="s">
        <v>692</v>
      </c>
      <c r="C757" s="94" t="s">
        <v>1771</v>
      </c>
      <c r="D757" s="94" t="s">
        <v>531</v>
      </c>
      <c r="E757" s="186" t="s">
        <v>292</v>
      </c>
      <c r="F757" s="151">
        <v>1</v>
      </c>
      <c r="G757" s="151">
        <f>6499*0.8*12.36-39</f>
        <v>64223</v>
      </c>
      <c r="H757" s="152">
        <f t="shared" si="286"/>
        <v>1.123</v>
      </c>
      <c r="I757" s="153">
        <f t="shared" si="283"/>
        <v>72122</v>
      </c>
      <c r="J757" s="152">
        <f>'[2]Расчет прогнозных дефляторов'!$D$229</f>
        <v>1.048</v>
      </c>
      <c r="K757" s="153">
        <f t="shared" si="289"/>
        <v>75584</v>
      </c>
      <c r="L757" s="153">
        <f t="shared" si="290"/>
        <v>74545</v>
      </c>
      <c r="M757" s="96"/>
      <c r="N757" s="96"/>
      <c r="O757" s="96"/>
    </row>
    <row r="758" spans="1:15" s="148" customFormat="1" ht="25.5" outlineLevel="1" collapsed="1" x14ac:dyDescent="0.2">
      <c r="A758" s="200"/>
      <c r="B758" s="95" t="s">
        <v>693</v>
      </c>
      <c r="C758" s="42" t="s">
        <v>258</v>
      </c>
      <c r="D758" s="42" t="s">
        <v>1798</v>
      </c>
      <c r="E758" s="178" t="s">
        <v>292</v>
      </c>
      <c r="F758" s="149">
        <v>1</v>
      </c>
      <c r="G758" s="149">
        <f>'Затраты подрядчика'!O105</f>
        <v>489580</v>
      </c>
      <c r="H758" s="145">
        <f t="shared" si="286"/>
        <v>1.123</v>
      </c>
      <c r="I758" s="146">
        <f t="shared" si="283"/>
        <v>549798</v>
      </c>
      <c r="J758" s="145">
        <f>'[2]Расчет прогнозных дефляторов'!$D$229</f>
        <v>1.048</v>
      </c>
      <c r="K758" s="146">
        <f t="shared" si="289"/>
        <v>576188</v>
      </c>
      <c r="L758" s="146">
        <f t="shared" si="290"/>
        <v>568271</v>
      </c>
      <c r="M758" s="147"/>
      <c r="N758" s="147"/>
      <c r="O758" s="147"/>
    </row>
    <row r="759" spans="1:15" s="148" customFormat="1" ht="25.5" outlineLevel="1" x14ac:dyDescent="0.2">
      <c r="A759" s="200"/>
      <c r="B759" s="95" t="s">
        <v>694</v>
      </c>
      <c r="C759" s="42" t="s">
        <v>260</v>
      </c>
      <c r="D759" s="42" t="s">
        <v>1799</v>
      </c>
      <c r="E759" s="178" t="s">
        <v>292</v>
      </c>
      <c r="F759" s="149">
        <v>1</v>
      </c>
      <c r="G759" s="149">
        <f>'Затраты подрядчика'!O106</f>
        <v>34484</v>
      </c>
      <c r="H759" s="145">
        <f t="shared" si="286"/>
        <v>1.123</v>
      </c>
      <c r="I759" s="146">
        <f t="shared" si="283"/>
        <v>38726</v>
      </c>
      <c r="J759" s="145">
        <f>'[2]Расчет прогнозных дефляторов'!$D$229</f>
        <v>1.048</v>
      </c>
      <c r="K759" s="146">
        <f t="shared" si="289"/>
        <v>40585</v>
      </c>
      <c r="L759" s="146">
        <f t="shared" si="290"/>
        <v>40027</v>
      </c>
      <c r="M759" s="147"/>
      <c r="N759" s="147"/>
      <c r="O759" s="147"/>
    </row>
    <row r="760" spans="1:15" s="148" customFormat="1" ht="15.75" outlineLevel="1" x14ac:dyDescent="0.2">
      <c r="A760" s="200"/>
      <c r="B760" s="95"/>
      <c r="C760" s="42" t="s">
        <v>262</v>
      </c>
      <c r="D760" s="42" t="s">
        <v>177</v>
      </c>
      <c r="E760" s="178" t="s">
        <v>292</v>
      </c>
      <c r="F760" s="149">
        <v>1</v>
      </c>
      <c r="G760" s="149">
        <f>'Затраты подрядчика'!O107</f>
        <v>47215</v>
      </c>
      <c r="H760" s="145">
        <f t="shared" si="286"/>
        <v>1.123</v>
      </c>
      <c r="I760" s="146">
        <f t="shared" si="283"/>
        <v>53022</v>
      </c>
      <c r="J760" s="145">
        <f>'[2]Расчет прогнозных дефляторов'!$D$229</f>
        <v>1.048</v>
      </c>
      <c r="K760" s="146">
        <f t="shared" si="289"/>
        <v>55567</v>
      </c>
      <c r="L760" s="146">
        <f t="shared" si="290"/>
        <v>54804</v>
      </c>
      <c r="M760" s="147"/>
      <c r="N760" s="147"/>
      <c r="O760" s="147"/>
    </row>
    <row r="761" spans="1:15" s="138" customFormat="1" ht="15.75" x14ac:dyDescent="0.2">
      <c r="B761" s="132" t="s">
        <v>533</v>
      </c>
      <c r="C761" s="139" t="s">
        <v>71</v>
      </c>
      <c r="D761" s="139" t="s">
        <v>72</v>
      </c>
      <c r="E761" s="134" t="s">
        <v>292</v>
      </c>
      <c r="F761" s="90">
        <v>1</v>
      </c>
      <c r="G761" s="90">
        <f>SUM(G762:G764)</f>
        <v>19968</v>
      </c>
      <c r="H761" s="135"/>
      <c r="I761" s="90">
        <f>SUM(I762:I764)</f>
        <v>20521</v>
      </c>
      <c r="J761" s="135"/>
      <c r="K761" s="90">
        <f>SUM(K762:K764)</f>
        <v>20640</v>
      </c>
      <c r="L761" s="90">
        <f>SUM(L762:L764)</f>
        <v>20604</v>
      </c>
      <c r="M761" s="137"/>
      <c r="N761" s="137"/>
      <c r="O761" s="137"/>
    </row>
    <row r="762" spans="1:15" s="267" customFormat="1" ht="25.5" hidden="1" outlineLevel="1" x14ac:dyDescent="0.2">
      <c r="A762" s="200"/>
      <c r="B762" s="177" t="s">
        <v>684</v>
      </c>
      <c r="C762" s="42" t="s">
        <v>1789</v>
      </c>
      <c r="D762" s="42" t="s">
        <v>1788</v>
      </c>
      <c r="E762" s="100" t="s">
        <v>292</v>
      </c>
      <c r="F762" s="149">
        <v>1</v>
      </c>
      <c r="G762" s="149">
        <f>103591*10.79*'Затраты подрядчика'!T99</f>
        <v>1700</v>
      </c>
      <c r="H762" s="145">
        <f>$H$772</f>
        <v>1.123</v>
      </c>
      <c r="I762" s="146">
        <f t="shared" ref="I762:I763" si="291">G762*H762</f>
        <v>1909</v>
      </c>
      <c r="J762" s="145">
        <f>'[2]Расчет прогнозных дефляторов'!$D$192</f>
        <v>1.038</v>
      </c>
      <c r="K762" s="146">
        <f>I762*J764</f>
        <v>1909</v>
      </c>
      <c r="L762" s="146">
        <f t="shared" ref="L762:L763" si="292">I762+(K762-I762)*(1-30/100)</f>
        <v>1909</v>
      </c>
      <c r="M762" s="292"/>
      <c r="N762" s="292"/>
      <c r="O762" s="292"/>
    </row>
    <row r="763" spans="1:15" s="267" customFormat="1" ht="38.25" hidden="1" outlineLevel="1" x14ac:dyDescent="0.2">
      <c r="A763" s="200"/>
      <c r="B763" s="177"/>
      <c r="C763" s="42" t="s">
        <v>274</v>
      </c>
      <c r="D763" s="42" t="s">
        <v>1791</v>
      </c>
      <c r="E763" s="100" t="s">
        <v>292</v>
      </c>
      <c r="F763" s="149">
        <v>1</v>
      </c>
      <c r="G763" s="149">
        <f>170499*10.79*'Затраты подрядчика'!T99</f>
        <v>2798</v>
      </c>
      <c r="H763" s="145">
        <f>$H$772</f>
        <v>1.123</v>
      </c>
      <c r="I763" s="146">
        <f t="shared" si="291"/>
        <v>3142</v>
      </c>
      <c r="J763" s="145">
        <f>'[2]Расчет прогнозных дефляторов'!$D$192</f>
        <v>1.038</v>
      </c>
      <c r="K763" s="146">
        <f>I763*J763</f>
        <v>3261</v>
      </c>
      <c r="L763" s="146">
        <f t="shared" si="292"/>
        <v>3225</v>
      </c>
      <c r="M763" s="292"/>
      <c r="N763" s="292"/>
      <c r="O763" s="292"/>
    </row>
    <row r="764" spans="1:15" s="267" customFormat="1" ht="15.75" hidden="1" outlineLevel="1" x14ac:dyDescent="0.2">
      <c r="A764" s="200"/>
      <c r="B764" s="177" t="s">
        <v>683</v>
      </c>
      <c r="C764" s="42" t="s">
        <v>1790</v>
      </c>
      <c r="D764" s="42" t="s">
        <v>685</v>
      </c>
      <c r="E764" s="100" t="s">
        <v>292</v>
      </c>
      <c r="F764" s="149">
        <v>1</v>
      </c>
      <c r="G764" s="149">
        <f>((100816+841948)*10.79+64)*'Затраты подрядчика'!T99</f>
        <v>15470</v>
      </c>
      <c r="H764" s="145">
        <v>1</v>
      </c>
      <c r="I764" s="146">
        <f>G764*H764</f>
        <v>15470</v>
      </c>
      <c r="J764" s="145">
        <v>1</v>
      </c>
      <c r="K764" s="146">
        <f>I764*J764</f>
        <v>15470</v>
      </c>
      <c r="L764" s="146">
        <f>I764+(K764-I764)*(1-30/100)</f>
        <v>15470</v>
      </c>
      <c r="M764" s="292"/>
      <c r="N764" s="292"/>
      <c r="O764" s="292"/>
    </row>
    <row r="765" spans="1:15" s="138" customFormat="1" ht="15.75" collapsed="1" x14ac:dyDescent="0.2">
      <c r="B765" s="132" t="s">
        <v>697</v>
      </c>
      <c r="C765" s="139"/>
      <c r="D765" s="139" t="s">
        <v>556</v>
      </c>
      <c r="E765" s="140" t="s">
        <v>292</v>
      </c>
      <c r="F765" s="90">
        <v>1</v>
      </c>
      <c r="G765" s="90">
        <f>(G749+G754+G761)*2%</f>
        <v>19182</v>
      </c>
      <c r="H765" s="135">
        <f>$H$772</f>
        <v>1.123</v>
      </c>
      <c r="I765" s="136">
        <f t="shared" si="283"/>
        <v>21541</v>
      </c>
      <c r="J765" s="135">
        <f>'[2]Расчет прогнозных дефляторов'!$D$238</f>
        <v>1.0469999999999999</v>
      </c>
      <c r="K765" s="136">
        <f t="shared" si="289"/>
        <v>22553</v>
      </c>
      <c r="L765" s="136">
        <f t="shared" si="290"/>
        <v>22249</v>
      </c>
      <c r="M765" s="137"/>
      <c r="N765" s="137"/>
      <c r="O765" s="137"/>
    </row>
    <row r="766" spans="1:15" ht="15.75" x14ac:dyDescent="0.25">
      <c r="B766" s="187"/>
      <c r="C766" s="188"/>
      <c r="D766" s="189" t="s">
        <v>698</v>
      </c>
      <c r="E766" s="188"/>
      <c r="F766" s="190"/>
      <c r="G766" s="191">
        <f>G12+G15+G748</f>
        <v>2502469474</v>
      </c>
      <c r="H766" s="192"/>
      <c r="I766" s="191">
        <f>I12+I15+I748</f>
        <v>2809021972</v>
      </c>
      <c r="J766" s="192"/>
      <c r="K766" s="191">
        <f>K12+K15+K748</f>
        <v>2928350547</v>
      </c>
      <c r="L766" s="191">
        <f>L12+L15+L748</f>
        <v>2892552038</v>
      </c>
    </row>
    <row r="767" spans="1:15" ht="15.75" x14ac:dyDescent="0.25">
      <c r="B767" s="193"/>
      <c r="C767" s="188"/>
      <c r="D767" s="189" t="s">
        <v>699</v>
      </c>
      <c r="E767" s="188"/>
      <c r="F767" s="190"/>
      <c r="G767" s="194">
        <f>G766*0.2</f>
        <v>500493894.80000001</v>
      </c>
      <c r="H767" s="192"/>
      <c r="I767" s="194">
        <f>I766*0.2</f>
        <v>561804394.39999998</v>
      </c>
      <c r="J767" s="192"/>
      <c r="K767" s="194">
        <f>K766*0.2</f>
        <v>585670109.39999998</v>
      </c>
      <c r="L767" s="194">
        <f>L766*0.2</f>
        <v>578510407.60000002</v>
      </c>
    </row>
    <row r="768" spans="1:15" ht="15.75" x14ac:dyDescent="0.25">
      <c r="B768" s="193"/>
      <c r="C768" s="188"/>
      <c r="D768" s="189" t="s">
        <v>700</v>
      </c>
      <c r="E768" s="188"/>
      <c r="F768" s="190"/>
      <c r="G768" s="194">
        <f>G766+G767</f>
        <v>3002963368.8000002</v>
      </c>
      <c r="H768" s="192"/>
      <c r="I768" s="194">
        <f>I766+I767</f>
        <v>3370826366.4000001</v>
      </c>
      <c r="J768" s="192"/>
      <c r="K768" s="194">
        <f>K766+K767</f>
        <v>3514020656.4000001</v>
      </c>
      <c r="L768" s="194">
        <f>L766+L767</f>
        <v>3471062445.5999999</v>
      </c>
    </row>
    <row r="769" spans="1:18" ht="15" x14ac:dyDescent="0.25">
      <c r="B769" s="101"/>
      <c r="C769" s="102"/>
      <c r="D769" s="103"/>
      <c r="E769" s="98"/>
      <c r="F769" s="104" t="s">
        <v>701</v>
      </c>
      <c r="G769" s="104">
        <f>G766-'[2]Затраты подрядчика'!M123</f>
        <v>2386587314</v>
      </c>
    </row>
    <row r="770" spans="1:18" ht="15" x14ac:dyDescent="0.25">
      <c r="B770" s="101"/>
      <c r="C770" s="102"/>
      <c r="D770" s="103"/>
      <c r="E770" s="98"/>
      <c r="F770" s="104"/>
      <c r="G770" s="104"/>
    </row>
    <row r="771" spans="1:18" ht="15" x14ac:dyDescent="0.25">
      <c r="B771" s="101"/>
      <c r="C771" s="102"/>
      <c r="D771" s="103"/>
      <c r="E771" s="98"/>
      <c r="F771" s="104"/>
      <c r="G771" s="104"/>
      <c r="I771" s="195"/>
      <c r="K771" s="195"/>
      <c r="L771" s="196"/>
    </row>
    <row r="772" spans="1:18" ht="76.150000000000006" customHeight="1" x14ac:dyDescent="0.25">
      <c r="B772" s="613" t="s">
        <v>702</v>
      </c>
      <c r="C772" s="613"/>
      <c r="D772" s="613"/>
      <c r="E772" s="197"/>
      <c r="G772" s="198"/>
      <c r="H772" s="199">
        <f>1.0312*1.0258*1.0358*1.0253*1</f>
        <v>1.123</v>
      </c>
      <c r="I772" s="117"/>
      <c r="J772" s="199"/>
      <c r="K772" s="117"/>
      <c r="L772" s="117"/>
    </row>
    <row r="773" spans="1:18" ht="15.75" x14ac:dyDescent="0.25">
      <c r="B773" s="198"/>
      <c r="C773" s="198"/>
      <c r="D773" s="198"/>
      <c r="E773" s="198"/>
      <c r="F773" s="198"/>
      <c r="G773" s="198"/>
      <c r="H773" s="117"/>
      <c r="I773" s="117"/>
      <c r="J773" s="117"/>
      <c r="K773" s="117"/>
      <c r="L773" s="117"/>
    </row>
    <row r="774" spans="1:18" ht="15.75" x14ac:dyDescent="0.25">
      <c r="B774" s="118" t="s">
        <v>703</v>
      </c>
      <c r="C774" s="118"/>
      <c r="D774" s="118"/>
      <c r="E774" s="118"/>
      <c r="F774" s="118"/>
      <c r="G774" s="118"/>
      <c r="H774" s="117"/>
      <c r="I774" s="117"/>
      <c r="J774" s="117"/>
      <c r="K774" s="117"/>
      <c r="L774" s="117"/>
    </row>
    <row r="775" spans="1:18" ht="15.75" x14ac:dyDescent="0.25">
      <c r="B775" s="614" t="s">
        <v>704</v>
      </c>
      <c r="C775" s="614"/>
      <c r="D775" s="614"/>
      <c r="E775" s="614"/>
      <c r="F775" s="614"/>
      <c r="G775" s="614"/>
      <c r="H775" s="117"/>
      <c r="I775" s="117"/>
      <c r="J775" s="117"/>
      <c r="K775" s="117"/>
      <c r="L775" s="117"/>
    </row>
    <row r="776" spans="1:18" ht="30.6" customHeight="1" x14ac:dyDescent="0.25">
      <c r="B776" s="614" t="s">
        <v>705</v>
      </c>
      <c r="C776" s="614"/>
      <c r="D776" s="614"/>
      <c r="E776" s="614"/>
      <c r="F776" s="614"/>
      <c r="G776" s="614"/>
      <c r="H776" s="117"/>
      <c r="I776" s="117"/>
      <c r="J776" s="117"/>
      <c r="K776" s="117"/>
      <c r="L776" s="117"/>
    </row>
    <row r="777" spans="1:18" ht="15" x14ac:dyDescent="0.25">
      <c r="B777" s="101"/>
      <c r="C777" s="102"/>
      <c r="D777" s="103"/>
      <c r="E777" s="98"/>
      <c r="F777" s="104"/>
      <c r="G777" s="104"/>
    </row>
    <row r="778" spans="1:18" s="105" customFormat="1" ht="15" x14ac:dyDescent="0.25">
      <c r="A778"/>
      <c r="B778" s="101"/>
      <c r="C778" t="s">
        <v>534</v>
      </c>
      <c r="D778" s="103"/>
      <c r="E778" s="98"/>
      <c r="F778" s="104"/>
      <c r="G778" s="104"/>
      <c r="I778"/>
      <c r="K778"/>
      <c r="L778"/>
      <c r="M778"/>
      <c r="N778"/>
      <c r="O778"/>
      <c r="P778"/>
      <c r="Q778"/>
      <c r="R778"/>
    </row>
    <row r="779" spans="1:18" s="105" customFormat="1" ht="15" x14ac:dyDescent="0.25">
      <c r="A779"/>
      <c r="B779" s="101"/>
      <c r="C779"/>
      <c r="D779" s="103"/>
      <c r="E779" s="98"/>
      <c r="F779" s="104"/>
      <c r="G779" s="104"/>
      <c r="I779"/>
      <c r="K779"/>
      <c r="L779"/>
      <c r="M779"/>
      <c r="N779"/>
      <c r="O779"/>
      <c r="P779"/>
      <c r="Q779"/>
      <c r="R779"/>
    </row>
    <row r="780" spans="1:18" s="105" customFormat="1" ht="15" x14ac:dyDescent="0.25">
      <c r="A780"/>
      <c r="B780" s="101"/>
      <c r="C780" t="s">
        <v>535</v>
      </c>
      <c r="D780" s="103"/>
      <c r="E780" s="98"/>
      <c r="F780" s="104"/>
      <c r="G780" s="104"/>
      <c r="I780"/>
      <c r="K780"/>
      <c r="L780"/>
      <c r="M780"/>
      <c r="N780"/>
      <c r="O780"/>
      <c r="P780"/>
      <c r="Q780"/>
      <c r="R780"/>
    </row>
  </sheetData>
  <mergeCells count="8">
    <mergeCell ref="M140:M141"/>
    <mergeCell ref="B772:D772"/>
    <mergeCell ref="B775:G775"/>
    <mergeCell ref="B776:G776"/>
    <mergeCell ref="B1:I1"/>
    <mergeCell ref="C3:I3"/>
    <mergeCell ref="B7:I7"/>
    <mergeCell ref="B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Normal="100" workbookViewId="0">
      <selection activeCell="A4" sqref="A4:C4"/>
    </sheetView>
  </sheetViews>
  <sheetFormatPr defaultRowHeight="12.75" x14ac:dyDescent="0.2"/>
  <cols>
    <col min="1" max="1" width="40.5703125" customWidth="1"/>
    <col min="2" max="2" width="48.28515625" customWidth="1"/>
    <col min="3" max="3" width="53.85546875" customWidth="1"/>
  </cols>
  <sheetData>
    <row r="1" spans="1:15" ht="19.5" customHeight="1" x14ac:dyDescent="0.25">
      <c r="A1" s="609" t="s">
        <v>2313</v>
      </c>
      <c r="B1" s="609"/>
      <c r="C1" s="609"/>
    </row>
    <row r="2" spans="1:15" ht="26.25" customHeight="1" x14ac:dyDescent="0.25">
      <c r="A2" s="609" t="s">
        <v>2314</v>
      </c>
      <c r="B2" s="609"/>
      <c r="C2" s="609"/>
    </row>
    <row r="3" spans="1:15" ht="55.5" customHeight="1" x14ac:dyDescent="0.2">
      <c r="A3" s="610" t="s">
        <v>2332</v>
      </c>
      <c r="B3" s="603"/>
      <c r="C3" s="603"/>
    </row>
    <row r="4" spans="1:15" ht="57" customHeight="1" x14ac:dyDescent="0.2">
      <c r="A4" s="599" t="s">
        <v>2315</v>
      </c>
      <c r="B4" s="599"/>
      <c r="C4" s="599"/>
    </row>
    <row r="5" spans="1:15" ht="27.75" customHeight="1" x14ac:dyDescent="0.2">
      <c r="A5" s="608" t="s">
        <v>2316</v>
      </c>
      <c r="B5" s="608"/>
      <c r="C5" s="608"/>
    </row>
    <row r="6" spans="1:15" ht="91.5" customHeight="1" x14ac:dyDescent="0.2">
      <c r="A6" s="608" t="s">
        <v>2317</v>
      </c>
      <c r="B6" s="608"/>
      <c r="C6" s="608"/>
    </row>
    <row r="7" spans="1:15" ht="15.75" x14ac:dyDescent="0.2">
      <c r="A7" s="606" t="s">
        <v>2318</v>
      </c>
      <c r="B7" s="606"/>
      <c r="C7" s="606"/>
    </row>
    <row r="8" spans="1:15" ht="58.5" customHeight="1" x14ac:dyDescent="0.2">
      <c r="A8" s="607" t="s">
        <v>2333</v>
      </c>
      <c r="B8" s="607"/>
      <c r="C8" s="607"/>
    </row>
    <row r="9" spans="1:15" ht="27" customHeight="1" x14ac:dyDescent="0.2">
      <c r="A9" s="605" t="s">
        <v>2319</v>
      </c>
      <c r="B9" s="605"/>
      <c r="C9" s="605"/>
    </row>
    <row r="10" spans="1:15" ht="35.25" customHeight="1" x14ac:dyDescent="0.25">
      <c r="A10" s="605" t="s">
        <v>2320</v>
      </c>
      <c r="B10" s="605"/>
      <c r="C10" s="605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</row>
    <row r="11" spans="1:15" ht="43.5" customHeight="1" x14ac:dyDescent="0.2">
      <c r="A11" s="605" t="s">
        <v>2321</v>
      </c>
      <c r="B11" s="605"/>
      <c r="C11" s="605"/>
      <c r="D11" s="332"/>
      <c r="E11" s="332"/>
      <c r="F11" s="332"/>
      <c r="G11" s="332"/>
      <c r="H11" s="332"/>
      <c r="I11" s="332"/>
      <c r="J11" s="332"/>
      <c r="K11" s="332"/>
    </row>
    <row r="12" spans="1:15" ht="24" customHeight="1" x14ac:dyDescent="0.2">
      <c r="A12" s="599" t="s">
        <v>2322</v>
      </c>
      <c r="B12" s="599"/>
      <c r="C12" s="599"/>
    </row>
    <row r="13" spans="1:15" ht="15.75" x14ac:dyDescent="0.2">
      <c r="A13" s="606" t="s">
        <v>2323</v>
      </c>
      <c r="B13" s="606"/>
      <c r="C13" s="606"/>
    </row>
    <row r="14" spans="1:15" ht="64.5" customHeight="1" x14ac:dyDescent="0.2">
      <c r="A14" s="607" t="s">
        <v>2334</v>
      </c>
      <c r="B14" s="607"/>
      <c r="C14" s="607"/>
    </row>
    <row r="15" spans="1:15" ht="39.75" customHeight="1" x14ac:dyDescent="0.2">
      <c r="A15" s="605" t="s">
        <v>2324</v>
      </c>
      <c r="B15" s="605"/>
      <c r="C15" s="605"/>
    </row>
    <row r="16" spans="1:15" ht="39" customHeight="1" x14ac:dyDescent="0.25">
      <c r="A16" s="605" t="s">
        <v>2320</v>
      </c>
      <c r="B16" s="605"/>
      <c r="C16" s="605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</row>
    <row r="17" spans="1:15" ht="47.25" customHeight="1" x14ac:dyDescent="0.2">
      <c r="A17" s="605" t="s">
        <v>2321</v>
      </c>
      <c r="B17" s="605"/>
      <c r="C17" s="605"/>
      <c r="D17" s="332"/>
      <c r="E17" s="332"/>
      <c r="F17" s="332"/>
      <c r="G17" s="332"/>
      <c r="H17" s="332"/>
      <c r="I17" s="332"/>
      <c r="J17" s="332"/>
      <c r="K17" s="332"/>
    </row>
    <row r="18" spans="1:15" ht="21.75" customHeight="1" x14ac:dyDescent="0.2">
      <c r="A18" s="599" t="s">
        <v>2322</v>
      </c>
      <c r="B18" s="599"/>
      <c r="C18" s="599"/>
    </row>
    <row r="19" spans="1:15" ht="15.75" x14ac:dyDescent="0.2">
      <c r="A19" s="603" t="s">
        <v>2325</v>
      </c>
      <c r="B19" s="603"/>
      <c r="C19" s="603"/>
    </row>
    <row r="20" spans="1:15" ht="53.25" customHeight="1" x14ac:dyDescent="0.2">
      <c r="A20" s="604" t="s">
        <v>2335</v>
      </c>
      <c r="B20" s="604"/>
      <c r="C20" s="604"/>
    </row>
    <row r="21" spans="1:15" ht="44.25" customHeight="1" x14ac:dyDescent="0.2">
      <c r="A21" s="604" t="s">
        <v>2336</v>
      </c>
      <c r="B21" s="604"/>
      <c r="C21" s="604"/>
    </row>
    <row r="22" spans="1:15" ht="37.5" customHeight="1" x14ac:dyDescent="0.2">
      <c r="A22" s="605" t="s">
        <v>2326</v>
      </c>
      <c r="B22" s="605"/>
      <c r="C22" s="605"/>
    </row>
    <row r="23" spans="1:15" ht="37.5" customHeight="1" x14ac:dyDescent="0.25">
      <c r="A23" s="605" t="s">
        <v>2327</v>
      </c>
      <c r="B23" s="605"/>
      <c r="C23" s="605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</row>
    <row r="24" spans="1:15" ht="42" customHeight="1" x14ac:dyDescent="0.2">
      <c r="A24" s="605" t="s">
        <v>2321</v>
      </c>
      <c r="B24" s="605"/>
      <c r="C24" s="605"/>
      <c r="D24" s="332"/>
      <c r="E24" s="332"/>
      <c r="F24" s="332"/>
      <c r="G24" s="332"/>
      <c r="H24" s="332"/>
      <c r="I24" s="332"/>
      <c r="J24" s="332"/>
      <c r="K24" s="332"/>
    </row>
    <row r="25" spans="1:15" ht="21.75" customHeight="1" x14ac:dyDescent="0.2">
      <c r="A25" s="598" t="s">
        <v>2328</v>
      </c>
      <c r="B25" s="598"/>
      <c r="C25" s="598"/>
    </row>
    <row r="26" spans="1:15" ht="19.5" customHeight="1" x14ac:dyDescent="0.2">
      <c r="A26" s="599" t="s">
        <v>2322</v>
      </c>
      <c r="B26" s="599"/>
      <c r="C26" s="599"/>
    </row>
    <row r="27" spans="1:15" ht="21.75" customHeight="1" x14ac:dyDescent="0.2">
      <c r="A27" s="600" t="s">
        <v>2329</v>
      </c>
      <c r="B27" s="600"/>
      <c r="C27" s="600"/>
    </row>
    <row r="28" spans="1:15" ht="15.75" x14ac:dyDescent="0.2">
      <c r="A28" s="333"/>
      <c r="B28" s="333"/>
      <c r="C28" s="333"/>
    </row>
    <row r="29" spans="1:15" ht="15.75" x14ac:dyDescent="0.25">
      <c r="A29" s="334" t="s">
        <v>2330</v>
      </c>
      <c r="B29" s="335"/>
      <c r="C29" s="334"/>
    </row>
    <row r="30" spans="1:15" ht="15.75" x14ac:dyDescent="0.2">
      <c r="A30" s="601"/>
      <c r="B30" s="602"/>
      <c r="C30" s="602"/>
    </row>
    <row r="31" spans="1:15" ht="15.75" x14ac:dyDescent="0.25">
      <c r="A31" s="334"/>
      <c r="B31" s="336">
        <f>НМЦ!N21</f>
        <v>1185872575.2</v>
      </c>
      <c r="C31" s="334" t="s">
        <v>2331</v>
      </c>
    </row>
  </sheetData>
  <mergeCells count="28">
    <mergeCell ref="A6:C6"/>
    <mergeCell ref="A1:C1"/>
    <mergeCell ref="A2:C2"/>
    <mergeCell ref="A3:C3"/>
    <mergeCell ref="A4:C4"/>
    <mergeCell ref="A5:C5"/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25:C25"/>
    <mergeCell ref="A26:C26"/>
    <mergeCell ref="A27:C27"/>
    <mergeCell ref="A30:C30"/>
    <mergeCell ref="A19:C19"/>
    <mergeCell ref="A20:C20"/>
    <mergeCell ref="A21:C21"/>
    <mergeCell ref="A22:C22"/>
    <mergeCell ref="A23:C23"/>
    <mergeCell ref="A24:C24"/>
  </mergeCells>
  <printOptions horizontalCentered="1"/>
  <pageMargins left="0.78740157480314965" right="0.78740157480314965" top="0.78740157480314965" bottom="0.78740157480314965" header="0" footer="0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BreakPreview" zoomScaleNormal="100" zoomScaleSheetLayoutView="100" workbookViewId="0">
      <selection activeCell="L11" sqref="L11:L12"/>
    </sheetView>
  </sheetViews>
  <sheetFormatPr defaultRowHeight="12.75" x14ac:dyDescent="0.2"/>
  <cols>
    <col min="1" max="1" width="11.28515625" style="37" bestFit="1" customWidth="1"/>
    <col min="2" max="2" width="21.85546875" hidden="1" customWidth="1"/>
    <col min="3" max="3" width="54.42578125" customWidth="1"/>
    <col min="4" max="4" width="19" hidden="1" customWidth="1"/>
    <col min="5" max="5" width="14.85546875" style="105" hidden="1" customWidth="1"/>
    <col min="6" max="6" width="18" style="105" hidden="1" customWidth="1"/>
    <col min="7" max="7" width="14.85546875" style="105" hidden="1" customWidth="1"/>
    <col min="8" max="8" width="19.7109375" hidden="1" customWidth="1"/>
    <col min="9" max="9" width="14.85546875" style="105" hidden="1" customWidth="1"/>
    <col min="10" max="11" width="19.7109375" hidden="1" customWidth="1"/>
    <col min="12" max="14" width="19.7109375" customWidth="1"/>
  </cols>
  <sheetData>
    <row r="1" spans="1:14" ht="29.25" customHeight="1" x14ac:dyDescent="0.2">
      <c r="A1" s="622" t="s">
        <v>2302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ht="29.25" hidden="1" customHeight="1" x14ac:dyDescent="0.2">
      <c r="A2" s="110"/>
      <c r="B2" s="110"/>
      <c r="C2" s="110"/>
      <c r="D2" s="113"/>
      <c r="E2" s="110"/>
      <c r="F2" s="113"/>
      <c r="G2" s="110"/>
      <c r="H2" s="110"/>
      <c r="I2" s="110"/>
      <c r="J2" s="110"/>
      <c r="K2" s="110"/>
      <c r="L2" s="110"/>
      <c r="M2" s="110"/>
      <c r="N2" s="110"/>
    </row>
    <row r="3" spans="1:14" ht="39" customHeight="1" x14ac:dyDescent="0.2">
      <c r="A3" s="114" t="s">
        <v>538</v>
      </c>
      <c r="B3" s="623" t="str">
        <f>'НМЦК (с разбивкой по объектам)'!B3</f>
        <v>Всесезонный туристско-рекреационный комплекс «Эльбрус», 
Кабардино-Балкарская Республика. Пассажирская подвесная канатная дорога EL6</v>
      </c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</row>
    <row r="4" spans="1:14" ht="29.25" hidden="1" customHeight="1" x14ac:dyDescent="0.25">
      <c r="A4" s="115" t="s">
        <v>540</v>
      </c>
      <c r="B4" s="115" t="s">
        <v>541</v>
      </c>
      <c r="C4" s="115"/>
      <c r="D4" s="116"/>
      <c r="E4" s="115"/>
      <c r="F4" s="116"/>
      <c r="G4" s="115"/>
      <c r="H4" s="117"/>
      <c r="I4" s="115"/>
      <c r="J4" s="117"/>
      <c r="K4" s="117"/>
      <c r="L4" s="117"/>
      <c r="M4" s="117"/>
      <c r="N4" s="117"/>
    </row>
    <row r="5" spans="1:14" ht="29.25" hidden="1" customHeight="1" x14ac:dyDescent="0.25">
      <c r="A5" s="118" t="s">
        <v>542</v>
      </c>
      <c r="B5" s="83"/>
      <c r="C5" s="83"/>
      <c r="D5" s="84"/>
      <c r="E5" s="83"/>
      <c r="F5" s="84"/>
      <c r="G5" s="83"/>
      <c r="H5" s="117"/>
      <c r="I5" s="83"/>
      <c r="J5" s="117"/>
      <c r="K5" s="117"/>
      <c r="L5" s="117"/>
      <c r="M5" s="117"/>
      <c r="N5" s="117"/>
    </row>
    <row r="6" spans="1:14" ht="29.25" hidden="1" customHeight="1" x14ac:dyDescent="0.2">
      <c r="A6" s="119" t="s">
        <v>543</v>
      </c>
      <c r="B6" s="119"/>
      <c r="C6" s="120"/>
      <c r="D6" s="120"/>
      <c r="E6" s="120"/>
      <c r="F6" s="120"/>
      <c r="G6" s="121"/>
      <c r="H6" s="121"/>
      <c r="I6" s="121"/>
      <c r="J6" s="121"/>
      <c r="K6" s="121"/>
      <c r="L6" s="121"/>
      <c r="M6" s="121"/>
      <c r="N6" s="121"/>
    </row>
    <row r="7" spans="1:14" ht="29.25" hidden="1" customHeight="1" x14ac:dyDescent="0.2">
      <c r="A7" s="624" t="s">
        <v>544</v>
      </c>
      <c r="B7" s="624"/>
      <c r="C7" s="624"/>
      <c r="D7" s="624"/>
      <c r="E7" s="624"/>
      <c r="F7" s="624"/>
      <c r="G7" s="624"/>
      <c r="H7" s="624"/>
      <c r="I7"/>
    </row>
    <row r="8" spans="1:14" ht="29.25" hidden="1" customHeight="1" x14ac:dyDescent="0.2">
      <c r="A8" s="624" t="s">
        <v>545</v>
      </c>
      <c r="B8" s="624"/>
      <c r="C8" s="624"/>
      <c r="D8" s="624"/>
      <c r="E8" s="624"/>
      <c r="F8" s="624"/>
      <c r="G8" s="624"/>
      <c r="H8" s="624"/>
      <c r="I8"/>
    </row>
    <row r="9" spans="1:14" ht="29.25" customHeight="1" x14ac:dyDescent="0.2">
      <c r="A9" s="122"/>
      <c r="B9" s="122"/>
      <c r="C9" s="122"/>
      <c r="D9" s="122"/>
      <c r="E9" s="122"/>
      <c r="F9" s="122"/>
      <c r="G9" s="122"/>
      <c r="H9" s="122"/>
      <c r="I9"/>
    </row>
    <row r="10" spans="1:14" ht="15.75" x14ac:dyDescent="0.25">
      <c r="A10" s="625" t="s">
        <v>2303</v>
      </c>
      <c r="B10" s="625"/>
      <c r="C10" s="625"/>
      <c r="D10" s="122"/>
      <c r="E10" s="122"/>
      <c r="F10" s="122"/>
      <c r="G10" s="122"/>
      <c r="H10" s="122"/>
      <c r="I10"/>
      <c r="L10" s="360">
        <v>24.5</v>
      </c>
      <c r="M10" s="358" t="s">
        <v>2304</v>
      </c>
    </row>
    <row r="11" spans="1:14" ht="15.75" x14ac:dyDescent="0.25">
      <c r="A11" s="619" t="s">
        <v>2305</v>
      </c>
      <c r="B11" s="619"/>
      <c r="C11" s="619"/>
      <c r="D11" s="122"/>
      <c r="E11" s="122"/>
      <c r="F11" s="122"/>
      <c r="G11" s="122"/>
      <c r="H11" s="122"/>
      <c r="I11"/>
      <c r="L11" s="359"/>
      <c r="M11" s="358"/>
    </row>
    <row r="12" spans="1:14" ht="15.75" x14ac:dyDescent="0.25">
      <c r="A12" s="619" t="s">
        <v>2306</v>
      </c>
      <c r="B12" s="619"/>
      <c r="C12" s="619"/>
      <c r="D12" s="122"/>
      <c r="E12" s="122"/>
      <c r="F12" s="122"/>
      <c r="G12" s="122"/>
      <c r="H12" s="122"/>
      <c r="I12"/>
      <c r="L12" s="359"/>
      <c r="M12" s="358"/>
    </row>
    <row r="13" spans="1:14" ht="29.25" customHeight="1" x14ac:dyDescent="0.25">
      <c r="A13" s="83"/>
      <c r="B13" s="83"/>
      <c r="C13" s="83"/>
      <c r="D13" s="84"/>
      <c r="E13" s="83"/>
      <c r="G13" s="83"/>
      <c r="I13" s="83"/>
    </row>
    <row r="14" spans="1:14" ht="32.25" customHeight="1" x14ac:dyDescent="0.2">
      <c r="A14" s="620" t="s">
        <v>1</v>
      </c>
      <c r="B14" s="313" t="s">
        <v>285</v>
      </c>
      <c r="C14" s="611" t="s">
        <v>2307</v>
      </c>
      <c r="D14" s="611" t="s">
        <v>287</v>
      </c>
      <c r="E14" s="611" t="s">
        <v>288</v>
      </c>
      <c r="F14" s="314" t="s">
        <v>547</v>
      </c>
      <c r="G14" s="314" t="s">
        <v>548</v>
      </c>
      <c r="H14" s="314" t="s">
        <v>2308</v>
      </c>
      <c r="I14" s="314" t="s">
        <v>550</v>
      </c>
      <c r="J14" s="314" t="s">
        <v>551</v>
      </c>
      <c r="K14" s="615" t="s">
        <v>2309</v>
      </c>
      <c r="L14" s="616"/>
      <c r="M14" s="611" t="s">
        <v>2310</v>
      </c>
      <c r="N14" s="611" t="s">
        <v>2311</v>
      </c>
    </row>
    <row r="15" spans="1:14" ht="31.5" customHeight="1" x14ac:dyDescent="0.2">
      <c r="A15" s="621"/>
      <c r="B15" s="313"/>
      <c r="C15" s="612"/>
      <c r="D15" s="612"/>
      <c r="E15" s="612"/>
      <c r="F15" s="314"/>
      <c r="G15" s="314"/>
      <c r="H15" s="314"/>
      <c r="I15" s="314"/>
      <c r="J15" s="314"/>
      <c r="K15" s="617"/>
      <c r="L15" s="618"/>
      <c r="M15" s="612"/>
      <c r="N15" s="612"/>
    </row>
    <row r="16" spans="1:14" ht="15.75" x14ac:dyDescent="0.2">
      <c r="A16" s="313">
        <v>1</v>
      </c>
      <c r="B16" s="313"/>
      <c r="C16" s="313">
        <v>2</v>
      </c>
      <c r="D16" s="315">
        <v>3</v>
      </c>
      <c r="E16" s="315">
        <v>4</v>
      </c>
      <c r="F16" s="315">
        <v>3</v>
      </c>
      <c r="G16" s="315">
        <v>4</v>
      </c>
      <c r="H16" s="315">
        <v>5</v>
      </c>
      <c r="I16" s="315">
        <v>6</v>
      </c>
      <c r="J16" s="315">
        <v>7</v>
      </c>
      <c r="K16" s="315">
        <v>5</v>
      </c>
      <c r="L16" s="315">
        <v>3</v>
      </c>
      <c r="M16" s="315">
        <v>4</v>
      </c>
      <c r="N16" s="315">
        <v>5</v>
      </c>
    </row>
    <row r="17" spans="1:14" s="131" customFormat="1" ht="22.15" customHeight="1" x14ac:dyDescent="0.2">
      <c r="A17" s="316">
        <v>1</v>
      </c>
      <c r="B17" s="316"/>
      <c r="C17" s="142" t="s">
        <v>81</v>
      </c>
      <c r="D17" s="134" t="s">
        <v>292</v>
      </c>
      <c r="E17" s="90">
        <v>1</v>
      </c>
      <c r="F17" s="90" t="e">
        <f>#REF!+#REF!</f>
        <v>#REF!</v>
      </c>
      <c r="G17" s="135">
        <f>$G$25</f>
        <v>1.123</v>
      </c>
      <c r="H17" s="136" t="e">
        <f>#REF!+#REF!</f>
        <v>#REF!</v>
      </c>
      <c r="I17" s="135" t="e">
        <f>[1]Дефляторы!#REF!</f>
        <v>#REF!</v>
      </c>
      <c r="J17" s="136" t="e">
        <f>#REF!+#REF!</f>
        <v>#REF!</v>
      </c>
      <c r="K17" s="317">
        <f>L17/E17</f>
        <v>25894776</v>
      </c>
      <c r="L17" s="318">
        <f>'НМЦК (с разбивкой по объектам)'!K12</f>
        <v>25894776</v>
      </c>
      <c r="M17" s="319">
        <f>L17*20%</f>
        <v>5178955.2</v>
      </c>
      <c r="N17" s="319">
        <f>L17+M17</f>
        <v>31073731.199999999</v>
      </c>
    </row>
    <row r="18" spans="1:14" s="131" customFormat="1" ht="32.450000000000003" customHeight="1" x14ac:dyDescent="0.2">
      <c r="A18" s="141" t="s">
        <v>296</v>
      </c>
      <c r="B18" s="141"/>
      <c r="C18" s="142" t="s">
        <v>3023</v>
      </c>
      <c r="D18" s="134" t="s">
        <v>292</v>
      </c>
      <c r="E18" s="90">
        <v>1</v>
      </c>
      <c r="F18" s="90" t="e">
        <f>(#REF!+#REF!+#REF!+#REF!+#REF!+#REF!+#REF!+#REF!+#REF!+#REF!+#REF!+#REF!+#REF!+#REF!+#REF!+#REF!+#REF!+#REF!+#REF!+#REF!+#REF!)</f>
        <v>#REF!</v>
      </c>
      <c r="G18" s="135"/>
      <c r="H18" s="136" t="e">
        <f>(#REF!+#REF!+#REF!+#REF!+#REF!+#REF!+#REF!+#REF!+#REF!+#REF!+#REF!+#REF!+#REF!+#REF!+#REF!+#REF!+#REF!+#REF!+#REF!+#REF!+#REF!)</f>
        <v>#REF!</v>
      </c>
      <c r="I18" s="135"/>
      <c r="J18" s="136" t="e">
        <f>(#REF!+#REF!+#REF!+#REF!+#REF!+#REF!+#REF!+#REF!+#REF!+#REF!+#REF!+#REF!+#REF!+#REF!+#REF!+#REF!+#REF!+#REF!+#REF!+#REF!+#REF!)</f>
        <v>#REF!</v>
      </c>
      <c r="K18" s="317">
        <f t="shared" ref="K18" si="0">L18/E18</f>
        <v>961170158</v>
      </c>
      <c r="L18" s="318">
        <f>'НМЦК (с разбивкой по объектам)'!K15</f>
        <v>961170158</v>
      </c>
      <c r="M18" s="319">
        <f>L18*20%</f>
        <v>192234031.59999999</v>
      </c>
      <c r="N18" s="319">
        <f>L18+M18</f>
        <v>1153404189.5999999</v>
      </c>
    </row>
    <row r="19" spans="1:14" s="185" customFormat="1" ht="28.9" customHeight="1" x14ac:dyDescent="0.2">
      <c r="A19" s="132" t="s">
        <v>524</v>
      </c>
      <c r="B19" s="320"/>
      <c r="C19" s="322" t="s">
        <v>70</v>
      </c>
      <c r="D19" s="134" t="s">
        <v>292</v>
      </c>
      <c r="E19" s="90">
        <v>1</v>
      </c>
      <c r="F19" s="90" t="e">
        <f>#REF!+#REF!+#REF!+#REF!</f>
        <v>#REF!</v>
      </c>
      <c r="G19" s="135"/>
      <c r="H19" s="90" t="e">
        <f>#REF!+#REF!+#REF!+#REF!</f>
        <v>#REF!</v>
      </c>
      <c r="I19" s="135"/>
      <c r="J19" s="90" t="e">
        <f>#REF!+#REF!+#REF!+#REF!</f>
        <v>#REF!</v>
      </c>
      <c r="K19" s="173">
        <f t="shared" ref="K19" si="1">L19/E19</f>
        <v>1162212</v>
      </c>
      <c r="L19" s="321">
        <f>'НМЦК (с разбивкой по объектам)'!K805</f>
        <v>1162212</v>
      </c>
      <c r="M19" s="319">
        <f>L19*20%</f>
        <v>232442.4</v>
      </c>
      <c r="N19" s="319">
        <f>L19+M19</f>
        <v>1394654.4</v>
      </c>
    </row>
    <row r="20" spans="1:14" s="185" customFormat="1" ht="28.9" hidden="1" customHeight="1" x14ac:dyDescent="0.2">
      <c r="A20" s="132" t="s">
        <v>2929</v>
      </c>
      <c r="B20" s="320"/>
      <c r="C20" s="322" t="s">
        <v>2930</v>
      </c>
      <c r="D20" s="134"/>
      <c r="E20" s="90"/>
      <c r="F20" s="90"/>
      <c r="G20" s="135"/>
      <c r="H20" s="90"/>
      <c r="I20" s="135"/>
      <c r="J20" s="90"/>
      <c r="K20" s="173"/>
      <c r="L20" s="321">
        <f>'НМЦК (с разбивкой по объектам)'!K823</f>
        <v>0</v>
      </c>
      <c r="M20" s="319">
        <f>L20*20%</f>
        <v>0</v>
      </c>
      <c r="N20" s="319">
        <f>L20+M20</f>
        <v>0</v>
      </c>
    </row>
    <row r="21" spans="1:14" ht="15.75" x14ac:dyDescent="0.25">
      <c r="A21" s="323"/>
      <c r="B21" s="324"/>
      <c r="C21" s="325" t="s">
        <v>2312</v>
      </c>
      <c r="D21" s="324"/>
      <c r="E21" s="326"/>
      <c r="F21" s="327" t="e">
        <f>F17+F18+F19</f>
        <v>#REF!</v>
      </c>
      <c r="G21" s="328"/>
      <c r="H21" s="327" t="e">
        <f>H17+H18+H19</f>
        <v>#REF!</v>
      </c>
      <c r="I21" s="328"/>
      <c r="J21" s="327" t="e">
        <f>J17+J18+J19</f>
        <v>#REF!</v>
      </c>
      <c r="K21" s="327"/>
      <c r="L21" s="329">
        <f>L17+L18+L19+L20</f>
        <v>988227146</v>
      </c>
      <c r="M21" s="330">
        <f>M17+M18+M19+M20</f>
        <v>197645429.19999999</v>
      </c>
      <c r="N21" s="330">
        <f>N17+N18+N19+N20</f>
        <v>1185872575.2</v>
      </c>
    </row>
    <row r="22" spans="1:14" ht="15" hidden="1" x14ac:dyDescent="0.25">
      <c r="A22" s="101"/>
      <c r="B22" s="102"/>
      <c r="C22" s="103"/>
      <c r="D22" s="98"/>
      <c r="E22" s="104"/>
      <c r="F22" s="104" t="e">
        <f>F21-'[1]Затраты подрядчика'!M123</f>
        <v>#REF!</v>
      </c>
    </row>
    <row r="23" spans="1:14" ht="15" hidden="1" x14ac:dyDescent="0.25">
      <c r="A23" s="101"/>
      <c r="B23" s="102"/>
      <c r="C23" s="103"/>
      <c r="D23" s="98"/>
      <c r="E23" s="104"/>
      <c r="F23" s="104"/>
    </row>
    <row r="24" spans="1:14" ht="15" hidden="1" x14ac:dyDescent="0.25">
      <c r="A24" s="101"/>
      <c r="B24" s="102"/>
      <c r="C24" s="103"/>
      <c r="D24" s="98"/>
      <c r="E24" s="104"/>
      <c r="F24" s="104"/>
      <c r="H24" s="195"/>
      <c r="J24" s="195"/>
      <c r="K24" s="195"/>
      <c r="L24" s="196"/>
      <c r="M24" s="196"/>
      <c r="N24" s="196"/>
    </row>
    <row r="25" spans="1:14" ht="76.150000000000006" hidden="1" customHeight="1" x14ac:dyDescent="0.25">
      <c r="A25" s="613" t="s">
        <v>702</v>
      </c>
      <c r="B25" s="613"/>
      <c r="C25" s="613"/>
      <c r="D25" s="197"/>
      <c r="F25" s="198"/>
      <c r="G25" s="199">
        <f>1.0312*1.0258*1.0358*1.0253*1</f>
        <v>1.123</v>
      </c>
      <c r="H25" s="117"/>
      <c r="I25" s="199"/>
      <c r="J25" s="117"/>
      <c r="K25" s="117"/>
      <c r="L25" s="117"/>
      <c r="M25" s="117"/>
      <c r="N25" s="117"/>
    </row>
    <row r="26" spans="1:14" ht="15.75" hidden="1" x14ac:dyDescent="0.25">
      <c r="A26" s="198"/>
      <c r="B26" s="198"/>
      <c r="C26" s="198"/>
      <c r="D26" s="198"/>
      <c r="E26" s="198"/>
      <c r="F26" s="198"/>
      <c r="G26" s="117"/>
      <c r="H26" s="117"/>
      <c r="I26" s="117"/>
      <c r="J26" s="117"/>
      <c r="K26" s="117"/>
      <c r="L26" s="117"/>
      <c r="M26" s="117"/>
      <c r="N26" s="117"/>
    </row>
    <row r="27" spans="1:14" ht="15.75" hidden="1" x14ac:dyDescent="0.25">
      <c r="A27" s="118" t="s">
        <v>703</v>
      </c>
      <c r="B27" s="118"/>
      <c r="C27" s="118"/>
      <c r="D27" s="118"/>
      <c r="E27" s="118"/>
      <c r="F27" s="118"/>
      <c r="G27" s="117"/>
      <c r="H27" s="117"/>
      <c r="I27" s="117"/>
      <c r="J27" s="117"/>
      <c r="K27" s="117"/>
      <c r="L27" s="117"/>
      <c r="M27" s="117"/>
      <c r="N27" s="117"/>
    </row>
    <row r="28" spans="1:14" ht="15.75" hidden="1" x14ac:dyDescent="0.25">
      <c r="A28" s="614" t="s">
        <v>704</v>
      </c>
      <c r="B28" s="614"/>
      <c r="C28" s="614"/>
      <c r="D28" s="614"/>
      <c r="E28" s="614"/>
      <c r="F28" s="614"/>
      <c r="G28" s="117"/>
      <c r="H28" s="117"/>
      <c r="I28" s="117"/>
      <c r="J28" s="117"/>
      <c r="K28" s="117"/>
      <c r="L28" s="117"/>
      <c r="M28" s="117"/>
      <c r="N28" s="117"/>
    </row>
    <row r="29" spans="1:14" ht="30.6" hidden="1" customHeight="1" x14ac:dyDescent="0.25">
      <c r="A29" s="614" t="s">
        <v>705</v>
      </c>
      <c r="B29" s="614"/>
      <c r="C29" s="614"/>
      <c r="D29" s="614"/>
      <c r="E29" s="614"/>
      <c r="F29" s="614"/>
      <c r="G29" s="117"/>
      <c r="H29" s="117"/>
      <c r="I29" s="117"/>
      <c r="J29" s="117"/>
      <c r="K29" s="117"/>
      <c r="L29" s="117"/>
      <c r="M29" s="117"/>
      <c r="N29" s="117"/>
    </row>
    <row r="30" spans="1:14" ht="15" x14ac:dyDescent="0.25">
      <c r="A30" s="101"/>
      <c r="B30" s="102"/>
      <c r="C30" s="103"/>
      <c r="D30" s="98"/>
      <c r="E30" s="104"/>
      <c r="F30" s="104"/>
    </row>
    <row r="31" spans="1:14" s="105" customFormat="1" ht="15" x14ac:dyDescent="0.25">
      <c r="A31" s="101"/>
      <c r="B31" s="102"/>
      <c r="C31" s="103"/>
      <c r="D31" s="98"/>
      <c r="E31" s="104"/>
      <c r="F31" s="104"/>
      <c r="H31"/>
      <c r="J31"/>
      <c r="K31"/>
      <c r="L31"/>
      <c r="M31"/>
      <c r="N31"/>
    </row>
    <row r="32" spans="1:14" s="105" customFormat="1" ht="15" x14ac:dyDescent="0.25">
      <c r="A32" s="101"/>
      <c r="B32" s="102"/>
      <c r="C32" s="103"/>
      <c r="D32" s="98"/>
      <c r="E32" s="104"/>
      <c r="F32" s="104"/>
      <c r="H32"/>
      <c r="J32"/>
      <c r="K32"/>
      <c r="L32"/>
      <c r="M32"/>
      <c r="N32"/>
    </row>
    <row r="33" spans="1:14" s="105" customFormat="1" ht="15" x14ac:dyDescent="0.25">
      <c r="A33" s="101"/>
      <c r="B33" s="102"/>
      <c r="C33" s="103"/>
      <c r="D33" s="98"/>
      <c r="E33" s="104"/>
      <c r="F33" s="104"/>
      <c r="H33"/>
      <c r="J33"/>
      <c r="K33"/>
      <c r="L33"/>
      <c r="M33"/>
      <c r="N33"/>
    </row>
    <row r="34" spans="1:14" s="105" customFormat="1" x14ac:dyDescent="0.2">
      <c r="A34" s="37"/>
      <c r="B34" t="s">
        <v>534</v>
      </c>
      <c r="C34"/>
      <c r="D34"/>
      <c r="H34"/>
      <c r="J34"/>
      <c r="K34"/>
      <c r="L34"/>
      <c r="M34"/>
      <c r="N34"/>
    </row>
    <row r="36" spans="1:14" s="105" customFormat="1" x14ac:dyDescent="0.2">
      <c r="A36" s="37"/>
      <c r="B36" t="s">
        <v>535</v>
      </c>
      <c r="C36"/>
      <c r="D36"/>
      <c r="H36"/>
      <c r="J36"/>
      <c r="K36"/>
      <c r="L36"/>
      <c r="M36"/>
      <c r="N36"/>
    </row>
  </sheetData>
  <mergeCells count="17">
    <mergeCell ref="A11:C11"/>
    <mergeCell ref="A1:N1"/>
    <mergeCell ref="B3:N3"/>
    <mergeCell ref="A7:H7"/>
    <mergeCell ref="A8:H8"/>
    <mergeCell ref="A10:C10"/>
    <mergeCell ref="A12:C12"/>
    <mergeCell ref="A14:A15"/>
    <mergeCell ref="C14:C15"/>
    <mergeCell ref="D14:D15"/>
    <mergeCell ref="E14:E15"/>
    <mergeCell ref="M14:M15"/>
    <mergeCell ref="N14:N15"/>
    <mergeCell ref="A25:C25"/>
    <mergeCell ref="A28:F28"/>
    <mergeCell ref="A29:F29"/>
    <mergeCell ref="K14:L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29" sqref="A29"/>
    </sheetView>
  </sheetViews>
  <sheetFormatPr defaultColWidth="9.140625" defaultRowHeight="15" x14ac:dyDescent="0.25"/>
  <cols>
    <col min="1" max="6" width="9.140625" style="306"/>
    <col min="7" max="7" width="15" style="306" bestFit="1" customWidth="1"/>
    <col min="8" max="16384" width="9.140625" style="306"/>
  </cols>
  <sheetData>
    <row r="1" spans="1:15" x14ac:dyDescent="0.25">
      <c r="A1" s="627" t="s">
        <v>2273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</row>
    <row r="2" spans="1:15" x14ac:dyDescent="0.25">
      <c r="A2" s="627" t="s">
        <v>2274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</row>
    <row r="4" spans="1:15" x14ac:dyDescent="0.25">
      <c r="A4" s="307" t="s">
        <v>2275</v>
      </c>
      <c r="C4" s="306" t="str">
        <f>'НМЦК (с разбивкой по объектам)'!B3</f>
        <v>Всесезонный туристско-рекреационный комплекс «Эльбрус», 
Кабардино-Балкарская Республика. Пассажирская подвесная канатная дорога EL6</v>
      </c>
    </row>
    <row r="6" spans="1:15" ht="36.6" customHeight="1" x14ac:dyDescent="0.25">
      <c r="A6" s="628" t="s">
        <v>2276</v>
      </c>
      <c r="B6" s="628"/>
      <c r="C6" s="628"/>
      <c r="D6" s="628"/>
      <c r="E6" s="628"/>
      <c r="F6" s="628"/>
      <c r="G6" s="361">
        <f>НМЦ!N21</f>
        <v>1185872575.2</v>
      </c>
      <c r="H6" s="362"/>
      <c r="I6" s="362"/>
      <c r="J6" s="362"/>
      <c r="K6" s="362"/>
      <c r="L6" s="362"/>
      <c r="M6" s="362"/>
      <c r="N6" s="362"/>
      <c r="O6" s="362"/>
    </row>
    <row r="7" spans="1:15" ht="25.9" customHeight="1" x14ac:dyDescent="0.25">
      <c r="A7" s="628" t="s">
        <v>3022</v>
      </c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</row>
    <row r="8" spans="1:15" x14ac:dyDescent="0.25">
      <c r="A8" s="307" t="s">
        <v>2277</v>
      </c>
    </row>
    <row r="9" spans="1:15" x14ac:dyDescent="0.25">
      <c r="A9" s="308" t="s">
        <v>2278</v>
      </c>
      <c r="B9" s="309"/>
      <c r="C9" s="309"/>
      <c r="D9" s="309"/>
      <c r="E9" s="309"/>
    </row>
    <row r="10" spans="1:15" x14ac:dyDescent="0.25">
      <c r="A10" s="308" t="s">
        <v>2279</v>
      </c>
      <c r="B10" s="309"/>
      <c r="C10" s="309"/>
      <c r="D10" s="309"/>
      <c r="E10" s="309"/>
      <c r="F10" s="309"/>
      <c r="G10" s="309"/>
      <c r="H10" s="309"/>
      <c r="I10" s="309"/>
    </row>
    <row r="11" spans="1:15" x14ac:dyDescent="0.25">
      <c r="A11" s="308" t="s">
        <v>2280</v>
      </c>
      <c r="B11" s="309"/>
      <c r="C11" s="309"/>
      <c r="D11" s="309"/>
      <c r="E11" s="309"/>
      <c r="F11" s="309"/>
      <c r="G11" s="309"/>
      <c r="H11" s="309"/>
      <c r="I11" s="309"/>
    </row>
    <row r="12" spans="1:15" x14ac:dyDescent="0.25">
      <c r="A12" s="308" t="s">
        <v>2281</v>
      </c>
      <c r="B12" s="309"/>
      <c r="C12" s="309"/>
      <c r="D12" s="309"/>
      <c r="E12" s="309"/>
      <c r="F12" s="309"/>
      <c r="G12" s="309"/>
      <c r="H12" s="309"/>
      <c r="I12" s="309"/>
    </row>
    <row r="13" spans="1:15" x14ac:dyDescent="0.25">
      <c r="A13" s="308" t="s">
        <v>2282</v>
      </c>
      <c r="B13" s="309"/>
      <c r="C13" s="309"/>
      <c r="D13" s="309"/>
      <c r="E13" s="309"/>
      <c r="F13" s="309"/>
      <c r="G13" s="309"/>
      <c r="H13" s="309"/>
      <c r="I13" s="309"/>
    </row>
    <row r="14" spans="1:15" x14ac:dyDescent="0.25">
      <c r="A14" s="308" t="s">
        <v>2283</v>
      </c>
      <c r="B14" s="309"/>
      <c r="C14" s="309"/>
      <c r="D14" s="309"/>
      <c r="E14" s="309"/>
      <c r="F14" s="309"/>
      <c r="G14" s="309"/>
      <c r="H14" s="309"/>
      <c r="I14" s="309"/>
    </row>
    <row r="15" spans="1:15" x14ac:dyDescent="0.25">
      <c r="A15" s="308" t="s">
        <v>2926</v>
      </c>
      <c r="B15" s="309"/>
      <c r="C15" s="309"/>
      <c r="D15" s="309"/>
      <c r="E15" s="309"/>
      <c r="F15" s="309"/>
      <c r="G15" s="309"/>
      <c r="H15" s="309"/>
      <c r="I15" s="309"/>
    </row>
    <row r="16" spans="1:15" s="307" customFormat="1" x14ac:dyDescent="0.25">
      <c r="A16" s="308" t="s">
        <v>2284</v>
      </c>
      <c r="B16" s="308"/>
      <c r="C16" s="308"/>
      <c r="D16" s="308"/>
      <c r="E16" s="308"/>
      <c r="F16" s="308"/>
      <c r="G16" s="308"/>
      <c r="H16" s="308"/>
      <c r="I16" s="308"/>
    </row>
    <row r="17" spans="1:15" s="307" customFormat="1" x14ac:dyDescent="0.25">
      <c r="A17" s="308" t="s">
        <v>2285</v>
      </c>
      <c r="B17" s="308"/>
      <c r="C17" s="308"/>
      <c r="D17" s="308"/>
      <c r="E17" s="308"/>
      <c r="F17" s="308"/>
      <c r="G17" s="308"/>
      <c r="H17" s="308"/>
      <c r="I17" s="308"/>
    </row>
    <row r="18" spans="1:15" s="307" customFormat="1" x14ac:dyDescent="0.25">
      <c r="A18" s="308" t="s">
        <v>2300</v>
      </c>
      <c r="B18" s="308"/>
      <c r="C18" s="308"/>
      <c r="D18" s="308"/>
      <c r="E18" s="308"/>
      <c r="F18" s="308"/>
      <c r="G18" s="308"/>
      <c r="H18" s="308"/>
      <c r="I18" s="308"/>
    </row>
    <row r="19" spans="1:15" s="307" customFormat="1" x14ac:dyDescent="0.25">
      <c r="A19" s="308" t="s">
        <v>2286</v>
      </c>
      <c r="B19" s="308"/>
      <c r="C19" s="308"/>
      <c r="D19" s="308"/>
      <c r="E19" s="308"/>
      <c r="F19" s="308"/>
      <c r="G19" s="308"/>
      <c r="H19" s="308"/>
      <c r="I19" s="308"/>
    </row>
    <row r="20" spans="1:15" s="307" customFormat="1" x14ac:dyDescent="0.25">
      <c r="A20" s="308" t="s">
        <v>2287</v>
      </c>
      <c r="B20" s="308"/>
      <c r="C20" s="308"/>
      <c r="D20" s="308"/>
      <c r="E20" s="308"/>
      <c r="F20" s="308"/>
      <c r="G20" s="308"/>
      <c r="H20" s="308"/>
      <c r="I20" s="308"/>
    </row>
    <row r="21" spans="1:15" s="307" customFormat="1" x14ac:dyDescent="0.25">
      <c r="A21" s="308" t="s">
        <v>2288</v>
      </c>
      <c r="B21" s="308"/>
      <c r="C21" s="308"/>
      <c r="D21" s="308"/>
      <c r="E21" s="308"/>
      <c r="F21" s="308"/>
      <c r="G21" s="308"/>
      <c r="H21" s="308"/>
      <c r="I21" s="308"/>
    </row>
    <row r="22" spans="1:15" s="311" customFormat="1" x14ac:dyDescent="0.25">
      <c r="A22" s="308" t="s">
        <v>2289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</row>
    <row r="23" spans="1:15" s="311" customFormat="1" x14ac:dyDescent="0.25">
      <c r="A23" s="308" t="s">
        <v>2290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</row>
    <row r="24" spans="1:15" s="311" customFormat="1" hidden="1" x14ac:dyDescent="0.25">
      <c r="A24" s="308" t="s">
        <v>2301</v>
      </c>
      <c r="B24" s="310"/>
      <c r="C24" s="310"/>
      <c r="D24" s="310"/>
      <c r="E24" s="310"/>
      <c r="F24" s="310"/>
      <c r="G24" s="310"/>
      <c r="H24" s="310"/>
      <c r="I24" s="310"/>
      <c r="J24" s="310"/>
      <c r="K24" s="310"/>
    </row>
    <row r="25" spans="1:15" s="311" customFormat="1" x14ac:dyDescent="0.25">
      <c r="A25" s="308" t="s">
        <v>2291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</row>
    <row r="26" spans="1:15" s="311" customFormat="1" hidden="1" x14ac:dyDescent="0.25">
      <c r="A26" s="308" t="s">
        <v>2931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</row>
    <row r="27" spans="1:15" s="307" customFormat="1" x14ac:dyDescent="0.25">
      <c r="A27" s="308" t="s">
        <v>2292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</row>
    <row r="28" spans="1:15" s="311" customFormat="1" ht="30" customHeight="1" x14ac:dyDescent="0.25">
      <c r="A28" s="629" t="s">
        <v>2293</v>
      </c>
      <c r="B28" s="629"/>
      <c r="C28" s="629"/>
      <c r="D28" s="629"/>
      <c r="E28" s="629"/>
      <c r="F28" s="629"/>
      <c r="G28" s="629"/>
      <c r="H28" s="629"/>
      <c r="I28" s="629"/>
      <c r="J28" s="629"/>
      <c r="K28" s="629"/>
      <c r="L28" s="629"/>
      <c r="M28" s="629"/>
      <c r="N28" s="629"/>
      <c r="O28" s="629"/>
    </row>
    <row r="29" spans="1:15" s="311" customFormat="1" x14ac:dyDescent="0.25">
      <c r="A29" s="308" t="s">
        <v>2294</v>
      </c>
      <c r="B29" s="310"/>
      <c r="C29" s="310"/>
      <c r="D29" s="310"/>
      <c r="E29" s="310"/>
      <c r="F29" s="310"/>
      <c r="G29" s="310"/>
      <c r="H29" s="310"/>
      <c r="I29" s="310"/>
      <c r="J29" s="310"/>
      <c r="K29" s="310"/>
    </row>
    <row r="30" spans="1:15" s="311" customFormat="1" x14ac:dyDescent="0.25">
      <c r="A30" s="308" t="s">
        <v>2295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</row>
    <row r="31" spans="1:15" s="311" customFormat="1" x14ac:dyDescent="0.25">
      <c r="A31" s="310"/>
      <c r="B31" s="310"/>
      <c r="C31" s="310"/>
      <c r="D31" s="310"/>
      <c r="E31" s="310"/>
      <c r="F31" s="310"/>
      <c r="G31" s="310"/>
      <c r="H31" s="310"/>
      <c r="I31" s="310"/>
      <c r="J31" s="310"/>
      <c r="K31" s="310"/>
    </row>
    <row r="32" spans="1:15" s="307" customFormat="1" x14ac:dyDescent="0.25">
      <c r="A32" s="308" t="s">
        <v>2296</v>
      </c>
      <c r="B32" s="308"/>
      <c r="C32" s="308"/>
      <c r="D32" s="308"/>
      <c r="E32" s="308"/>
      <c r="F32" s="308"/>
      <c r="G32" s="308"/>
      <c r="H32" s="308"/>
      <c r="I32" s="308"/>
      <c r="J32" s="308"/>
      <c r="K32" s="308"/>
    </row>
    <row r="33" spans="1:15" s="307" customFormat="1" x14ac:dyDescent="0.25">
      <c r="A33" s="308" t="s">
        <v>2297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</row>
    <row r="34" spans="1:15" s="307" customFormat="1" x14ac:dyDescent="0.25">
      <c r="A34" s="308"/>
      <c r="B34" s="308"/>
      <c r="C34" s="308"/>
      <c r="D34" s="308"/>
      <c r="E34" s="308"/>
      <c r="F34" s="308"/>
      <c r="G34" s="308"/>
      <c r="H34" s="308"/>
      <c r="I34" s="308"/>
      <c r="J34" s="308"/>
      <c r="K34" s="308"/>
    </row>
    <row r="35" spans="1:15" s="307" customFormat="1" x14ac:dyDescent="0.25">
      <c r="A35" s="307" t="s">
        <v>2298</v>
      </c>
      <c r="G35" s="308"/>
      <c r="H35" s="308"/>
      <c r="I35" s="308"/>
      <c r="J35" s="626"/>
      <c r="K35" s="626"/>
      <c r="L35" s="626"/>
      <c r="M35" s="626"/>
      <c r="N35" s="626"/>
      <c r="O35" s="626"/>
    </row>
    <row r="36" spans="1:15" x14ac:dyDescent="0.25">
      <c r="A36" s="307"/>
      <c r="G36" s="309"/>
      <c r="H36" s="309"/>
      <c r="I36" s="309"/>
      <c r="J36" s="312" t="s">
        <v>2299</v>
      </c>
      <c r="K36" s="312"/>
      <c r="L36" s="312"/>
    </row>
  </sheetData>
  <mergeCells count="6">
    <mergeCell ref="J35:O35"/>
    <mergeCell ref="A1:O1"/>
    <mergeCell ref="A2:O2"/>
    <mergeCell ref="A6:F6"/>
    <mergeCell ref="A7:O7"/>
    <mergeCell ref="A28:O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Q836"/>
  <sheetViews>
    <sheetView view="pageBreakPreview" topLeftCell="A550" zoomScaleNormal="100" zoomScaleSheetLayoutView="100" workbookViewId="0">
      <selection activeCell="A820" sqref="A820:XFD822"/>
    </sheetView>
  </sheetViews>
  <sheetFormatPr defaultRowHeight="15.75" outlineLevelRow="4" x14ac:dyDescent="0.25"/>
  <cols>
    <col min="1" max="1" width="11.28515625" style="383" bestFit="1" customWidth="1"/>
    <col min="2" max="2" width="21.85546875" style="117" hidden="1" customWidth="1"/>
    <col min="3" max="3" width="54.42578125" style="117" customWidth="1"/>
    <col min="4" max="4" width="19" style="117" customWidth="1"/>
    <col min="5" max="5" width="14.85546875" style="198" customWidth="1"/>
    <col min="6" max="7" width="19.7109375" style="117" customWidth="1"/>
    <col min="8" max="8" width="38.7109375" style="117" hidden="1" customWidth="1"/>
    <col min="9" max="9" width="15" style="117" hidden="1" customWidth="1"/>
    <col min="10" max="10" width="9.140625" style="117" hidden="1" customWidth="1"/>
    <col min="11" max="11" width="14" style="117" hidden="1" customWidth="1"/>
    <col min="12" max="12" width="14.85546875" style="117" hidden="1" customWidth="1"/>
    <col min="13" max="13" width="12.85546875" style="117" hidden="1" customWidth="1"/>
    <col min="14" max="16384" width="9.140625" style="117"/>
  </cols>
  <sheetData>
    <row r="1" spans="1:17" customFormat="1" ht="29.25" customHeight="1" x14ac:dyDescent="0.2">
      <c r="A1" s="622" t="s">
        <v>2925</v>
      </c>
      <c r="B1" s="622"/>
      <c r="C1" s="622"/>
      <c r="D1" s="622"/>
      <c r="E1" s="622"/>
      <c r="F1" s="622"/>
      <c r="G1" s="622"/>
      <c r="H1" s="456"/>
      <c r="I1" s="456"/>
      <c r="J1" s="456"/>
      <c r="K1" s="456"/>
      <c r="L1" s="456"/>
      <c r="M1" s="456"/>
      <c r="N1" s="456"/>
      <c r="O1" s="456"/>
      <c r="P1" s="456"/>
      <c r="Q1" s="456"/>
    </row>
    <row r="2" spans="1:17" customFormat="1" ht="29.25" hidden="1" customHeight="1" x14ac:dyDescent="0.2">
      <c r="A2" s="458"/>
      <c r="B2" s="458"/>
      <c r="C2" s="458"/>
      <c r="D2" s="113"/>
      <c r="E2" s="458"/>
    </row>
    <row r="3" spans="1:17" customFormat="1" ht="29.25" customHeight="1" x14ac:dyDescent="0.2">
      <c r="A3" s="114" t="s">
        <v>538</v>
      </c>
      <c r="B3" s="623" t="s">
        <v>536</v>
      </c>
      <c r="C3" s="632"/>
      <c r="D3" s="632"/>
      <c r="E3" s="632"/>
    </row>
    <row r="4" spans="1:17" ht="29.25" hidden="1" customHeight="1" x14ac:dyDescent="0.25">
      <c r="A4" s="83"/>
      <c r="B4" s="83"/>
      <c r="C4" s="83"/>
      <c r="D4" s="84"/>
      <c r="E4" s="83"/>
      <c r="G4" s="117" t="s">
        <v>546</v>
      </c>
    </row>
    <row r="5" spans="1:17" ht="29.25" customHeight="1" x14ac:dyDescent="0.25">
      <c r="A5" s="83"/>
      <c r="B5" s="83"/>
      <c r="C5" s="83"/>
      <c r="D5" s="84"/>
      <c r="E5" s="83"/>
    </row>
    <row r="6" spans="1:17" ht="25.5" customHeight="1" x14ac:dyDescent="0.25">
      <c r="A6" s="634" t="s">
        <v>1</v>
      </c>
      <c r="B6" s="85" t="s">
        <v>285</v>
      </c>
      <c r="C6" s="636" t="s">
        <v>286</v>
      </c>
      <c r="D6" s="636" t="s">
        <v>287</v>
      </c>
      <c r="E6" s="636" t="s">
        <v>288</v>
      </c>
      <c r="F6" s="633" t="s">
        <v>2924</v>
      </c>
      <c r="G6" s="633"/>
      <c r="H6" s="86" t="s">
        <v>289</v>
      </c>
      <c r="I6" s="86" t="s">
        <v>290</v>
      </c>
      <c r="J6" s="86" t="s">
        <v>291</v>
      </c>
      <c r="K6" s="123" t="s">
        <v>553</v>
      </c>
      <c r="L6" s="123" t="s">
        <v>554</v>
      </c>
      <c r="M6" s="123" t="s">
        <v>555</v>
      </c>
    </row>
    <row r="7" spans="1:17" ht="36" customHeight="1" x14ac:dyDescent="0.25">
      <c r="A7" s="635"/>
      <c r="B7" s="85"/>
      <c r="C7" s="637"/>
      <c r="D7" s="637"/>
      <c r="E7" s="637"/>
      <c r="F7" s="457" t="s">
        <v>2923</v>
      </c>
      <c r="G7" s="459" t="s">
        <v>2312</v>
      </c>
      <c r="H7" s="86"/>
      <c r="I7" s="86"/>
      <c r="J7" s="86"/>
      <c r="K7" s="124"/>
      <c r="L7" s="124"/>
      <c r="M7" s="124"/>
    </row>
    <row r="8" spans="1:17" x14ac:dyDescent="0.25">
      <c r="A8" s="85">
        <v>1</v>
      </c>
      <c r="B8" s="85">
        <v>2</v>
      </c>
      <c r="C8" s="85">
        <v>2</v>
      </c>
      <c r="D8" s="459">
        <v>3</v>
      </c>
      <c r="E8" s="459">
        <v>4</v>
      </c>
      <c r="F8" s="459">
        <v>5</v>
      </c>
      <c r="G8" s="459">
        <v>6</v>
      </c>
      <c r="H8" s="86"/>
      <c r="I8" s="86"/>
      <c r="J8" s="86"/>
      <c r="K8" s="124"/>
      <c r="L8" s="124"/>
      <c r="M8" s="124"/>
    </row>
    <row r="9" spans="1:17" s="378" customFormat="1" ht="22.15" customHeight="1" x14ac:dyDescent="0.25">
      <c r="A9" s="88">
        <v>1</v>
      </c>
      <c r="B9" s="88"/>
      <c r="C9" s="89" t="s">
        <v>81</v>
      </c>
      <c r="D9" s="125" t="s">
        <v>292</v>
      </c>
      <c r="E9" s="126">
        <v>1</v>
      </c>
      <c r="F9" s="522">
        <f t="shared" ref="F9:F72" si="0">G9/E9</f>
        <v>25894776</v>
      </c>
      <c r="G9" s="522">
        <f>'НМЦК (с разбивкой по объектам)'!K12</f>
        <v>25894776</v>
      </c>
      <c r="H9" s="376"/>
      <c r="I9" s="376"/>
      <c r="J9" s="376"/>
      <c r="K9" s="377">
        <v>44166</v>
      </c>
      <c r="L9" s="377">
        <v>44256</v>
      </c>
      <c r="M9" s="378">
        <f>L9-K9</f>
        <v>90</v>
      </c>
    </row>
    <row r="10" spans="1:17" s="380" customFormat="1" ht="34.5" customHeight="1" outlineLevel="1" x14ac:dyDescent="0.25">
      <c r="A10" s="132" t="s">
        <v>293</v>
      </c>
      <c r="B10" s="132" t="s">
        <v>706</v>
      </c>
      <c r="C10" s="133" t="s">
        <v>294</v>
      </c>
      <c r="D10" s="134" t="s">
        <v>292</v>
      </c>
      <c r="E10" s="90">
        <v>1</v>
      </c>
      <c r="F10" s="523">
        <f t="shared" si="0"/>
        <v>25387035</v>
      </c>
      <c r="G10" s="523">
        <f>'НМЦК (с разбивкой по объектам)'!K13</f>
        <v>25387035</v>
      </c>
      <c r="H10" s="379"/>
      <c r="I10" s="379"/>
      <c r="J10" s="379"/>
    </row>
    <row r="11" spans="1:17" s="380" customFormat="1" outlineLevel="1" x14ac:dyDescent="0.25">
      <c r="A11" s="132" t="s">
        <v>295</v>
      </c>
      <c r="B11" s="320"/>
      <c r="C11" s="133" t="s">
        <v>556</v>
      </c>
      <c r="D11" s="134" t="s">
        <v>292</v>
      </c>
      <c r="E11" s="90">
        <v>1</v>
      </c>
      <c r="F11" s="523">
        <f t="shared" si="0"/>
        <v>507741</v>
      </c>
      <c r="G11" s="523">
        <f>'НМЦК (с разбивкой по объектам)'!K14</f>
        <v>507741</v>
      </c>
      <c r="H11" s="379"/>
      <c r="I11" s="379"/>
      <c r="J11" s="379"/>
    </row>
    <row r="12" spans="1:17" s="378" customFormat="1" ht="32.450000000000003" customHeight="1" x14ac:dyDescent="0.25">
      <c r="A12" s="92" t="s">
        <v>296</v>
      </c>
      <c r="B12" s="92"/>
      <c r="C12" s="89" t="s">
        <v>297</v>
      </c>
      <c r="D12" s="125" t="s">
        <v>292</v>
      </c>
      <c r="E12" s="126">
        <v>1</v>
      </c>
      <c r="F12" s="524">
        <f t="shared" si="0"/>
        <v>961170158</v>
      </c>
      <c r="G12" s="524">
        <f>'НМЦК (с разбивкой по объектам)'!K15</f>
        <v>961170158</v>
      </c>
      <c r="H12" s="376"/>
      <c r="I12" s="376"/>
      <c r="J12" s="376"/>
    </row>
    <row r="13" spans="1:17" s="378" customFormat="1" ht="15.75" customHeight="1" outlineLevel="1" collapsed="1" x14ac:dyDescent="0.25">
      <c r="A13" s="92" t="s">
        <v>298</v>
      </c>
      <c r="B13" s="92"/>
      <c r="C13" s="89" t="s">
        <v>557</v>
      </c>
      <c r="D13" s="125" t="s">
        <v>292</v>
      </c>
      <c r="E13" s="126">
        <v>1</v>
      </c>
      <c r="F13" s="522">
        <f t="shared" si="0"/>
        <v>81137</v>
      </c>
      <c r="G13" s="522">
        <f>'НМЦК (с разбивкой по объектам)'!K16</f>
        <v>81137</v>
      </c>
      <c r="H13" s="376"/>
      <c r="I13" s="376"/>
      <c r="J13" s="376"/>
      <c r="K13" s="377">
        <v>44287</v>
      </c>
      <c r="L13" s="377">
        <v>44348</v>
      </c>
      <c r="M13" s="378">
        <f>L13-K13</f>
        <v>61</v>
      </c>
    </row>
    <row r="14" spans="1:17" s="383" customFormat="1" ht="33.75" hidden="1" customHeight="1" outlineLevel="2" x14ac:dyDescent="0.25">
      <c r="A14" s="363" t="s">
        <v>558</v>
      </c>
      <c r="B14" s="381" t="s">
        <v>19</v>
      </c>
      <c r="C14" s="202" t="str">
        <f>'Затраты подрядчика'!C29</f>
        <v>Затраты на проведение биологических мероприятий по рекультивации</v>
      </c>
      <c r="D14" s="143" t="s">
        <v>404</v>
      </c>
      <c r="E14" s="144">
        <v>246</v>
      </c>
      <c r="F14" s="525">
        <f t="shared" si="0"/>
        <v>235</v>
      </c>
      <c r="G14" s="525">
        <f>'НМЦК (с разбивкой по объектам)'!K17</f>
        <v>57859</v>
      </c>
      <c r="H14" s="382"/>
      <c r="I14" s="382"/>
      <c r="J14" s="382"/>
    </row>
    <row r="15" spans="1:17" s="383" customFormat="1" hidden="1" outlineLevel="2" x14ac:dyDescent="0.25">
      <c r="A15" s="363" t="s">
        <v>299</v>
      </c>
      <c r="B15" s="381" t="s">
        <v>21</v>
      </c>
      <c r="C15" s="381" t="s">
        <v>22</v>
      </c>
      <c r="D15" s="100" t="s">
        <v>404</v>
      </c>
      <c r="E15" s="149">
        <v>492</v>
      </c>
      <c r="F15" s="525">
        <f t="shared" si="0"/>
        <v>47</v>
      </c>
      <c r="G15" s="525">
        <f>'НМЦК (с разбивкой по объектам)'!K18</f>
        <v>23278</v>
      </c>
      <c r="H15" s="382"/>
      <c r="I15" s="382"/>
      <c r="J15" s="382"/>
    </row>
    <row r="16" spans="1:17" s="358" customFormat="1" outlineLevel="1" x14ac:dyDescent="0.25">
      <c r="A16" s="179" t="s">
        <v>301</v>
      </c>
      <c r="B16" s="422"/>
      <c r="C16" s="422" t="s">
        <v>531</v>
      </c>
      <c r="D16" s="125" t="s">
        <v>292</v>
      </c>
      <c r="E16" s="126">
        <v>1</v>
      </c>
      <c r="F16" s="524">
        <f t="shared" si="0"/>
        <v>112505465</v>
      </c>
      <c r="G16" s="524">
        <f>'НМЦК (с разбивкой по объектам)'!K19</f>
        <v>112505465</v>
      </c>
      <c r="H16" s="389"/>
      <c r="I16" s="389"/>
      <c r="J16" s="389"/>
    </row>
    <row r="17" spans="1:10" s="386" customFormat="1" outlineLevel="2" collapsed="1" x14ac:dyDescent="0.25">
      <c r="A17" s="132" t="s">
        <v>302</v>
      </c>
      <c r="B17" s="320"/>
      <c r="C17" s="384" t="s">
        <v>2359</v>
      </c>
      <c r="D17" s="134" t="s">
        <v>292</v>
      </c>
      <c r="E17" s="90">
        <v>1</v>
      </c>
      <c r="F17" s="526">
        <f t="shared" si="0"/>
        <v>19023333</v>
      </c>
      <c r="G17" s="526">
        <f>'НМЦК (с разбивкой по объектам)'!K20</f>
        <v>19023333</v>
      </c>
      <c r="H17" s="385"/>
      <c r="I17" s="385"/>
      <c r="J17" s="385"/>
    </row>
    <row r="18" spans="1:10" s="358" customFormat="1" hidden="1" outlineLevel="3" x14ac:dyDescent="0.25">
      <c r="A18" s="368"/>
      <c r="B18" s="387"/>
      <c r="C18" s="388" t="s">
        <v>2392</v>
      </c>
      <c r="D18" s="239"/>
      <c r="E18" s="240"/>
      <c r="F18" s="527" t="e">
        <f t="shared" si="0"/>
        <v>#DIV/0!</v>
      </c>
      <c r="G18" s="527">
        <f>'НМЦК (с разбивкой по объектам)'!K21</f>
        <v>0</v>
      </c>
      <c r="H18" s="389"/>
      <c r="I18" s="389"/>
      <c r="J18" s="389"/>
    </row>
    <row r="19" spans="1:10" s="383" customFormat="1" hidden="1" outlineLevel="3" x14ac:dyDescent="0.25">
      <c r="A19" s="363"/>
      <c r="B19" s="381"/>
      <c r="C19" s="387" t="s">
        <v>367</v>
      </c>
      <c r="D19" s="100"/>
      <c r="E19" s="149"/>
      <c r="F19" s="525" t="e">
        <f t="shared" si="0"/>
        <v>#DIV/0!</v>
      </c>
      <c r="G19" s="525">
        <f>'НМЦК (с разбивкой по объектам)'!K22</f>
        <v>0</v>
      </c>
      <c r="H19" s="382"/>
      <c r="I19" s="382"/>
      <c r="J19" s="382"/>
    </row>
    <row r="20" spans="1:10" s="383" customFormat="1" hidden="1" outlineLevel="3" x14ac:dyDescent="0.25">
      <c r="A20" s="363"/>
      <c r="B20" s="381"/>
      <c r="C20" s="390" t="s">
        <v>2393</v>
      </c>
      <c r="D20" s="100"/>
      <c r="E20" s="149"/>
      <c r="F20" s="527" t="e">
        <f t="shared" si="0"/>
        <v>#DIV/0!</v>
      </c>
      <c r="G20" s="527">
        <f>'НМЦК (с разбивкой по объектам)'!K23</f>
        <v>0</v>
      </c>
      <c r="H20" s="382"/>
      <c r="I20" s="382"/>
      <c r="J20" s="382"/>
    </row>
    <row r="21" spans="1:10" s="383" customFormat="1" ht="31.5" hidden="1" outlineLevel="3" x14ac:dyDescent="0.25">
      <c r="A21" s="363" t="s">
        <v>303</v>
      </c>
      <c r="B21" s="381" t="s">
        <v>355</v>
      </c>
      <c r="C21" s="381" t="s">
        <v>356</v>
      </c>
      <c r="D21" s="100" t="s">
        <v>300</v>
      </c>
      <c r="E21" s="149">
        <f>'Земляные работы'!H13*443/503</f>
        <v>4784</v>
      </c>
      <c r="F21" s="525">
        <f t="shared" si="0"/>
        <v>1670</v>
      </c>
      <c r="G21" s="525">
        <f>'НМЦК (с разбивкой по объектам)'!K24</f>
        <v>7987920</v>
      </c>
      <c r="H21" s="382"/>
      <c r="I21" s="382"/>
      <c r="J21" s="382"/>
    </row>
    <row r="22" spans="1:10" s="383" customFormat="1" ht="31.5" hidden="1" outlineLevel="3" x14ac:dyDescent="0.25">
      <c r="A22" s="363" t="s">
        <v>306</v>
      </c>
      <c r="B22" s="381" t="s">
        <v>560</v>
      </c>
      <c r="C22" s="381" t="s">
        <v>656</v>
      </c>
      <c r="D22" s="100" t="s">
        <v>300</v>
      </c>
      <c r="E22" s="149">
        <f>'Земляные работы'!H13*443/503</f>
        <v>4784</v>
      </c>
      <c r="F22" s="525">
        <f t="shared" si="0"/>
        <v>256</v>
      </c>
      <c r="G22" s="525">
        <f>'НМЦК (с разбивкой по объектам)'!K25</f>
        <v>1225084</v>
      </c>
      <c r="H22" s="382"/>
      <c r="I22" s="382"/>
      <c r="J22" s="382"/>
    </row>
    <row r="23" spans="1:10" s="394" customFormat="1" ht="31.5" hidden="1" outlineLevel="3" x14ac:dyDescent="0.25">
      <c r="A23" s="363" t="s">
        <v>308</v>
      </c>
      <c r="B23" s="391" t="s">
        <v>561</v>
      </c>
      <c r="C23" s="391" t="s">
        <v>562</v>
      </c>
      <c r="D23" s="161" t="s">
        <v>300</v>
      </c>
      <c r="E23" s="162">
        <f>'Земляные работы'!K13*443/503</f>
        <v>239.1</v>
      </c>
      <c r="F23" s="528">
        <f t="shared" si="0"/>
        <v>1167</v>
      </c>
      <c r="G23" s="528">
        <f>'НМЦК (с разбивкой по объектам)'!K26</f>
        <v>279066</v>
      </c>
      <c r="H23" s="392" t="s">
        <v>563</v>
      </c>
      <c r="I23" s="393"/>
      <c r="J23" s="392"/>
    </row>
    <row r="24" spans="1:10" s="394" customFormat="1" hidden="1" outlineLevel="3" x14ac:dyDescent="0.25">
      <c r="A24" s="363" t="s">
        <v>310</v>
      </c>
      <c r="B24" s="391" t="s">
        <v>564</v>
      </c>
      <c r="C24" s="391" t="s">
        <v>565</v>
      </c>
      <c r="D24" s="161" t="s">
        <v>300</v>
      </c>
      <c r="E24" s="162">
        <f>'Земляные работы'!L13*443/503</f>
        <v>239.1</v>
      </c>
      <c r="F24" s="528">
        <f t="shared" si="0"/>
        <v>292</v>
      </c>
      <c r="G24" s="528">
        <f>'НМЦК (с разбивкой по объектам)'!K27</f>
        <v>69936</v>
      </c>
      <c r="H24" s="392" t="s">
        <v>563</v>
      </c>
      <c r="I24" s="392"/>
      <c r="J24" s="392"/>
    </row>
    <row r="25" spans="1:10" s="383" customFormat="1" ht="31.5" hidden="1" outlineLevel="3" x14ac:dyDescent="0.25">
      <c r="A25" s="363" t="s">
        <v>315</v>
      </c>
      <c r="B25" s="381" t="s">
        <v>567</v>
      </c>
      <c r="C25" s="381" t="s">
        <v>750</v>
      </c>
      <c r="D25" s="100" t="s">
        <v>300</v>
      </c>
      <c r="E25" s="168">
        <f>20100.9*'Земляные работы'!M13/'Земляные работы'!$M$19*443/503</f>
        <v>4115</v>
      </c>
      <c r="F25" s="525">
        <f t="shared" si="0"/>
        <v>119</v>
      </c>
      <c r="G25" s="525">
        <f>'НМЦК (с разбивкой по объектам)'!K28</f>
        <v>488529</v>
      </c>
      <c r="H25" s="382" t="s">
        <v>360</v>
      </c>
      <c r="I25" s="382"/>
      <c r="J25" s="382"/>
    </row>
    <row r="26" spans="1:10" s="383" customFormat="1" hidden="1" outlineLevel="3" x14ac:dyDescent="0.25">
      <c r="A26" s="363" t="s">
        <v>318</v>
      </c>
      <c r="B26" s="381" t="s">
        <v>362</v>
      </c>
      <c r="C26" s="381" t="s">
        <v>573</v>
      </c>
      <c r="D26" s="100" t="s">
        <v>305</v>
      </c>
      <c r="E26" s="149">
        <v>1</v>
      </c>
      <c r="F26" s="525">
        <f t="shared" si="0"/>
        <v>8972798</v>
      </c>
      <c r="G26" s="525">
        <f>'НМЦК (с разбивкой по объектам)'!K29</f>
        <v>8972798</v>
      </c>
      <c r="H26" s="382" t="s">
        <v>753</v>
      </c>
      <c r="I26" s="382"/>
      <c r="J26" s="382"/>
    </row>
    <row r="27" spans="1:10" s="386" customFormat="1" outlineLevel="2" collapsed="1" x14ac:dyDescent="0.25">
      <c r="A27" s="132" t="s">
        <v>353</v>
      </c>
      <c r="B27" s="320"/>
      <c r="C27" s="395" t="s">
        <v>2360</v>
      </c>
      <c r="D27" s="134" t="s">
        <v>292</v>
      </c>
      <c r="E27" s="90">
        <v>1</v>
      </c>
      <c r="F27" s="526">
        <f t="shared" si="0"/>
        <v>7494460</v>
      </c>
      <c r="G27" s="526">
        <f>'НМЦК (с разбивкой по объектам)'!K30</f>
        <v>7494460</v>
      </c>
      <c r="H27" s="385"/>
      <c r="I27" s="385"/>
      <c r="J27" s="385"/>
    </row>
    <row r="28" spans="1:10" s="383" customFormat="1" ht="31.5" hidden="1" outlineLevel="3" x14ac:dyDescent="0.25">
      <c r="A28" s="363" t="s">
        <v>354</v>
      </c>
      <c r="B28" s="381" t="s">
        <v>458</v>
      </c>
      <c r="C28" s="381" t="s">
        <v>1348</v>
      </c>
      <c r="D28" s="100" t="s">
        <v>300</v>
      </c>
      <c r="E28" s="100">
        <v>25</v>
      </c>
      <c r="F28" s="525">
        <f t="shared" si="0"/>
        <v>1399</v>
      </c>
      <c r="G28" s="525">
        <f>'НМЦК (с разбивкой по объектам)'!K31</f>
        <v>34966</v>
      </c>
      <c r="H28" s="382" t="s">
        <v>1349</v>
      </c>
      <c r="I28" s="382"/>
      <c r="J28" s="382"/>
    </row>
    <row r="29" spans="1:10" s="383" customFormat="1" hidden="1" outlineLevel="3" x14ac:dyDescent="0.25">
      <c r="A29" s="363" t="s">
        <v>357</v>
      </c>
      <c r="B29" s="381" t="s">
        <v>1350</v>
      </c>
      <c r="C29" s="381" t="s">
        <v>1010</v>
      </c>
      <c r="D29" s="100" t="s">
        <v>300</v>
      </c>
      <c r="E29" s="100">
        <f>151.9</f>
        <v>151.9</v>
      </c>
      <c r="F29" s="525">
        <f t="shared" si="0"/>
        <v>15185</v>
      </c>
      <c r="G29" s="525">
        <f>'НМЦК (с разбивкой по объектам)'!K32</f>
        <v>2306537</v>
      </c>
      <c r="H29" s="382"/>
      <c r="I29" s="382"/>
      <c r="J29" s="382"/>
    </row>
    <row r="30" spans="1:10" s="383" customFormat="1" hidden="1" outlineLevel="3" x14ac:dyDescent="0.25">
      <c r="A30" s="363" t="s">
        <v>358</v>
      </c>
      <c r="B30" s="381" t="s">
        <v>1352</v>
      </c>
      <c r="C30" s="381" t="s">
        <v>1351</v>
      </c>
      <c r="D30" s="100" t="s">
        <v>300</v>
      </c>
      <c r="E30" s="100">
        <f>63.7</f>
        <v>63.7</v>
      </c>
      <c r="F30" s="525">
        <f t="shared" si="0"/>
        <v>12722</v>
      </c>
      <c r="G30" s="525">
        <f>'НМЦК (с разбивкой по объектам)'!K33</f>
        <v>810383</v>
      </c>
      <c r="H30" s="382"/>
      <c r="I30" s="382"/>
      <c r="J30" s="382"/>
    </row>
    <row r="31" spans="1:10" s="383" customFormat="1" hidden="1" outlineLevel="3" x14ac:dyDescent="0.25">
      <c r="A31" s="363" t="s">
        <v>361</v>
      </c>
      <c r="B31" s="381" t="s">
        <v>1354</v>
      </c>
      <c r="C31" s="381" t="s">
        <v>1353</v>
      </c>
      <c r="D31" s="100" t="s">
        <v>300</v>
      </c>
      <c r="E31" s="100">
        <f>10.3</f>
        <v>10.3</v>
      </c>
      <c r="F31" s="525">
        <f t="shared" si="0"/>
        <v>13117</v>
      </c>
      <c r="G31" s="525">
        <f>'НМЦК (с разбивкой по объектам)'!K34</f>
        <v>135102</v>
      </c>
      <c r="H31" s="382"/>
      <c r="I31" s="382"/>
      <c r="J31" s="382"/>
    </row>
    <row r="32" spans="1:10" s="383" customFormat="1" hidden="1" outlineLevel="3" x14ac:dyDescent="0.25">
      <c r="A32" s="363" t="s">
        <v>363</v>
      </c>
      <c r="B32" s="381" t="s">
        <v>1356</v>
      </c>
      <c r="C32" s="381" t="s">
        <v>1355</v>
      </c>
      <c r="D32" s="100" t="s">
        <v>300</v>
      </c>
      <c r="E32" s="100">
        <f>39</f>
        <v>39</v>
      </c>
      <c r="F32" s="525">
        <f t="shared" si="0"/>
        <v>28642</v>
      </c>
      <c r="G32" s="525">
        <f>'НМЦК (с разбивкой по объектам)'!K35</f>
        <v>1117037</v>
      </c>
      <c r="H32" s="382"/>
      <c r="I32" s="382"/>
      <c r="J32" s="382"/>
    </row>
    <row r="33" spans="1:11" s="383" customFormat="1" hidden="1" outlineLevel="3" x14ac:dyDescent="0.25">
      <c r="A33" s="363" t="s">
        <v>364</v>
      </c>
      <c r="B33" s="381" t="s">
        <v>1358</v>
      </c>
      <c r="C33" s="381" t="s">
        <v>1357</v>
      </c>
      <c r="D33" s="100" t="s">
        <v>300</v>
      </c>
      <c r="E33" s="100">
        <f>134</f>
        <v>134</v>
      </c>
      <c r="F33" s="525">
        <f t="shared" si="0"/>
        <v>16203</v>
      </c>
      <c r="G33" s="525">
        <f>'НМЦК (с разбивкой по объектам)'!K36</f>
        <v>2171166</v>
      </c>
      <c r="H33" s="382"/>
      <c r="I33" s="382"/>
      <c r="J33" s="382"/>
    </row>
    <row r="34" spans="1:11" s="383" customFormat="1" hidden="1" outlineLevel="3" x14ac:dyDescent="0.25">
      <c r="A34" s="363" t="s">
        <v>365</v>
      </c>
      <c r="B34" s="381" t="s">
        <v>1360</v>
      </c>
      <c r="C34" s="381" t="s">
        <v>1359</v>
      </c>
      <c r="D34" s="100" t="s">
        <v>300</v>
      </c>
      <c r="E34" s="100">
        <v>16.7</v>
      </c>
      <c r="F34" s="525">
        <f t="shared" si="0"/>
        <v>14797</v>
      </c>
      <c r="G34" s="525">
        <f>'НМЦК (с разбивкой по объектам)'!K37</f>
        <v>247112</v>
      </c>
      <c r="H34" s="382"/>
      <c r="I34" s="382"/>
      <c r="J34" s="382"/>
    </row>
    <row r="35" spans="1:11" s="383" customFormat="1" ht="31.5" hidden="1" outlineLevel="3" x14ac:dyDescent="0.25">
      <c r="A35" s="363" t="s">
        <v>2222</v>
      </c>
      <c r="B35" s="381" t="s">
        <v>1361</v>
      </c>
      <c r="C35" s="381" t="s">
        <v>1019</v>
      </c>
      <c r="D35" s="100" t="s">
        <v>292</v>
      </c>
      <c r="E35" s="100">
        <v>1</v>
      </c>
      <c r="F35" s="525">
        <f t="shared" si="0"/>
        <v>672157</v>
      </c>
      <c r="G35" s="525">
        <f>'НМЦК (с разбивкой по объектам)'!K38</f>
        <v>672157</v>
      </c>
      <c r="H35" s="382"/>
      <c r="I35" s="382"/>
      <c r="J35" s="382"/>
    </row>
    <row r="36" spans="1:11" s="386" customFormat="1" outlineLevel="2" collapsed="1" x14ac:dyDescent="0.25">
      <c r="A36" s="132" t="s">
        <v>366</v>
      </c>
      <c r="B36" s="320"/>
      <c r="C36" s="395" t="s">
        <v>2361</v>
      </c>
      <c r="D36" s="134" t="s">
        <v>292</v>
      </c>
      <c r="E36" s="90">
        <v>1</v>
      </c>
      <c r="F36" s="526">
        <f t="shared" si="0"/>
        <v>886505</v>
      </c>
      <c r="G36" s="526">
        <f>'НМЦК (с разбивкой по объектам)'!K39</f>
        <v>886505</v>
      </c>
      <c r="H36" s="385"/>
      <c r="I36" s="385"/>
      <c r="J36" s="385"/>
    </row>
    <row r="37" spans="1:11" s="383" customFormat="1" hidden="1" outlineLevel="3" x14ac:dyDescent="0.25">
      <c r="A37" s="363"/>
      <c r="B37" s="381"/>
      <c r="C37" s="390" t="s">
        <v>332</v>
      </c>
      <c r="D37" s="100"/>
      <c r="E37" s="149"/>
      <c r="F37" s="525" t="e">
        <f t="shared" si="0"/>
        <v>#DIV/0!</v>
      </c>
      <c r="G37" s="525">
        <f>'НМЦК (с разбивкой по объектам)'!K40</f>
        <v>0</v>
      </c>
      <c r="H37" s="382"/>
      <c r="I37" s="382"/>
      <c r="J37" s="382"/>
    </row>
    <row r="38" spans="1:11" s="383" customFormat="1" ht="141.75" hidden="1" outlineLevel="3" x14ac:dyDescent="0.25">
      <c r="A38" s="363" t="s">
        <v>368</v>
      </c>
      <c r="B38" s="381" t="s">
        <v>337</v>
      </c>
      <c r="C38" s="381" t="s">
        <v>335</v>
      </c>
      <c r="D38" s="100" t="s">
        <v>305</v>
      </c>
      <c r="E38" s="149">
        <v>1</v>
      </c>
      <c r="F38" s="525">
        <f t="shared" si="0"/>
        <v>828017</v>
      </c>
      <c r="G38" s="525">
        <f>'НМЦК (с разбивкой по объектам)'!K41</f>
        <v>828017</v>
      </c>
      <c r="H38" s="396" t="s">
        <v>2403</v>
      </c>
      <c r="I38" s="149">
        <v>15000</v>
      </c>
      <c r="J38" s="382">
        <f>E38*I38</f>
        <v>15000</v>
      </c>
      <c r="K38" s="397">
        <f>(98888-79462)*(1.023*1.005-2.3%*15%)*6.99</f>
        <v>139137</v>
      </c>
    </row>
    <row r="39" spans="1:11" s="383" customFormat="1" ht="56.25" hidden="1" customHeight="1" outlineLevel="3" x14ac:dyDescent="0.25">
      <c r="A39" s="363" t="s">
        <v>370</v>
      </c>
      <c r="B39" s="381" t="s">
        <v>346</v>
      </c>
      <c r="C39" s="381" t="s">
        <v>338</v>
      </c>
      <c r="D39" s="100" t="s">
        <v>305</v>
      </c>
      <c r="E39" s="149">
        <v>1</v>
      </c>
      <c r="F39" s="525">
        <f t="shared" si="0"/>
        <v>58488</v>
      </c>
      <c r="G39" s="525">
        <f>'НМЦК (с разбивкой по объектам)'!K42</f>
        <v>58488</v>
      </c>
      <c r="H39" s="396" t="s">
        <v>2404</v>
      </c>
      <c r="I39" s="382">
        <v>4466</v>
      </c>
      <c r="J39" s="382">
        <f>E39*I39</f>
        <v>4466</v>
      </c>
      <c r="K39" s="397">
        <f>(6985-8033)*(1.023*1.005-2.3%*15%)*6.99*1.2</f>
        <v>-9007</v>
      </c>
    </row>
    <row r="40" spans="1:11" s="386" customFormat="1" outlineLevel="2" collapsed="1" x14ac:dyDescent="0.25">
      <c r="A40" s="132" t="s">
        <v>387</v>
      </c>
      <c r="B40" s="320"/>
      <c r="C40" s="395" t="s">
        <v>2362</v>
      </c>
      <c r="D40" s="134" t="s">
        <v>292</v>
      </c>
      <c r="E40" s="90">
        <v>1</v>
      </c>
      <c r="F40" s="526">
        <f t="shared" si="0"/>
        <v>18804085</v>
      </c>
      <c r="G40" s="526">
        <f>'НМЦК (с разбивкой по объектам)'!K43</f>
        <v>18804085</v>
      </c>
      <c r="H40" s="385"/>
      <c r="I40" s="385"/>
      <c r="J40" s="385"/>
    </row>
    <row r="41" spans="1:11" s="383" customFormat="1" hidden="1" outlineLevel="3" x14ac:dyDescent="0.25">
      <c r="A41" s="363"/>
      <c r="B41" s="381"/>
      <c r="C41" s="381" t="s">
        <v>1026</v>
      </c>
      <c r="D41" s="100"/>
      <c r="E41" s="100"/>
      <c r="F41" s="525" t="e">
        <f t="shared" si="0"/>
        <v>#DIV/0!</v>
      </c>
      <c r="G41" s="525">
        <f>'НМЦК (с разбивкой по объектам)'!K44</f>
        <v>0</v>
      </c>
      <c r="H41" s="382"/>
      <c r="I41" s="382"/>
      <c r="J41" s="382"/>
    </row>
    <row r="42" spans="1:11" s="383" customFormat="1" hidden="1" outlineLevel="3" x14ac:dyDescent="0.25">
      <c r="A42" s="363" t="s">
        <v>388</v>
      </c>
      <c r="B42" s="381" t="s">
        <v>1362</v>
      </c>
      <c r="C42" s="381" t="s">
        <v>1027</v>
      </c>
      <c r="D42" s="100" t="s">
        <v>292</v>
      </c>
      <c r="E42" s="100">
        <v>1</v>
      </c>
      <c r="F42" s="525">
        <f t="shared" si="0"/>
        <v>838501</v>
      </c>
      <c r="G42" s="525">
        <f>'НМЦК (с разбивкой по объектам)'!K45</f>
        <v>838501</v>
      </c>
      <c r="H42" s="382" t="s">
        <v>1363</v>
      </c>
      <c r="I42" s="382"/>
      <c r="J42" s="382"/>
    </row>
    <row r="43" spans="1:11" s="383" customFormat="1" hidden="1" outlineLevel="3" x14ac:dyDescent="0.25">
      <c r="A43" s="363" t="s">
        <v>389</v>
      </c>
      <c r="B43" s="381" t="s">
        <v>1364</v>
      </c>
      <c r="C43" s="381" t="s">
        <v>1031</v>
      </c>
      <c r="D43" s="100" t="s">
        <v>292</v>
      </c>
      <c r="E43" s="100">
        <v>1</v>
      </c>
      <c r="F43" s="525">
        <f t="shared" si="0"/>
        <v>12219906</v>
      </c>
      <c r="G43" s="525">
        <f>'НМЦК (с разбивкой по объектам)'!K46</f>
        <v>12219906</v>
      </c>
      <c r="H43" s="382"/>
      <c r="I43" s="382"/>
      <c r="J43" s="382"/>
    </row>
    <row r="44" spans="1:11" s="383" customFormat="1" hidden="1" outlineLevel="3" x14ac:dyDescent="0.25">
      <c r="A44" s="363" t="s">
        <v>390</v>
      </c>
      <c r="B44" s="381" t="s">
        <v>1365</v>
      </c>
      <c r="C44" s="381" t="s">
        <v>1036</v>
      </c>
      <c r="D44" s="100" t="s">
        <v>637</v>
      </c>
      <c r="E44" s="100">
        <v>1.5</v>
      </c>
      <c r="F44" s="525">
        <f t="shared" si="0"/>
        <v>121083</v>
      </c>
      <c r="G44" s="525">
        <f>'НМЦК (с разбивкой по объектам)'!K47</f>
        <v>181625</v>
      </c>
      <c r="H44" s="382"/>
      <c r="I44" s="382"/>
      <c r="J44" s="382"/>
    </row>
    <row r="45" spans="1:11" s="383" customFormat="1" hidden="1" outlineLevel="3" x14ac:dyDescent="0.25">
      <c r="A45" s="363"/>
      <c r="B45" s="381"/>
      <c r="C45" s="381" t="s">
        <v>1366</v>
      </c>
      <c r="D45" s="100"/>
      <c r="E45" s="100"/>
      <c r="F45" s="525" t="e">
        <f t="shared" si="0"/>
        <v>#DIV/0!</v>
      </c>
      <c r="G45" s="525">
        <f>'НМЦК (с разбивкой по объектам)'!K48</f>
        <v>0</v>
      </c>
      <c r="H45" s="382"/>
      <c r="I45" s="382"/>
      <c r="J45" s="382"/>
    </row>
    <row r="46" spans="1:11" s="383" customFormat="1" ht="31.5" hidden="1" outlineLevel="3" x14ac:dyDescent="0.25">
      <c r="A46" s="363" t="s">
        <v>391</v>
      </c>
      <c r="B46" s="381" t="s">
        <v>1368</v>
      </c>
      <c r="C46" s="381" t="s">
        <v>1367</v>
      </c>
      <c r="D46" s="100" t="s">
        <v>404</v>
      </c>
      <c r="E46" s="100">
        <f>4010</f>
        <v>4010</v>
      </c>
      <c r="F46" s="525">
        <f t="shared" si="0"/>
        <v>1099</v>
      </c>
      <c r="G46" s="525">
        <f>'НМЦК (с разбивкой по объектам)'!K49</f>
        <v>4407317</v>
      </c>
      <c r="H46" s="382"/>
      <c r="I46" s="382"/>
      <c r="J46" s="382"/>
    </row>
    <row r="47" spans="1:11" s="383" customFormat="1" ht="47.25" hidden="1" outlineLevel="3" x14ac:dyDescent="0.25">
      <c r="A47" s="363" t="s">
        <v>392</v>
      </c>
      <c r="B47" s="381" t="s">
        <v>1371</v>
      </c>
      <c r="C47" s="381" t="s">
        <v>1369</v>
      </c>
      <c r="D47" s="100" t="s">
        <v>404</v>
      </c>
      <c r="E47" s="100">
        <f>198</f>
        <v>198</v>
      </c>
      <c r="F47" s="525">
        <f t="shared" si="0"/>
        <v>5842</v>
      </c>
      <c r="G47" s="525">
        <f>'НМЦК (с разбивкой по объектам)'!K50</f>
        <v>1156736</v>
      </c>
      <c r="H47" s="396" t="s">
        <v>1370</v>
      </c>
      <c r="I47" s="382"/>
      <c r="J47" s="382"/>
    </row>
    <row r="48" spans="1:11" s="383" customFormat="1" outlineLevel="2" collapsed="1" x14ac:dyDescent="0.25">
      <c r="A48" s="132" t="s">
        <v>566</v>
      </c>
      <c r="B48" s="320"/>
      <c r="C48" s="320" t="s">
        <v>2401</v>
      </c>
      <c r="D48" s="134" t="s">
        <v>292</v>
      </c>
      <c r="E48" s="90">
        <v>1</v>
      </c>
      <c r="F48" s="526">
        <f t="shared" si="0"/>
        <v>247932</v>
      </c>
      <c r="G48" s="526">
        <f>'НМЦК (с разбивкой по объектам)'!K51</f>
        <v>247932</v>
      </c>
      <c r="H48" s="396"/>
      <c r="I48" s="382"/>
      <c r="J48" s="382"/>
    </row>
    <row r="49" spans="1:10" s="383" customFormat="1" ht="31.5" hidden="1" outlineLevel="3" x14ac:dyDescent="0.25">
      <c r="A49" s="225" t="s">
        <v>1817</v>
      </c>
      <c r="B49" s="381" t="s">
        <v>1742</v>
      </c>
      <c r="C49" s="381" t="s">
        <v>1741</v>
      </c>
      <c r="D49" s="100" t="s">
        <v>292</v>
      </c>
      <c r="E49" s="149">
        <v>1</v>
      </c>
      <c r="F49" s="525">
        <f t="shared" si="0"/>
        <v>163613</v>
      </c>
      <c r="G49" s="525">
        <f>'НМЦК (с разбивкой по объектам)'!K52</f>
        <v>163613</v>
      </c>
      <c r="H49" s="382"/>
      <c r="I49" s="382"/>
      <c r="J49" s="382"/>
    </row>
    <row r="50" spans="1:10" s="383" customFormat="1" ht="31.5" hidden="1" outlineLevel="3" x14ac:dyDescent="0.25">
      <c r="A50" s="225" t="s">
        <v>1818</v>
      </c>
      <c r="B50" s="381" t="s">
        <v>1744</v>
      </c>
      <c r="C50" s="381" t="s">
        <v>1743</v>
      </c>
      <c r="D50" s="100" t="s">
        <v>292</v>
      </c>
      <c r="E50" s="149">
        <v>1</v>
      </c>
      <c r="F50" s="525">
        <f t="shared" si="0"/>
        <v>84319</v>
      </c>
      <c r="G50" s="525">
        <f>'НМЦК (с разбивкой по объектам)'!K53</f>
        <v>84319</v>
      </c>
      <c r="H50" s="382"/>
      <c r="I50" s="382"/>
      <c r="J50" s="382"/>
    </row>
    <row r="51" spans="1:10" s="386" customFormat="1" outlineLevel="2" collapsed="1" x14ac:dyDescent="0.25">
      <c r="A51" s="132" t="s">
        <v>568</v>
      </c>
      <c r="B51" s="320"/>
      <c r="C51" s="395" t="s">
        <v>2454</v>
      </c>
      <c r="D51" s="134" t="s">
        <v>292</v>
      </c>
      <c r="E51" s="90">
        <v>1</v>
      </c>
      <c r="F51" s="526">
        <f t="shared" si="0"/>
        <v>18390655</v>
      </c>
      <c r="G51" s="526">
        <f>'НМЦК (с разбивкой по объектам)'!K54</f>
        <v>18390655</v>
      </c>
      <c r="H51" s="385"/>
      <c r="I51" s="385"/>
      <c r="J51" s="385"/>
    </row>
    <row r="52" spans="1:10" s="358" customFormat="1" ht="47.25" hidden="1" outlineLevel="3" x14ac:dyDescent="0.25">
      <c r="A52" s="368" t="s">
        <v>2253</v>
      </c>
      <c r="B52" s="387" t="s">
        <v>219</v>
      </c>
      <c r="C52" s="387" t="s">
        <v>1372</v>
      </c>
      <c r="D52" s="239" t="s">
        <v>292</v>
      </c>
      <c r="E52" s="240">
        <v>1</v>
      </c>
      <c r="F52" s="529">
        <f t="shared" si="0"/>
        <v>997711</v>
      </c>
      <c r="G52" s="529">
        <f>'НМЦК (с разбивкой по объектам)'!K55</f>
        <v>997711</v>
      </c>
      <c r="H52" s="389"/>
      <c r="I52" s="389"/>
      <c r="J52" s="389"/>
    </row>
    <row r="53" spans="1:10" s="383" customFormat="1" hidden="1" outlineLevel="4" x14ac:dyDescent="0.25">
      <c r="A53" s="363"/>
      <c r="B53" s="381"/>
      <c r="C53" s="381" t="s">
        <v>1098</v>
      </c>
      <c r="D53" s="100"/>
      <c r="E53" s="149"/>
      <c r="F53" s="525" t="e">
        <f t="shared" si="0"/>
        <v>#DIV/0!</v>
      </c>
      <c r="G53" s="525">
        <f>'НМЦК (с разбивкой по объектам)'!K56</f>
        <v>0</v>
      </c>
      <c r="H53" s="382"/>
      <c r="I53" s="382"/>
      <c r="J53" s="382"/>
    </row>
    <row r="54" spans="1:10" s="383" customFormat="1" ht="47.25" hidden="1" outlineLevel="4" x14ac:dyDescent="0.25">
      <c r="A54" s="363" t="s">
        <v>2455</v>
      </c>
      <c r="B54" s="381" t="s">
        <v>1373</v>
      </c>
      <c r="C54" s="381" t="s">
        <v>427</v>
      </c>
      <c r="D54" s="100" t="s">
        <v>408</v>
      </c>
      <c r="E54" s="149">
        <v>1</v>
      </c>
      <c r="F54" s="525">
        <f t="shared" si="0"/>
        <v>128770</v>
      </c>
      <c r="G54" s="525">
        <f>'НМЦК (с разбивкой по объектам)'!K57</f>
        <v>128770</v>
      </c>
      <c r="H54" s="382"/>
      <c r="I54" s="382"/>
      <c r="J54" s="382"/>
    </row>
    <row r="55" spans="1:10" s="383" customFormat="1" ht="31.5" hidden="1" outlineLevel="4" x14ac:dyDescent="0.25">
      <c r="A55" s="363" t="s">
        <v>2456</v>
      </c>
      <c r="B55" s="381" t="s">
        <v>1374</v>
      </c>
      <c r="C55" s="381" t="s">
        <v>429</v>
      </c>
      <c r="D55" s="100" t="s">
        <v>408</v>
      </c>
      <c r="E55" s="149">
        <v>1</v>
      </c>
      <c r="F55" s="525">
        <f t="shared" si="0"/>
        <v>205206</v>
      </c>
      <c r="G55" s="525">
        <f>'НМЦК (с разбивкой по объектам)'!K58</f>
        <v>205206</v>
      </c>
      <c r="H55" s="382"/>
      <c r="I55" s="382"/>
      <c r="J55" s="382"/>
    </row>
    <row r="56" spans="1:10" s="383" customFormat="1" hidden="1" outlineLevel="4" x14ac:dyDescent="0.25">
      <c r="A56" s="363" t="s">
        <v>2457</v>
      </c>
      <c r="B56" s="381" t="s">
        <v>1375</v>
      </c>
      <c r="C56" s="381" t="s">
        <v>379</v>
      </c>
      <c r="D56" s="100" t="s">
        <v>292</v>
      </c>
      <c r="E56" s="149">
        <v>1</v>
      </c>
      <c r="F56" s="525">
        <f t="shared" si="0"/>
        <v>441666</v>
      </c>
      <c r="G56" s="525">
        <f>'НМЦК (с разбивкой по объектам)'!K59</f>
        <v>441666</v>
      </c>
      <c r="H56" s="382"/>
      <c r="I56" s="382"/>
      <c r="J56" s="382"/>
    </row>
    <row r="57" spans="1:10" s="383" customFormat="1" hidden="1" outlineLevel="4" x14ac:dyDescent="0.25">
      <c r="A57" s="363" t="s">
        <v>2458</v>
      </c>
      <c r="B57" s="381" t="s">
        <v>1376</v>
      </c>
      <c r="C57" s="381" t="s">
        <v>1102</v>
      </c>
      <c r="D57" s="100" t="s">
        <v>292</v>
      </c>
      <c r="E57" s="149">
        <v>1</v>
      </c>
      <c r="F57" s="525">
        <f t="shared" si="0"/>
        <v>220386</v>
      </c>
      <c r="G57" s="525">
        <f>'НМЦК (с разбивкой по объектам)'!K60</f>
        <v>220386</v>
      </c>
      <c r="H57" s="382"/>
      <c r="I57" s="382"/>
      <c r="J57" s="382"/>
    </row>
    <row r="58" spans="1:10" s="383" customFormat="1" ht="31.5" hidden="1" outlineLevel="4" x14ac:dyDescent="0.25">
      <c r="A58" s="363" t="s">
        <v>2459</v>
      </c>
      <c r="B58" s="381" t="s">
        <v>1377</v>
      </c>
      <c r="C58" s="381" t="s">
        <v>1105</v>
      </c>
      <c r="D58" s="100" t="s">
        <v>408</v>
      </c>
      <c r="E58" s="100">
        <v>10</v>
      </c>
      <c r="F58" s="525">
        <f t="shared" si="0"/>
        <v>168</v>
      </c>
      <c r="G58" s="525">
        <f>'НМЦК (с разбивкой по объектам)'!K61</f>
        <v>1683</v>
      </c>
      <c r="H58" s="382"/>
      <c r="I58" s="382"/>
      <c r="J58" s="382"/>
    </row>
    <row r="59" spans="1:10" s="358" customFormat="1" hidden="1" outlineLevel="3" x14ac:dyDescent="0.25">
      <c r="A59" s="368" t="s">
        <v>2254</v>
      </c>
      <c r="B59" s="387"/>
      <c r="C59" s="387" t="s">
        <v>650</v>
      </c>
      <c r="D59" s="239" t="s">
        <v>292</v>
      </c>
      <c r="E59" s="240">
        <v>1</v>
      </c>
      <c r="F59" s="529">
        <f t="shared" si="0"/>
        <v>51037</v>
      </c>
      <c r="G59" s="529">
        <f>'НМЦК (с разбивкой по объектам)'!K62</f>
        <v>51037</v>
      </c>
      <c r="H59" s="389"/>
      <c r="I59" s="389"/>
      <c r="J59" s="389"/>
    </row>
    <row r="60" spans="1:10" s="399" customFormat="1" ht="31.5" hidden="1" outlineLevel="4" x14ac:dyDescent="0.25">
      <c r="A60" s="363" t="s">
        <v>2460</v>
      </c>
      <c r="B60" s="381" t="s">
        <v>783</v>
      </c>
      <c r="C60" s="381" t="s">
        <v>782</v>
      </c>
      <c r="D60" s="143" t="s">
        <v>408</v>
      </c>
      <c r="E60" s="149">
        <v>4</v>
      </c>
      <c r="F60" s="525">
        <f t="shared" si="0"/>
        <v>4076</v>
      </c>
      <c r="G60" s="525">
        <f>'НМЦК (с разбивкой по объектам)'!K63</f>
        <v>16303</v>
      </c>
      <c r="H60" s="398"/>
      <c r="I60" s="398"/>
      <c r="J60" s="398"/>
    </row>
    <row r="61" spans="1:10" s="399" customFormat="1" ht="31.5" hidden="1" outlineLevel="4" x14ac:dyDescent="0.25">
      <c r="A61" s="363" t="s">
        <v>2461</v>
      </c>
      <c r="B61" s="381" t="s">
        <v>784</v>
      </c>
      <c r="C61" s="381" t="s">
        <v>781</v>
      </c>
      <c r="D61" s="143" t="s">
        <v>408</v>
      </c>
      <c r="E61" s="149">
        <v>4</v>
      </c>
      <c r="F61" s="525">
        <f t="shared" si="0"/>
        <v>5556</v>
      </c>
      <c r="G61" s="525">
        <f>'НМЦК (с разбивкой по объектам)'!K64</f>
        <v>22224</v>
      </c>
      <c r="H61" s="398"/>
      <c r="I61" s="398"/>
      <c r="J61" s="398"/>
    </row>
    <row r="62" spans="1:10" s="399" customFormat="1" ht="31.5" hidden="1" outlineLevel="4" x14ac:dyDescent="0.25">
      <c r="A62" s="363" t="s">
        <v>2462</v>
      </c>
      <c r="B62" s="381" t="s">
        <v>785</v>
      </c>
      <c r="C62" s="381" t="s">
        <v>780</v>
      </c>
      <c r="D62" s="143" t="s">
        <v>408</v>
      </c>
      <c r="E62" s="149">
        <v>1</v>
      </c>
      <c r="F62" s="525">
        <f t="shared" si="0"/>
        <v>5836</v>
      </c>
      <c r="G62" s="525">
        <f>'НМЦК (с разбивкой по объектам)'!K65</f>
        <v>5836</v>
      </c>
      <c r="H62" s="398"/>
      <c r="I62" s="398"/>
      <c r="J62" s="398"/>
    </row>
    <row r="63" spans="1:10" s="399" customFormat="1" hidden="1" outlineLevel="4" x14ac:dyDescent="0.25">
      <c r="A63" s="363" t="s">
        <v>2463</v>
      </c>
      <c r="B63" s="381" t="s">
        <v>787</v>
      </c>
      <c r="C63" s="381" t="s">
        <v>482</v>
      </c>
      <c r="D63" s="143" t="s">
        <v>292</v>
      </c>
      <c r="E63" s="149">
        <v>1</v>
      </c>
      <c r="F63" s="525">
        <f t="shared" si="0"/>
        <v>6674</v>
      </c>
      <c r="G63" s="525">
        <f>'НМЦК (с разбивкой по объектам)'!K66</f>
        <v>6674</v>
      </c>
      <c r="H63" s="398"/>
      <c r="I63" s="398"/>
      <c r="J63" s="398"/>
    </row>
    <row r="64" spans="1:10" s="443" customFormat="1" hidden="1" outlineLevel="3" x14ac:dyDescent="0.25">
      <c r="A64" s="368" t="s">
        <v>2255</v>
      </c>
      <c r="B64" s="387"/>
      <c r="C64" s="387" t="s">
        <v>592</v>
      </c>
      <c r="D64" s="300" t="s">
        <v>292</v>
      </c>
      <c r="E64" s="240">
        <v>1</v>
      </c>
      <c r="F64" s="529">
        <f t="shared" si="0"/>
        <v>16703596</v>
      </c>
      <c r="G64" s="529">
        <f>'НМЦК (с разбивкой по объектам)'!K67</f>
        <v>16703596</v>
      </c>
      <c r="H64" s="442"/>
      <c r="I64" s="442"/>
      <c r="J64" s="442"/>
    </row>
    <row r="65" spans="1:10" s="383" customFormat="1" ht="31.5" hidden="1" outlineLevel="4" x14ac:dyDescent="0.25">
      <c r="A65" s="363" t="s">
        <v>2464</v>
      </c>
      <c r="B65" s="381" t="s">
        <v>790</v>
      </c>
      <c r="C65" s="381" t="s">
        <v>1814</v>
      </c>
      <c r="D65" s="100" t="s">
        <v>292</v>
      </c>
      <c r="E65" s="149">
        <v>1</v>
      </c>
      <c r="F65" s="525">
        <f t="shared" si="0"/>
        <v>751852</v>
      </c>
      <c r="G65" s="525">
        <f>'НМЦК (с разбивкой по объектам)'!K68</f>
        <v>751852</v>
      </c>
      <c r="H65" s="382"/>
      <c r="I65" s="382"/>
      <c r="J65" s="382"/>
    </row>
    <row r="66" spans="1:10" s="383" customFormat="1" hidden="1" outlineLevel="4" x14ac:dyDescent="0.25">
      <c r="A66" s="363" t="s">
        <v>2465</v>
      </c>
      <c r="B66" s="381" t="s">
        <v>791</v>
      </c>
      <c r="C66" s="381" t="s">
        <v>1813</v>
      </c>
      <c r="D66" s="100" t="s">
        <v>292</v>
      </c>
      <c r="E66" s="149">
        <v>1</v>
      </c>
      <c r="F66" s="525">
        <f t="shared" si="0"/>
        <v>333856</v>
      </c>
      <c r="G66" s="525">
        <f>'НМЦК (с разбивкой по объектам)'!K69</f>
        <v>333856</v>
      </c>
      <c r="H66" s="382"/>
      <c r="I66" s="382"/>
      <c r="J66" s="382"/>
    </row>
    <row r="67" spans="1:10" s="383" customFormat="1" hidden="1" outlineLevel="4" x14ac:dyDescent="0.25">
      <c r="A67" s="363" t="s">
        <v>2466</v>
      </c>
      <c r="B67" s="381" t="s">
        <v>792</v>
      </c>
      <c r="C67" s="381" t="s">
        <v>1812</v>
      </c>
      <c r="D67" s="100" t="s">
        <v>292</v>
      </c>
      <c r="E67" s="149">
        <v>1</v>
      </c>
      <c r="F67" s="525">
        <f t="shared" si="0"/>
        <v>15617888</v>
      </c>
      <c r="G67" s="525">
        <f>'НМЦК (с разбивкой по объектам)'!K70</f>
        <v>15617888</v>
      </c>
      <c r="H67" s="382"/>
      <c r="I67" s="382"/>
      <c r="J67" s="382"/>
    </row>
    <row r="68" spans="1:10" s="358" customFormat="1" hidden="1" outlineLevel="3" x14ac:dyDescent="0.25">
      <c r="A68" s="368" t="s">
        <v>2256</v>
      </c>
      <c r="B68" s="387"/>
      <c r="C68" s="387" t="s">
        <v>585</v>
      </c>
      <c r="D68" s="239" t="s">
        <v>292</v>
      </c>
      <c r="E68" s="240">
        <v>1</v>
      </c>
      <c r="F68" s="529">
        <f t="shared" si="0"/>
        <v>638311</v>
      </c>
      <c r="G68" s="529">
        <f>'НМЦК (с разбивкой по объектам)'!K71</f>
        <v>638311</v>
      </c>
      <c r="H68" s="389"/>
      <c r="I68" s="389"/>
      <c r="J68" s="389"/>
    </row>
    <row r="69" spans="1:10" s="383" customFormat="1" ht="31.5" hidden="1" outlineLevel="4" x14ac:dyDescent="0.25">
      <c r="A69" s="363" t="s">
        <v>2467</v>
      </c>
      <c r="B69" s="381" t="s">
        <v>797</v>
      </c>
      <c r="C69" s="381" t="s">
        <v>1825</v>
      </c>
      <c r="D69" s="100" t="s">
        <v>292</v>
      </c>
      <c r="E69" s="149">
        <v>1</v>
      </c>
      <c r="F69" s="525">
        <f t="shared" si="0"/>
        <v>106003</v>
      </c>
      <c r="G69" s="525">
        <f>'НМЦК (с разбивкой по объектам)'!K72</f>
        <v>106003</v>
      </c>
      <c r="H69" s="382"/>
      <c r="I69" s="382"/>
      <c r="J69" s="382"/>
    </row>
    <row r="70" spans="1:10" s="383" customFormat="1" ht="31.5" hidden="1" outlineLevel="4" x14ac:dyDescent="0.25">
      <c r="A70" s="363" t="s">
        <v>2468</v>
      </c>
      <c r="B70" s="381" t="s">
        <v>798</v>
      </c>
      <c r="C70" s="381" t="s">
        <v>1826</v>
      </c>
      <c r="D70" s="100" t="s">
        <v>292</v>
      </c>
      <c r="E70" s="149">
        <v>1</v>
      </c>
      <c r="F70" s="525">
        <f t="shared" si="0"/>
        <v>532308</v>
      </c>
      <c r="G70" s="525">
        <f>'НМЦК (с разбивкой по объектам)'!K73</f>
        <v>532308</v>
      </c>
      <c r="H70" s="382"/>
      <c r="I70" s="382"/>
      <c r="J70" s="382"/>
    </row>
    <row r="71" spans="1:10" s="358" customFormat="1" ht="31.5" outlineLevel="2" collapsed="1" x14ac:dyDescent="0.25">
      <c r="A71" s="132" t="s">
        <v>569</v>
      </c>
      <c r="B71" s="320"/>
      <c r="C71" s="320" t="s">
        <v>216</v>
      </c>
      <c r="D71" s="134" t="s">
        <v>292</v>
      </c>
      <c r="E71" s="90">
        <v>1</v>
      </c>
      <c r="F71" s="526">
        <f t="shared" si="0"/>
        <v>13654475</v>
      </c>
      <c r="G71" s="526">
        <f>'НМЦК (с разбивкой по объектам)'!K74</f>
        <v>13654475</v>
      </c>
      <c r="H71" s="389"/>
      <c r="I71" s="389"/>
      <c r="J71" s="389"/>
    </row>
    <row r="72" spans="1:10" s="383" customFormat="1" hidden="1" outlineLevel="4" x14ac:dyDescent="0.25">
      <c r="A72" s="363" t="s">
        <v>1835</v>
      </c>
      <c r="B72" s="381" t="s">
        <v>1338</v>
      </c>
      <c r="C72" s="381" t="s">
        <v>1309</v>
      </c>
      <c r="D72" s="100" t="s">
        <v>292</v>
      </c>
      <c r="E72" s="149">
        <v>1</v>
      </c>
      <c r="F72" s="525">
        <f t="shared" si="0"/>
        <v>1656628</v>
      </c>
      <c r="G72" s="525">
        <f>'НМЦК (с разбивкой по объектам)'!K75</f>
        <v>1656628</v>
      </c>
      <c r="H72" s="382"/>
      <c r="I72" s="382"/>
      <c r="J72" s="382"/>
    </row>
    <row r="73" spans="1:10" s="383" customFormat="1" hidden="1" outlineLevel="4" x14ac:dyDescent="0.25">
      <c r="A73" s="363" t="s">
        <v>1836</v>
      </c>
      <c r="B73" s="381" t="s">
        <v>1337</v>
      </c>
      <c r="C73" s="381" t="s">
        <v>1310</v>
      </c>
      <c r="D73" s="100" t="s">
        <v>292</v>
      </c>
      <c r="E73" s="149">
        <v>1</v>
      </c>
      <c r="F73" s="525">
        <f t="shared" ref="F73:F136" si="1">G73/E73</f>
        <v>119479</v>
      </c>
      <c r="G73" s="525">
        <f>'НМЦК (с разбивкой по объектам)'!K76</f>
        <v>119479</v>
      </c>
      <c r="H73" s="382"/>
      <c r="I73" s="382"/>
      <c r="J73" s="382"/>
    </row>
    <row r="74" spans="1:10" s="383" customFormat="1" hidden="1" outlineLevel="4" x14ac:dyDescent="0.25">
      <c r="A74" s="363"/>
      <c r="B74" s="381"/>
      <c r="C74" s="381" t="s">
        <v>1311</v>
      </c>
      <c r="D74" s="100"/>
      <c r="E74" s="100"/>
      <c r="F74" s="525" t="e">
        <f t="shared" si="1"/>
        <v>#DIV/0!</v>
      </c>
      <c r="G74" s="525">
        <f>'НМЦК (с разбивкой по объектам)'!K77</f>
        <v>0</v>
      </c>
      <c r="H74" s="382"/>
      <c r="I74" s="382"/>
      <c r="J74" s="382"/>
    </row>
    <row r="75" spans="1:10" s="383" customFormat="1" ht="31.5" hidden="1" outlineLevel="4" x14ac:dyDescent="0.25">
      <c r="A75" s="363" t="s">
        <v>1837</v>
      </c>
      <c r="B75" s="381" t="s">
        <v>1336</v>
      </c>
      <c r="C75" s="381" t="s">
        <v>1312</v>
      </c>
      <c r="D75" s="100" t="s">
        <v>404</v>
      </c>
      <c r="E75" s="100">
        <f>424.6</f>
        <v>424.6</v>
      </c>
      <c r="F75" s="525">
        <f t="shared" si="1"/>
        <v>2802</v>
      </c>
      <c r="G75" s="525">
        <f>'НМЦК (с разбивкой по объектам)'!K78</f>
        <v>1189760</v>
      </c>
      <c r="H75" s="382"/>
      <c r="I75" s="382"/>
      <c r="J75" s="382"/>
    </row>
    <row r="76" spans="1:10" s="383" customFormat="1" hidden="1" outlineLevel="4" x14ac:dyDescent="0.25">
      <c r="A76" s="363" t="s">
        <v>1838</v>
      </c>
      <c r="B76" s="381" t="s">
        <v>1335</v>
      </c>
      <c r="C76" s="381" t="s">
        <v>1313</v>
      </c>
      <c r="D76" s="100" t="s">
        <v>404</v>
      </c>
      <c r="E76" s="100">
        <f>248.82</f>
        <v>248.82</v>
      </c>
      <c r="F76" s="525">
        <f t="shared" si="1"/>
        <v>2360</v>
      </c>
      <c r="G76" s="525">
        <f>'НМЦК (с разбивкой по объектам)'!K79</f>
        <v>587269</v>
      </c>
      <c r="H76" s="382"/>
      <c r="I76" s="382"/>
      <c r="J76" s="382"/>
    </row>
    <row r="77" spans="1:10" s="383" customFormat="1" ht="63" hidden="1" outlineLevel="4" x14ac:dyDescent="0.25">
      <c r="A77" s="363" t="s">
        <v>1839</v>
      </c>
      <c r="B77" s="381" t="s">
        <v>1334</v>
      </c>
      <c r="C77" s="400" t="s">
        <v>1315</v>
      </c>
      <c r="D77" s="100" t="s">
        <v>404</v>
      </c>
      <c r="E77" s="100">
        <f>547</f>
        <v>547</v>
      </c>
      <c r="F77" s="525">
        <f t="shared" si="1"/>
        <v>2401</v>
      </c>
      <c r="G77" s="525">
        <f>'НМЦК (с разбивкой по объектам)'!K80</f>
        <v>1313474</v>
      </c>
      <c r="H77" s="382"/>
      <c r="I77" s="382"/>
      <c r="J77" s="382"/>
    </row>
    <row r="78" spans="1:10" s="383" customFormat="1" hidden="1" outlineLevel="4" x14ac:dyDescent="0.25">
      <c r="A78" s="363" t="s">
        <v>1840</v>
      </c>
      <c r="B78" s="381" t="s">
        <v>1333</v>
      </c>
      <c r="C78" s="381" t="s">
        <v>1314</v>
      </c>
      <c r="D78" s="100" t="s">
        <v>404</v>
      </c>
      <c r="E78" s="100">
        <f>116</f>
        <v>116</v>
      </c>
      <c r="F78" s="525">
        <f t="shared" si="1"/>
        <v>1150</v>
      </c>
      <c r="G78" s="525">
        <f>'НМЦК (с разбивкой по объектам)'!K81</f>
        <v>133429</v>
      </c>
      <c r="H78" s="382"/>
      <c r="I78" s="382"/>
      <c r="J78" s="382"/>
    </row>
    <row r="79" spans="1:10" s="383" customFormat="1" hidden="1" outlineLevel="4" x14ac:dyDescent="0.25">
      <c r="A79" s="363" t="s">
        <v>1841</v>
      </c>
      <c r="B79" s="381" t="s">
        <v>1332</v>
      </c>
      <c r="C79" s="381" t="s">
        <v>1317</v>
      </c>
      <c r="D79" s="100" t="s">
        <v>404</v>
      </c>
      <c r="E79" s="100">
        <f>126.9</f>
        <v>126.9</v>
      </c>
      <c r="F79" s="525">
        <f t="shared" si="1"/>
        <v>2310</v>
      </c>
      <c r="G79" s="525">
        <f>'НМЦК (с разбивкой по объектам)'!K82</f>
        <v>293098</v>
      </c>
      <c r="H79" s="382"/>
      <c r="I79" s="382"/>
      <c r="J79" s="382"/>
    </row>
    <row r="80" spans="1:10" s="383" customFormat="1" hidden="1" outlineLevel="4" x14ac:dyDescent="0.25">
      <c r="A80" s="363" t="s">
        <v>1842</v>
      </c>
      <c r="B80" s="381" t="s">
        <v>1331</v>
      </c>
      <c r="C80" s="381" t="s">
        <v>1316</v>
      </c>
      <c r="D80" s="100" t="s">
        <v>404</v>
      </c>
      <c r="E80" s="100">
        <f>364.9</f>
        <v>364.9</v>
      </c>
      <c r="F80" s="525">
        <f t="shared" si="1"/>
        <v>2802</v>
      </c>
      <c r="G80" s="525">
        <f>'НМЦК (с разбивкой по объектам)'!K83</f>
        <v>1022520</v>
      </c>
      <c r="H80" s="382"/>
      <c r="I80" s="382"/>
      <c r="J80" s="382"/>
    </row>
    <row r="81" spans="1:10" s="383" customFormat="1" ht="31.5" hidden="1" outlineLevel="4" x14ac:dyDescent="0.25">
      <c r="A81" s="363" t="s">
        <v>1843</v>
      </c>
      <c r="B81" s="381" t="s">
        <v>1330</v>
      </c>
      <c r="C81" s="381" t="s">
        <v>864</v>
      </c>
      <c r="D81" s="100" t="s">
        <v>404</v>
      </c>
      <c r="E81" s="161">
        <v>7640</v>
      </c>
      <c r="F81" s="525">
        <f t="shared" si="1"/>
        <v>382</v>
      </c>
      <c r="G81" s="525">
        <f>'НМЦК (с разбивкой по объектам)'!K84</f>
        <v>2916947</v>
      </c>
      <c r="H81" s="382" t="s">
        <v>1318</v>
      </c>
      <c r="I81" s="382"/>
      <c r="J81" s="382"/>
    </row>
    <row r="82" spans="1:10" s="383" customFormat="1" hidden="1" outlineLevel="4" x14ac:dyDescent="0.25">
      <c r="A82" s="363" t="s">
        <v>2469</v>
      </c>
      <c r="B82" s="381" t="s">
        <v>1329</v>
      </c>
      <c r="C82" s="381" t="s">
        <v>1319</v>
      </c>
      <c r="D82" s="100" t="s">
        <v>404</v>
      </c>
      <c r="E82" s="100">
        <f>52.6</f>
        <v>52.6</v>
      </c>
      <c r="F82" s="525">
        <f t="shared" si="1"/>
        <v>2912</v>
      </c>
      <c r="G82" s="525">
        <f>'НМЦК (с разбивкой по объектам)'!K85</f>
        <v>153173</v>
      </c>
      <c r="H82" s="382"/>
      <c r="I82" s="382"/>
      <c r="J82" s="382"/>
    </row>
    <row r="83" spans="1:10" s="383" customFormat="1" hidden="1" outlineLevel="4" x14ac:dyDescent="0.25">
      <c r="A83" s="363" t="s">
        <v>2470</v>
      </c>
      <c r="B83" s="381" t="s">
        <v>1328</v>
      </c>
      <c r="C83" s="381" t="s">
        <v>1320</v>
      </c>
      <c r="D83" s="100" t="s">
        <v>292</v>
      </c>
      <c r="E83" s="100">
        <v>1</v>
      </c>
      <c r="F83" s="525">
        <f t="shared" si="1"/>
        <v>700684</v>
      </c>
      <c r="G83" s="525">
        <f>'НМЦК (с разбивкой по объектам)'!K86</f>
        <v>700684</v>
      </c>
      <c r="H83" s="382"/>
      <c r="I83" s="382"/>
      <c r="J83" s="382"/>
    </row>
    <row r="84" spans="1:10" s="383" customFormat="1" ht="47.25" hidden="1" outlineLevel="4" x14ac:dyDescent="0.25">
      <c r="A84" s="363" t="s">
        <v>2471</v>
      </c>
      <c r="B84" s="381" t="s">
        <v>1323</v>
      </c>
      <c r="C84" s="381" t="s">
        <v>1321</v>
      </c>
      <c r="D84" s="100" t="s">
        <v>404</v>
      </c>
      <c r="E84" s="100">
        <f>320.8</f>
        <v>320.8</v>
      </c>
      <c r="F84" s="525">
        <f t="shared" si="1"/>
        <v>8968</v>
      </c>
      <c r="G84" s="525">
        <f>'НМЦК (с разбивкой по объектам)'!K87</f>
        <v>2876808</v>
      </c>
      <c r="H84" s="401" t="s">
        <v>1322</v>
      </c>
      <c r="I84" s="382"/>
      <c r="J84" s="382"/>
    </row>
    <row r="85" spans="1:10" s="383" customFormat="1" hidden="1" outlineLevel="4" x14ac:dyDescent="0.25">
      <c r="A85" s="363" t="s">
        <v>2472</v>
      </c>
      <c r="B85" s="381" t="s">
        <v>1325</v>
      </c>
      <c r="C85" s="381" t="s">
        <v>1324</v>
      </c>
      <c r="D85" s="100" t="s">
        <v>292</v>
      </c>
      <c r="E85" s="100">
        <v>1</v>
      </c>
      <c r="F85" s="525">
        <f t="shared" si="1"/>
        <v>518122</v>
      </c>
      <c r="G85" s="525">
        <f>'НМЦК (с разбивкой по объектам)'!K88</f>
        <v>518122</v>
      </c>
      <c r="H85" s="382"/>
      <c r="I85" s="382"/>
      <c r="J85" s="382"/>
    </row>
    <row r="86" spans="1:10" s="383" customFormat="1" hidden="1" outlineLevel="4" x14ac:dyDescent="0.25">
      <c r="A86" s="363" t="s">
        <v>2473</v>
      </c>
      <c r="B86" s="381" t="s">
        <v>1327</v>
      </c>
      <c r="C86" s="381" t="s">
        <v>1326</v>
      </c>
      <c r="D86" s="100" t="s">
        <v>377</v>
      </c>
      <c r="E86" s="100">
        <f>30.1+68.1</f>
        <v>98.2</v>
      </c>
      <c r="F86" s="525">
        <f t="shared" si="1"/>
        <v>1571</v>
      </c>
      <c r="G86" s="525">
        <f>'НМЦК (с разбивкой по объектам)'!K89</f>
        <v>154295</v>
      </c>
      <c r="H86" s="382"/>
      <c r="I86" s="382"/>
      <c r="J86" s="382"/>
    </row>
    <row r="87" spans="1:10" s="383" customFormat="1" ht="31.5" hidden="1" outlineLevel="4" x14ac:dyDescent="0.25">
      <c r="A87" s="363" t="s">
        <v>2474</v>
      </c>
      <c r="B87" s="381" t="s">
        <v>1340</v>
      </c>
      <c r="C87" s="381" t="s">
        <v>1339</v>
      </c>
      <c r="D87" s="100" t="s">
        <v>404</v>
      </c>
      <c r="E87" s="100">
        <f>592.4</f>
        <v>592.4</v>
      </c>
      <c r="F87" s="525">
        <f t="shared" si="1"/>
        <v>32</v>
      </c>
      <c r="G87" s="525">
        <f>'НМЦК (с разбивкой по объектам)'!K90</f>
        <v>18789</v>
      </c>
      <c r="H87" s="382"/>
      <c r="I87" s="382"/>
      <c r="J87" s="382"/>
    </row>
    <row r="88" spans="1:10" s="383" customFormat="1" outlineLevel="2" collapsed="1" x14ac:dyDescent="0.25">
      <c r="A88" s="132" t="s">
        <v>570</v>
      </c>
      <c r="B88" s="320"/>
      <c r="C88" s="320" t="s">
        <v>2400</v>
      </c>
      <c r="D88" s="134" t="s">
        <v>292</v>
      </c>
      <c r="E88" s="90">
        <v>1</v>
      </c>
      <c r="F88" s="526">
        <f t="shared" si="1"/>
        <v>908233</v>
      </c>
      <c r="G88" s="526">
        <f>'НМЦК (с разбивкой по объектам)'!K91</f>
        <v>908233</v>
      </c>
      <c r="H88" s="382"/>
      <c r="I88" s="382"/>
      <c r="J88" s="382"/>
    </row>
    <row r="89" spans="1:10" s="383" customFormat="1" hidden="1" outlineLevel="3" x14ac:dyDescent="0.25">
      <c r="A89" s="374" t="s">
        <v>2257</v>
      </c>
      <c r="B89" s="402" t="s">
        <v>1347</v>
      </c>
      <c r="C89" s="402" t="s">
        <v>1344</v>
      </c>
      <c r="D89" s="272" t="s">
        <v>408</v>
      </c>
      <c r="E89" s="273">
        <v>1</v>
      </c>
      <c r="F89" s="530">
        <f t="shared" si="1"/>
        <v>908233</v>
      </c>
      <c r="G89" s="530">
        <f>'НМЦК (с разбивкой по объектам)'!K92</f>
        <v>908233</v>
      </c>
      <c r="H89" s="403"/>
      <c r="I89" s="403"/>
      <c r="J89" s="403"/>
    </row>
    <row r="90" spans="1:10" s="383" customFormat="1" outlineLevel="2" collapsed="1" x14ac:dyDescent="0.25">
      <c r="A90" s="370" t="s">
        <v>571</v>
      </c>
      <c r="B90" s="433"/>
      <c r="C90" s="433" t="s">
        <v>1378</v>
      </c>
      <c r="D90" s="371" t="s">
        <v>292</v>
      </c>
      <c r="E90" s="372">
        <v>1</v>
      </c>
      <c r="F90" s="531">
        <f t="shared" si="1"/>
        <v>1870449</v>
      </c>
      <c r="G90" s="531">
        <f>'НМЦК (с разбивкой по объектам)'!K93</f>
        <v>1870449</v>
      </c>
      <c r="H90" s="404"/>
      <c r="I90" s="404"/>
      <c r="J90" s="404"/>
    </row>
    <row r="91" spans="1:10" s="383" customFormat="1" hidden="1" outlineLevel="3" x14ac:dyDescent="0.25">
      <c r="A91" s="363" t="s">
        <v>2475</v>
      </c>
      <c r="B91" s="381" t="s">
        <v>1346</v>
      </c>
      <c r="C91" s="381" t="s">
        <v>1343</v>
      </c>
      <c r="D91" s="100" t="s">
        <v>408</v>
      </c>
      <c r="E91" s="149">
        <v>1</v>
      </c>
      <c r="F91" s="525">
        <f t="shared" si="1"/>
        <v>1175817</v>
      </c>
      <c r="G91" s="525">
        <f>'НМЦК (с разбивкой по объектам)'!K94</f>
        <v>1175817</v>
      </c>
      <c r="H91" s="382"/>
      <c r="I91" s="382"/>
      <c r="J91" s="382"/>
    </row>
    <row r="92" spans="1:10" s="383" customFormat="1" ht="47.25" hidden="1" outlineLevel="3" x14ac:dyDescent="0.25">
      <c r="A92" s="363" t="s">
        <v>2476</v>
      </c>
      <c r="B92" s="381" t="s">
        <v>1388</v>
      </c>
      <c r="C92" s="381" t="s">
        <v>1379</v>
      </c>
      <c r="D92" s="100" t="s">
        <v>408</v>
      </c>
      <c r="E92" s="149">
        <v>1</v>
      </c>
      <c r="F92" s="525">
        <f t="shared" si="1"/>
        <v>6875</v>
      </c>
      <c r="G92" s="525">
        <f>'НМЦК (с разбивкой по объектам)'!K95</f>
        <v>6875</v>
      </c>
      <c r="H92" s="396" t="s">
        <v>1399</v>
      </c>
      <c r="I92" s="382"/>
      <c r="J92" s="382"/>
    </row>
    <row r="93" spans="1:10" s="383" customFormat="1" ht="78.75" hidden="1" outlineLevel="3" x14ac:dyDescent="0.25">
      <c r="A93" s="363" t="s">
        <v>2477</v>
      </c>
      <c r="B93" s="381" t="s">
        <v>1387</v>
      </c>
      <c r="C93" s="381" t="s">
        <v>1380</v>
      </c>
      <c r="D93" s="100" t="s">
        <v>408</v>
      </c>
      <c r="E93" s="149">
        <v>1</v>
      </c>
      <c r="F93" s="525">
        <f t="shared" si="1"/>
        <v>12426</v>
      </c>
      <c r="G93" s="525">
        <f>'НМЦК (с разбивкой по объектам)'!K96</f>
        <v>12426</v>
      </c>
      <c r="H93" s="396" t="s">
        <v>1399</v>
      </c>
      <c r="I93" s="382"/>
      <c r="J93" s="382"/>
    </row>
    <row r="94" spans="1:10" s="383" customFormat="1" ht="47.25" hidden="1" outlineLevel="3" x14ac:dyDescent="0.25">
      <c r="A94" s="363" t="s">
        <v>2478</v>
      </c>
      <c r="B94" s="381" t="s">
        <v>1389</v>
      </c>
      <c r="C94" s="381" t="s">
        <v>1381</v>
      </c>
      <c r="D94" s="100" t="s">
        <v>408</v>
      </c>
      <c r="E94" s="149">
        <v>1</v>
      </c>
      <c r="F94" s="525">
        <f t="shared" si="1"/>
        <v>7745</v>
      </c>
      <c r="G94" s="525">
        <f>'НМЦК (с разбивкой по объектам)'!K97</f>
        <v>7745</v>
      </c>
      <c r="H94" s="396" t="s">
        <v>1399</v>
      </c>
      <c r="I94" s="382"/>
      <c r="J94" s="382"/>
    </row>
    <row r="95" spans="1:10" s="383" customFormat="1" ht="47.25" hidden="1" outlineLevel="3" x14ac:dyDescent="0.25">
      <c r="A95" s="363" t="s">
        <v>2479</v>
      </c>
      <c r="B95" s="381" t="s">
        <v>1390</v>
      </c>
      <c r="C95" s="381" t="s">
        <v>1382</v>
      </c>
      <c r="D95" s="100" t="s">
        <v>408</v>
      </c>
      <c r="E95" s="149">
        <v>1</v>
      </c>
      <c r="F95" s="525">
        <f t="shared" si="1"/>
        <v>10031</v>
      </c>
      <c r="G95" s="525">
        <f>'НМЦК (с разбивкой по объектам)'!K98</f>
        <v>10031</v>
      </c>
      <c r="H95" s="396" t="s">
        <v>1399</v>
      </c>
      <c r="I95" s="382"/>
      <c r="J95" s="382"/>
    </row>
    <row r="96" spans="1:10" s="383" customFormat="1" ht="78.75" hidden="1" outlineLevel="3" x14ac:dyDescent="0.25">
      <c r="A96" s="363" t="s">
        <v>2480</v>
      </c>
      <c r="B96" s="381" t="s">
        <v>1391</v>
      </c>
      <c r="C96" s="381" t="s">
        <v>439</v>
      </c>
      <c r="D96" s="100" t="s">
        <v>408</v>
      </c>
      <c r="E96" s="149">
        <v>1</v>
      </c>
      <c r="F96" s="525">
        <f t="shared" si="1"/>
        <v>7989</v>
      </c>
      <c r="G96" s="525">
        <f>'НМЦК (с разбивкой по объектам)'!K99</f>
        <v>7989</v>
      </c>
      <c r="H96" s="396" t="s">
        <v>1399</v>
      </c>
      <c r="I96" s="382"/>
      <c r="J96" s="382"/>
    </row>
    <row r="97" spans="1:10" s="383" customFormat="1" ht="47.25" hidden="1" outlineLevel="3" x14ac:dyDescent="0.25">
      <c r="A97" s="363" t="s">
        <v>2481</v>
      </c>
      <c r="B97" s="381" t="s">
        <v>1392</v>
      </c>
      <c r="C97" s="381" t="s">
        <v>1383</v>
      </c>
      <c r="D97" s="100" t="s">
        <v>408</v>
      </c>
      <c r="E97" s="149">
        <v>1</v>
      </c>
      <c r="F97" s="525">
        <f t="shared" si="1"/>
        <v>649566</v>
      </c>
      <c r="G97" s="525">
        <f>'НМЦК (с разбивкой по объектам)'!K100</f>
        <v>649566</v>
      </c>
      <c r="H97" s="396" t="s">
        <v>1399</v>
      </c>
      <c r="I97" s="382"/>
      <c r="J97" s="382"/>
    </row>
    <row r="98" spans="1:10" s="386" customFormat="1" outlineLevel="2" collapsed="1" x14ac:dyDescent="0.25">
      <c r="A98" s="132" t="s">
        <v>2482</v>
      </c>
      <c r="B98" s="320"/>
      <c r="C98" s="395" t="s">
        <v>2364</v>
      </c>
      <c r="D98" s="134" t="s">
        <v>292</v>
      </c>
      <c r="E98" s="90">
        <v>1</v>
      </c>
      <c r="F98" s="526">
        <f t="shared" si="1"/>
        <v>1281408</v>
      </c>
      <c r="G98" s="526">
        <f>'НМЦК (с разбивкой по объектам)'!K101</f>
        <v>1281408</v>
      </c>
      <c r="H98" s="385"/>
      <c r="I98" s="385"/>
      <c r="J98" s="385"/>
    </row>
    <row r="99" spans="1:10" s="383" customFormat="1" hidden="1" outlineLevel="3" x14ac:dyDescent="0.25">
      <c r="A99" s="363" t="s">
        <v>2483</v>
      </c>
      <c r="B99" s="381" t="s">
        <v>1345</v>
      </c>
      <c r="C99" s="381" t="s">
        <v>1342</v>
      </c>
      <c r="D99" s="100" t="s">
        <v>408</v>
      </c>
      <c r="E99" s="149">
        <v>1</v>
      </c>
      <c r="F99" s="525">
        <f t="shared" si="1"/>
        <v>1233696</v>
      </c>
      <c r="G99" s="525">
        <f>'НМЦК (с разбивкой по объектам)'!K102</f>
        <v>1233696</v>
      </c>
      <c r="H99" s="382"/>
      <c r="I99" s="382"/>
      <c r="J99" s="382"/>
    </row>
    <row r="100" spans="1:10" s="383" customFormat="1" ht="63" hidden="1" outlineLevel="3" x14ac:dyDescent="0.25">
      <c r="A100" s="363" t="s">
        <v>2484</v>
      </c>
      <c r="B100" s="381" t="s">
        <v>1393</v>
      </c>
      <c r="C100" s="381" t="s">
        <v>435</v>
      </c>
      <c r="D100" s="100" t="s">
        <v>408</v>
      </c>
      <c r="E100" s="149">
        <v>1</v>
      </c>
      <c r="F100" s="525">
        <f t="shared" si="1"/>
        <v>30814</v>
      </c>
      <c r="G100" s="525">
        <f>'НМЦК (с разбивкой по объектам)'!K103</f>
        <v>30814</v>
      </c>
      <c r="H100" s="396" t="s">
        <v>1399</v>
      </c>
      <c r="I100" s="382"/>
      <c r="J100" s="382"/>
    </row>
    <row r="101" spans="1:10" s="383" customFormat="1" ht="63" hidden="1" outlineLevel="3" x14ac:dyDescent="0.25">
      <c r="A101" s="363" t="s">
        <v>2485</v>
      </c>
      <c r="B101" s="381" t="s">
        <v>1394</v>
      </c>
      <c r="C101" s="381" t="s">
        <v>437</v>
      </c>
      <c r="D101" s="100" t="s">
        <v>408</v>
      </c>
      <c r="E101" s="149">
        <v>1</v>
      </c>
      <c r="F101" s="525">
        <f t="shared" si="1"/>
        <v>8909</v>
      </c>
      <c r="G101" s="525">
        <f>'НМЦК (с разбивкой по объектам)'!K104</f>
        <v>8909</v>
      </c>
      <c r="H101" s="396" t="s">
        <v>1399</v>
      </c>
      <c r="I101" s="382"/>
      <c r="J101" s="382"/>
    </row>
    <row r="102" spans="1:10" s="383" customFormat="1" ht="78.75" hidden="1" outlineLevel="3" x14ac:dyDescent="0.25">
      <c r="A102" s="363" t="s">
        <v>2486</v>
      </c>
      <c r="B102" s="381" t="s">
        <v>1395</v>
      </c>
      <c r="C102" s="381" t="s">
        <v>439</v>
      </c>
      <c r="D102" s="100" t="s">
        <v>408</v>
      </c>
      <c r="E102" s="149">
        <v>1</v>
      </c>
      <c r="F102" s="525">
        <f t="shared" si="1"/>
        <v>7989</v>
      </c>
      <c r="G102" s="525">
        <f>'НМЦК (с разбивкой по объектам)'!K105</f>
        <v>7989</v>
      </c>
      <c r="H102" s="396" t="s">
        <v>1399</v>
      </c>
      <c r="I102" s="382"/>
      <c r="J102" s="382"/>
    </row>
    <row r="103" spans="1:10" s="386" customFormat="1" outlineLevel="2" collapsed="1" x14ac:dyDescent="0.25">
      <c r="A103" s="132" t="s">
        <v>2487</v>
      </c>
      <c r="B103" s="320"/>
      <c r="C103" s="395" t="s">
        <v>2365</v>
      </c>
      <c r="D103" s="134" t="s">
        <v>292</v>
      </c>
      <c r="E103" s="90">
        <v>1</v>
      </c>
      <c r="F103" s="526">
        <f t="shared" si="1"/>
        <v>55715</v>
      </c>
      <c r="G103" s="526">
        <f>'НМЦК (с разбивкой по объектам)'!K106</f>
        <v>55715</v>
      </c>
      <c r="H103" s="385"/>
      <c r="I103" s="385"/>
      <c r="J103" s="385"/>
    </row>
    <row r="104" spans="1:10" s="383" customFormat="1" ht="63" hidden="1" outlineLevel="3" x14ac:dyDescent="0.25">
      <c r="A104" s="363" t="s">
        <v>2488</v>
      </c>
      <c r="B104" s="381" t="s">
        <v>1396</v>
      </c>
      <c r="C104" s="381" t="s">
        <v>1385</v>
      </c>
      <c r="D104" s="100" t="s">
        <v>408</v>
      </c>
      <c r="E104" s="149">
        <v>2</v>
      </c>
      <c r="F104" s="525">
        <f t="shared" si="1"/>
        <v>18388</v>
      </c>
      <c r="G104" s="525">
        <f>'НМЦК (с разбивкой по объектам)'!K107</f>
        <v>36775</v>
      </c>
      <c r="H104" s="382"/>
      <c r="I104" s="382"/>
      <c r="J104" s="382"/>
    </row>
    <row r="105" spans="1:10" s="383" customFormat="1" ht="78.75" hidden="1" outlineLevel="3" x14ac:dyDescent="0.25">
      <c r="A105" s="363" t="s">
        <v>2489</v>
      </c>
      <c r="B105" s="381" t="s">
        <v>1397</v>
      </c>
      <c r="C105" s="381" t="s">
        <v>1380</v>
      </c>
      <c r="D105" s="100" t="s">
        <v>408</v>
      </c>
      <c r="E105" s="149">
        <v>1</v>
      </c>
      <c r="F105" s="525">
        <f t="shared" si="1"/>
        <v>12426</v>
      </c>
      <c r="G105" s="525">
        <f>'НМЦК (с разбивкой по объектам)'!K108</f>
        <v>12426</v>
      </c>
      <c r="H105" s="396" t="s">
        <v>1399</v>
      </c>
      <c r="I105" s="382"/>
      <c r="J105" s="382"/>
    </row>
    <row r="106" spans="1:10" s="383" customFormat="1" ht="94.5" hidden="1" outlineLevel="3" x14ac:dyDescent="0.25">
      <c r="A106" s="536" t="s">
        <v>2490</v>
      </c>
      <c r="B106" s="402" t="s">
        <v>1398</v>
      </c>
      <c r="C106" s="402" t="s">
        <v>1386</v>
      </c>
      <c r="D106" s="272" t="s">
        <v>408</v>
      </c>
      <c r="E106" s="273">
        <v>1</v>
      </c>
      <c r="F106" s="530">
        <f t="shared" si="1"/>
        <v>6514</v>
      </c>
      <c r="G106" s="530">
        <f>'НМЦК (с разбивкой по объектам)'!K109</f>
        <v>6514</v>
      </c>
      <c r="H106" s="550" t="s">
        <v>1399</v>
      </c>
      <c r="I106" s="403"/>
      <c r="J106" s="403"/>
    </row>
    <row r="107" spans="1:10" s="544" customFormat="1" outlineLevel="2" collapsed="1" x14ac:dyDescent="0.25">
      <c r="A107" s="132" t="s">
        <v>572</v>
      </c>
      <c r="B107" s="320" t="s">
        <v>39</v>
      </c>
      <c r="C107" s="379" t="s">
        <v>2491</v>
      </c>
      <c r="D107" s="134" t="s">
        <v>292</v>
      </c>
      <c r="E107" s="90">
        <v>1</v>
      </c>
      <c r="F107" s="526">
        <f t="shared" si="1"/>
        <v>29888215</v>
      </c>
      <c r="G107" s="526">
        <f>'НМЦК (с разбивкой по объектам)'!K110</f>
        <v>29888215</v>
      </c>
    </row>
    <row r="108" spans="1:10" s="540" customFormat="1" ht="31.5" hidden="1" outlineLevel="3" x14ac:dyDescent="0.25">
      <c r="A108" s="368" t="s">
        <v>2492</v>
      </c>
      <c r="B108" s="387" t="s">
        <v>227</v>
      </c>
      <c r="C108" s="387" t="s">
        <v>648</v>
      </c>
      <c r="D108" s="239" t="s">
        <v>292</v>
      </c>
      <c r="E108" s="240">
        <v>1</v>
      </c>
      <c r="F108" s="529">
        <f t="shared" si="1"/>
        <v>859348</v>
      </c>
      <c r="G108" s="529">
        <f>'НМЦК (с разбивкой по объектам)'!K111</f>
        <v>859348</v>
      </c>
    </row>
    <row r="109" spans="1:10" s="539" customFormat="1" hidden="1" outlineLevel="4" x14ac:dyDescent="0.25">
      <c r="A109" s="363"/>
      <c r="B109" s="381"/>
      <c r="C109" s="381" t="s">
        <v>367</v>
      </c>
      <c r="D109" s="100"/>
      <c r="E109" s="100"/>
      <c r="F109" s="525" t="e">
        <f t="shared" si="1"/>
        <v>#DIV/0!</v>
      </c>
      <c r="G109" s="525">
        <f>'НМЦК (с разбивкой по объектам)'!K112</f>
        <v>0</v>
      </c>
    </row>
    <row r="110" spans="1:10" s="539" customFormat="1" ht="31.5" hidden="1" outlineLevel="4" x14ac:dyDescent="0.25">
      <c r="A110" s="363" t="s">
        <v>2494</v>
      </c>
      <c r="B110" s="381" t="s">
        <v>506</v>
      </c>
      <c r="C110" s="381" t="s">
        <v>1492</v>
      </c>
      <c r="D110" s="100" t="s">
        <v>300</v>
      </c>
      <c r="E110" s="100">
        <f>176</f>
        <v>176</v>
      </c>
      <c r="F110" s="525">
        <f t="shared" si="1"/>
        <v>1670</v>
      </c>
      <c r="G110" s="525">
        <f>'НМЦК (с разбивкой по объектам)'!K113</f>
        <v>293901</v>
      </c>
    </row>
    <row r="111" spans="1:10" s="539" customFormat="1" ht="31.5" hidden="1" outlineLevel="4" x14ac:dyDescent="0.25">
      <c r="A111" s="363" t="s">
        <v>2495</v>
      </c>
      <c r="B111" s="381" t="s">
        <v>1494</v>
      </c>
      <c r="C111" s="381" t="s">
        <v>656</v>
      </c>
      <c r="D111" s="100" t="s">
        <v>300</v>
      </c>
      <c r="E111" s="100">
        <f>76.32</f>
        <v>76.319999999999993</v>
      </c>
      <c r="F111" s="525">
        <f t="shared" si="1"/>
        <v>392</v>
      </c>
      <c r="G111" s="525">
        <f>'НМЦК (с разбивкой по объектам)'!K114</f>
        <v>29951</v>
      </c>
    </row>
    <row r="112" spans="1:10" s="539" customFormat="1" hidden="1" outlineLevel="4" x14ac:dyDescent="0.25">
      <c r="A112" s="363" t="s">
        <v>2496</v>
      </c>
      <c r="B112" s="381" t="s">
        <v>1495</v>
      </c>
      <c r="C112" s="381" t="s">
        <v>1493</v>
      </c>
      <c r="D112" s="100" t="s">
        <v>300</v>
      </c>
      <c r="E112" s="100">
        <f>99.68</f>
        <v>99.68</v>
      </c>
      <c r="F112" s="525">
        <f t="shared" si="1"/>
        <v>107</v>
      </c>
      <c r="G112" s="525">
        <f>'НМЦК (с разбивкой по объектам)'!K115</f>
        <v>10710</v>
      </c>
    </row>
    <row r="113" spans="1:9" s="539" customFormat="1" ht="31.5" hidden="1" outlineLevel="4" x14ac:dyDescent="0.25">
      <c r="A113" s="363" t="s">
        <v>2497</v>
      </c>
      <c r="B113" s="381" t="s">
        <v>1496</v>
      </c>
      <c r="C113" s="381" t="s">
        <v>750</v>
      </c>
      <c r="D113" s="100" t="s">
        <v>300</v>
      </c>
      <c r="E113" s="100">
        <f>99.68</f>
        <v>99.68</v>
      </c>
      <c r="F113" s="525">
        <f t="shared" si="1"/>
        <v>90</v>
      </c>
      <c r="G113" s="525">
        <f>'НМЦК (с разбивкой по объектам)'!K116</f>
        <v>8968</v>
      </c>
    </row>
    <row r="114" spans="1:9" s="539" customFormat="1" hidden="1" outlineLevel="4" x14ac:dyDescent="0.25">
      <c r="A114" s="363" t="s">
        <v>2498</v>
      </c>
      <c r="B114" s="381" t="s">
        <v>1497</v>
      </c>
      <c r="C114" s="381" t="s">
        <v>492</v>
      </c>
      <c r="D114" s="100" t="s">
        <v>300</v>
      </c>
      <c r="E114" s="100">
        <f>9.72</f>
        <v>9.7200000000000006</v>
      </c>
      <c r="F114" s="525">
        <f t="shared" si="1"/>
        <v>31295</v>
      </c>
      <c r="G114" s="525">
        <f>'НМЦК (с разбивкой по объектам)'!K117</f>
        <v>304184</v>
      </c>
    </row>
    <row r="115" spans="1:9" s="539" customFormat="1" hidden="1" outlineLevel="4" x14ac:dyDescent="0.25">
      <c r="A115" s="363" t="s">
        <v>2499</v>
      </c>
      <c r="B115" s="381" t="s">
        <v>1499</v>
      </c>
      <c r="C115" s="381" t="s">
        <v>1498</v>
      </c>
      <c r="D115" s="100" t="s">
        <v>292</v>
      </c>
      <c r="E115" s="100">
        <v>1</v>
      </c>
      <c r="F115" s="525">
        <f t="shared" si="1"/>
        <v>25966</v>
      </c>
      <c r="G115" s="525">
        <f>'НМЦК (с разбивкой по объектам)'!K118</f>
        <v>25966</v>
      </c>
    </row>
    <row r="116" spans="1:9" s="539" customFormat="1" hidden="1" outlineLevel="4" x14ac:dyDescent="0.25">
      <c r="A116" s="363" t="s">
        <v>2500</v>
      </c>
      <c r="B116" s="381" t="s">
        <v>1500</v>
      </c>
      <c r="C116" s="381" t="s">
        <v>414</v>
      </c>
      <c r="D116" s="100" t="s">
        <v>404</v>
      </c>
      <c r="E116" s="100">
        <v>28</v>
      </c>
      <c r="F116" s="525">
        <f t="shared" si="1"/>
        <v>1372</v>
      </c>
      <c r="G116" s="525">
        <f>'НМЦК (с разбивкой по объектам)'!K119</f>
        <v>38425</v>
      </c>
    </row>
    <row r="117" spans="1:9" s="539" customFormat="1" hidden="1" outlineLevel="4" x14ac:dyDescent="0.25">
      <c r="A117" s="363" t="s">
        <v>2501</v>
      </c>
      <c r="B117" s="381" t="s">
        <v>1502</v>
      </c>
      <c r="C117" s="381" t="s">
        <v>1501</v>
      </c>
      <c r="D117" s="100" t="s">
        <v>637</v>
      </c>
      <c r="E117" s="145">
        <f>0.144+0.152</f>
        <v>0.29599999999999999</v>
      </c>
      <c r="F117" s="525">
        <f t="shared" si="1"/>
        <v>94368</v>
      </c>
      <c r="G117" s="525">
        <f>'НМЦК (с разбивкой по объектам)'!K120</f>
        <v>27933</v>
      </c>
    </row>
    <row r="118" spans="1:9" s="539" customFormat="1" hidden="1" outlineLevel="4" x14ac:dyDescent="0.25">
      <c r="A118" s="363" t="s">
        <v>2502</v>
      </c>
      <c r="B118" s="381" t="s">
        <v>1503</v>
      </c>
      <c r="C118" s="381" t="s">
        <v>493</v>
      </c>
      <c r="D118" s="100" t="s">
        <v>292</v>
      </c>
      <c r="E118" s="100">
        <v>1</v>
      </c>
      <c r="F118" s="525">
        <f t="shared" si="1"/>
        <v>99441</v>
      </c>
      <c r="G118" s="525">
        <f>'НМЦК (с разбивкой по объектам)'!K121</f>
        <v>99441</v>
      </c>
    </row>
    <row r="119" spans="1:9" s="539" customFormat="1" hidden="1" outlineLevel="4" x14ac:dyDescent="0.25">
      <c r="A119" s="363" t="s">
        <v>2503</v>
      </c>
      <c r="B119" s="381" t="s">
        <v>1504</v>
      </c>
      <c r="C119" s="381" t="s">
        <v>494</v>
      </c>
      <c r="D119" s="100" t="s">
        <v>404</v>
      </c>
      <c r="E119" s="100">
        <f>21.2</f>
        <v>21.2</v>
      </c>
      <c r="F119" s="525">
        <f t="shared" si="1"/>
        <v>937</v>
      </c>
      <c r="G119" s="525">
        <f>'НМЦК (с разбивкой по объектам)'!K122</f>
        <v>19869</v>
      </c>
    </row>
    <row r="120" spans="1:9" s="540" customFormat="1" hidden="1" outlineLevel="3" x14ac:dyDescent="0.25">
      <c r="A120" s="368" t="s">
        <v>2493</v>
      </c>
      <c r="B120" s="387" t="s">
        <v>229</v>
      </c>
      <c r="C120" s="387" t="s">
        <v>646</v>
      </c>
      <c r="D120" s="239" t="s">
        <v>292</v>
      </c>
      <c r="E120" s="240">
        <v>1</v>
      </c>
      <c r="F120" s="529">
        <f t="shared" si="1"/>
        <v>29028867</v>
      </c>
      <c r="G120" s="529">
        <f>'НМЦК (с разбивкой по объектам)'!K123</f>
        <v>29028867</v>
      </c>
    </row>
    <row r="121" spans="1:9" s="539" customFormat="1" ht="47.25" hidden="1" outlineLevel="4" x14ac:dyDescent="0.25">
      <c r="A121" s="363" t="s">
        <v>2504</v>
      </c>
      <c r="B121" s="381" t="s">
        <v>1505</v>
      </c>
      <c r="C121" s="381" t="s">
        <v>496</v>
      </c>
      <c r="D121" s="100" t="s">
        <v>408</v>
      </c>
      <c r="E121" s="149">
        <v>1</v>
      </c>
      <c r="F121" s="525">
        <f t="shared" si="1"/>
        <v>29028867</v>
      </c>
      <c r="G121" s="525">
        <f>'НМЦК (с разбивкой по объектам)'!K124</f>
        <v>29028867</v>
      </c>
    </row>
    <row r="122" spans="1:9" s="538" customFormat="1" outlineLevel="1" x14ac:dyDescent="0.25">
      <c r="A122" s="179" t="s">
        <v>393</v>
      </c>
      <c r="B122" s="422"/>
      <c r="C122" s="435" t="s">
        <v>2505</v>
      </c>
      <c r="D122" s="125" t="s">
        <v>292</v>
      </c>
      <c r="E122" s="126">
        <v>1</v>
      </c>
      <c r="F122" s="524">
        <f t="shared" si="1"/>
        <v>167876672</v>
      </c>
      <c r="G122" s="524">
        <f>'НМЦК (с разбивкой по объектам)'!K125</f>
        <v>167876672</v>
      </c>
    </row>
    <row r="123" spans="1:9" s="539" customFormat="1" outlineLevel="2" collapsed="1" x14ac:dyDescent="0.25">
      <c r="A123" s="132" t="s">
        <v>394</v>
      </c>
      <c r="B123" s="320"/>
      <c r="C123" s="320" t="s">
        <v>2381</v>
      </c>
      <c r="D123" s="134" t="s">
        <v>408</v>
      </c>
      <c r="E123" s="90">
        <v>1</v>
      </c>
      <c r="F123" s="526">
        <f t="shared" si="1"/>
        <v>2618008</v>
      </c>
      <c r="G123" s="526">
        <f>'НМЦК (с разбивкой по объектам)'!K126</f>
        <v>2618008</v>
      </c>
    </row>
    <row r="124" spans="1:9" s="540" customFormat="1" hidden="1" outlineLevel="3" x14ac:dyDescent="0.25">
      <c r="A124" s="238"/>
      <c r="B124" s="387"/>
      <c r="C124" s="390" t="s">
        <v>2394</v>
      </c>
      <c r="D124" s="239"/>
      <c r="E124" s="240"/>
      <c r="F124" s="529" t="e">
        <f t="shared" si="1"/>
        <v>#DIV/0!</v>
      </c>
      <c r="G124" s="529">
        <f>'НМЦК (с разбивкой по объектам)'!K127</f>
        <v>0</v>
      </c>
    </row>
    <row r="125" spans="1:9" s="539" customFormat="1" ht="31.5" hidden="1" outlineLevel="3" x14ac:dyDescent="0.25">
      <c r="A125" s="363" t="s">
        <v>1849</v>
      </c>
      <c r="B125" s="381" t="s">
        <v>355</v>
      </c>
      <c r="C125" s="381" t="s">
        <v>356</v>
      </c>
      <c r="D125" s="100" t="s">
        <v>300</v>
      </c>
      <c r="E125" s="149">
        <f>'Земляные работы'!H13*60/503</f>
        <v>648</v>
      </c>
      <c r="F125" s="525">
        <f t="shared" si="1"/>
        <v>1670</v>
      </c>
      <c r="G125" s="525">
        <f>'НМЦК (с разбивкой по объектам)'!K128</f>
        <v>1081885</v>
      </c>
    </row>
    <row r="126" spans="1:9" s="539" customFormat="1" ht="31.5" hidden="1" outlineLevel="3" x14ac:dyDescent="0.25">
      <c r="A126" s="363" t="s">
        <v>1850</v>
      </c>
      <c r="B126" s="381" t="s">
        <v>560</v>
      </c>
      <c r="C126" s="381" t="s">
        <v>656</v>
      </c>
      <c r="D126" s="100" t="s">
        <v>300</v>
      </c>
      <c r="E126" s="149">
        <f>'Земляные работы'!H13*60/503</f>
        <v>648</v>
      </c>
      <c r="F126" s="525">
        <f t="shared" si="1"/>
        <v>256</v>
      </c>
      <c r="G126" s="525">
        <f>'НМЦК (с разбивкой по объектам)'!K129</f>
        <v>165926</v>
      </c>
    </row>
    <row r="127" spans="1:9" s="542" customFormat="1" ht="31.5" hidden="1" outlineLevel="3" x14ac:dyDescent="0.25">
      <c r="A127" s="363" t="s">
        <v>1851</v>
      </c>
      <c r="B127" s="391" t="s">
        <v>561</v>
      </c>
      <c r="C127" s="391" t="s">
        <v>562</v>
      </c>
      <c r="D127" s="161" t="s">
        <v>300</v>
      </c>
      <c r="E127" s="162">
        <f>'Земляные работы'!K13*60/503</f>
        <v>32.4</v>
      </c>
      <c r="F127" s="528">
        <f t="shared" si="1"/>
        <v>1167</v>
      </c>
      <c r="G127" s="528">
        <f>'НМЦК (с разбивкой по объектам)'!K130</f>
        <v>37796</v>
      </c>
      <c r="H127" s="542" t="s">
        <v>563</v>
      </c>
      <c r="I127" s="551"/>
    </row>
    <row r="128" spans="1:9" s="542" customFormat="1" hidden="1" outlineLevel="3" x14ac:dyDescent="0.25">
      <c r="A128" s="363" t="s">
        <v>1852</v>
      </c>
      <c r="B128" s="391" t="s">
        <v>564</v>
      </c>
      <c r="C128" s="391" t="s">
        <v>565</v>
      </c>
      <c r="D128" s="161" t="s">
        <v>300</v>
      </c>
      <c r="E128" s="162">
        <f>'Земляные работы'!L13*60/503</f>
        <v>32.4</v>
      </c>
      <c r="F128" s="528">
        <f t="shared" si="1"/>
        <v>292</v>
      </c>
      <c r="G128" s="528">
        <f>'НМЦК (с разбивкой по объектам)'!K131</f>
        <v>9472</v>
      </c>
      <c r="H128" s="542" t="s">
        <v>563</v>
      </c>
    </row>
    <row r="129" spans="1:8" s="539" customFormat="1" ht="31.5" hidden="1" outlineLevel="3" x14ac:dyDescent="0.25">
      <c r="A129" s="363" t="s">
        <v>1853</v>
      </c>
      <c r="B129" s="381" t="s">
        <v>567</v>
      </c>
      <c r="C129" s="381" t="s">
        <v>750</v>
      </c>
      <c r="D129" s="100" t="s">
        <v>300</v>
      </c>
      <c r="E129" s="168">
        <f>20100.9*'Земляные работы'!M13/'Земляные работы'!$M$19*60/503</f>
        <v>557.29999999999995</v>
      </c>
      <c r="F129" s="525">
        <f t="shared" si="1"/>
        <v>119</v>
      </c>
      <c r="G129" s="525">
        <f>'НМЦК (с разбивкой по объектам)'!K132</f>
        <v>66167</v>
      </c>
      <c r="H129" s="539" t="s">
        <v>360</v>
      </c>
    </row>
    <row r="130" spans="1:8" s="539" customFormat="1" hidden="1" outlineLevel="3" x14ac:dyDescent="0.25">
      <c r="A130" s="363" t="s">
        <v>1854</v>
      </c>
      <c r="B130" s="381" t="s">
        <v>754</v>
      </c>
      <c r="C130" s="381" t="s">
        <v>575</v>
      </c>
      <c r="D130" s="100" t="s">
        <v>305</v>
      </c>
      <c r="E130" s="149">
        <v>1</v>
      </c>
      <c r="F130" s="525">
        <f t="shared" si="1"/>
        <v>1256762</v>
      </c>
      <c r="G130" s="525">
        <f>'НМЦК (с разбивкой по объектам)'!K133</f>
        <v>1256762</v>
      </c>
      <c r="H130" s="539" t="s">
        <v>755</v>
      </c>
    </row>
    <row r="131" spans="1:8" s="539" customFormat="1" outlineLevel="2" collapsed="1" x14ac:dyDescent="0.25">
      <c r="A131" s="132" t="s">
        <v>395</v>
      </c>
      <c r="B131" s="320"/>
      <c r="C131" s="320" t="s">
        <v>2382</v>
      </c>
      <c r="D131" s="134" t="s">
        <v>408</v>
      </c>
      <c r="E131" s="90">
        <v>1</v>
      </c>
      <c r="F131" s="526">
        <f t="shared" si="1"/>
        <v>3659058</v>
      </c>
      <c r="G131" s="526">
        <f>'НМЦК (с разбивкой по объектам)'!K134</f>
        <v>3659058</v>
      </c>
    </row>
    <row r="132" spans="1:8" s="539" customFormat="1" hidden="1" outlineLevel="3" x14ac:dyDescent="0.25">
      <c r="A132" s="363"/>
      <c r="B132" s="381"/>
      <c r="C132" s="388" t="s">
        <v>367</v>
      </c>
      <c r="D132" s="100"/>
      <c r="E132" s="149"/>
      <c r="F132" s="525" t="e">
        <f t="shared" si="1"/>
        <v>#DIV/0!</v>
      </c>
      <c r="G132" s="525">
        <f>'НМЦК (с разбивкой по объектам)'!K135</f>
        <v>0</v>
      </c>
    </row>
    <row r="133" spans="1:8" s="539" customFormat="1" hidden="1" outlineLevel="3" x14ac:dyDescent="0.25">
      <c r="A133" s="363"/>
      <c r="B133" s="381"/>
      <c r="C133" s="390" t="s">
        <v>576</v>
      </c>
      <c r="D133" s="100"/>
      <c r="E133" s="149"/>
      <c r="F133" s="525" t="e">
        <f t="shared" si="1"/>
        <v>#DIV/0!</v>
      </c>
      <c r="G133" s="525">
        <f>'НМЦК (с разбивкой по объектам)'!K136</f>
        <v>0</v>
      </c>
    </row>
    <row r="134" spans="1:8" s="539" customFormat="1" ht="31.5" hidden="1" outlineLevel="3" x14ac:dyDescent="0.25">
      <c r="A134" s="363" t="s">
        <v>396</v>
      </c>
      <c r="B134" s="381" t="s">
        <v>355</v>
      </c>
      <c r="C134" s="381" t="s">
        <v>356</v>
      </c>
      <c r="D134" s="100" t="s">
        <v>300</v>
      </c>
      <c r="E134" s="149">
        <f>'Земляные работы'!H14</f>
        <v>989</v>
      </c>
      <c r="F134" s="525">
        <f t="shared" si="1"/>
        <v>1670</v>
      </c>
      <c r="G134" s="525">
        <f>'НМЦК (с разбивкой по объектам)'!K137</f>
        <v>1651341</v>
      </c>
    </row>
    <row r="135" spans="1:8" s="539" customFormat="1" ht="31.5" hidden="1" outlineLevel="3" x14ac:dyDescent="0.25">
      <c r="A135" s="363" t="s">
        <v>397</v>
      </c>
      <c r="B135" s="381" t="s">
        <v>560</v>
      </c>
      <c r="C135" s="381" t="s">
        <v>656</v>
      </c>
      <c r="D135" s="100" t="s">
        <v>300</v>
      </c>
      <c r="E135" s="149">
        <f>'Земляные работы'!H14</f>
        <v>989</v>
      </c>
      <c r="F135" s="525">
        <f t="shared" si="1"/>
        <v>256</v>
      </c>
      <c r="G135" s="525">
        <f>'НМЦК (с разбивкой по объектам)'!K138</f>
        <v>253260</v>
      </c>
    </row>
    <row r="136" spans="1:8" s="542" customFormat="1" ht="31.5" hidden="1" outlineLevel="3" x14ac:dyDescent="0.25">
      <c r="A136" s="363" t="s">
        <v>399</v>
      </c>
      <c r="B136" s="391" t="s">
        <v>561</v>
      </c>
      <c r="C136" s="391" t="s">
        <v>562</v>
      </c>
      <c r="D136" s="161" t="s">
        <v>300</v>
      </c>
      <c r="E136" s="162">
        <f>'Земляные работы'!K14</f>
        <v>49.5</v>
      </c>
      <c r="F136" s="528">
        <f t="shared" si="1"/>
        <v>1167</v>
      </c>
      <c r="G136" s="528">
        <f>'НМЦК (с разбивкой по объектам)'!K139</f>
        <v>57770</v>
      </c>
      <c r="H136" s="542" t="s">
        <v>563</v>
      </c>
    </row>
    <row r="137" spans="1:8" s="542" customFormat="1" hidden="1" outlineLevel="3" x14ac:dyDescent="0.25">
      <c r="A137" s="363" t="s">
        <v>401</v>
      </c>
      <c r="B137" s="391" t="s">
        <v>564</v>
      </c>
      <c r="C137" s="391" t="s">
        <v>565</v>
      </c>
      <c r="D137" s="161" t="s">
        <v>300</v>
      </c>
      <c r="E137" s="162">
        <f>'Земляные работы'!L14</f>
        <v>49.5</v>
      </c>
      <c r="F137" s="528">
        <f t="shared" ref="F137:F200" si="2">G137/E137</f>
        <v>292</v>
      </c>
      <c r="G137" s="528">
        <f>'НМЦК (с разбивкой по объектам)'!K140</f>
        <v>14477</v>
      </c>
      <c r="H137" s="542" t="s">
        <v>563</v>
      </c>
    </row>
    <row r="138" spans="1:8" s="539" customFormat="1" ht="31.5" hidden="1" outlineLevel="3" x14ac:dyDescent="0.25">
      <c r="A138" s="363" t="s">
        <v>402</v>
      </c>
      <c r="B138" s="381" t="s">
        <v>567</v>
      </c>
      <c r="C138" s="381" t="s">
        <v>750</v>
      </c>
      <c r="D138" s="100" t="s">
        <v>300</v>
      </c>
      <c r="E138" s="168">
        <f>20100.9*'Земляные работы'!M14/'Земляные работы'!$M$19</f>
        <v>863</v>
      </c>
      <c r="F138" s="525">
        <f t="shared" si="2"/>
        <v>135</v>
      </c>
      <c r="G138" s="525">
        <f>'НМЦК (с разбивкой по объектам)'!K141</f>
        <v>116331</v>
      </c>
      <c r="H138" s="539" t="s">
        <v>360</v>
      </c>
    </row>
    <row r="139" spans="1:8" s="539" customFormat="1" hidden="1" outlineLevel="3" x14ac:dyDescent="0.25">
      <c r="A139" s="363" t="s">
        <v>403</v>
      </c>
      <c r="B139" s="381" t="s">
        <v>756</v>
      </c>
      <c r="C139" s="381" t="s">
        <v>580</v>
      </c>
      <c r="D139" s="100" t="s">
        <v>305</v>
      </c>
      <c r="E139" s="149">
        <v>1</v>
      </c>
      <c r="F139" s="525">
        <f t="shared" si="2"/>
        <v>1565879</v>
      </c>
      <c r="G139" s="525">
        <f>'НМЦК (с разбивкой по объектам)'!K142</f>
        <v>1565879</v>
      </c>
      <c r="H139" s="539" t="s">
        <v>757</v>
      </c>
    </row>
    <row r="140" spans="1:8" s="539" customFormat="1" outlineLevel="2" collapsed="1" x14ac:dyDescent="0.25">
      <c r="A140" s="132" t="s">
        <v>406</v>
      </c>
      <c r="B140" s="320"/>
      <c r="C140" s="320" t="s">
        <v>2383</v>
      </c>
      <c r="D140" s="134" t="s">
        <v>408</v>
      </c>
      <c r="E140" s="90">
        <v>1</v>
      </c>
      <c r="F140" s="526">
        <f t="shared" si="2"/>
        <v>7758760</v>
      </c>
      <c r="G140" s="526">
        <f>'НМЦК (с разбивкой по объектам)'!K143</f>
        <v>7758760</v>
      </c>
    </row>
    <row r="141" spans="1:8" s="539" customFormat="1" hidden="1" outlineLevel="3" x14ac:dyDescent="0.25">
      <c r="A141" s="363"/>
      <c r="B141" s="381"/>
      <c r="C141" s="390" t="s">
        <v>577</v>
      </c>
      <c r="D141" s="100"/>
      <c r="E141" s="149"/>
      <c r="F141" s="525" t="e">
        <f t="shared" si="2"/>
        <v>#DIV/0!</v>
      </c>
      <c r="G141" s="525">
        <f>'НМЦК (с разбивкой по объектам)'!K144</f>
        <v>0</v>
      </c>
    </row>
    <row r="142" spans="1:8" s="539" customFormat="1" ht="31.5" hidden="1" outlineLevel="3" x14ac:dyDescent="0.25">
      <c r="A142" s="363" t="s">
        <v>407</v>
      </c>
      <c r="B142" s="381" t="s">
        <v>355</v>
      </c>
      <c r="C142" s="381" t="s">
        <v>356</v>
      </c>
      <c r="D142" s="100" t="s">
        <v>300</v>
      </c>
      <c r="E142" s="149">
        <f>'Земляные работы'!H15</f>
        <v>2476</v>
      </c>
      <c r="F142" s="525">
        <f t="shared" si="2"/>
        <v>1670</v>
      </c>
      <c r="G142" s="525">
        <f>'НМЦК (с разбивкой по объектам)'!K145</f>
        <v>4134195</v>
      </c>
    </row>
    <row r="143" spans="1:8" s="539" customFormat="1" ht="31.5" hidden="1" outlineLevel="3" x14ac:dyDescent="0.25">
      <c r="A143" s="363" t="s">
        <v>409</v>
      </c>
      <c r="B143" s="381" t="s">
        <v>560</v>
      </c>
      <c r="C143" s="381" t="s">
        <v>656</v>
      </c>
      <c r="D143" s="100" t="s">
        <v>300</v>
      </c>
      <c r="E143" s="149">
        <f>'Земляные работы'!H15</f>
        <v>2476</v>
      </c>
      <c r="F143" s="525">
        <f t="shared" si="2"/>
        <v>256</v>
      </c>
      <c r="G143" s="525">
        <f>'НМЦК (с разбивкой по объектам)'!K146</f>
        <v>634046</v>
      </c>
    </row>
    <row r="144" spans="1:8" s="542" customFormat="1" ht="31.5" hidden="1" outlineLevel="3" x14ac:dyDescent="0.25">
      <c r="A144" s="363" t="s">
        <v>410</v>
      </c>
      <c r="B144" s="391" t="s">
        <v>561</v>
      </c>
      <c r="C144" s="391" t="s">
        <v>562</v>
      </c>
      <c r="D144" s="161" t="s">
        <v>300</v>
      </c>
      <c r="E144" s="162">
        <f>'Земляные работы'!K15</f>
        <v>123.8</v>
      </c>
      <c r="F144" s="528">
        <f t="shared" si="2"/>
        <v>1167</v>
      </c>
      <c r="G144" s="528">
        <f>'НМЦК (с разбивкой по объектам)'!K147</f>
        <v>144484</v>
      </c>
      <c r="H144" s="542" t="s">
        <v>563</v>
      </c>
    </row>
    <row r="145" spans="1:8" s="542" customFormat="1" hidden="1" outlineLevel="3" x14ac:dyDescent="0.25">
      <c r="A145" s="363" t="s">
        <v>411</v>
      </c>
      <c r="B145" s="391" t="s">
        <v>564</v>
      </c>
      <c r="C145" s="391" t="s">
        <v>565</v>
      </c>
      <c r="D145" s="161" t="s">
        <v>300</v>
      </c>
      <c r="E145" s="162">
        <f>'Земляные работы'!L15</f>
        <v>123.8</v>
      </c>
      <c r="F145" s="528">
        <f t="shared" si="2"/>
        <v>292</v>
      </c>
      <c r="G145" s="528">
        <f>'НМЦК (с разбивкой по объектам)'!K148</f>
        <v>36210</v>
      </c>
      <c r="H145" s="542" t="s">
        <v>563</v>
      </c>
    </row>
    <row r="146" spans="1:8" s="539" customFormat="1" ht="31.5" hidden="1" outlineLevel="3" x14ac:dyDescent="0.25">
      <c r="A146" s="363" t="s">
        <v>412</v>
      </c>
      <c r="B146" s="381" t="s">
        <v>567</v>
      </c>
      <c r="C146" s="381" t="s">
        <v>750</v>
      </c>
      <c r="D146" s="100" t="s">
        <v>300</v>
      </c>
      <c r="E146" s="168">
        <f>20100.9*'Земляные работы'!M15/'Земляные работы'!$M$19</f>
        <v>2250.9</v>
      </c>
      <c r="F146" s="525">
        <f t="shared" si="2"/>
        <v>135</v>
      </c>
      <c r="G146" s="525">
        <f>'НМЦК (с разбивкой по объектам)'!K149</f>
        <v>303418</v>
      </c>
      <c r="H146" s="539" t="s">
        <v>360</v>
      </c>
    </row>
    <row r="147" spans="1:8" s="539" customFormat="1" hidden="1" outlineLevel="3" x14ac:dyDescent="0.25">
      <c r="A147" s="363" t="s">
        <v>413</v>
      </c>
      <c r="B147" s="381" t="s">
        <v>758</v>
      </c>
      <c r="C147" s="381" t="s">
        <v>582</v>
      </c>
      <c r="D147" s="100" t="s">
        <v>305</v>
      </c>
      <c r="E147" s="149">
        <v>1</v>
      </c>
      <c r="F147" s="525">
        <f t="shared" si="2"/>
        <v>2506407</v>
      </c>
      <c r="G147" s="525">
        <f>'НМЦК (с разбивкой по объектам)'!K150</f>
        <v>2506407</v>
      </c>
      <c r="H147" s="539" t="s">
        <v>759</v>
      </c>
    </row>
    <row r="148" spans="1:8" s="539" customFormat="1" outlineLevel="2" collapsed="1" x14ac:dyDescent="0.25">
      <c r="A148" s="132" t="s">
        <v>423</v>
      </c>
      <c r="B148" s="320"/>
      <c r="C148" s="320" t="s">
        <v>2384</v>
      </c>
      <c r="D148" s="134" t="s">
        <v>408</v>
      </c>
      <c r="E148" s="90">
        <v>1</v>
      </c>
      <c r="F148" s="526">
        <f t="shared" si="2"/>
        <v>9645511</v>
      </c>
      <c r="G148" s="526">
        <f>'НМЦК (с разбивкой по объектам)'!K151</f>
        <v>9645511</v>
      </c>
    </row>
    <row r="149" spans="1:8" s="539" customFormat="1" hidden="1" outlineLevel="3" x14ac:dyDescent="0.25">
      <c r="A149" s="363"/>
      <c r="B149" s="381"/>
      <c r="C149" s="390" t="s">
        <v>746</v>
      </c>
      <c r="D149" s="100"/>
      <c r="E149" s="149"/>
      <c r="F149" s="525" t="e">
        <f t="shared" si="2"/>
        <v>#DIV/0!</v>
      </c>
      <c r="G149" s="525">
        <f>'НМЦК (с разбивкой по объектам)'!K152</f>
        <v>0</v>
      </c>
    </row>
    <row r="150" spans="1:8" s="539" customFormat="1" ht="31.5" hidden="1" outlineLevel="3" x14ac:dyDescent="0.25">
      <c r="A150" s="363" t="s">
        <v>424</v>
      </c>
      <c r="B150" s="381" t="s">
        <v>355</v>
      </c>
      <c r="C150" s="381" t="s">
        <v>356</v>
      </c>
      <c r="D150" s="100" t="s">
        <v>300</v>
      </c>
      <c r="E150" s="149">
        <f>'Земляные работы'!H16</f>
        <v>3310</v>
      </c>
      <c r="F150" s="525">
        <f t="shared" si="2"/>
        <v>1670</v>
      </c>
      <c r="G150" s="525">
        <f>'НМЦК (с разбивкой по объектам)'!K153</f>
        <v>5526730</v>
      </c>
    </row>
    <row r="151" spans="1:8" s="539" customFormat="1" ht="31.5" hidden="1" outlineLevel="3" x14ac:dyDescent="0.25">
      <c r="A151" s="363" t="s">
        <v>1928</v>
      </c>
      <c r="B151" s="381" t="s">
        <v>560</v>
      </c>
      <c r="C151" s="381" t="s">
        <v>656</v>
      </c>
      <c r="D151" s="100" t="s">
        <v>300</v>
      </c>
      <c r="E151" s="149">
        <f>'Земляные работы'!H16</f>
        <v>3310</v>
      </c>
      <c r="F151" s="525">
        <f t="shared" si="2"/>
        <v>256</v>
      </c>
      <c r="G151" s="525">
        <f>'НМЦК (с разбивкой по объектам)'!K154</f>
        <v>847615</v>
      </c>
    </row>
    <row r="152" spans="1:8" s="542" customFormat="1" ht="31.5" hidden="1" outlineLevel="3" x14ac:dyDescent="0.25">
      <c r="A152" s="363" t="s">
        <v>1929</v>
      </c>
      <c r="B152" s="391" t="s">
        <v>561</v>
      </c>
      <c r="C152" s="391" t="s">
        <v>562</v>
      </c>
      <c r="D152" s="161" t="s">
        <v>300</v>
      </c>
      <c r="E152" s="162">
        <f>'Земляные работы'!K16</f>
        <v>165.5</v>
      </c>
      <c r="F152" s="528">
        <f t="shared" si="2"/>
        <v>1167</v>
      </c>
      <c r="G152" s="528">
        <f>'НМЦК (с разбивкой по объектам)'!K155</f>
        <v>193151</v>
      </c>
      <c r="H152" s="542" t="s">
        <v>563</v>
      </c>
    </row>
    <row r="153" spans="1:8" s="542" customFormat="1" hidden="1" outlineLevel="3" x14ac:dyDescent="0.25">
      <c r="A153" s="363" t="s">
        <v>1930</v>
      </c>
      <c r="B153" s="391" t="s">
        <v>564</v>
      </c>
      <c r="C153" s="391" t="s">
        <v>565</v>
      </c>
      <c r="D153" s="161" t="s">
        <v>300</v>
      </c>
      <c r="E153" s="162">
        <f>'Земляные работы'!L16</f>
        <v>165.5</v>
      </c>
      <c r="F153" s="528">
        <f t="shared" si="2"/>
        <v>292</v>
      </c>
      <c r="G153" s="528">
        <f>'НМЦК (с разбивкой по объектам)'!K156</f>
        <v>48406</v>
      </c>
      <c r="H153" s="542" t="s">
        <v>563</v>
      </c>
    </row>
    <row r="154" spans="1:8" s="539" customFormat="1" ht="31.5" hidden="1" outlineLevel="3" x14ac:dyDescent="0.25">
      <c r="A154" s="363" t="s">
        <v>1931</v>
      </c>
      <c r="B154" s="381" t="s">
        <v>567</v>
      </c>
      <c r="C154" s="381" t="s">
        <v>750</v>
      </c>
      <c r="D154" s="100" t="s">
        <v>300</v>
      </c>
      <c r="E154" s="168">
        <f>20100.9*'Земляные работы'!M16/'Земляные работы'!$M$19</f>
        <v>3027.7</v>
      </c>
      <c r="F154" s="525">
        <f t="shared" si="2"/>
        <v>135</v>
      </c>
      <c r="G154" s="525">
        <f>'НМЦК (с разбивкой по объектам)'!K157</f>
        <v>408129</v>
      </c>
      <c r="H154" s="539" t="s">
        <v>360</v>
      </c>
    </row>
    <row r="155" spans="1:8" s="539" customFormat="1" hidden="1" outlineLevel="3" x14ac:dyDescent="0.25">
      <c r="A155" s="363" t="s">
        <v>1932</v>
      </c>
      <c r="B155" s="381" t="s">
        <v>760</v>
      </c>
      <c r="C155" s="381" t="s">
        <v>583</v>
      </c>
      <c r="D155" s="100" t="s">
        <v>305</v>
      </c>
      <c r="E155" s="149">
        <v>1</v>
      </c>
      <c r="F155" s="525">
        <f t="shared" si="2"/>
        <v>2621480</v>
      </c>
      <c r="G155" s="525">
        <f>'НМЦК (с разбивкой по объектам)'!K158</f>
        <v>2621480</v>
      </c>
      <c r="H155" s="539" t="s">
        <v>761</v>
      </c>
    </row>
    <row r="156" spans="1:8" s="539" customFormat="1" outlineLevel="2" collapsed="1" x14ac:dyDescent="0.25">
      <c r="A156" s="132" t="s">
        <v>425</v>
      </c>
      <c r="B156" s="320"/>
      <c r="C156" s="320" t="s">
        <v>2385</v>
      </c>
      <c r="D156" s="134" t="s">
        <v>408</v>
      </c>
      <c r="E156" s="90">
        <v>1</v>
      </c>
      <c r="F156" s="526">
        <f t="shared" si="2"/>
        <v>7109674</v>
      </c>
      <c r="G156" s="526">
        <f>'НМЦК (с разбивкой по объектам)'!K159</f>
        <v>7109674</v>
      </c>
    </row>
    <row r="157" spans="1:8" s="539" customFormat="1" hidden="1" outlineLevel="3" x14ac:dyDescent="0.25">
      <c r="A157" s="363"/>
      <c r="B157" s="381"/>
      <c r="C157" s="390" t="s">
        <v>747</v>
      </c>
      <c r="D157" s="100"/>
      <c r="E157" s="149"/>
      <c r="F157" s="525" t="e">
        <f t="shared" si="2"/>
        <v>#DIV/0!</v>
      </c>
      <c r="G157" s="525">
        <f>'НМЦК (с разбивкой по объектам)'!K160</f>
        <v>0</v>
      </c>
    </row>
    <row r="158" spans="1:8" s="539" customFormat="1" ht="31.5" hidden="1" outlineLevel="3" x14ac:dyDescent="0.25">
      <c r="A158" s="363" t="s">
        <v>426</v>
      </c>
      <c r="B158" s="381" t="s">
        <v>355</v>
      </c>
      <c r="C158" s="381" t="s">
        <v>356</v>
      </c>
      <c r="D158" s="100" t="s">
        <v>300</v>
      </c>
      <c r="E158" s="149">
        <f>'Земляные работы'!H17</f>
        <v>2315</v>
      </c>
      <c r="F158" s="525">
        <f t="shared" si="2"/>
        <v>1670</v>
      </c>
      <c r="G158" s="525">
        <f>'НМЦК (с разбивкой по объектам)'!K161</f>
        <v>3865372</v>
      </c>
    </row>
    <row r="159" spans="1:8" s="539" customFormat="1" ht="31.5" hidden="1" outlineLevel="3" x14ac:dyDescent="0.25">
      <c r="A159" s="363" t="s">
        <v>428</v>
      </c>
      <c r="B159" s="381" t="s">
        <v>560</v>
      </c>
      <c r="C159" s="381" t="s">
        <v>656</v>
      </c>
      <c r="D159" s="100" t="s">
        <v>300</v>
      </c>
      <c r="E159" s="149">
        <f>'Земляные работы'!H17</f>
        <v>2315</v>
      </c>
      <c r="F159" s="525">
        <f t="shared" si="2"/>
        <v>256</v>
      </c>
      <c r="G159" s="525">
        <f>'НМЦК (с разбивкой по объектам)'!K162</f>
        <v>592819</v>
      </c>
    </row>
    <row r="160" spans="1:8" s="542" customFormat="1" ht="31.5" hidden="1" outlineLevel="3" x14ac:dyDescent="0.25">
      <c r="A160" s="363" t="s">
        <v>430</v>
      </c>
      <c r="B160" s="391" t="s">
        <v>561</v>
      </c>
      <c r="C160" s="391" t="s">
        <v>562</v>
      </c>
      <c r="D160" s="161" t="s">
        <v>300</v>
      </c>
      <c r="E160" s="162">
        <f>'Земляные работы'!K17</f>
        <v>115.8</v>
      </c>
      <c r="F160" s="528">
        <f t="shared" si="2"/>
        <v>1167</v>
      </c>
      <c r="G160" s="528">
        <f>'НМЦК (с разбивкой по объектам)'!K163</f>
        <v>135148</v>
      </c>
      <c r="H160" s="542" t="s">
        <v>563</v>
      </c>
    </row>
    <row r="161" spans="1:10" s="542" customFormat="1" hidden="1" outlineLevel="3" x14ac:dyDescent="0.25">
      <c r="A161" s="363" t="s">
        <v>431</v>
      </c>
      <c r="B161" s="391" t="s">
        <v>564</v>
      </c>
      <c r="C161" s="391" t="s">
        <v>565</v>
      </c>
      <c r="D161" s="161" t="s">
        <v>300</v>
      </c>
      <c r="E161" s="162">
        <f>'Земляные работы'!L17</f>
        <v>115.8</v>
      </c>
      <c r="F161" s="528">
        <f t="shared" si="2"/>
        <v>292</v>
      </c>
      <c r="G161" s="528">
        <f>'НМЦК (с разбивкой по объектам)'!K164</f>
        <v>33869</v>
      </c>
      <c r="H161" s="542" t="s">
        <v>563</v>
      </c>
    </row>
    <row r="162" spans="1:10" s="539" customFormat="1" ht="31.5" hidden="1" outlineLevel="3" x14ac:dyDescent="0.25">
      <c r="A162" s="363" t="s">
        <v>432</v>
      </c>
      <c r="B162" s="381" t="s">
        <v>567</v>
      </c>
      <c r="C162" s="381" t="s">
        <v>750</v>
      </c>
      <c r="D162" s="100" t="s">
        <v>300</v>
      </c>
      <c r="E162" s="168">
        <f>20100.9*'Земляные работы'!M17/'Земляные работы'!$M$19</f>
        <v>2087</v>
      </c>
      <c r="F162" s="525">
        <f t="shared" si="2"/>
        <v>135</v>
      </c>
      <c r="G162" s="525">
        <f>'НМЦК (с разбивкой по объектам)'!K165</f>
        <v>281325</v>
      </c>
      <c r="H162" s="539" t="s">
        <v>360</v>
      </c>
    </row>
    <row r="163" spans="1:10" s="539" customFormat="1" hidden="1" outlineLevel="3" x14ac:dyDescent="0.25">
      <c r="A163" s="363" t="s">
        <v>2506</v>
      </c>
      <c r="B163" s="381" t="s">
        <v>762</v>
      </c>
      <c r="C163" s="381" t="s">
        <v>745</v>
      </c>
      <c r="D163" s="100" t="s">
        <v>305</v>
      </c>
      <c r="E163" s="149">
        <v>1</v>
      </c>
      <c r="F163" s="525">
        <f t="shared" si="2"/>
        <v>2201141</v>
      </c>
      <c r="G163" s="525">
        <f>'НМЦК (с разбивкой по объектам)'!K166</f>
        <v>2201141</v>
      </c>
      <c r="H163" s="539" t="s">
        <v>763</v>
      </c>
    </row>
    <row r="164" spans="1:10" s="539" customFormat="1" outlineLevel="2" collapsed="1" x14ac:dyDescent="0.25">
      <c r="A164" s="132" t="s">
        <v>433</v>
      </c>
      <c r="B164" s="320"/>
      <c r="C164" s="320" t="s">
        <v>2395</v>
      </c>
      <c r="D164" s="134" t="s">
        <v>408</v>
      </c>
      <c r="E164" s="90">
        <v>1</v>
      </c>
      <c r="F164" s="526">
        <f t="shared" si="2"/>
        <v>3030503</v>
      </c>
      <c r="G164" s="526">
        <f>'НМЦК (с разбивкой по объектам)'!K167</f>
        <v>3030503</v>
      </c>
    </row>
    <row r="165" spans="1:10" s="539" customFormat="1" hidden="1" outlineLevel="3" x14ac:dyDescent="0.25">
      <c r="A165" s="363"/>
      <c r="B165" s="381"/>
      <c r="C165" s="390" t="s">
        <v>2399</v>
      </c>
      <c r="D165" s="100"/>
      <c r="E165" s="149"/>
      <c r="F165" s="525" t="e">
        <f t="shared" si="2"/>
        <v>#DIV/0!</v>
      </c>
      <c r="G165" s="525">
        <f>'НМЦК (с разбивкой по объектам)'!K168</f>
        <v>0</v>
      </c>
    </row>
    <row r="166" spans="1:10" s="539" customFormat="1" ht="31.5" hidden="1" outlineLevel="3" x14ac:dyDescent="0.25">
      <c r="A166" s="363" t="s">
        <v>434</v>
      </c>
      <c r="B166" s="381" t="s">
        <v>355</v>
      </c>
      <c r="C166" s="381" t="s">
        <v>356</v>
      </c>
      <c r="D166" s="100" t="s">
        <v>300</v>
      </c>
      <c r="E166" s="149">
        <f>'Земляные работы'!$H$18*54/500</f>
        <v>875</v>
      </c>
      <c r="F166" s="525">
        <f t="shared" si="2"/>
        <v>1669</v>
      </c>
      <c r="G166" s="525">
        <f>'НМЦК (с разбивкой по объектам)'!K169</f>
        <v>1460660</v>
      </c>
    </row>
    <row r="167" spans="1:10" s="539" customFormat="1" ht="31.5" hidden="1" outlineLevel="3" x14ac:dyDescent="0.25">
      <c r="A167" s="363" t="s">
        <v>436</v>
      </c>
      <c r="B167" s="381" t="s">
        <v>560</v>
      </c>
      <c r="C167" s="381" t="s">
        <v>656</v>
      </c>
      <c r="D167" s="100" t="s">
        <v>300</v>
      </c>
      <c r="E167" s="149">
        <f>'Земляные работы'!$H$18*54/500</f>
        <v>875</v>
      </c>
      <c r="F167" s="525">
        <f t="shared" si="2"/>
        <v>256</v>
      </c>
      <c r="G167" s="525">
        <f>'НМЦК (с разбивкой по объектам)'!K170</f>
        <v>224016</v>
      </c>
    </row>
    <row r="168" spans="1:10" s="542" customFormat="1" ht="31.5" hidden="1" outlineLevel="3" x14ac:dyDescent="0.25">
      <c r="A168" s="363" t="s">
        <v>438</v>
      </c>
      <c r="B168" s="391" t="s">
        <v>561</v>
      </c>
      <c r="C168" s="391" t="s">
        <v>562</v>
      </c>
      <c r="D168" s="161" t="s">
        <v>300</v>
      </c>
      <c r="E168" s="162">
        <f>'Земляные работы'!$K$18*54/500</f>
        <v>43.7</v>
      </c>
      <c r="F168" s="528">
        <f t="shared" si="2"/>
        <v>1168</v>
      </c>
      <c r="G168" s="528">
        <f>'НМЦК (с разбивкой по объектам)'!K171</f>
        <v>51048</v>
      </c>
      <c r="H168" s="542" t="s">
        <v>563</v>
      </c>
    </row>
    <row r="169" spans="1:10" s="542" customFormat="1" hidden="1" outlineLevel="3" x14ac:dyDescent="0.25">
      <c r="A169" s="363" t="s">
        <v>1946</v>
      </c>
      <c r="B169" s="391" t="s">
        <v>564</v>
      </c>
      <c r="C169" s="391" t="s">
        <v>565</v>
      </c>
      <c r="D169" s="161" t="s">
        <v>300</v>
      </c>
      <c r="E169" s="162">
        <f>'Земляные работы'!$L$18*54/500</f>
        <v>43.7</v>
      </c>
      <c r="F169" s="528">
        <f t="shared" si="2"/>
        <v>293</v>
      </c>
      <c r="G169" s="528">
        <f>'НМЦК (с разбивкой по объектам)'!K172</f>
        <v>12793</v>
      </c>
      <c r="H169" s="542" t="s">
        <v>563</v>
      </c>
    </row>
    <row r="170" spans="1:10" s="539" customFormat="1" ht="31.5" hidden="1" outlineLevel="3" x14ac:dyDescent="0.25">
      <c r="A170" s="363" t="s">
        <v>1947</v>
      </c>
      <c r="B170" s="381" t="s">
        <v>567</v>
      </c>
      <c r="C170" s="381" t="s">
        <v>750</v>
      </c>
      <c r="D170" s="100" t="s">
        <v>300</v>
      </c>
      <c r="E170" s="168">
        <f>(20100.9*'Земляные работы'!$M$18/'Земляные работы'!$M$19+0.1)*54/500</f>
        <v>777.6</v>
      </c>
      <c r="F170" s="525">
        <f t="shared" si="2"/>
        <v>120</v>
      </c>
      <c r="G170" s="525">
        <f>'НМЦК (с разбивкой по объектам)'!K173</f>
        <v>93499</v>
      </c>
      <c r="H170" s="539" t="s">
        <v>360</v>
      </c>
    </row>
    <row r="171" spans="1:10" s="539" customFormat="1" hidden="1" outlineLevel="3" x14ac:dyDescent="0.25">
      <c r="A171" s="363" t="s">
        <v>2507</v>
      </c>
      <c r="B171" s="381" t="s">
        <v>764</v>
      </c>
      <c r="C171" s="381" t="s">
        <v>748</v>
      </c>
      <c r="D171" s="100" t="s">
        <v>305</v>
      </c>
      <c r="E171" s="149">
        <v>1</v>
      </c>
      <c r="F171" s="525">
        <f t="shared" si="2"/>
        <v>1188487</v>
      </c>
      <c r="G171" s="525">
        <f>'НМЦК (с разбивкой по объектам)'!K174</f>
        <v>1188487</v>
      </c>
      <c r="H171" s="539" t="s">
        <v>765</v>
      </c>
    </row>
    <row r="172" spans="1:10" s="539" customFormat="1" outlineLevel="2" collapsed="1" x14ac:dyDescent="0.25">
      <c r="A172" s="132" t="s">
        <v>440</v>
      </c>
      <c r="B172" s="320"/>
      <c r="C172" s="320" t="s">
        <v>2386</v>
      </c>
      <c r="D172" s="134" t="s">
        <v>408</v>
      </c>
      <c r="E172" s="90">
        <v>1</v>
      </c>
      <c r="F172" s="526">
        <f t="shared" si="2"/>
        <v>576876</v>
      </c>
      <c r="G172" s="526">
        <f>'НМЦК (с разбивкой по объектам)'!K175</f>
        <v>576876</v>
      </c>
    </row>
    <row r="173" spans="1:10" s="539" customFormat="1" hidden="1" outlineLevel="3" x14ac:dyDescent="0.25">
      <c r="A173" s="363" t="s">
        <v>441</v>
      </c>
      <c r="B173" s="381" t="s">
        <v>688</v>
      </c>
      <c r="C173" s="381" t="s">
        <v>720</v>
      </c>
      <c r="D173" s="100" t="s">
        <v>305</v>
      </c>
      <c r="E173" s="149">
        <v>1</v>
      </c>
      <c r="F173" s="525">
        <f t="shared" si="2"/>
        <v>156618</v>
      </c>
      <c r="G173" s="525">
        <f>'НМЦК (с разбивкой по объектам)'!K176</f>
        <v>156618</v>
      </c>
      <c r="I173" s="539">
        <v>4590</v>
      </c>
      <c r="J173" s="539">
        <f>E173*I173</f>
        <v>4590</v>
      </c>
    </row>
    <row r="174" spans="1:10" s="539" customFormat="1" hidden="1" outlineLevel="3" x14ac:dyDescent="0.25">
      <c r="A174" s="363" t="s">
        <v>442</v>
      </c>
      <c r="B174" s="381" t="s">
        <v>341</v>
      </c>
      <c r="C174" s="381" t="s">
        <v>726</v>
      </c>
      <c r="D174" s="100" t="s">
        <v>305</v>
      </c>
      <c r="E174" s="149">
        <v>1</v>
      </c>
      <c r="F174" s="525">
        <f t="shared" si="2"/>
        <v>116533</v>
      </c>
      <c r="G174" s="525">
        <f>'НМЦК (с разбивкой по объектам)'!K177</f>
        <v>116533</v>
      </c>
      <c r="I174" s="539">
        <v>3000</v>
      </c>
      <c r="J174" s="539">
        <v>18000</v>
      </c>
    </row>
    <row r="175" spans="1:10" s="539" customFormat="1" hidden="1" outlineLevel="3" x14ac:dyDescent="0.25">
      <c r="A175" s="363" t="s">
        <v>443</v>
      </c>
      <c r="B175" s="381" t="s">
        <v>341</v>
      </c>
      <c r="C175" s="381" t="s">
        <v>350</v>
      </c>
      <c r="D175" s="100" t="s">
        <v>305</v>
      </c>
      <c r="E175" s="149">
        <v>1</v>
      </c>
      <c r="F175" s="525">
        <f t="shared" si="2"/>
        <v>68250</v>
      </c>
      <c r="G175" s="525">
        <f>'НМЦК (с разбивкой по объектам)'!K178</f>
        <v>68250</v>
      </c>
      <c r="I175" s="539">
        <v>1757</v>
      </c>
      <c r="J175" s="539">
        <v>10542</v>
      </c>
    </row>
    <row r="176" spans="1:10" s="539" customFormat="1" hidden="1" outlineLevel="3" x14ac:dyDescent="0.25">
      <c r="A176" s="363" t="s">
        <v>1948</v>
      </c>
      <c r="B176" s="381" t="s">
        <v>341</v>
      </c>
      <c r="C176" s="381" t="s">
        <v>352</v>
      </c>
      <c r="D176" s="100" t="s">
        <v>305</v>
      </c>
      <c r="E176" s="149">
        <v>1</v>
      </c>
      <c r="F176" s="525">
        <f t="shared" si="2"/>
        <v>49877</v>
      </c>
      <c r="G176" s="525">
        <f>'НМЦК (с разбивкой по объектам)'!K179</f>
        <v>49877</v>
      </c>
      <c r="I176" s="539">
        <v>1284</v>
      </c>
      <c r="J176" s="539">
        <v>7704</v>
      </c>
    </row>
    <row r="177" spans="1:10" s="539" customFormat="1" ht="126" hidden="1" outlineLevel="3" x14ac:dyDescent="0.25">
      <c r="A177" s="363" t="s">
        <v>1949</v>
      </c>
      <c r="B177" s="381" t="s">
        <v>341</v>
      </c>
      <c r="C177" s="381" t="s">
        <v>347</v>
      </c>
      <c r="D177" s="100" t="s">
        <v>305</v>
      </c>
      <c r="E177" s="149">
        <v>2</v>
      </c>
      <c r="F177" s="525">
        <f t="shared" si="2"/>
        <v>92799</v>
      </c>
      <c r="G177" s="525">
        <f>'НМЦК (с разбивкой по объектам)'!K180</f>
        <v>185598</v>
      </c>
      <c r="H177" s="552" t="s">
        <v>727</v>
      </c>
      <c r="I177" s="539">
        <v>2389</v>
      </c>
      <c r="J177" s="539">
        <v>28668</v>
      </c>
    </row>
    <row r="178" spans="1:10" s="539" customFormat="1" outlineLevel="2" collapsed="1" x14ac:dyDescent="0.25">
      <c r="A178" s="132" t="s">
        <v>445</v>
      </c>
      <c r="B178" s="320"/>
      <c r="C178" s="320" t="s">
        <v>2387</v>
      </c>
      <c r="D178" s="134" t="s">
        <v>408</v>
      </c>
      <c r="E178" s="90">
        <v>1</v>
      </c>
      <c r="F178" s="526">
        <f t="shared" si="2"/>
        <v>706060</v>
      </c>
      <c r="G178" s="526">
        <f>'НМЦК (с разбивкой по объектам)'!K181</f>
        <v>706060</v>
      </c>
    </row>
    <row r="179" spans="1:10" s="539" customFormat="1" hidden="1" outlineLevel="3" x14ac:dyDescent="0.25">
      <c r="A179" s="363" t="s">
        <v>446</v>
      </c>
      <c r="B179" s="381" t="s">
        <v>688</v>
      </c>
      <c r="C179" s="381" t="s">
        <v>721</v>
      </c>
      <c r="D179" s="100" t="s">
        <v>305</v>
      </c>
      <c r="E179" s="149">
        <v>1</v>
      </c>
      <c r="F179" s="525">
        <f t="shared" si="2"/>
        <v>285802</v>
      </c>
      <c r="G179" s="525">
        <f>'НМЦК (с разбивкой по объектам)'!K182</f>
        <v>285802</v>
      </c>
      <c r="I179" s="539">
        <v>8376</v>
      </c>
      <c r="J179" s="539">
        <f>E179*I179</f>
        <v>8376</v>
      </c>
    </row>
    <row r="180" spans="1:10" s="539" customFormat="1" hidden="1" outlineLevel="3" x14ac:dyDescent="0.25">
      <c r="A180" s="363" t="s">
        <v>447</v>
      </c>
      <c r="B180" s="381" t="s">
        <v>341</v>
      </c>
      <c r="C180" s="381" t="s">
        <v>726</v>
      </c>
      <c r="D180" s="100" t="s">
        <v>305</v>
      </c>
      <c r="E180" s="149">
        <v>1</v>
      </c>
      <c r="F180" s="525">
        <f t="shared" si="2"/>
        <v>116533</v>
      </c>
      <c r="G180" s="525">
        <f>'НМЦК (с разбивкой по объектам)'!K183</f>
        <v>116533</v>
      </c>
      <c r="I180" s="539">
        <v>3000</v>
      </c>
      <c r="J180" s="539">
        <v>18000</v>
      </c>
    </row>
    <row r="181" spans="1:10" s="539" customFormat="1" hidden="1" outlineLevel="3" x14ac:dyDescent="0.25">
      <c r="A181" s="363" t="s">
        <v>448</v>
      </c>
      <c r="B181" s="381" t="s">
        <v>341</v>
      </c>
      <c r="C181" s="381" t="s">
        <v>350</v>
      </c>
      <c r="D181" s="100" t="s">
        <v>305</v>
      </c>
      <c r="E181" s="149">
        <v>1</v>
      </c>
      <c r="F181" s="525">
        <f t="shared" si="2"/>
        <v>68250</v>
      </c>
      <c r="G181" s="525">
        <f>'НМЦК (с разбивкой по объектам)'!K184</f>
        <v>68250</v>
      </c>
      <c r="I181" s="539">
        <v>1757</v>
      </c>
      <c r="J181" s="539">
        <v>10542</v>
      </c>
    </row>
    <row r="182" spans="1:10" s="539" customFormat="1" hidden="1" outlineLevel="3" x14ac:dyDescent="0.25">
      <c r="A182" s="363" t="s">
        <v>1988</v>
      </c>
      <c r="B182" s="381" t="s">
        <v>341</v>
      </c>
      <c r="C182" s="381" t="s">
        <v>352</v>
      </c>
      <c r="D182" s="100" t="s">
        <v>305</v>
      </c>
      <c r="E182" s="149">
        <v>1</v>
      </c>
      <c r="F182" s="525">
        <f t="shared" si="2"/>
        <v>49877</v>
      </c>
      <c r="G182" s="525">
        <f>'НМЦК (с разбивкой по объектам)'!K185</f>
        <v>49877</v>
      </c>
      <c r="I182" s="539">
        <v>1284</v>
      </c>
      <c r="J182" s="539">
        <v>7704</v>
      </c>
    </row>
    <row r="183" spans="1:10" s="539" customFormat="1" ht="126" hidden="1" outlineLevel="3" x14ac:dyDescent="0.25">
      <c r="A183" s="363" t="s">
        <v>2508</v>
      </c>
      <c r="B183" s="381" t="s">
        <v>341</v>
      </c>
      <c r="C183" s="381" t="s">
        <v>347</v>
      </c>
      <c r="D183" s="100" t="s">
        <v>305</v>
      </c>
      <c r="E183" s="149">
        <v>2</v>
      </c>
      <c r="F183" s="525">
        <f t="shared" si="2"/>
        <v>92799</v>
      </c>
      <c r="G183" s="525">
        <f>'НМЦК (с разбивкой по объектам)'!K186</f>
        <v>185598</v>
      </c>
      <c r="H183" s="552" t="s">
        <v>727</v>
      </c>
      <c r="I183" s="539">
        <v>2389</v>
      </c>
      <c r="J183" s="539">
        <v>28668</v>
      </c>
    </row>
    <row r="184" spans="1:10" s="539" customFormat="1" outlineLevel="2" collapsed="1" x14ac:dyDescent="0.25">
      <c r="A184" s="132" t="s">
        <v>449</v>
      </c>
      <c r="B184" s="320"/>
      <c r="C184" s="320" t="s">
        <v>2388</v>
      </c>
      <c r="D184" s="134" t="s">
        <v>408</v>
      </c>
      <c r="E184" s="90">
        <v>1</v>
      </c>
      <c r="F184" s="526">
        <f t="shared" si="2"/>
        <v>691115</v>
      </c>
      <c r="G184" s="526">
        <f>'НМЦК (с разбивкой по объектам)'!K187</f>
        <v>691115</v>
      </c>
    </row>
    <row r="185" spans="1:10" s="539" customFormat="1" hidden="1" outlineLevel="3" x14ac:dyDescent="0.25">
      <c r="A185" s="363" t="s">
        <v>450</v>
      </c>
      <c r="B185" s="381" t="s">
        <v>688</v>
      </c>
      <c r="C185" s="381" t="s">
        <v>722</v>
      </c>
      <c r="D185" s="100" t="s">
        <v>305</v>
      </c>
      <c r="E185" s="149">
        <v>1</v>
      </c>
      <c r="F185" s="525">
        <f t="shared" si="2"/>
        <v>270857</v>
      </c>
      <c r="G185" s="525">
        <f>'НМЦК (с разбивкой по объектам)'!K188</f>
        <v>270857</v>
      </c>
      <c r="I185" s="539">
        <v>7938</v>
      </c>
      <c r="J185" s="539">
        <f>E185*I185</f>
        <v>7938</v>
      </c>
    </row>
    <row r="186" spans="1:10" s="539" customFormat="1" hidden="1" outlineLevel="3" x14ac:dyDescent="0.25">
      <c r="A186" s="363" t="s">
        <v>451</v>
      </c>
      <c r="B186" s="381" t="s">
        <v>341</v>
      </c>
      <c r="C186" s="381" t="s">
        <v>726</v>
      </c>
      <c r="D186" s="100" t="s">
        <v>305</v>
      </c>
      <c r="E186" s="149">
        <v>1</v>
      </c>
      <c r="F186" s="525">
        <f t="shared" si="2"/>
        <v>116533</v>
      </c>
      <c r="G186" s="525">
        <f>'НМЦК (с разбивкой по объектам)'!K189</f>
        <v>116533</v>
      </c>
      <c r="I186" s="539">
        <v>3000</v>
      </c>
      <c r="J186" s="539">
        <v>18000</v>
      </c>
    </row>
    <row r="187" spans="1:10" s="539" customFormat="1" hidden="1" outlineLevel="3" x14ac:dyDescent="0.25">
      <c r="A187" s="363" t="s">
        <v>1989</v>
      </c>
      <c r="B187" s="381" t="s">
        <v>341</v>
      </c>
      <c r="C187" s="381" t="s">
        <v>350</v>
      </c>
      <c r="D187" s="100" t="s">
        <v>305</v>
      </c>
      <c r="E187" s="149">
        <v>1</v>
      </c>
      <c r="F187" s="525">
        <f t="shared" si="2"/>
        <v>68250</v>
      </c>
      <c r="G187" s="525">
        <f>'НМЦК (с разбивкой по объектам)'!K190</f>
        <v>68250</v>
      </c>
      <c r="I187" s="539">
        <v>1757</v>
      </c>
      <c r="J187" s="539">
        <v>10542</v>
      </c>
    </row>
    <row r="188" spans="1:10" s="539" customFormat="1" hidden="1" outlineLevel="3" x14ac:dyDescent="0.25">
      <c r="A188" s="363" t="s">
        <v>1990</v>
      </c>
      <c r="B188" s="381" t="s">
        <v>341</v>
      </c>
      <c r="C188" s="381" t="s">
        <v>352</v>
      </c>
      <c r="D188" s="100" t="s">
        <v>305</v>
      </c>
      <c r="E188" s="149">
        <v>1</v>
      </c>
      <c r="F188" s="525">
        <f t="shared" si="2"/>
        <v>49877</v>
      </c>
      <c r="G188" s="525">
        <f>'НМЦК (с разбивкой по объектам)'!K191</f>
        <v>49877</v>
      </c>
      <c r="I188" s="539">
        <v>1284</v>
      </c>
      <c r="J188" s="539">
        <v>7704</v>
      </c>
    </row>
    <row r="189" spans="1:10" s="539" customFormat="1" ht="126" hidden="1" outlineLevel="3" x14ac:dyDescent="0.25">
      <c r="A189" s="363" t="s">
        <v>1991</v>
      </c>
      <c r="B189" s="381" t="s">
        <v>341</v>
      </c>
      <c r="C189" s="381" t="s">
        <v>347</v>
      </c>
      <c r="D189" s="100" t="s">
        <v>305</v>
      </c>
      <c r="E189" s="149">
        <v>2</v>
      </c>
      <c r="F189" s="525">
        <f t="shared" si="2"/>
        <v>92799</v>
      </c>
      <c r="G189" s="525">
        <f>'НМЦК (с разбивкой по объектам)'!K192</f>
        <v>185598</v>
      </c>
      <c r="H189" s="552" t="s">
        <v>727</v>
      </c>
      <c r="I189" s="539">
        <v>2389</v>
      </c>
      <c r="J189" s="539">
        <v>28668</v>
      </c>
    </row>
    <row r="190" spans="1:10" s="539" customFormat="1" outlineLevel="2" collapsed="1" x14ac:dyDescent="0.25">
      <c r="A190" s="132" t="s">
        <v>578</v>
      </c>
      <c r="B190" s="320"/>
      <c r="C190" s="320" t="s">
        <v>2389</v>
      </c>
      <c r="D190" s="134" t="s">
        <v>408</v>
      </c>
      <c r="E190" s="90">
        <v>1</v>
      </c>
      <c r="F190" s="526">
        <f t="shared" si="2"/>
        <v>826379</v>
      </c>
      <c r="G190" s="526">
        <f>'НМЦК (с разбивкой по объектам)'!K193</f>
        <v>826379</v>
      </c>
    </row>
    <row r="191" spans="1:10" s="539" customFormat="1" hidden="1" outlineLevel="3" x14ac:dyDescent="0.25">
      <c r="A191" s="363" t="s">
        <v>1992</v>
      </c>
      <c r="B191" s="381" t="s">
        <v>719</v>
      </c>
      <c r="C191" s="381" t="s">
        <v>723</v>
      </c>
      <c r="D191" s="100" t="s">
        <v>305</v>
      </c>
      <c r="E191" s="149">
        <v>1</v>
      </c>
      <c r="F191" s="525">
        <f t="shared" si="2"/>
        <v>406121</v>
      </c>
      <c r="G191" s="525">
        <f>'НМЦК (с разбивкой по объектам)'!K194</f>
        <v>406121</v>
      </c>
      <c r="I191" s="539">
        <v>12088</v>
      </c>
      <c r="J191" s="539">
        <f>E191*I191</f>
        <v>12088</v>
      </c>
    </row>
    <row r="192" spans="1:10" s="539" customFormat="1" hidden="1" outlineLevel="3" x14ac:dyDescent="0.25">
      <c r="A192" s="363" t="s">
        <v>2509</v>
      </c>
      <c r="B192" s="381" t="s">
        <v>341</v>
      </c>
      <c r="C192" s="381" t="s">
        <v>726</v>
      </c>
      <c r="D192" s="100" t="s">
        <v>305</v>
      </c>
      <c r="E192" s="149">
        <v>1</v>
      </c>
      <c r="F192" s="525">
        <f t="shared" si="2"/>
        <v>116533</v>
      </c>
      <c r="G192" s="525">
        <f>'НМЦК (с разбивкой по объектам)'!K195</f>
        <v>116533</v>
      </c>
      <c r="I192" s="539">
        <v>3000</v>
      </c>
      <c r="J192" s="539">
        <v>18000</v>
      </c>
    </row>
    <row r="193" spans="1:10" s="539" customFormat="1" hidden="1" outlineLevel="3" x14ac:dyDescent="0.25">
      <c r="A193" s="363" t="s">
        <v>2510</v>
      </c>
      <c r="B193" s="381" t="s">
        <v>341</v>
      </c>
      <c r="C193" s="381" t="s">
        <v>350</v>
      </c>
      <c r="D193" s="100" t="s">
        <v>305</v>
      </c>
      <c r="E193" s="149">
        <v>1</v>
      </c>
      <c r="F193" s="525">
        <f t="shared" si="2"/>
        <v>68250</v>
      </c>
      <c r="G193" s="525">
        <f>'НМЦК (с разбивкой по объектам)'!K196</f>
        <v>68250</v>
      </c>
      <c r="I193" s="539">
        <v>1757</v>
      </c>
      <c r="J193" s="539">
        <v>10542</v>
      </c>
    </row>
    <row r="194" spans="1:10" s="539" customFormat="1" hidden="1" outlineLevel="3" x14ac:dyDescent="0.25">
      <c r="A194" s="363" t="s">
        <v>2511</v>
      </c>
      <c r="B194" s="381" t="s">
        <v>341</v>
      </c>
      <c r="C194" s="381" t="s">
        <v>352</v>
      </c>
      <c r="D194" s="100" t="s">
        <v>305</v>
      </c>
      <c r="E194" s="149">
        <v>1</v>
      </c>
      <c r="F194" s="525">
        <f t="shared" si="2"/>
        <v>49877</v>
      </c>
      <c r="G194" s="525">
        <f>'НМЦК (с разбивкой по объектам)'!K197</f>
        <v>49877</v>
      </c>
      <c r="I194" s="539">
        <v>1284</v>
      </c>
      <c r="J194" s="539">
        <v>7704</v>
      </c>
    </row>
    <row r="195" spans="1:10" s="539" customFormat="1" ht="126" hidden="1" outlineLevel="3" x14ac:dyDescent="0.25">
      <c r="A195" s="363" t="s">
        <v>2512</v>
      </c>
      <c r="B195" s="381" t="s">
        <v>341</v>
      </c>
      <c r="C195" s="381" t="s">
        <v>347</v>
      </c>
      <c r="D195" s="100" t="s">
        <v>305</v>
      </c>
      <c r="E195" s="149">
        <v>2</v>
      </c>
      <c r="F195" s="525">
        <f t="shared" si="2"/>
        <v>92799</v>
      </c>
      <c r="G195" s="525">
        <f>'НМЦК (с разбивкой по объектам)'!K198</f>
        <v>185598</v>
      </c>
      <c r="H195" s="552" t="s">
        <v>727</v>
      </c>
      <c r="I195" s="539">
        <v>2389</v>
      </c>
      <c r="J195" s="539">
        <v>28668</v>
      </c>
    </row>
    <row r="196" spans="1:10" s="539" customFormat="1" outlineLevel="2" collapsed="1" x14ac:dyDescent="0.25">
      <c r="A196" s="132" t="s">
        <v>579</v>
      </c>
      <c r="B196" s="320"/>
      <c r="C196" s="320" t="s">
        <v>2390</v>
      </c>
      <c r="D196" s="134" t="s">
        <v>408</v>
      </c>
      <c r="E196" s="90">
        <v>1</v>
      </c>
      <c r="F196" s="526">
        <f t="shared" si="2"/>
        <v>753217</v>
      </c>
      <c r="G196" s="526">
        <f>'НМЦК (с разбивкой по объектам)'!K199</f>
        <v>753217</v>
      </c>
    </row>
    <row r="197" spans="1:10" s="539" customFormat="1" hidden="1" outlineLevel="3" x14ac:dyDescent="0.25">
      <c r="A197" s="363" t="s">
        <v>1993</v>
      </c>
      <c r="B197" s="381" t="s">
        <v>688</v>
      </c>
      <c r="C197" s="381" t="s">
        <v>724</v>
      </c>
      <c r="D197" s="100" t="s">
        <v>305</v>
      </c>
      <c r="E197" s="149">
        <v>1</v>
      </c>
      <c r="F197" s="525">
        <f t="shared" si="2"/>
        <v>332959</v>
      </c>
      <c r="G197" s="525">
        <f>'НМЦК (с разбивкой по объектам)'!K200</f>
        <v>332959</v>
      </c>
      <c r="I197" s="539">
        <v>9758</v>
      </c>
      <c r="J197" s="539">
        <f>E197*I197</f>
        <v>9758</v>
      </c>
    </row>
    <row r="198" spans="1:10" s="539" customFormat="1" hidden="1" outlineLevel="3" x14ac:dyDescent="0.25">
      <c r="A198" s="363" t="s">
        <v>1994</v>
      </c>
      <c r="B198" s="381" t="s">
        <v>341</v>
      </c>
      <c r="C198" s="381" t="s">
        <v>726</v>
      </c>
      <c r="D198" s="100" t="s">
        <v>305</v>
      </c>
      <c r="E198" s="149">
        <v>1</v>
      </c>
      <c r="F198" s="525">
        <f t="shared" si="2"/>
        <v>116533</v>
      </c>
      <c r="G198" s="525">
        <f>'НМЦК (с разбивкой по объектам)'!K201</f>
        <v>116533</v>
      </c>
      <c r="I198" s="539">
        <v>3000</v>
      </c>
      <c r="J198" s="539">
        <v>18000</v>
      </c>
    </row>
    <row r="199" spans="1:10" s="539" customFormat="1" hidden="1" outlineLevel="3" x14ac:dyDescent="0.25">
      <c r="A199" s="363" t="s">
        <v>2513</v>
      </c>
      <c r="B199" s="381" t="s">
        <v>341</v>
      </c>
      <c r="C199" s="381" t="s">
        <v>350</v>
      </c>
      <c r="D199" s="100" t="s">
        <v>305</v>
      </c>
      <c r="E199" s="149">
        <v>1</v>
      </c>
      <c r="F199" s="525">
        <f t="shared" si="2"/>
        <v>68250</v>
      </c>
      <c r="G199" s="525">
        <f>'НМЦК (с разбивкой по объектам)'!K202</f>
        <v>68250</v>
      </c>
      <c r="I199" s="539">
        <v>1757</v>
      </c>
      <c r="J199" s="539">
        <v>10542</v>
      </c>
    </row>
    <row r="200" spans="1:10" s="539" customFormat="1" hidden="1" outlineLevel="3" x14ac:dyDescent="0.25">
      <c r="A200" s="363" t="s">
        <v>2514</v>
      </c>
      <c r="B200" s="381" t="s">
        <v>341</v>
      </c>
      <c r="C200" s="381" t="s">
        <v>352</v>
      </c>
      <c r="D200" s="100" t="s">
        <v>305</v>
      </c>
      <c r="E200" s="149">
        <v>1</v>
      </c>
      <c r="F200" s="525">
        <f t="shared" si="2"/>
        <v>49877</v>
      </c>
      <c r="G200" s="525">
        <f>'НМЦК (с разбивкой по объектам)'!K203</f>
        <v>49877</v>
      </c>
      <c r="I200" s="539">
        <v>1284</v>
      </c>
      <c r="J200" s="539">
        <v>7704</v>
      </c>
    </row>
    <row r="201" spans="1:10" s="539" customFormat="1" ht="126" hidden="1" outlineLevel="3" x14ac:dyDescent="0.25">
      <c r="A201" s="363" t="s">
        <v>2515</v>
      </c>
      <c r="B201" s="381" t="s">
        <v>341</v>
      </c>
      <c r="C201" s="381" t="s">
        <v>347</v>
      </c>
      <c r="D201" s="100" t="s">
        <v>305</v>
      </c>
      <c r="E201" s="149">
        <v>2</v>
      </c>
      <c r="F201" s="525">
        <f t="shared" ref="F201:F264" si="3">G201/E201</f>
        <v>92799</v>
      </c>
      <c r="G201" s="525">
        <f>'НМЦК (с разбивкой по объектам)'!K204</f>
        <v>185598</v>
      </c>
      <c r="H201" s="552" t="s">
        <v>727</v>
      </c>
      <c r="I201" s="539">
        <v>2389</v>
      </c>
      <c r="J201" s="539">
        <v>28668</v>
      </c>
    </row>
    <row r="202" spans="1:10" s="539" customFormat="1" outlineLevel="2" collapsed="1" x14ac:dyDescent="0.25">
      <c r="A202" s="132" t="s">
        <v>581</v>
      </c>
      <c r="B202" s="320"/>
      <c r="C202" s="320" t="s">
        <v>2391</v>
      </c>
      <c r="D202" s="134" t="s">
        <v>408</v>
      </c>
      <c r="E202" s="90">
        <v>1</v>
      </c>
      <c r="F202" s="526">
        <f t="shared" si="3"/>
        <v>572303</v>
      </c>
      <c r="G202" s="526">
        <f>'НМЦК (с разбивкой по объектам)'!K205</f>
        <v>572303</v>
      </c>
    </row>
    <row r="203" spans="1:10" s="539" customFormat="1" hidden="1" outlineLevel="3" x14ac:dyDescent="0.25">
      <c r="A203" s="363" t="s">
        <v>1995</v>
      </c>
      <c r="B203" s="381" t="s">
        <v>688</v>
      </c>
      <c r="C203" s="381" t="s">
        <v>725</v>
      </c>
      <c r="D203" s="100" t="s">
        <v>305</v>
      </c>
      <c r="E203" s="149">
        <v>1</v>
      </c>
      <c r="F203" s="525">
        <f t="shared" si="3"/>
        <v>152045</v>
      </c>
      <c r="G203" s="525">
        <f>'НМЦК (с разбивкой по объектам)'!K206</f>
        <v>152045</v>
      </c>
      <c r="I203" s="539">
        <v>4456</v>
      </c>
      <c r="J203" s="539">
        <f>E203*I203</f>
        <v>4456</v>
      </c>
    </row>
    <row r="204" spans="1:10" s="539" customFormat="1" hidden="1" outlineLevel="3" x14ac:dyDescent="0.25">
      <c r="A204" s="363" t="s">
        <v>1996</v>
      </c>
      <c r="B204" s="381" t="s">
        <v>341</v>
      </c>
      <c r="C204" s="381" t="s">
        <v>726</v>
      </c>
      <c r="D204" s="100" t="s">
        <v>305</v>
      </c>
      <c r="E204" s="149">
        <v>1</v>
      </c>
      <c r="F204" s="525">
        <f t="shared" si="3"/>
        <v>116533</v>
      </c>
      <c r="G204" s="525">
        <f>'НМЦК (с разбивкой по объектам)'!K207</f>
        <v>116533</v>
      </c>
      <c r="I204" s="539">
        <v>3000</v>
      </c>
      <c r="J204" s="539">
        <v>18000</v>
      </c>
    </row>
    <row r="205" spans="1:10" s="539" customFormat="1" hidden="1" outlineLevel="3" x14ac:dyDescent="0.25">
      <c r="A205" s="363" t="s">
        <v>1997</v>
      </c>
      <c r="B205" s="381" t="s">
        <v>341</v>
      </c>
      <c r="C205" s="381" t="s">
        <v>350</v>
      </c>
      <c r="D205" s="100" t="s">
        <v>305</v>
      </c>
      <c r="E205" s="149">
        <v>1</v>
      </c>
      <c r="F205" s="525">
        <f t="shared" si="3"/>
        <v>68250</v>
      </c>
      <c r="G205" s="525">
        <f>'НМЦК (с разбивкой по объектам)'!K208</f>
        <v>68250</v>
      </c>
      <c r="I205" s="539">
        <v>1757</v>
      </c>
      <c r="J205" s="539">
        <v>10542</v>
      </c>
    </row>
    <row r="206" spans="1:10" s="539" customFormat="1" hidden="1" outlineLevel="3" x14ac:dyDescent="0.25">
      <c r="A206" s="363" t="s">
        <v>1998</v>
      </c>
      <c r="B206" s="381" t="s">
        <v>341</v>
      </c>
      <c r="C206" s="381" t="s">
        <v>352</v>
      </c>
      <c r="D206" s="100" t="s">
        <v>305</v>
      </c>
      <c r="E206" s="149">
        <v>1</v>
      </c>
      <c r="F206" s="525">
        <f t="shared" si="3"/>
        <v>49877</v>
      </c>
      <c r="G206" s="525">
        <f>'НМЦК (с разбивкой по объектам)'!K209</f>
        <v>49877</v>
      </c>
      <c r="I206" s="539">
        <v>1284</v>
      </c>
      <c r="J206" s="539">
        <v>7704</v>
      </c>
    </row>
    <row r="207" spans="1:10" s="539" customFormat="1" ht="126" hidden="1" outlineLevel="3" x14ac:dyDescent="0.25">
      <c r="A207" s="363" t="s">
        <v>1999</v>
      </c>
      <c r="B207" s="381" t="s">
        <v>341</v>
      </c>
      <c r="C207" s="381" t="s">
        <v>347</v>
      </c>
      <c r="D207" s="100" t="s">
        <v>305</v>
      </c>
      <c r="E207" s="149">
        <v>2</v>
      </c>
      <c r="F207" s="525">
        <f t="shared" si="3"/>
        <v>92799</v>
      </c>
      <c r="G207" s="525">
        <f>'НМЦК (с разбивкой по объектам)'!K210</f>
        <v>185598</v>
      </c>
      <c r="H207" s="552" t="s">
        <v>727</v>
      </c>
      <c r="I207" s="539">
        <v>2389</v>
      </c>
      <c r="J207" s="539">
        <v>28668</v>
      </c>
    </row>
    <row r="208" spans="1:10" s="544" customFormat="1" ht="31.5" outlineLevel="2" collapsed="1" x14ac:dyDescent="0.25">
      <c r="A208" s="132" t="s">
        <v>2031</v>
      </c>
      <c r="B208" s="320" t="s">
        <v>154</v>
      </c>
      <c r="C208" s="133" t="s">
        <v>2526</v>
      </c>
      <c r="D208" s="134" t="s">
        <v>292</v>
      </c>
      <c r="E208" s="90">
        <v>1</v>
      </c>
      <c r="F208" s="526">
        <f t="shared" si="3"/>
        <v>128216931</v>
      </c>
      <c r="G208" s="526">
        <f>'НМЦК (с разбивкой по объектам)'!K211</f>
        <v>128216931</v>
      </c>
    </row>
    <row r="209" spans="1:8" s="545" customFormat="1" hidden="1" outlineLevel="3" x14ac:dyDescent="0.25">
      <c r="A209" s="369"/>
      <c r="B209" s="408"/>
      <c r="C209" s="390" t="s">
        <v>811</v>
      </c>
      <c r="D209" s="150"/>
      <c r="E209" s="151"/>
      <c r="F209" s="532" t="e">
        <f t="shared" si="3"/>
        <v>#DIV/0!</v>
      </c>
      <c r="G209" s="532">
        <f>'НМЦК (с разбивкой по объектам)'!K212</f>
        <v>0</v>
      </c>
      <c r="H209" s="553"/>
    </row>
    <row r="210" spans="1:8" s="539" customFormat="1" ht="31.5" hidden="1" outlineLevel="3" x14ac:dyDescent="0.25">
      <c r="A210" s="363" t="s">
        <v>2516</v>
      </c>
      <c r="B210" s="381" t="s">
        <v>818</v>
      </c>
      <c r="C210" s="381" t="s">
        <v>812</v>
      </c>
      <c r="D210" s="100" t="s">
        <v>377</v>
      </c>
      <c r="E210" s="168">
        <v>128.5</v>
      </c>
      <c r="F210" s="525">
        <f t="shared" si="3"/>
        <v>182600</v>
      </c>
      <c r="G210" s="525">
        <f>'НМЦК (с разбивкой по объектам)'!K213</f>
        <v>23464081</v>
      </c>
      <c r="H210" s="552"/>
    </row>
    <row r="211" spans="1:8" s="539" customFormat="1" hidden="1" outlineLevel="3" x14ac:dyDescent="0.25">
      <c r="A211" s="363" t="s">
        <v>2517</v>
      </c>
      <c r="B211" s="381" t="s">
        <v>819</v>
      </c>
      <c r="C211" s="381" t="s">
        <v>813</v>
      </c>
      <c r="D211" s="100" t="s">
        <v>408</v>
      </c>
      <c r="E211" s="149">
        <v>27</v>
      </c>
      <c r="F211" s="525">
        <f t="shared" si="3"/>
        <v>519202</v>
      </c>
      <c r="G211" s="525">
        <f>'НМЦК (с разбивкой по объектам)'!K214</f>
        <v>14018444</v>
      </c>
      <c r="H211" s="552"/>
    </row>
    <row r="212" spans="1:8" s="545" customFormat="1" hidden="1" outlineLevel="3" x14ac:dyDescent="0.25">
      <c r="A212" s="363" t="s">
        <v>2518</v>
      </c>
      <c r="B212" s="381" t="s">
        <v>820</v>
      </c>
      <c r="C212" s="381" t="s">
        <v>814</v>
      </c>
      <c r="D212" s="100" t="s">
        <v>408</v>
      </c>
      <c r="E212" s="149">
        <v>8</v>
      </c>
      <c r="F212" s="525">
        <f t="shared" si="3"/>
        <v>1123241</v>
      </c>
      <c r="G212" s="525">
        <f>'НМЦК (с разбивкой по объектам)'!K215</f>
        <v>8985927</v>
      </c>
      <c r="H212" s="553"/>
    </row>
    <row r="213" spans="1:8" s="545" customFormat="1" hidden="1" outlineLevel="3" x14ac:dyDescent="0.25">
      <c r="A213" s="363" t="s">
        <v>2519</v>
      </c>
      <c r="B213" s="381" t="s">
        <v>822</v>
      </c>
      <c r="C213" s="381" t="s">
        <v>815</v>
      </c>
      <c r="D213" s="100" t="s">
        <v>408</v>
      </c>
      <c r="E213" s="99">
        <v>31</v>
      </c>
      <c r="F213" s="525">
        <f t="shared" si="3"/>
        <v>1261754</v>
      </c>
      <c r="G213" s="525">
        <f>'НМЦК (с разбивкой по объектам)'!K216</f>
        <v>39114367</v>
      </c>
      <c r="H213" s="552" t="s">
        <v>821</v>
      </c>
    </row>
    <row r="214" spans="1:8" s="545" customFormat="1" hidden="1" outlineLevel="3" x14ac:dyDescent="0.25">
      <c r="A214" s="363" t="s">
        <v>2520</v>
      </c>
      <c r="B214" s="381" t="s">
        <v>823</v>
      </c>
      <c r="C214" s="381" t="s">
        <v>816</v>
      </c>
      <c r="D214" s="100" t="s">
        <v>408</v>
      </c>
      <c r="E214" s="149">
        <v>8</v>
      </c>
      <c r="F214" s="525">
        <f t="shared" si="3"/>
        <v>1400266</v>
      </c>
      <c r="G214" s="525">
        <f>'НМЦК (с разбивкой по объектам)'!K217</f>
        <v>11202125</v>
      </c>
      <c r="H214" s="553"/>
    </row>
    <row r="215" spans="1:8" s="545" customFormat="1" hidden="1" outlineLevel="3" x14ac:dyDescent="0.25">
      <c r="A215" s="363" t="s">
        <v>2521</v>
      </c>
      <c r="B215" s="381" t="s">
        <v>825</v>
      </c>
      <c r="C215" s="381" t="s">
        <v>817</v>
      </c>
      <c r="D215" s="100" t="s">
        <v>377</v>
      </c>
      <c r="E215" s="149">
        <v>42</v>
      </c>
      <c r="F215" s="525">
        <f t="shared" si="3"/>
        <v>30325</v>
      </c>
      <c r="G215" s="525">
        <f>'НМЦК (с разбивкой по объектам)'!K218</f>
        <v>1273652</v>
      </c>
      <c r="H215" s="553"/>
    </row>
    <row r="216" spans="1:8" s="545" customFormat="1" ht="31.5" hidden="1" outlineLevel="3" x14ac:dyDescent="0.25">
      <c r="A216" s="363" t="s">
        <v>2522</v>
      </c>
      <c r="B216" s="391" t="s">
        <v>826</v>
      </c>
      <c r="C216" s="391" t="s">
        <v>824</v>
      </c>
      <c r="D216" s="161" t="s">
        <v>404</v>
      </c>
      <c r="E216" s="99">
        <v>5740</v>
      </c>
      <c r="F216" s="528">
        <f t="shared" si="3"/>
        <v>382</v>
      </c>
      <c r="G216" s="525">
        <f>'НМЦК (с разбивкой по объектам)'!K219</f>
        <v>2193095</v>
      </c>
      <c r="H216" s="552" t="s">
        <v>836</v>
      </c>
    </row>
    <row r="217" spans="1:8" s="545" customFormat="1" hidden="1" outlineLevel="3" x14ac:dyDescent="0.25">
      <c r="A217" s="369"/>
      <c r="B217" s="408"/>
      <c r="C217" s="390" t="s">
        <v>827</v>
      </c>
      <c r="D217" s="150"/>
      <c r="E217" s="151"/>
      <c r="F217" s="525" t="e">
        <f t="shared" si="3"/>
        <v>#DIV/0!</v>
      </c>
      <c r="G217" s="525">
        <f>'НМЦК (с разбивкой по объектам)'!K220</f>
        <v>0</v>
      </c>
      <c r="H217" s="553"/>
    </row>
    <row r="218" spans="1:8" s="539" customFormat="1" ht="31.5" hidden="1" outlineLevel="3" x14ac:dyDescent="0.25">
      <c r="A218" s="363" t="s">
        <v>2523</v>
      </c>
      <c r="B218" s="381" t="s">
        <v>830</v>
      </c>
      <c r="C218" s="381" t="s">
        <v>828</v>
      </c>
      <c r="D218" s="100" t="s">
        <v>377</v>
      </c>
      <c r="E218" s="168">
        <f>41.5</f>
        <v>41.5</v>
      </c>
      <c r="F218" s="525">
        <f t="shared" si="3"/>
        <v>182973</v>
      </c>
      <c r="G218" s="525">
        <f>'НМЦК (с разбивкой по объектам)'!K221</f>
        <v>7593376</v>
      </c>
      <c r="H218" s="552"/>
    </row>
    <row r="219" spans="1:8" s="539" customFormat="1" hidden="1" outlineLevel="3" x14ac:dyDescent="0.25">
      <c r="A219" s="363" t="s">
        <v>2524</v>
      </c>
      <c r="B219" s="381" t="s">
        <v>831</v>
      </c>
      <c r="C219" s="381" t="s">
        <v>829</v>
      </c>
      <c r="D219" s="100" t="s">
        <v>408</v>
      </c>
      <c r="E219" s="149">
        <v>8</v>
      </c>
      <c r="F219" s="525">
        <f t="shared" si="3"/>
        <v>562507</v>
      </c>
      <c r="G219" s="525">
        <f>'НМЦК (с разбивкой по объектам)'!K222</f>
        <v>4500052</v>
      </c>
      <c r="H219" s="552"/>
    </row>
    <row r="220" spans="1:8" s="539" customFormat="1" hidden="1" outlineLevel="3" x14ac:dyDescent="0.25">
      <c r="A220" s="363" t="s">
        <v>2525</v>
      </c>
      <c r="B220" s="381" t="s">
        <v>832</v>
      </c>
      <c r="C220" s="381" t="s">
        <v>814</v>
      </c>
      <c r="D220" s="100" t="s">
        <v>408</v>
      </c>
      <c r="E220" s="149">
        <v>4</v>
      </c>
      <c r="F220" s="525">
        <f t="shared" si="3"/>
        <v>640699</v>
      </c>
      <c r="G220" s="525">
        <f>'НМЦК (с разбивкой по объектам)'!K223</f>
        <v>2562794</v>
      </c>
      <c r="H220" s="552"/>
    </row>
    <row r="221" spans="1:8" s="539" customFormat="1" hidden="1" outlineLevel="3" x14ac:dyDescent="0.25">
      <c r="A221" s="363" t="s">
        <v>2528</v>
      </c>
      <c r="B221" s="381" t="s">
        <v>833</v>
      </c>
      <c r="C221" s="381" t="s">
        <v>815</v>
      </c>
      <c r="D221" s="100" t="s">
        <v>408</v>
      </c>
      <c r="E221" s="149">
        <v>10</v>
      </c>
      <c r="F221" s="525">
        <f t="shared" si="3"/>
        <v>718900</v>
      </c>
      <c r="G221" s="525">
        <f>'НМЦК (с разбивкой по объектам)'!K224</f>
        <v>7188996</v>
      </c>
      <c r="H221" s="552"/>
    </row>
    <row r="222" spans="1:8" s="539" customFormat="1" hidden="1" outlineLevel="3" x14ac:dyDescent="0.25">
      <c r="A222" s="363" t="s">
        <v>2529</v>
      </c>
      <c r="B222" s="381" t="s">
        <v>834</v>
      </c>
      <c r="C222" s="381" t="s">
        <v>816</v>
      </c>
      <c r="D222" s="100" t="s">
        <v>408</v>
      </c>
      <c r="E222" s="149">
        <v>4</v>
      </c>
      <c r="F222" s="525">
        <f t="shared" si="3"/>
        <v>797088</v>
      </c>
      <c r="G222" s="525">
        <f>'НМЦК (с разбивкой по объектам)'!K225</f>
        <v>3188352</v>
      </c>
      <c r="H222" s="552"/>
    </row>
    <row r="223" spans="1:8" s="539" customFormat="1" ht="31.5" hidden="1" outlineLevel="3" x14ac:dyDescent="0.25">
      <c r="A223" s="363" t="s">
        <v>2530</v>
      </c>
      <c r="B223" s="381" t="s">
        <v>835</v>
      </c>
      <c r="C223" s="381" t="s">
        <v>824</v>
      </c>
      <c r="D223" s="100" t="s">
        <v>404</v>
      </c>
      <c r="E223" s="149">
        <v>3760</v>
      </c>
      <c r="F223" s="525">
        <f t="shared" si="3"/>
        <v>382</v>
      </c>
      <c r="G223" s="525">
        <f>'НМЦК (с разбивкой по объектам)'!K226</f>
        <v>1436594</v>
      </c>
      <c r="H223" s="552"/>
    </row>
    <row r="224" spans="1:8" s="539" customFormat="1" hidden="1" outlineLevel="3" x14ac:dyDescent="0.25">
      <c r="A224" s="363"/>
      <c r="B224" s="381"/>
      <c r="C224" s="390" t="s">
        <v>837</v>
      </c>
      <c r="D224" s="100"/>
      <c r="E224" s="149"/>
      <c r="F224" s="525" t="e">
        <f t="shared" si="3"/>
        <v>#DIV/0!</v>
      </c>
      <c r="G224" s="525">
        <f>'НМЦК (с разбивкой по объектам)'!K227</f>
        <v>0</v>
      </c>
      <c r="H224" s="552"/>
    </row>
    <row r="225" spans="1:11" s="539" customFormat="1" hidden="1" outlineLevel="3" x14ac:dyDescent="0.25">
      <c r="A225" s="363"/>
      <c r="B225" s="381"/>
      <c r="C225" s="390" t="s">
        <v>838</v>
      </c>
      <c r="D225" s="100"/>
      <c r="E225" s="149"/>
      <c r="F225" s="525" t="e">
        <f t="shared" si="3"/>
        <v>#DIV/0!</v>
      </c>
      <c r="G225" s="525">
        <f>'НМЦК (с разбивкой по объектам)'!K228</f>
        <v>0</v>
      </c>
      <c r="H225" s="552"/>
    </row>
    <row r="226" spans="1:11" s="539" customFormat="1" ht="31.5" hidden="1" outlineLevel="3" x14ac:dyDescent="0.25">
      <c r="A226" s="363" t="s">
        <v>2531</v>
      </c>
      <c r="B226" s="381" t="s">
        <v>842</v>
      </c>
      <c r="C226" s="381" t="s">
        <v>839</v>
      </c>
      <c r="D226" s="100" t="s">
        <v>300</v>
      </c>
      <c r="E226" s="149">
        <v>1115</v>
      </c>
      <c r="F226" s="525">
        <f t="shared" si="3"/>
        <v>1006</v>
      </c>
      <c r="G226" s="525">
        <f>'НМЦК (с разбивкой по объектам)'!K229</f>
        <v>1121626</v>
      </c>
      <c r="H226" s="552"/>
    </row>
    <row r="227" spans="1:11" s="539" customFormat="1" ht="31.5" hidden="1" outlineLevel="3" x14ac:dyDescent="0.25">
      <c r="A227" s="363" t="s">
        <v>2532</v>
      </c>
      <c r="B227" s="381" t="s">
        <v>843</v>
      </c>
      <c r="C227" s="381" t="s">
        <v>840</v>
      </c>
      <c r="D227" s="100" t="s">
        <v>300</v>
      </c>
      <c r="E227" s="149">
        <v>185</v>
      </c>
      <c r="F227" s="525">
        <f t="shared" si="3"/>
        <v>1576</v>
      </c>
      <c r="G227" s="525">
        <f>'НМЦК (с разбивкой по объектам)'!K230</f>
        <v>291642</v>
      </c>
      <c r="H227" s="552"/>
    </row>
    <row r="228" spans="1:11" s="539" customFormat="1" ht="31.5" hidden="1" outlineLevel="3" x14ac:dyDescent="0.25">
      <c r="A228" s="363" t="s">
        <v>2533</v>
      </c>
      <c r="B228" s="381" t="s">
        <v>844</v>
      </c>
      <c r="C228" s="381" t="s">
        <v>841</v>
      </c>
      <c r="D228" s="100" t="s">
        <v>300</v>
      </c>
      <c r="E228" s="149">
        <v>895</v>
      </c>
      <c r="F228" s="525">
        <f t="shared" si="3"/>
        <v>91</v>
      </c>
      <c r="G228" s="525">
        <f>'НМЦК (с разбивкой по объектам)'!K231</f>
        <v>81808</v>
      </c>
      <c r="H228" s="552"/>
    </row>
    <row r="229" spans="1:11" s="464" customFormat="1" ht="47.25" outlineLevel="2" x14ac:dyDescent="0.25">
      <c r="A229" s="132" t="s">
        <v>2032</v>
      </c>
      <c r="B229" s="320" t="s">
        <v>304</v>
      </c>
      <c r="C229" s="320" t="s">
        <v>707</v>
      </c>
      <c r="D229" s="173" t="s">
        <v>408</v>
      </c>
      <c r="E229" s="90">
        <v>1</v>
      </c>
      <c r="F229" s="523">
        <f t="shared" si="3"/>
        <v>879780</v>
      </c>
      <c r="G229" s="523">
        <f>'НМЦК (с разбивкой по объектам)'!K232</f>
        <v>879780</v>
      </c>
      <c r="I229" s="537">
        <v>12794</v>
      </c>
    </row>
    <row r="230" spans="1:11" s="544" customFormat="1" outlineLevel="2" collapsed="1" x14ac:dyDescent="0.25">
      <c r="A230" s="132" t="s">
        <v>2036</v>
      </c>
      <c r="B230" s="320"/>
      <c r="C230" s="133" t="s">
        <v>2527</v>
      </c>
      <c r="D230" s="134" t="s">
        <v>292</v>
      </c>
      <c r="E230" s="90">
        <v>1</v>
      </c>
      <c r="F230" s="526">
        <f t="shared" si="3"/>
        <v>832497</v>
      </c>
      <c r="G230" s="526">
        <f>'НМЦК (с разбивкой по объектам)'!K233</f>
        <v>832497</v>
      </c>
    </row>
    <row r="231" spans="1:11" s="539" customFormat="1" ht="22.5" hidden="1" customHeight="1" outlineLevel="3" x14ac:dyDescent="0.25">
      <c r="A231" s="363" t="s">
        <v>2037</v>
      </c>
      <c r="B231" s="381" t="s">
        <v>307</v>
      </c>
      <c r="C231" s="381" t="s">
        <v>708</v>
      </c>
      <c r="D231" s="100" t="s">
        <v>305</v>
      </c>
      <c r="E231" s="149">
        <v>28</v>
      </c>
      <c r="F231" s="525">
        <f t="shared" si="3"/>
        <v>29189</v>
      </c>
      <c r="G231" s="525">
        <f>'НМЦК (с разбивкой по объектам)'!K234</f>
        <v>817299</v>
      </c>
      <c r="H231" s="554" t="s">
        <v>2405</v>
      </c>
      <c r="I231" s="543">
        <v>823.2</v>
      </c>
      <c r="J231" s="539">
        <f>E231*I231</f>
        <v>23049.599999999999</v>
      </c>
      <c r="K231" s="555">
        <f>(97608-51003)*(1.023*1.005-2.3%*15%)*6.99*1.2</f>
        <v>400565</v>
      </c>
    </row>
    <row r="232" spans="1:11" s="539" customFormat="1" ht="24.75" hidden="1" customHeight="1" outlineLevel="3" x14ac:dyDescent="0.25">
      <c r="A232" s="363" t="s">
        <v>2038</v>
      </c>
      <c r="B232" s="381" t="s">
        <v>311</v>
      </c>
      <c r="C232" s="381" t="s">
        <v>309</v>
      </c>
      <c r="D232" s="100" t="s">
        <v>305</v>
      </c>
      <c r="E232" s="149">
        <v>1</v>
      </c>
      <c r="F232" s="525">
        <f t="shared" si="3"/>
        <v>15198</v>
      </c>
      <c r="G232" s="525">
        <f>'НМЦК (с разбивкой по объектам)'!K235</f>
        <v>15198</v>
      </c>
      <c r="H232" s="554" t="s">
        <v>2406</v>
      </c>
      <c r="I232" s="543">
        <v>475.5</v>
      </c>
      <c r="J232" s="539">
        <f>E232*I232</f>
        <v>475.5</v>
      </c>
      <c r="K232" s="555">
        <f>(1815-1542)*(1.023*1.005-2.3%*15%)*6.99*1.2</f>
        <v>2346</v>
      </c>
    </row>
    <row r="233" spans="1:11" s="540" customFormat="1" ht="31.5" outlineLevel="1" collapsed="1" x14ac:dyDescent="0.25">
      <c r="A233" s="132" t="s">
        <v>452</v>
      </c>
      <c r="B233" s="320" t="s">
        <v>144</v>
      </c>
      <c r="C233" s="320" t="s">
        <v>1786</v>
      </c>
      <c r="D233" s="134" t="s">
        <v>292</v>
      </c>
      <c r="E233" s="90">
        <v>1</v>
      </c>
      <c r="F233" s="526">
        <f t="shared" si="3"/>
        <v>2533337</v>
      </c>
      <c r="G233" s="526">
        <f>'НМЦК (с разбивкой по объектам)'!K236</f>
        <v>2533337</v>
      </c>
      <c r="H233" s="556"/>
    </row>
    <row r="234" spans="1:11" s="539" customFormat="1" hidden="1" outlineLevel="2" x14ac:dyDescent="0.25">
      <c r="A234" s="95"/>
      <c r="B234" s="381"/>
      <c r="C234" s="390" t="s">
        <v>367</v>
      </c>
      <c r="D234" s="100"/>
      <c r="E234" s="149"/>
      <c r="F234" s="525" t="e">
        <f t="shared" si="3"/>
        <v>#DIV/0!</v>
      </c>
      <c r="G234" s="525">
        <f>'НМЦК (с разбивкой по объектам)'!K237</f>
        <v>0</v>
      </c>
    </row>
    <row r="235" spans="1:11" s="539" customFormat="1" ht="31.5" hidden="1" outlineLevel="2" x14ac:dyDescent="0.25">
      <c r="A235" s="364" t="s">
        <v>453</v>
      </c>
      <c r="B235" s="381" t="s">
        <v>369</v>
      </c>
      <c r="C235" s="381" t="s">
        <v>356</v>
      </c>
      <c r="D235" s="100" t="s">
        <v>300</v>
      </c>
      <c r="E235" s="149">
        <v>332</v>
      </c>
      <c r="F235" s="525">
        <f t="shared" si="3"/>
        <v>1655</v>
      </c>
      <c r="G235" s="525">
        <f>'НМЦК (с разбивкой по объектам)'!K238</f>
        <v>549579</v>
      </c>
    </row>
    <row r="236" spans="1:11" s="539" customFormat="1" ht="31.5" hidden="1" outlineLevel="2" x14ac:dyDescent="0.25">
      <c r="A236" s="364" t="s">
        <v>456</v>
      </c>
      <c r="B236" s="381" t="s">
        <v>772</v>
      </c>
      <c r="C236" s="381" t="s">
        <v>656</v>
      </c>
      <c r="D236" s="100" t="s">
        <v>300</v>
      </c>
      <c r="E236" s="168">
        <v>232.4</v>
      </c>
      <c r="F236" s="525">
        <f t="shared" si="3"/>
        <v>295</v>
      </c>
      <c r="G236" s="525">
        <f>'НМЦК (с разбивкой по объектам)'!K239</f>
        <v>68654</v>
      </c>
    </row>
    <row r="237" spans="1:11" s="539" customFormat="1" hidden="1" outlineLevel="2" x14ac:dyDescent="0.25">
      <c r="A237" s="364" t="s">
        <v>470</v>
      </c>
      <c r="B237" s="381" t="s">
        <v>372</v>
      </c>
      <c r="C237" s="381" t="s">
        <v>460</v>
      </c>
      <c r="D237" s="100" t="s">
        <v>300</v>
      </c>
      <c r="E237" s="168">
        <v>99.6</v>
      </c>
      <c r="F237" s="525">
        <f t="shared" si="3"/>
        <v>140</v>
      </c>
      <c r="G237" s="525">
        <f>'НМЦК (с разбивкой по объектам)'!K240</f>
        <v>13975</v>
      </c>
    </row>
    <row r="238" spans="1:11" s="539" customFormat="1" hidden="1" outlineLevel="2" x14ac:dyDescent="0.25">
      <c r="A238" s="364" t="s">
        <v>476</v>
      </c>
      <c r="B238" s="381" t="s">
        <v>375</v>
      </c>
      <c r="C238" s="381" t="s">
        <v>359</v>
      </c>
      <c r="D238" s="100" t="s">
        <v>300</v>
      </c>
      <c r="E238" s="168">
        <v>99.6</v>
      </c>
      <c r="F238" s="525">
        <f t="shared" si="3"/>
        <v>134</v>
      </c>
      <c r="G238" s="525">
        <f>'НМЦК (с разбивкой по объектам)'!K241</f>
        <v>13389</v>
      </c>
    </row>
    <row r="239" spans="1:11" s="539" customFormat="1" ht="31.5" hidden="1" outlineLevel="2" x14ac:dyDescent="0.25">
      <c r="A239" s="364" t="s">
        <v>483</v>
      </c>
      <c r="B239" s="381" t="s">
        <v>774</v>
      </c>
      <c r="C239" s="381" t="s">
        <v>773</v>
      </c>
      <c r="D239" s="100" t="s">
        <v>377</v>
      </c>
      <c r="E239" s="149">
        <v>60</v>
      </c>
      <c r="F239" s="525">
        <f t="shared" si="3"/>
        <v>844</v>
      </c>
      <c r="G239" s="525">
        <f>'НМЦК (с разбивкой по объектам)'!K242</f>
        <v>50643</v>
      </c>
    </row>
    <row r="240" spans="1:11" s="539" customFormat="1" ht="31.5" hidden="1" outlineLevel="2" x14ac:dyDescent="0.25">
      <c r="A240" s="364" t="s">
        <v>484</v>
      </c>
      <c r="B240" s="381" t="s">
        <v>776</v>
      </c>
      <c r="C240" s="381" t="s">
        <v>775</v>
      </c>
      <c r="D240" s="100" t="s">
        <v>377</v>
      </c>
      <c r="E240" s="149">
        <v>130</v>
      </c>
      <c r="F240" s="525">
        <f t="shared" si="3"/>
        <v>1138</v>
      </c>
      <c r="G240" s="525">
        <f>'НМЦК (с разбивкой по объектам)'!K243</f>
        <v>147905</v>
      </c>
    </row>
    <row r="241" spans="1:8" s="539" customFormat="1" hidden="1" outlineLevel="2" x14ac:dyDescent="0.25">
      <c r="A241" s="364"/>
      <c r="B241" s="381"/>
      <c r="C241" s="390" t="s">
        <v>379</v>
      </c>
      <c r="D241" s="100"/>
      <c r="E241" s="149"/>
      <c r="F241" s="525" t="e">
        <f t="shared" si="3"/>
        <v>#DIV/0!</v>
      </c>
      <c r="G241" s="525">
        <f>'НМЦК (с разбивкой по объектам)'!K244</f>
        <v>0</v>
      </c>
    </row>
    <row r="242" spans="1:8" s="539" customFormat="1" ht="31.5" hidden="1" outlineLevel="2" x14ac:dyDescent="0.25">
      <c r="A242" s="364" t="s">
        <v>485</v>
      </c>
      <c r="B242" s="381" t="s">
        <v>381</v>
      </c>
      <c r="C242" s="381" t="s">
        <v>778</v>
      </c>
      <c r="D242" s="100" t="s">
        <v>377</v>
      </c>
      <c r="E242" s="149">
        <v>120</v>
      </c>
      <c r="F242" s="525">
        <f t="shared" si="3"/>
        <v>8717</v>
      </c>
      <c r="G242" s="525">
        <f>'НМЦК (с разбивкой по объектам)'!K245</f>
        <v>1046082</v>
      </c>
    </row>
    <row r="243" spans="1:8" s="539" customFormat="1" ht="31.5" hidden="1" outlineLevel="2" x14ac:dyDescent="0.25">
      <c r="A243" s="364" t="s">
        <v>2366</v>
      </c>
      <c r="B243" s="381" t="s">
        <v>383</v>
      </c>
      <c r="C243" s="381" t="s">
        <v>777</v>
      </c>
      <c r="D243" s="100" t="s">
        <v>377</v>
      </c>
      <c r="E243" s="149">
        <v>120</v>
      </c>
      <c r="F243" s="525">
        <f t="shared" si="3"/>
        <v>2582</v>
      </c>
      <c r="G243" s="525">
        <f>'НМЦК (с разбивкой по объектам)'!K246</f>
        <v>309845</v>
      </c>
    </row>
    <row r="244" spans="1:8" s="539" customFormat="1" ht="31.5" hidden="1" outlineLevel="2" x14ac:dyDescent="0.25">
      <c r="A244" s="364" t="s">
        <v>2367</v>
      </c>
      <c r="B244" s="381" t="s">
        <v>385</v>
      </c>
      <c r="C244" s="381" t="s">
        <v>386</v>
      </c>
      <c r="D244" s="100" t="s">
        <v>377</v>
      </c>
      <c r="E244" s="149">
        <v>830</v>
      </c>
      <c r="F244" s="525">
        <f t="shared" si="3"/>
        <v>402</v>
      </c>
      <c r="G244" s="525">
        <f>'НМЦК (с разбивкой по объектам)'!K247</f>
        <v>333265</v>
      </c>
    </row>
    <row r="245" spans="1:8" s="544" customFormat="1" outlineLevel="1" collapsed="1" x14ac:dyDescent="0.25">
      <c r="A245" s="132" t="s">
        <v>490</v>
      </c>
      <c r="B245" s="320" t="s">
        <v>152</v>
      </c>
      <c r="C245" s="133" t="s">
        <v>599</v>
      </c>
      <c r="D245" s="134" t="s">
        <v>292</v>
      </c>
      <c r="E245" s="90">
        <v>1</v>
      </c>
      <c r="F245" s="526">
        <f t="shared" si="3"/>
        <v>6254664</v>
      </c>
      <c r="G245" s="526">
        <f>'НМЦК (с разбивкой по объектам)'!K248</f>
        <v>6254664</v>
      </c>
    </row>
    <row r="246" spans="1:8" s="539" customFormat="1" hidden="1" outlineLevel="2" x14ac:dyDescent="0.25">
      <c r="A246" s="363" t="s">
        <v>491</v>
      </c>
      <c r="B246" s="381" t="s">
        <v>799</v>
      </c>
      <c r="C246" s="381" t="s">
        <v>1830</v>
      </c>
      <c r="D246" s="100" t="s">
        <v>292</v>
      </c>
      <c r="E246" s="149">
        <v>1</v>
      </c>
      <c r="F246" s="525">
        <f t="shared" si="3"/>
        <v>2187557</v>
      </c>
      <c r="G246" s="525">
        <f>'НМЦК (с разбивкой по объектам)'!K249</f>
        <v>2187557</v>
      </c>
    </row>
    <row r="247" spans="1:8" s="539" customFormat="1" hidden="1" outlineLevel="2" x14ac:dyDescent="0.25">
      <c r="A247" s="363" t="s">
        <v>495</v>
      </c>
      <c r="B247" s="381" t="s">
        <v>800</v>
      </c>
      <c r="C247" s="381" t="s">
        <v>1831</v>
      </c>
      <c r="D247" s="100" t="s">
        <v>292</v>
      </c>
      <c r="E247" s="149">
        <v>1</v>
      </c>
      <c r="F247" s="525">
        <f t="shared" si="3"/>
        <v>30368</v>
      </c>
      <c r="G247" s="525">
        <f>'НМЦК (с разбивкой по объектам)'!K250</f>
        <v>30368</v>
      </c>
    </row>
    <row r="248" spans="1:8" s="539" customFormat="1" hidden="1" outlineLevel="2" x14ac:dyDescent="0.25">
      <c r="A248" s="363" t="s">
        <v>586</v>
      </c>
      <c r="B248" s="381" t="s">
        <v>801</v>
      </c>
      <c r="C248" s="381" t="s">
        <v>1827</v>
      </c>
      <c r="D248" s="100" t="s">
        <v>292</v>
      </c>
      <c r="E248" s="149">
        <v>1</v>
      </c>
      <c r="F248" s="525">
        <f t="shared" si="3"/>
        <v>797936</v>
      </c>
      <c r="G248" s="525">
        <f>'НМЦК (с разбивкой по объектам)'!K251</f>
        <v>797936</v>
      </c>
    </row>
    <row r="249" spans="1:8" s="539" customFormat="1" hidden="1" outlineLevel="2" x14ac:dyDescent="0.25">
      <c r="A249" s="363" t="s">
        <v>588</v>
      </c>
      <c r="B249" s="381" t="s">
        <v>802</v>
      </c>
      <c r="C249" s="381" t="s">
        <v>1828</v>
      </c>
      <c r="D249" s="100" t="s">
        <v>292</v>
      </c>
      <c r="E249" s="149">
        <v>1</v>
      </c>
      <c r="F249" s="525">
        <f t="shared" si="3"/>
        <v>34813</v>
      </c>
      <c r="G249" s="525">
        <f>'НМЦК (с разбивкой по объектам)'!K252</f>
        <v>34813</v>
      </c>
    </row>
    <row r="250" spans="1:8" s="539" customFormat="1" ht="31.5" hidden="1" outlineLevel="2" x14ac:dyDescent="0.25">
      <c r="A250" s="363" t="s">
        <v>590</v>
      </c>
      <c r="B250" s="381" t="s">
        <v>804</v>
      </c>
      <c r="C250" s="381" t="s">
        <v>1833</v>
      </c>
      <c r="D250" s="100" t="s">
        <v>292</v>
      </c>
      <c r="E250" s="149">
        <v>1</v>
      </c>
      <c r="F250" s="525">
        <f t="shared" si="3"/>
        <v>935872</v>
      </c>
      <c r="G250" s="525">
        <f>'НМЦК (с разбивкой по объектам)'!K253</f>
        <v>935872</v>
      </c>
      <c r="H250" s="552"/>
    </row>
    <row r="251" spans="1:8" s="539" customFormat="1" hidden="1" outlineLevel="2" x14ac:dyDescent="0.25">
      <c r="A251" s="363" t="s">
        <v>593</v>
      </c>
      <c r="B251" s="381" t="s">
        <v>805</v>
      </c>
      <c r="C251" s="381" t="s">
        <v>1834</v>
      </c>
      <c r="D251" s="100" t="s">
        <v>292</v>
      </c>
      <c r="E251" s="149">
        <v>1</v>
      </c>
      <c r="F251" s="525">
        <f t="shared" si="3"/>
        <v>42586</v>
      </c>
      <c r="G251" s="525">
        <f>'НМЦК (с разбивкой по объектам)'!K254</f>
        <v>42586</v>
      </c>
      <c r="H251" s="552"/>
    </row>
    <row r="252" spans="1:8" s="539" customFormat="1" hidden="1" outlineLevel="2" x14ac:dyDescent="0.25">
      <c r="A252" s="363" t="s">
        <v>595</v>
      </c>
      <c r="B252" s="381" t="s">
        <v>807</v>
      </c>
      <c r="C252" s="381" t="s">
        <v>806</v>
      </c>
      <c r="D252" s="100" t="s">
        <v>292</v>
      </c>
      <c r="E252" s="149">
        <v>1</v>
      </c>
      <c r="F252" s="525">
        <f t="shared" si="3"/>
        <v>2167426</v>
      </c>
      <c r="G252" s="525">
        <f>'НМЦК (с разбивкой по объектам)'!K255</f>
        <v>2167426</v>
      </c>
      <c r="H252" s="552"/>
    </row>
    <row r="253" spans="1:8" s="539" customFormat="1" hidden="1" outlineLevel="2" x14ac:dyDescent="0.25">
      <c r="A253" s="363" t="s">
        <v>597</v>
      </c>
      <c r="B253" s="381" t="s">
        <v>809</v>
      </c>
      <c r="C253" s="381" t="s">
        <v>1832</v>
      </c>
      <c r="D253" s="100" t="s">
        <v>292</v>
      </c>
      <c r="E253" s="149">
        <v>1</v>
      </c>
      <c r="F253" s="525">
        <f t="shared" si="3"/>
        <v>24477</v>
      </c>
      <c r="G253" s="525">
        <f>'НМЦК (с разбивкой по объектам)'!K256</f>
        <v>24477</v>
      </c>
    </row>
    <row r="254" spans="1:8" s="539" customFormat="1" hidden="1" outlineLevel="2" x14ac:dyDescent="0.25">
      <c r="A254" s="363" t="s">
        <v>600</v>
      </c>
      <c r="B254" s="381" t="s">
        <v>810</v>
      </c>
      <c r="C254" s="381" t="s">
        <v>1829</v>
      </c>
      <c r="D254" s="100" t="s">
        <v>292</v>
      </c>
      <c r="E254" s="149">
        <v>1</v>
      </c>
      <c r="F254" s="525">
        <f t="shared" si="3"/>
        <v>33629</v>
      </c>
      <c r="G254" s="525">
        <f>'НМЦК (с разбивкой по объектам)'!K257</f>
        <v>33629</v>
      </c>
    </row>
    <row r="255" spans="1:8" s="539" customFormat="1" ht="31.5" outlineLevel="1" x14ac:dyDescent="0.25">
      <c r="A255" s="132" t="s">
        <v>497</v>
      </c>
      <c r="B255" s="320" t="s">
        <v>156</v>
      </c>
      <c r="C255" s="320" t="s">
        <v>1844</v>
      </c>
      <c r="D255" s="134" t="s">
        <v>292</v>
      </c>
      <c r="E255" s="90">
        <v>1</v>
      </c>
      <c r="F255" s="523">
        <f t="shared" si="3"/>
        <v>73100</v>
      </c>
      <c r="G255" s="523">
        <f>'НМЦК (с разбивкой по объектам)'!K258</f>
        <v>73100</v>
      </c>
      <c r="H255" s="552"/>
    </row>
    <row r="256" spans="1:8" s="538" customFormat="1" outlineLevel="1" x14ac:dyDescent="0.25">
      <c r="A256" s="179" t="s">
        <v>504</v>
      </c>
      <c r="B256" s="422"/>
      <c r="C256" s="435" t="s">
        <v>2368</v>
      </c>
      <c r="D256" s="125" t="s">
        <v>292</v>
      </c>
      <c r="E256" s="126">
        <v>1</v>
      </c>
      <c r="F256" s="524">
        <f t="shared" si="3"/>
        <v>242107047</v>
      </c>
      <c r="G256" s="524">
        <f>'НМЦК (с разбивкой по объектам)'!K259</f>
        <v>242107047</v>
      </c>
    </row>
    <row r="257" spans="1:8" s="544" customFormat="1" outlineLevel="2" collapsed="1" x14ac:dyDescent="0.25">
      <c r="A257" s="132" t="s">
        <v>505</v>
      </c>
      <c r="B257" s="320"/>
      <c r="C257" s="133" t="s">
        <v>2369</v>
      </c>
      <c r="D257" s="134" t="s">
        <v>292</v>
      </c>
      <c r="E257" s="90">
        <v>1</v>
      </c>
      <c r="F257" s="526">
        <f t="shared" si="3"/>
        <v>1781254</v>
      </c>
      <c r="G257" s="526">
        <f>'НМЦК (с разбивкой по объектам)'!K260</f>
        <v>1781254</v>
      </c>
    </row>
    <row r="258" spans="1:8" s="539" customFormat="1" ht="47.25" hidden="1" outlineLevel="3" x14ac:dyDescent="0.25">
      <c r="A258" s="363"/>
      <c r="B258" s="381"/>
      <c r="C258" s="381" t="s">
        <v>1650</v>
      </c>
      <c r="D258" s="100"/>
      <c r="E258" s="100"/>
      <c r="F258" s="525" t="e">
        <f t="shared" si="3"/>
        <v>#DIV/0!</v>
      </c>
      <c r="G258" s="525">
        <f>'НМЦК (с разбивкой по объектам)'!K261</f>
        <v>0</v>
      </c>
    </row>
    <row r="259" spans="1:8" s="539" customFormat="1" hidden="1" outlineLevel="3" x14ac:dyDescent="0.25">
      <c r="A259" s="363"/>
      <c r="B259" s="381"/>
      <c r="C259" s="381" t="s">
        <v>1651</v>
      </c>
      <c r="D259" s="100"/>
      <c r="E259" s="100"/>
      <c r="F259" s="525" t="e">
        <f t="shared" si="3"/>
        <v>#DIV/0!</v>
      </c>
      <c r="G259" s="525">
        <f>'НМЦК (с разбивкой по объектам)'!K262</f>
        <v>0</v>
      </c>
    </row>
    <row r="260" spans="1:8" s="539" customFormat="1" ht="31.5" hidden="1" outlineLevel="3" x14ac:dyDescent="0.25">
      <c r="A260" s="363" t="s">
        <v>2085</v>
      </c>
      <c r="B260" s="381" t="s">
        <v>1652</v>
      </c>
      <c r="C260" s="381" t="s">
        <v>356</v>
      </c>
      <c r="D260" s="100" t="s">
        <v>300</v>
      </c>
      <c r="E260" s="100">
        <f>157</f>
        <v>157</v>
      </c>
      <c r="F260" s="525">
        <f t="shared" si="3"/>
        <v>1670</v>
      </c>
      <c r="G260" s="525">
        <f>'НМЦК (с разбивкой по объектам)'!K263</f>
        <v>262143</v>
      </c>
    </row>
    <row r="261" spans="1:8" s="539" customFormat="1" hidden="1" outlineLevel="3" x14ac:dyDescent="0.25">
      <c r="A261" s="363" t="s">
        <v>2086</v>
      </c>
      <c r="B261" s="381" t="s">
        <v>1653</v>
      </c>
      <c r="C261" s="381" t="s">
        <v>1625</v>
      </c>
      <c r="D261" s="100" t="s">
        <v>300</v>
      </c>
      <c r="E261" s="100">
        <f>157</f>
        <v>157</v>
      </c>
      <c r="F261" s="525">
        <f t="shared" si="3"/>
        <v>142</v>
      </c>
      <c r="G261" s="525">
        <f>'НМЦК (с разбивкой по объектам)'!K264</f>
        <v>22297</v>
      </c>
    </row>
    <row r="262" spans="1:8" s="539" customFormat="1" ht="47.25" hidden="1" outlineLevel="3" x14ac:dyDescent="0.25">
      <c r="A262" s="363" t="s">
        <v>2087</v>
      </c>
      <c r="B262" s="381" t="s">
        <v>1654</v>
      </c>
      <c r="C262" s="381" t="s">
        <v>1627</v>
      </c>
      <c r="D262" s="100" t="s">
        <v>300</v>
      </c>
      <c r="E262" s="100">
        <v>39</v>
      </c>
      <c r="F262" s="525">
        <f t="shared" si="3"/>
        <v>283</v>
      </c>
      <c r="G262" s="525">
        <f>'НМЦК (с разбивкой по объектам)'!K265</f>
        <v>11036</v>
      </c>
      <c r="H262" s="539" t="s">
        <v>1645</v>
      </c>
    </row>
    <row r="263" spans="1:8" s="539" customFormat="1" ht="31.5" hidden="1" outlineLevel="3" x14ac:dyDescent="0.25">
      <c r="A263" s="363" t="s">
        <v>2088</v>
      </c>
      <c r="B263" s="381" t="s">
        <v>1655</v>
      </c>
      <c r="C263" s="381" t="s">
        <v>1051</v>
      </c>
      <c r="D263" s="100" t="s">
        <v>300</v>
      </c>
      <c r="E263" s="100">
        <v>118</v>
      </c>
      <c r="F263" s="525">
        <f t="shared" si="3"/>
        <v>108</v>
      </c>
      <c r="G263" s="525">
        <f>'НМЦК (с разбивкой по объектам)'!K266</f>
        <v>12720</v>
      </c>
    </row>
    <row r="264" spans="1:8" s="539" customFormat="1" hidden="1" outlineLevel="3" x14ac:dyDescent="0.25">
      <c r="A264" s="363"/>
      <c r="B264" s="381"/>
      <c r="C264" s="381" t="s">
        <v>1656</v>
      </c>
      <c r="D264" s="100"/>
      <c r="E264" s="100"/>
      <c r="F264" s="525" t="e">
        <f t="shared" si="3"/>
        <v>#DIV/0!</v>
      </c>
      <c r="G264" s="525">
        <f>'НМЦК (с разбивкой по объектам)'!K267</f>
        <v>0</v>
      </c>
    </row>
    <row r="265" spans="1:8" s="539" customFormat="1" ht="31.5" hidden="1" outlineLevel="3" x14ac:dyDescent="0.25">
      <c r="A265" s="363" t="s">
        <v>2089</v>
      </c>
      <c r="B265" s="381" t="s">
        <v>1657</v>
      </c>
      <c r="C265" s="381" t="s">
        <v>356</v>
      </c>
      <c r="D265" s="100" t="s">
        <v>300</v>
      </c>
      <c r="E265" s="100">
        <f>18</f>
        <v>18</v>
      </c>
      <c r="F265" s="525">
        <f t="shared" ref="F265:F328" si="4">G265/E265</f>
        <v>1670</v>
      </c>
      <c r="G265" s="525">
        <f>'НМЦК (с разбивкой по объектам)'!K268</f>
        <v>30052</v>
      </c>
    </row>
    <row r="266" spans="1:8" s="539" customFormat="1" hidden="1" outlineLevel="3" x14ac:dyDescent="0.25">
      <c r="A266" s="363" t="s">
        <v>2090</v>
      </c>
      <c r="B266" s="381" t="s">
        <v>1658</v>
      </c>
      <c r="C266" s="381" t="s">
        <v>1625</v>
      </c>
      <c r="D266" s="100" t="s">
        <v>300</v>
      </c>
      <c r="E266" s="100">
        <v>18</v>
      </c>
      <c r="F266" s="525">
        <f t="shared" si="4"/>
        <v>142</v>
      </c>
      <c r="G266" s="525">
        <f>'НМЦК (с разбивкой по объектам)'!K269</f>
        <v>2563</v>
      </c>
    </row>
    <row r="267" spans="1:8" s="539" customFormat="1" ht="47.25" hidden="1" outlineLevel="3" x14ac:dyDescent="0.25">
      <c r="A267" s="363" t="s">
        <v>2091</v>
      </c>
      <c r="B267" s="381" t="s">
        <v>1659</v>
      </c>
      <c r="C267" s="381" t="s">
        <v>1627</v>
      </c>
      <c r="D267" s="100" t="s">
        <v>300</v>
      </c>
      <c r="E267" s="100">
        <v>12</v>
      </c>
      <c r="F267" s="525">
        <f t="shared" si="4"/>
        <v>283</v>
      </c>
      <c r="G267" s="525">
        <f>'НМЦК (с разбивкой по объектам)'!K270</f>
        <v>3400</v>
      </c>
      <c r="H267" s="539" t="s">
        <v>1645</v>
      </c>
    </row>
    <row r="268" spans="1:8" s="539" customFormat="1" ht="31.5" hidden="1" outlineLevel="3" x14ac:dyDescent="0.25">
      <c r="A268" s="363" t="s">
        <v>2092</v>
      </c>
      <c r="B268" s="381" t="s">
        <v>1660</v>
      </c>
      <c r="C268" s="381" t="s">
        <v>1051</v>
      </c>
      <c r="D268" s="100" t="s">
        <v>300</v>
      </c>
      <c r="E268" s="100">
        <v>6</v>
      </c>
      <c r="F268" s="525">
        <f t="shared" si="4"/>
        <v>108</v>
      </c>
      <c r="G268" s="525">
        <f>'НМЦК (с разбивкой по объектам)'!K271</f>
        <v>645</v>
      </c>
    </row>
    <row r="269" spans="1:8" s="539" customFormat="1" hidden="1" outlineLevel="3" x14ac:dyDescent="0.25">
      <c r="A269" s="363" t="s">
        <v>2093</v>
      </c>
      <c r="B269" s="381" t="s">
        <v>1661</v>
      </c>
      <c r="C269" s="381" t="s">
        <v>1630</v>
      </c>
      <c r="D269" s="100" t="s">
        <v>300</v>
      </c>
      <c r="E269" s="100">
        <f>4.8</f>
        <v>4.8</v>
      </c>
      <c r="F269" s="525">
        <f t="shared" si="4"/>
        <v>36617</v>
      </c>
      <c r="G269" s="525">
        <f>'НМЦК (с разбивкой по объектам)'!K272</f>
        <v>175763</v>
      </c>
    </row>
    <row r="270" spans="1:8" s="539" customFormat="1" hidden="1" outlineLevel="3" x14ac:dyDescent="0.25">
      <c r="A270" s="363" t="s">
        <v>2094</v>
      </c>
      <c r="B270" s="381" t="s">
        <v>1663</v>
      </c>
      <c r="C270" s="381" t="s">
        <v>1662</v>
      </c>
      <c r="D270" s="100" t="s">
        <v>300</v>
      </c>
      <c r="E270" s="100">
        <f>2.7*2</f>
        <v>5.4</v>
      </c>
      <c r="F270" s="525">
        <f t="shared" si="4"/>
        <v>22581</v>
      </c>
      <c r="G270" s="525">
        <f>'НМЦК (с разбивкой по объектам)'!K273</f>
        <v>121940</v>
      </c>
    </row>
    <row r="271" spans="1:8" s="539" customFormat="1" hidden="1" outlineLevel="3" x14ac:dyDescent="0.25">
      <c r="A271" s="363" t="s">
        <v>2534</v>
      </c>
      <c r="B271" s="381" t="s">
        <v>1665</v>
      </c>
      <c r="C271" s="381" t="s">
        <v>1664</v>
      </c>
      <c r="D271" s="100" t="s">
        <v>408</v>
      </c>
      <c r="E271" s="100">
        <v>1</v>
      </c>
      <c r="F271" s="525">
        <f t="shared" si="4"/>
        <v>37102</v>
      </c>
      <c r="G271" s="525">
        <f>'НМЦК (с разбивкой по объектам)'!K274</f>
        <v>37102</v>
      </c>
    </row>
    <row r="272" spans="1:8" s="539" customFormat="1" ht="94.5" hidden="1" outlineLevel="3" x14ac:dyDescent="0.25">
      <c r="A272" s="363" t="s">
        <v>2535</v>
      </c>
      <c r="B272" s="381" t="s">
        <v>1620</v>
      </c>
      <c r="C272" s="381" t="s">
        <v>1619</v>
      </c>
      <c r="D272" s="100" t="s">
        <v>408</v>
      </c>
      <c r="E272" s="100">
        <v>1</v>
      </c>
      <c r="F272" s="525">
        <f t="shared" si="4"/>
        <v>548215</v>
      </c>
      <c r="G272" s="525">
        <f>'НМЦК (с разбивкой по объектам)'!K275</f>
        <v>548215</v>
      </c>
    </row>
    <row r="273" spans="1:8" s="539" customFormat="1" ht="31.5" hidden="1" outlineLevel="3" x14ac:dyDescent="0.25">
      <c r="A273" s="363"/>
      <c r="B273" s="381"/>
      <c r="C273" s="390" t="s">
        <v>1755</v>
      </c>
      <c r="D273" s="100"/>
      <c r="E273" s="100"/>
      <c r="F273" s="525" t="e">
        <f t="shared" si="4"/>
        <v>#DIV/0!</v>
      </c>
      <c r="G273" s="525">
        <f>'НМЦК (с разбивкой по объектам)'!K276</f>
        <v>0</v>
      </c>
    </row>
    <row r="274" spans="1:8" s="539" customFormat="1" ht="31.5" hidden="1" outlineLevel="3" x14ac:dyDescent="0.25">
      <c r="A274" s="363" t="s">
        <v>2536</v>
      </c>
      <c r="B274" s="381" t="s">
        <v>1756</v>
      </c>
      <c r="C274" s="381" t="s">
        <v>356</v>
      </c>
      <c r="D274" s="100" t="s">
        <v>300</v>
      </c>
      <c r="E274" s="100">
        <v>58</v>
      </c>
      <c r="F274" s="525">
        <f t="shared" si="4"/>
        <v>1670</v>
      </c>
      <c r="G274" s="525">
        <f>'НМЦК (с разбивкой по объектам)'!K277</f>
        <v>96845</v>
      </c>
    </row>
    <row r="275" spans="1:8" s="539" customFormat="1" hidden="1" outlineLevel="3" x14ac:dyDescent="0.25">
      <c r="A275" s="363" t="s">
        <v>2537</v>
      </c>
      <c r="B275" s="381" t="s">
        <v>1757</v>
      </c>
      <c r="C275" s="381" t="s">
        <v>1758</v>
      </c>
      <c r="D275" s="100" t="s">
        <v>404</v>
      </c>
      <c r="E275" s="100">
        <v>290</v>
      </c>
      <c r="F275" s="525">
        <f t="shared" si="4"/>
        <v>0</v>
      </c>
      <c r="G275" s="525">
        <f>'НМЦК (с разбивкой по объектам)'!K278</f>
        <v>101</v>
      </c>
    </row>
    <row r="276" spans="1:8" s="539" customFormat="1" ht="31.5" hidden="1" outlineLevel="3" x14ac:dyDescent="0.25">
      <c r="A276" s="363" t="s">
        <v>2538</v>
      </c>
      <c r="B276" s="381" t="s">
        <v>1760</v>
      </c>
      <c r="C276" s="390" t="s">
        <v>1759</v>
      </c>
      <c r="D276" s="100" t="s">
        <v>292</v>
      </c>
      <c r="E276" s="100">
        <v>1</v>
      </c>
      <c r="F276" s="525">
        <f t="shared" si="4"/>
        <v>34649</v>
      </c>
      <c r="G276" s="525">
        <f>'НМЦК (с разбивкой по объектам)'!K279</f>
        <v>34649</v>
      </c>
    </row>
    <row r="277" spans="1:8" s="539" customFormat="1" hidden="1" outlineLevel="3" x14ac:dyDescent="0.25">
      <c r="A277" s="363" t="s">
        <v>2539</v>
      </c>
      <c r="B277" s="381" t="s">
        <v>793</v>
      </c>
      <c r="C277" s="381" t="s">
        <v>2451</v>
      </c>
      <c r="D277" s="100" t="s">
        <v>292</v>
      </c>
      <c r="E277" s="149">
        <v>1</v>
      </c>
      <c r="F277" s="525">
        <f t="shared" si="4"/>
        <v>377585</v>
      </c>
      <c r="G277" s="525">
        <f>'НМЦК (с разбивкой по объектам)'!K280</f>
        <v>377585</v>
      </c>
      <c r="H277" s="552"/>
    </row>
    <row r="278" spans="1:8" s="539" customFormat="1" hidden="1" outlineLevel="3" collapsed="1" x14ac:dyDescent="0.25">
      <c r="A278" s="363" t="s">
        <v>2563</v>
      </c>
      <c r="B278" s="381" t="s">
        <v>188</v>
      </c>
      <c r="C278" s="381" t="s">
        <v>585</v>
      </c>
      <c r="D278" s="100" t="s">
        <v>292</v>
      </c>
      <c r="E278" s="149">
        <v>1</v>
      </c>
      <c r="F278" s="144">
        <f t="shared" si="4"/>
        <v>44198</v>
      </c>
      <c r="G278" s="144">
        <f>'НМЦК (с разбивкой по объектам)'!K281</f>
        <v>44198</v>
      </c>
    </row>
    <row r="279" spans="1:8" s="539" customFormat="1" ht="31.5" hidden="1" outlineLevel="4" x14ac:dyDescent="0.25">
      <c r="A279" s="363" t="s">
        <v>2564</v>
      </c>
      <c r="B279" s="381" t="s">
        <v>1306</v>
      </c>
      <c r="C279" s="381" t="s">
        <v>1305</v>
      </c>
      <c r="D279" s="100" t="s">
        <v>292</v>
      </c>
      <c r="E279" s="149">
        <v>1</v>
      </c>
      <c r="F279" s="525">
        <f t="shared" si="4"/>
        <v>44198</v>
      </c>
      <c r="G279" s="525">
        <f>'НМЦК (с разбивкой по объектам)'!K282</f>
        <v>44198</v>
      </c>
    </row>
    <row r="280" spans="1:8" s="544" customFormat="1" outlineLevel="2" collapsed="1" x14ac:dyDescent="0.25">
      <c r="A280" s="132" t="s">
        <v>507</v>
      </c>
      <c r="B280" s="320"/>
      <c r="C280" s="133" t="s">
        <v>2370</v>
      </c>
      <c r="D280" s="134" t="s">
        <v>292</v>
      </c>
      <c r="E280" s="90">
        <v>1</v>
      </c>
      <c r="F280" s="526">
        <f t="shared" si="4"/>
        <v>4003260</v>
      </c>
      <c r="G280" s="526">
        <f>'НМЦК (с разбивкой по объектам)'!K283</f>
        <v>4003260</v>
      </c>
    </row>
    <row r="281" spans="1:8" s="539" customFormat="1" hidden="1" outlineLevel="3" x14ac:dyDescent="0.25">
      <c r="A281" s="95"/>
      <c r="B281" s="381"/>
      <c r="C281" s="390" t="s">
        <v>1632</v>
      </c>
      <c r="D281" s="100"/>
      <c r="E281" s="100"/>
      <c r="F281" s="525" t="e">
        <f t="shared" si="4"/>
        <v>#DIV/0!</v>
      </c>
      <c r="G281" s="525">
        <f>'НМЦК (с разбивкой по объектам)'!K284</f>
        <v>0</v>
      </c>
    </row>
    <row r="282" spans="1:8" s="539" customFormat="1" hidden="1" outlineLevel="3" x14ac:dyDescent="0.25">
      <c r="A282" s="95"/>
      <c r="B282" s="381"/>
      <c r="C282" s="381" t="s">
        <v>367</v>
      </c>
      <c r="D282" s="100"/>
      <c r="E282" s="100"/>
      <c r="F282" s="525" t="e">
        <f t="shared" si="4"/>
        <v>#DIV/0!</v>
      </c>
      <c r="G282" s="525">
        <f>'НМЦК (с разбивкой по объектам)'!K285</f>
        <v>0</v>
      </c>
    </row>
    <row r="283" spans="1:8" s="539" customFormat="1" ht="31.5" hidden="1" outlineLevel="3" x14ac:dyDescent="0.25">
      <c r="A283" s="363" t="s">
        <v>2095</v>
      </c>
      <c r="B283" s="381" t="s">
        <v>1633</v>
      </c>
      <c r="C283" s="381" t="s">
        <v>356</v>
      </c>
      <c r="D283" s="100" t="s">
        <v>300</v>
      </c>
      <c r="E283" s="100">
        <f>486.4</f>
        <v>486.4</v>
      </c>
      <c r="F283" s="525">
        <f t="shared" si="4"/>
        <v>1670</v>
      </c>
      <c r="G283" s="525">
        <f>'НМЦК (с разбивкой по объектам)'!K286</f>
        <v>812149</v>
      </c>
    </row>
    <row r="284" spans="1:8" s="539" customFormat="1" hidden="1" outlineLevel="3" x14ac:dyDescent="0.25">
      <c r="A284" s="363" t="s">
        <v>2540</v>
      </c>
      <c r="B284" s="381" t="s">
        <v>1634</v>
      </c>
      <c r="C284" s="381" t="s">
        <v>1625</v>
      </c>
      <c r="D284" s="100" t="s">
        <v>300</v>
      </c>
      <c r="E284" s="100">
        <f>324.9</f>
        <v>324.89999999999998</v>
      </c>
      <c r="F284" s="525">
        <f t="shared" si="4"/>
        <v>142</v>
      </c>
      <c r="G284" s="525">
        <f>'НМЦК (с разбивкой по объектам)'!K287</f>
        <v>46171</v>
      </c>
    </row>
    <row r="285" spans="1:8" s="539" customFormat="1" ht="47.25" hidden="1" outlineLevel="3" x14ac:dyDescent="0.25">
      <c r="A285" s="363" t="s">
        <v>2541</v>
      </c>
      <c r="B285" s="381" t="s">
        <v>1635</v>
      </c>
      <c r="C285" s="381" t="s">
        <v>1627</v>
      </c>
      <c r="D285" s="100" t="s">
        <v>300</v>
      </c>
      <c r="E285" s="100">
        <f>161.5</f>
        <v>161.5</v>
      </c>
      <c r="F285" s="525">
        <f t="shared" si="4"/>
        <v>284</v>
      </c>
      <c r="G285" s="525">
        <f>'НМЦК (с разбивкой по объектам)'!K288</f>
        <v>45802</v>
      </c>
    </row>
    <row r="286" spans="1:8" s="539" customFormat="1" ht="31.5" hidden="1" outlineLevel="3" x14ac:dyDescent="0.25">
      <c r="A286" s="363" t="s">
        <v>2542</v>
      </c>
      <c r="B286" s="381" t="s">
        <v>1636</v>
      </c>
      <c r="C286" s="381" t="s">
        <v>1051</v>
      </c>
      <c r="D286" s="100" t="s">
        <v>300</v>
      </c>
      <c r="E286" s="100">
        <f>324.9</f>
        <v>324.89999999999998</v>
      </c>
      <c r="F286" s="525">
        <f t="shared" si="4"/>
        <v>108</v>
      </c>
      <c r="G286" s="525">
        <f>'НМЦК (с разбивкой по объектам)'!K289</f>
        <v>35000</v>
      </c>
    </row>
    <row r="287" spans="1:8" s="539" customFormat="1" hidden="1" outlineLevel="3" x14ac:dyDescent="0.25">
      <c r="A287" s="363" t="s">
        <v>2543</v>
      </c>
      <c r="B287" s="381" t="s">
        <v>1638</v>
      </c>
      <c r="C287" s="381" t="s">
        <v>1637</v>
      </c>
      <c r="D287" s="100" t="s">
        <v>300</v>
      </c>
      <c r="E287" s="100">
        <f>62.2</f>
        <v>62.2</v>
      </c>
      <c r="F287" s="525">
        <f t="shared" si="4"/>
        <v>108</v>
      </c>
      <c r="G287" s="525">
        <f>'НМЦК (с разбивкой по объектам)'!K290</f>
        <v>6706</v>
      </c>
    </row>
    <row r="288" spans="1:8" s="539" customFormat="1" hidden="1" outlineLevel="3" x14ac:dyDescent="0.25">
      <c r="A288" s="363" t="s">
        <v>2544</v>
      </c>
      <c r="B288" s="381" t="s">
        <v>1640</v>
      </c>
      <c r="C288" s="381" t="s">
        <v>1639</v>
      </c>
      <c r="D288" s="100" t="s">
        <v>292</v>
      </c>
      <c r="E288" s="149">
        <v>1</v>
      </c>
      <c r="F288" s="525">
        <f t="shared" si="4"/>
        <v>1527261</v>
      </c>
      <c r="G288" s="525">
        <f>'НМЦК (с разбивкой по объектам)'!K291</f>
        <v>1527261</v>
      </c>
    </row>
    <row r="289" spans="1:8" s="539" customFormat="1" ht="63" hidden="1" outlineLevel="3" x14ac:dyDescent="0.25">
      <c r="A289" s="363" t="s">
        <v>2545</v>
      </c>
      <c r="B289" s="381" t="s">
        <v>1622</v>
      </c>
      <c r="C289" s="381" t="s">
        <v>1621</v>
      </c>
      <c r="D289" s="100" t="s">
        <v>408</v>
      </c>
      <c r="E289" s="149">
        <v>1</v>
      </c>
      <c r="F289" s="525">
        <f t="shared" si="4"/>
        <v>551008</v>
      </c>
      <c r="G289" s="525">
        <f>'НМЦК (с разбивкой по объектам)'!K292</f>
        <v>551008</v>
      </c>
    </row>
    <row r="290" spans="1:8" s="539" customFormat="1" ht="31.5" hidden="1" outlineLevel="3" x14ac:dyDescent="0.25">
      <c r="A290" s="363"/>
      <c r="B290" s="381"/>
      <c r="C290" s="390" t="s">
        <v>1761</v>
      </c>
      <c r="D290" s="100"/>
      <c r="E290" s="100"/>
      <c r="F290" s="525" t="e">
        <f t="shared" si="4"/>
        <v>#DIV/0!</v>
      </c>
      <c r="G290" s="525">
        <f>'НМЦК (с разбивкой по объектам)'!K293</f>
        <v>0</v>
      </c>
    </row>
    <row r="291" spans="1:8" s="539" customFormat="1" ht="31.5" hidden="1" outlineLevel="3" x14ac:dyDescent="0.25">
      <c r="A291" s="363" t="s">
        <v>2546</v>
      </c>
      <c r="B291" s="381" t="s">
        <v>1762</v>
      </c>
      <c r="C291" s="381" t="s">
        <v>356</v>
      </c>
      <c r="D291" s="100" t="s">
        <v>300</v>
      </c>
      <c r="E291" s="100">
        <v>219</v>
      </c>
      <c r="F291" s="525">
        <f t="shared" si="4"/>
        <v>1670</v>
      </c>
      <c r="G291" s="525">
        <f>'НМЦК (с разбивкой по объектам)'!K294</f>
        <v>365670</v>
      </c>
    </row>
    <row r="292" spans="1:8" s="539" customFormat="1" hidden="1" outlineLevel="3" x14ac:dyDescent="0.25">
      <c r="A292" s="363" t="s">
        <v>2547</v>
      </c>
      <c r="B292" s="381" t="s">
        <v>1763</v>
      </c>
      <c r="C292" s="381" t="s">
        <v>1493</v>
      </c>
      <c r="D292" s="100" t="s">
        <v>300</v>
      </c>
      <c r="E292" s="100">
        <v>62</v>
      </c>
      <c r="F292" s="525">
        <f t="shared" si="4"/>
        <v>107</v>
      </c>
      <c r="G292" s="525">
        <f>'НМЦК (с разбивкой по объектам)'!K295</f>
        <v>6640</v>
      </c>
    </row>
    <row r="293" spans="1:8" s="539" customFormat="1" ht="47.25" hidden="1" outlineLevel="3" x14ac:dyDescent="0.25">
      <c r="A293" s="363" t="s">
        <v>2548</v>
      </c>
      <c r="B293" s="381" t="s">
        <v>1764</v>
      </c>
      <c r="C293" s="381" t="s">
        <v>1765</v>
      </c>
      <c r="D293" s="100" t="s">
        <v>300</v>
      </c>
      <c r="E293" s="100">
        <v>187</v>
      </c>
      <c r="F293" s="525">
        <f t="shared" si="4"/>
        <v>346</v>
      </c>
      <c r="G293" s="525">
        <f>'НМЦК (с разбивкой по объектам)'!K296</f>
        <v>64758</v>
      </c>
    </row>
    <row r="294" spans="1:8" s="539" customFormat="1" hidden="1" outlineLevel="3" x14ac:dyDescent="0.25">
      <c r="A294" s="363" t="s">
        <v>2549</v>
      </c>
      <c r="B294" s="381" t="s">
        <v>1766</v>
      </c>
      <c r="C294" s="381" t="s">
        <v>1749</v>
      </c>
      <c r="D294" s="100" t="s">
        <v>300</v>
      </c>
      <c r="E294" s="100">
        <v>62</v>
      </c>
      <c r="F294" s="525">
        <f t="shared" si="4"/>
        <v>83</v>
      </c>
      <c r="G294" s="525">
        <f>'НМЦК (с разбивкой по объектам)'!K297</f>
        <v>5166</v>
      </c>
    </row>
    <row r="295" spans="1:8" s="539" customFormat="1" hidden="1" outlineLevel="3" x14ac:dyDescent="0.25">
      <c r="A295" s="363" t="s">
        <v>2550</v>
      </c>
      <c r="B295" s="381" t="s">
        <v>1767</v>
      </c>
      <c r="C295" s="381" t="s">
        <v>1753</v>
      </c>
      <c r="D295" s="100" t="s">
        <v>404</v>
      </c>
      <c r="E295" s="100">
        <v>1016</v>
      </c>
      <c r="F295" s="525">
        <f t="shared" si="4"/>
        <v>0</v>
      </c>
      <c r="G295" s="525">
        <f>'НМЦК (с разбивкой по объектам)'!K298</f>
        <v>360</v>
      </c>
    </row>
    <row r="296" spans="1:8" s="539" customFormat="1" ht="31.5" hidden="1" outlineLevel="3" x14ac:dyDescent="0.25">
      <c r="A296" s="363" t="s">
        <v>2551</v>
      </c>
      <c r="B296" s="381" t="s">
        <v>1769</v>
      </c>
      <c r="C296" s="390" t="s">
        <v>1768</v>
      </c>
      <c r="D296" s="100" t="s">
        <v>292</v>
      </c>
      <c r="E296" s="149">
        <v>1</v>
      </c>
      <c r="F296" s="525">
        <f t="shared" si="4"/>
        <v>81732</v>
      </c>
      <c r="G296" s="525">
        <f>'НМЦК (с разбивкой по объектам)'!K299</f>
        <v>81732</v>
      </c>
    </row>
    <row r="297" spans="1:8" s="539" customFormat="1" hidden="1" outlineLevel="3" x14ac:dyDescent="0.25">
      <c r="A297" s="363" t="s">
        <v>2552</v>
      </c>
      <c r="B297" s="381" t="s">
        <v>793</v>
      </c>
      <c r="C297" s="381" t="s">
        <v>2452</v>
      </c>
      <c r="D297" s="100" t="s">
        <v>292</v>
      </c>
      <c r="E297" s="149">
        <v>1</v>
      </c>
      <c r="F297" s="525">
        <f t="shared" si="4"/>
        <v>377585</v>
      </c>
      <c r="G297" s="525">
        <f>'НМЦК (с разбивкой по объектам)'!K300</f>
        <v>377585</v>
      </c>
      <c r="H297" s="552"/>
    </row>
    <row r="298" spans="1:8" s="539" customFormat="1" hidden="1" outlineLevel="3" collapsed="1" x14ac:dyDescent="0.25">
      <c r="A298" s="363" t="s">
        <v>2565</v>
      </c>
      <c r="B298" s="381" t="s">
        <v>188</v>
      </c>
      <c r="C298" s="381" t="s">
        <v>585</v>
      </c>
      <c r="D298" s="100" t="s">
        <v>292</v>
      </c>
      <c r="E298" s="149">
        <v>1</v>
      </c>
      <c r="F298" s="144">
        <f t="shared" si="4"/>
        <v>77252</v>
      </c>
      <c r="G298" s="144">
        <f>'НМЦК (с разбивкой по объектам)'!K301</f>
        <v>77252</v>
      </c>
    </row>
    <row r="299" spans="1:8" s="539" customFormat="1" ht="31.5" hidden="1" outlineLevel="4" x14ac:dyDescent="0.25">
      <c r="A299" s="363" t="s">
        <v>2566</v>
      </c>
      <c r="B299" s="381" t="s">
        <v>1306</v>
      </c>
      <c r="C299" s="381" t="s">
        <v>1305</v>
      </c>
      <c r="D299" s="100" t="s">
        <v>292</v>
      </c>
      <c r="E299" s="149">
        <v>1</v>
      </c>
      <c r="F299" s="525">
        <f t="shared" si="4"/>
        <v>64098</v>
      </c>
      <c r="G299" s="525">
        <f>'НМЦК (с разбивкой по объектам)'!K302</f>
        <v>64098</v>
      </c>
    </row>
    <row r="300" spans="1:8" s="539" customFormat="1" ht="31.5" hidden="1" outlineLevel="4" x14ac:dyDescent="0.25">
      <c r="A300" s="363" t="s">
        <v>2567</v>
      </c>
      <c r="B300" s="381" t="s">
        <v>1308</v>
      </c>
      <c r="C300" s="381" t="s">
        <v>1307</v>
      </c>
      <c r="D300" s="100" t="s">
        <v>292</v>
      </c>
      <c r="E300" s="149">
        <v>1</v>
      </c>
      <c r="F300" s="525">
        <f t="shared" si="4"/>
        <v>13154</v>
      </c>
      <c r="G300" s="525">
        <f>'НМЦК (с разбивкой по объектам)'!K303</f>
        <v>13154</v>
      </c>
    </row>
    <row r="301" spans="1:8" s="544" customFormat="1" ht="31.5" outlineLevel="2" collapsed="1" x14ac:dyDescent="0.25">
      <c r="A301" s="132" t="s">
        <v>2553</v>
      </c>
      <c r="B301" s="320"/>
      <c r="C301" s="133" t="s">
        <v>2371</v>
      </c>
      <c r="D301" s="134" t="s">
        <v>292</v>
      </c>
      <c r="E301" s="90">
        <v>1</v>
      </c>
      <c r="F301" s="526">
        <f t="shared" si="4"/>
        <v>30702522</v>
      </c>
      <c r="G301" s="526">
        <f>'НМЦК (с разбивкой по объектам)'!K304</f>
        <v>30702522</v>
      </c>
    </row>
    <row r="302" spans="1:8" s="539" customFormat="1" ht="31.5" hidden="1" outlineLevel="3" x14ac:dyDescent="0.25">
      <c r="A302" s="363"/>
      <c r="B302" s="381"/>
      <c r="C302" s="390" t="s">
        <v>1641</v>
      </c>
      <c r="D302" s="100"/>
      <c r="E302" s="100"/>
      <c r="F302" s="525" t="e">
        <f t="shared" si="4"/>
        <v>#DIV/0!</v>
      </c>
      <c r="G302" s="525">
        <f>'НМЦК (с разбивкой по объектам)'!K305</f>
        <v>0</v>
      </c>
    </row>
    <row r="303" spans="1:8" s="539" customFormat="1" hidden="1" outlineLevel="3" x14ac:dyDescent="0.25">
      <c r="A303" s="363"/>
      <c r="B303" s="381"/>
      <c r="C303" s="381" t="s">
        <v>367</v>
      </c>
      <c r="D303" s="100"/>
      <c r="E303" s="100"/>
      <c r="F303" s="525" t="e">
        <f t="shared" si="4"/>
        <v>#DIV/0!</v>
      </c>
      <c r="G303" s="525">
        <f>'НМЦК (с разбивкой по объектам)'!K306</f>
        <v>0</v>
      </c>
    </row>
    <row r="304" spans="1:8" s="539" customFormat="1" ht="31.5" hidden="1" outlineLevel="3" x14ac:dyDescent="0.25">
      <c r="A304" s="363" t="s">
        <v>2554</v>
      </c>
      <c r="B304" s="381" t="s">
        <v>1642</v>
      </c>
      <c r="C304" s="381" t="s">
        <v>356</v>
      </c>
      <c r="D304" s="100" t="s">
        <v>300</v>
      </c>
      <c r="E304" s="100">
        <f>320+66.2</f>
        <v>386.2</v>
      </c>
      <c r="F304" s="525">
        <f t="shared" si="4"/>
        <v>1670</v>
      </c>
      <c r="G304" s="525">
        <f>'НМЦК (с разбивкой по объектам)'!K307</f>
        <v>644843</v>
      </c>
    </row>
    <row r="305" spans="1:8" s="539" customFormat="1" hidden="1" outlineLevel="3" x14ac:dyDescent="0.25">
      <c r="A305" s="363" t="s">
        <v>2555</v>
      </c>
      <c r="B305" s="381" t="s">
        <v>1643</v>
      </c>
      <c r="C305" s="381" t="s">
        <v>1625</v>
      </c>
      <c r="D305" s="100" t="s">
        <v>300</v>
      </c>
      <c r="E305" s="100">
        <f>320+66.2</f>
        <v>386.2</v>
      </c>
      <c r="F305" s="525">
        <f t="shared" si="4"/>
        <v>142</v>
      </c>
      <c r="G305" s="525">
        <f>'НМЦК (с разбивкой по объектам)'!K308</f>
        <v>54878</v>
      </c>
    </row>
    <row r="306" spans="1:8" s="539" customFormat="1" ht="47.25" hidden="1" outlineLevel="3" x14ac:dyDescent="0.25">
      <c r="A306" s="363" t="s">
        <v>2556</v>
      </c>
      <c r="B306" s="381" t="s">
        <v>1644</v>
      </c>
      <c r="C306" s="381" t="s">
        <v>1627</v>
      </c>
      <c r="D306" s="100" t="s">
        <v>300</v>
      </c>
      <c r="E306" s="100">
        <f>65.8</f>
        <v>65.8</v>
      </c>
      <c r="F306" s="525">
        <f t="shared" si="4"/>
        <v>284</v>
      </c>
      <c r="G306" s="525">
        <f>'НМЦК (с разбивкой по объектам)'!K309</f>
        <v>18656</v>
      </c>
      <c r="H306" s="539" t="s">
        <v>1645</v>
      </c>
    </row>
    <row r="307" spans="1:8" s="539" customFormat="1" ht="31.5" hidden="1" outlineLevel="3" x14ac:dyDescent="0.25">
      <c r="A307" s="363" t="s">
        <v>2557</v>
      </c>
      <c r="B307" s="381" t="s">
        <v>1646</v>
      </c>
      <c r="C307" s="381" t="s">
        <v>1051</v>
      </c>
      <c r="D307" s="100" t="s">
        <v>300</v>
      </c>
      <c r="E307" s="100">
        <f>320.4</f>
        <v>320.39999999999998</v>
      </c>
      <c r="F307" s="525">
        <f t="shared" si="4"/>
        <v>108</v>
      </c>
      <c r="G307" s="525">
        <f>'НМЦК (с разбивкой по объектам)'!K310</f>
        <v>34523</v>
      </c>
    </row>
    <row r="308" spans="1:8" s="539" customFormat="1" hidden="1" outlineLevel="3" x14ac:dyDescent="0.25">
      <c r="A308" s="363" t="s">
        <v>2558</v>
      </c>
      <c r="B308" s="381" t="s">
        <v>1647</v>
      </c>
      <c r="C308" s="381" t="s">
        <v>1630</v>
      </c>
      <c r="D308" s="100" t="s">
        <v>300</v>
      </c>
      <c r="E308" s="100">
        <f>53.04</f>
        <v>53.04</v>
      </c>
      <c r="F308" s="525">
        <f t="shared" si="4"/>
        <v>31345</v>
      </c>
      <c r="G308" s="525">
        <f>'НМЦК (с разбивкой по объектам)'!K311</f>
        <v>1662548</v>
      </c>
    </row>
    <row r="309" spans="1:8" s="539" customFormat="1" hidden="1" outlineLevel="3" x14ac:dyDescent="0.25">
      <c r="A309" s="363" t="s">
        <v>2559</v>
      </c>
      <c r="B309" s="381" t="s">
        <v>1649</v>
      </c>
      <c r="C309" s="381" t="s">
        <v>1648</v>
      </c>
      <c r="D309" s="100" t="s">
        <v>300</v>
      </c>
      <c r="E309" s="100">
        <f>5.76</f>
        <v>5.76</v>
      </c>
      <c r="F309" s="525">
        <f t="shared" si="4"/>
        <v>42413</v>
      </c>
      <c r="G309" s="525">
        <f>'НМЦК (с разбивкой по объектам)'!K312</f>
        <v>244298</v>
      </c>
    </row>
    <row r="310" spans="1:8" s="539" customFormat="1" hidden="1" outlineLevel="3" x14ac:dyDescent="0.25">
      <c r="A310" s="363"/>
      <c r="B310" s="381"/>
      <c r="C310" s="381" t="s">
        <v>1614</v>
      </c>
      <c r="D310" s="100"/>
      <c r="E310" s="100"/>
      <c r="F310" s="525" t="e">
        <f t="shared" si="4"/>
        <v>#DIV/0!</v>
      </c>
      <c r="G310" s="525">
        <f>'НМЦК (с разбивкой по объектам)'!K313</f>
        <v>0</v>
      </c>
    </row>
    <row r="311" spans="1:8" s="539" customFormat="1" ht="63" hidden="1" outlineLevel="3" x14ac:dyDescent="0.25">
      <c r="A311" s="363" t="s">
        <v>2560</v>
      </c>
      <c r="B311" s="381" t="s">
        <v>1616</v>
      </c>
      <c r="C311" s="381" t="s">
        <v>1615</v>
      </c>
      <c r="D311" s="100" t="s">
        <v>408</v>
      </c>
      <c r="E311" s="149">
        <v>2</v>
      </c>
      <c r="F311" s="525">
        <f t="shared" si="4"/>
        <v>12679415</v>
      </c>
      <c r="G311" s="525">
        <f>'НМЦК (с разбивкой по объектам)'!K314</f>
        <v>25358830</v>
      </c>
    </row>
    <row r="312" spans="1:8" s="539" customFormat="1" ht="110.25" hidden="1" outlineLevel="3" x14ac:dyDescent="0.25">
      <c r="A312" s="363" t="s">
        <v>2561</v>
      </c>
      <c r="B312" s="381" t="s">
        <v>1618</v>
      </c>
      <c r="C312" s="381" t="s">
        <v>1617</v>
      </c>
      <c r="D312" s="100" t="s">
        <v>408</v>
      </c>
      <c r="E312" s="149">
        <v>1</v>
      </c>
      <c r="F312" s="525">
        <f t="shared" si="4"/>
        <v>2219032</v>
      </c>
      <c r="G312" s="525">
        <f>'НМЦК (с разбивкой по объектам)'!K315</f>
        <v>2219032</v>
      </c>
    </row>
    <row r="313" spans="1:8" s="539" customFormat="1" hidden="1" outlineLevel="3" x14ac:dyDescent="0.25">
      <c r="A313" s="363" t="s">
        <v>2562</v>
      </c>
      <c r="B313" s="381" t="s">
        <v>793</v>
      </c>
      <c r="C313" s="381" t="s">
        <v>2453</v>
      </c>
      <c r="D313" s="100" t="s">
        <v>292</v>
      </c>
      <c r="E313" s="149">
        <v>1</v>
      </c>
      <c r="F313" s="525">
        <f t="shared" si="4"/>
        <v>377585</v>
      </c>
      <c r="G313" s="525">
        <f>'НМЦК (с разбивкой по объектам)'!K316</f>
        <v>377585</v>
      </c>
      <c r="H313" s="552"/>
    </row>
    <row r="314" spans="1:8" s="539" customFormat="1" ht="31.5" hidden="1" outlineLevel="3" collapsed="1" x14ac:dyDescent="0.25">
      <c r="A314" s="363" t="s">
        <v>2568</v>
      </c>
      <c r="B314" s="381" t="s">
        <v>188</v>
      </c>
      <c r="C314" s="381" t="s">
        <v>189</v>
      </c>
      <c r="D314" s="100" t="s">
        <v>292</v>
      </c>
      <c r="E314" s="149">
        <v>1</v>
      </c>
      <c r="F314" s="144">
        <f t="shared" si="4"/>
        <v>87329</v>
      </c>
      <c r="G314" s="144">
        <f>'НМЦК (с разбивкой по объектам)'!K317</f>
        <v>87329</v>
      </c>
    </row>
    <row r="315" spans="1:8" s="539" customFormat="1" ht="31.5" hidden="1" outlineLevel="4" x14ac:dyDescent="0.25">
      <c r="A315" s="363" t="s">
        <v>2569</v>
      </c>
      <c r="B315" s="381" t="s">
        <v>1306</v>
      </c>
      <c r="C315" s="381" t="s">
        <v>1305</v>
      </c>
      <c r="D315" s="100" t="s">
        <v>292</v>
      </c>
      <c r="E315" s="149">
        <v>1</v>
      </c>
      <c r="F315" s="525">
        <f t="shared" si="4"/>
        <v>74175</v>
      </c>
      <c r="G315" s="525">
        <f>'НМЦК (с разбивкой по объектам)'!K318</f>
        <v>74175</v>
      </c>
    </row>
    <row r="316" spans="1:8" s="539" customFormat="1" ht="31.5" hidden="1" outlineLevel="4" x14ac:dyDescent="0.25">
      <c r="A316" s="363" t="s">
        <v>2570</v>
      </c>
      <c r="B316" s="381" t="s">
        <v>1308</v>
      </c>
      <c r="C316" s="381" t="s">
        <v>1307</v>
      </c>
      <c r="D316" s="100" t="s">
        <v>292</v>
      </c>
      <c r="E316" s="149">
        <v>1</v>
      </c>
      <c r="F316" s="525">
        <f t="shared" si="4"/>
        <v>13154</v>
      </c>
      <c r="G316" s="525">
        <f>'НМЦК (с разбивкой по объектам)'!K319</f>
        <v>13154</v>
      </c>
    </row>
    <row r="317" spans="1:8" s="544" customFormat="1" outlineLevel="2" collapsed="1" x14ac:dyDescent="0.25">
      <c r="A317" s="132" t="s">
        <v>2571</v>
      </c>
      <c r="B317" s="320"/>
      <c r="C317" s="133" t="s">
        <v>2372</v>
      </c>
      <c r="D317" s="134" t="s">
        <v>292</v>
      </c>
      <c r="E317" s="90">
        <v>1</v>
      </c>
      <c r="F317" s="526">
        <f t="shared" si="4"/>
        <v>3811970</v>
      </c>
      <c r="G317" s="526">
        <f>'НМЦК (с разбивкой по объектам)'!K320</f>
        <v>3811970</v>
      </c>
    </row>
    <row r="318" spans="1:8" s="539" customFormat="1" ht="31.5" hidden="1" outlineLevel="3" x14ac:dyDescent="0.25">
      <c r="A318" s="363"/>
      <c r="B318" s="381"/>
      <c r="C318" s="390" t="s">
        <v>1623</v>
      </c>
      <c r="D318" s="100"/>
      <c r="E318" s="100"/>
      <c r="F318" s="525" t="e">
        <f t="shared" si="4"/>
        <v>#DIV/0!</v>
      </c>
      <c r="G318" s="525">
        <f>'НМЦК (с разбивкой по объектам)'!K321</f>
        <v>0</v>
      </c>
    </row>
    <row r="319" spans="1:8" s="539" customFormat="1" hidden="1" outlineLevel="3" x14ac:dyDescent="0.25">
      <c r="A319" s="363"/>
      <c r="B319" s="381"/>
      <c r="C319" s="381" t="s">
        <v>367</v>
      </c>
      <c r="D319" s="100"/>
      <c r="E319" s="100"/>
      <c r="F319" s="525" t="e">
        <f t="shared" si="4"/>
        <v>#DIV/0!</v>
      </c>
      <c r="G319" s="525">
        <f>'НМЦК (с разбивкой по объектам)'!K322</f>
        <v>0</v>
      </c>
    </row>
    <row r="320" spans="1:8" s="539" customFormat="1" ht="31.5" hidden="1" outlineLevel="3" x14ac:dyDescent="0.25">
      <c r="A320" s="363" t="s">
        <v>2572</v>
      </c>
      <c r="B320" s="381" t="s">
        <v>1624</v>
      </c>
      <c r="C320" s="381" t="s">
        <v>356</v>
      </c>
      <c r="D320" s="100" t="s">
        <v>300</v>
      </c>
      <c r="E320" s="100">
        <f>122.5</f>
        <v>122.5</v>
      </c>
      <c r="F320" s="525">
        <f t="shared" si="4"/>
        <v>1670</v>
      </c>
      <c r="G320" s="525">
        <f>'НМЦК (с разбивкой по объектам)'!K323</f>
        <v>204549</v>
      </c>
    </row>
    <row r="321" spans="1:7" s="539" customFormat="1" hidden="1" outlineLevel="3" x14ac:dyDescent="0.25">
      <c r="A321" s="363" t="s">
        <v>2573</v>
      </c>
      <c r="B321" s="381" t="s">
        <v>1626</v>
      </c>
      <c r="C321" s="381" t="s">
        <v>1625</v>
      </c>
      <c r="D321" s="100" t="s">
        <v>300</v>
      </c>
      <c r="E321" s="100">
        <f>85.6</f>
        <v>85.6</v>
      </c>
      <c r="F321" s="525">
        <f t="shared" si="4"/>
        <v>142</v>
      </c>
      <c r="G321" s="525">
        <f>'НМЦК (с разбивкой по объектам)'!K324</f>
        <v>12150</v>
      </c>
    </row>
    <row r="322" spans="1:7" s="539" customFormat="1" ht="47.25" hidden="1" outlineLevel="3" x14ac:dyDescent="0.25">
      <c r="A322" s="363" t="s">
        <v>2574</v>
      </c>
      <c r="B322" s="381" t="s">
        <v>1628</v>
      </c>
      <c r="C322" s="381" t="s">
        <v>1627</v>
      </c>
      <c r="D322" s="100" t="s">
        <v>300</v>
      </c>
      <c r="E322" s="100">
        <f>36.9</f>
        <v>36.9</v>
      </c>
      <c r="F322" s="525">
        <f t="shared" si="4"/>
        <v>284</v>
      </c>
      <c r="G322" s="525">
        <f>'НМЦК (с разбивкой по объектам)'!K325</f>
        <v>10467</v>
      </c>
    </row>
    <row r="323" spans="1:7" s="539" customFormat="1" ht="31.5" hidden="1" outlineLevel="3" x14ac:dyDescent="0.25">
      <c r="A323" s="363" t="s">
        <v>2575</v>
      </c>
      <c r="B323" s="381" t="s">
        <v>1629</v>
      </c>
      <c r="C323" s="381" t="s">
        <v>1051</v>
      </c>
      <c r="D323" s="100" t="s">
        <v>300</v>
      </c>
      <c r="E323" s="100">
        <f>85.6</f>
        <v>85.6</v>
      </c>
      <c r="F323" s="525">
        <f t="shared" si="4"/>
        <v>108</v>
      </c>
      <c r="G323" s="525">
        <f>'НМЦК (с разбивкой по объектам)'!K326</f>
        <v>9235</v>
      </c>
    </row>
    <row r="324" spans="1:7" s="539" customFormat="1" hidden="1" outlineLevel="3" x14ac:dyDescent="0.25">
      <c r="A324" s="363" t="s">
        <v>2576</v>
      </c>
      <c r="B324" s="381" t="s">
        <v>1631</v>
      </c>
      <c r="C324" s="381" t="s">
        <v>1630</v>
      </c>
      <c r="D324" s="100" t="s">
        <v>300</v>
      </c>
      <c r="E324" s="100">
        <f>17.51</f>
        <v>17.510000000000002</v>
      </c>
      <c r="F324" s="525">
        <f t="shared" si="4"/>
        <v>33931</v>
      </c>
      <c r="G324" s="525">
        <f>'НМЦК (с разбивкой по объектам)'!K327</f>
        <v>594127</v>
      </c>
    </row>
    <row r="325" spans="1:7" s="539" customFormat="1" ht="220.5" hidden="1" outlineLevel="3" x14ac:dyDescent="0.25">
      <c r="A325" s="363" t="s">
        <v>2577</v>
      </c>
      <c r="B325" s="381" t="s">
        <v>1723</v>
      </c>
      <c r="C325" s="381" t="s">
        <v>1722</v>
      </c>
      <c r="D325" s="100" t="s">
        <v>408</v>
      </c>
      <c r="E325" s="100">
        <v>2</v>
      </c>
      <c r="F325" s="525">
        <f t="shared" si="4"/>
        <v>933837</v>
      </c>
      <c r="G325" s="525">
        <f>'НМЦК (с разбивкой по объектам)'!K328</f>
        <v>1867674</v>
      </c>
    </row>
    <row r="326" spans="1:7" s="539" customFormat="1" ht="126" hidden="1" outlineLevel="3" x14ac:dyDescent="0.25">
      <c r="A326" s="363" t="s">
        <v>2578</v>
      </c>
      <c r="B326" s="381" t="s">
        <v>1724</v>
      </c>
      <c r="C326" s="381" t="s">
        <v>1725</v>
      </c>
      <c r="D326" s="100" t="s">
        <v>408</v>
      </c>
      <c r="E326" s="100">
        <v>1</v>
      </c>
      <c r="F326" s="525">
        <f t="shared" si="4"/>
        <v>210301</v>
      </c>
      <c r="G326" s="525">
        <f>'НМЦК (с разбивкой по объектам)'!K329</f>
        <v>210301</v>
      </c>
    </row>
    <row r="327" spans="1:7" s="539" customFormat="1" ht="47.25" hidden="1" outlineLevel="3" x14ac:dyDescent="0.25">
      <c r="A327" s="363" t="s">
        <v>2579</v>
      </c>
      <c r="B327" s="381" t="s">
        <v>1726</v>
      </c>
      <c r="C327" s="381" t="s">
        <v>1727</v>
      </c>
      <c r="D327" s="100" t="s">
        <v>408</v>
      </c>
      <c r="E327" s="100">
        <v>1</v>
      </c>
      <c r="F327" s="525">
        <f t="shared" si="4"/>
        <v>634276</v>
      </c>
      <c r="G327" s="525">
        <f>'НМЦК (с разбивкой по объектам)'!K330</f>
        <v>634276</v>
      </c>
    </row>
    <row r="328" spans="1:7" s="539" customFormat="1" hidden="1" outlineLevel="3" x14ac:dyDescent="0.25">
      <c r="A328" s="363" t="s">
        <v>2580</v>
      </c>
      <c r="B328" s="381" t="s">
        <v>1728</v>
      </c>
      <c r="C328" s="381" t="s">
        <v>1729</v>
      </c>
      <c r="D328" s="100" t="s">
        <v>408</v>
      </c>
      <c r="E328" s="100">
        <v>2</v>
      </c>
      <c r="F328" s="525">
        <f t="shared" si="4"/>
        <v>86265</v>
      </c>
      <c r="G328" s="525">
        <f>'НМЦК (с разбивкой по объектам)'!K331</f>
        <v>172530</v>
      </c>
    </row>
    <row r="329" spans="1:7" s="539" customFormat="1" hidden="1" outlineLevel="3" x14ac:dyDescent="0.25">
      <c r="A329" s="363" t="s">
        <v>2581</v>
      </c>
      <c r="B329" s="381" t="s">
        <v>1731</v>
      </c>
      <c r="C329" s="381" t="s">
        <v>1730</v>
      </c>
      <c r="D329" s="100" t="s">
        <v>408</v>
      </c>
      <c r="E329" s="100">
        <v>2</v>
      </c>
      <c r="F329" s="525">
        <f t="shared" ref="F329:F392" si="5">G329/E329</f>
        <v>540</v>
      </c>
      <c r="G329" s="525">
        <f>'НМЦК (с разбивкой по объектам)'!K332</f>
        <v>1080</v>
      </c>
    </row>
    <row r="330" spans="1:7" s="539" customFormat="1" ht="31.5" hidden="1" outlineLevel="3" x14ac:dyDescent="0.25">
      <c r="A330" s="363" t="s">
        <v>2582</v>
      </c>
      <c r="B330" s="381" t="s">
        <v>1733</v>
      </c>
      <c r="C330" s="381" t="s">
        <v>1732</v>
      </c>
      <c r="D330" s="100" t="s">
        <v>408</v>
      </c>
      <c r="E330" s="100">
        <v>4</v>
      </c>
      <c r="F330" s="525">
        <f t="shared" si="5"/>
        <v>10607</v>
      </c>
      <c r="G330" s="525">
        <f>'НМЦК (с разбивкой по объектам)'!K333</f>
        <v>42427</v>
      </c>
    </row>
    <row r="331" spans="1:7" s="539" customFormat="1" ht="31.5" hidden="1" outlineLevel="3" x14ac:dyDescent="0.25">
      <c r="A331" s="363" t="s">
        <v>2583</v>
      </c>
      <c r="B331" s="381" t="s">
        <v>1735</v>
      </c>
      <c r="C331" s="381" t="s">
        <v>1734</v>
      </c>
      <c r="D331" s="100" t="s">
        <v>408</v>
      </c>
      <c r="E331" s="100">
        <v>1</v>
      </c>
      <c r="F331" s="525">
        <f t="shared" si="5"/>
        <v>45099</v>
      </c>
      <c r="G331" s="525">
        <f>'НМЦК (с разбивкой по объектам)'!K334</f>
        <v>45099</v>
      </c>
    </row>
    <row r="332" spans="1:7" s="539" customFormat="1" hidden="1" outlineLevel="3" x14ac:dyDescent="0.25">
      <c r="A332" s="363" t="s">
        <v>2584</v>
      </c>
      <c r="B332" s="381" t="s">
        <v>1737</v>
      </c>
      <c r="C332" s="381" t="s">
        <v>1736</v>
      </c>
      <c r="D332" s="100" t="s">
        <v>408</v>
      </c>
      <c r="E332" s="100">
        <v>5</v>
      </c>
      <c r="F332" s="525">
        <f t="shared" si="5"/>
        <v>1348</v>
      </c>
      <c r="G332" s="525">
        <f>'НМЦК (с разбивкой по объектам)'!K335</f>
        <v>6741</v>
      </c>
    </row>
    <row r="333" spans="1:7" s="539" customFormat="1" hidden="1" outlineLevel="3" x14ac:dyDescent="0.25">
      <c r="A333" s="363" t="s">
        <v>2585</v>
      </c>
      <c r="B333" s="381" t="s">
        <v>1739</v>
      </c>
      <c r="C333" s="381" t="s">
        <v>1738</v>
      </c>
      <c r="D333" s="100" t="s">
        <v>408</v>
      </c>
      <c r="E333" s="100">
        <v>1</v>
      </c>
      <c r="F333" s="525">
        <f t="shared" si="5"/>
        <v>1314</v>
      </c>
      <c r="G333" s="525">
        <f>'НМЦК (с разбивкой по объектам)'!K336</f>
        <v>1314</v>
      </c>
    </row>
    <row r="334" spans="1:7" s="540" customFormat="1" ht="31.5" outlineLevel="2" collapsed="1" x14ac:dyDescent="0.25">
      <c r="A334" s="132" t="s">
        <v>2586</v>
      </c>
      <c r="B334" s="320" t="s">
        <v>37</v>
      </c>
      <c r="C334" s="320" t="s">
        <v>38</v>
      </c>
      <c r="D334" s="134" t="s">
        <v>292</v>
      </c>
      <c r="E334" s="90">
        <v>1</v>
      </c>
      <c r="F334" s="526">
        <f t="shared" si="5"/>
        <v>24904395</v>
      </c>
      <c r="G334" s="526">
        <f>'НМЦК (с разбивкой по объектам)'!K337</f>
        <v>24904395</v>
      </c>
    </row>
    <row r="335" spans="1:7" s="539" customFormat="1" hidden="1" outlineLevel="3" x14ac:dyDescent="0.25">
      <c r="A335" s="363"/>
      <c r="B335" s="381"/>
      <c r="C335" s="381" t="s">
        <v>367</v>
      </c>
      <c r="D335" s="100"/>
      <c r="E335" s="100"/>
      <c r="F335" s="525" t="e">
        <f t="shared" si="5"/>
        <v>#DIV/0!</v>
      </c>
      <c r="G335" s="525">
        <f>'НМЦК (с разбивкой по объектам)'!K338</f>
        <v>0</v>
      </c>
    </row>
    <row r="336" spans="1:7" s="539" customFormat="1" ht="31.5" hidden="1" outlineLevel="3" x14ac:dyDescent="0.25">
      <c r="A336" s="363" t="s">
        <v>2587</v>
      </c>
      <c r="B336" s="381" t="s">
        <v>499</v>
      </c>
      <c r="C336" s="381" t="s">
        <v>356</v>
      </c>
      <c r="D336" s="100" t="s">
        <v>300</v>
      </c>
      <c r="E336" s="100">
        <f>844.67</f>
        <v>844.67</v>
      </c>
      <c r="F336" s="525">
        <f t="shared" si="5"/>
        <v>1670</v>
      </c>
      <c r="G336" s="525">
        <f>'НМЦК (с разбивкой по объектам)'!K339</f>
        <v>1410283</v>
      </c>
    </row>
    <row r="337" spans="1:8" s="539" customFormat="1" hidden="1" outlineLevel="3" x14ac:dyDescent="0.25">
      <c r="A337" s="363" t="s">
        <v>2588</v>
      </c>
      <c r="B337" s="381" t="s">
        <v>1422</v>
      </c>
      <c r="C337" s="381" t="s">
        <v>398</v>
      </c>
      <c r="D337" s="100" t="s">
        <v>300</v>
      </c>
      <c r="E337" s="100">
        <f>312.69</f>
        <v>312.69</v>
      </c>
      <c r="F337" s="525">
        <f t="shared" si="5"/>
        <v>145</v>
      </c>
      <c r="G337" s="525">
        <f>'НМЦК (с разбивкой по объектам)'!K340</f>
        <v>45425</v>
      </c>
    </row>
    <row r="338" spans="1:8" s="539" customFormat="1" ht="47.25" hidden="1" outlineLevel="3" x14ac:dyDescent="0.25">
      <c r="A338" s="363" t="s">
        <v>2589</v>
      </c>
      <c r="B338" s="381" t="s">
        <v>1423</v>
      </c>
      <c r="C338" s="381" t="s">
        <v>1402</v>
      </c>
      <c r="D338" s="100" t="s">
        <v>300</v>
      </c>
      <c r="E338" s="100">
        <f>278.58</f>
        <v>278.58</v>
      </c>
      <c r="F338" s="525">
        <f t="shared" si="5"/>
        <v>304</v>
      </c>
      <c r="G338" s="525">
        <f>'НМЦК (с разбивкой по объектам)'!K341</f>
        <v>84595</v>
      </c>
    </row>
    <row r="339" spans="1:8" s="539" customFormat="1" ht="31.5" hidden="1" outlineLevel="3" x14ac:dyDescent="0.25">
      <c r="A339" s="363" t="s">
        <v>2590</v>
      </c>
      <c r="B339" s="381" t="s">
        <v>1424</v>
      </c>
      <c r="C339" s="381" t="s">
        <v>1405</v>
      </c>
      <c r="D339" s="100" t="s">
        <v>300</v>
      </c>
      <c r="E339" s="100">
        <f>168.93</f>
        <v>168.93</v>
      </c>
      <c r="F339" s="525">
        <f t="shared" si="5"/>
        <v>1116</v>
      </c>
      <c r="G339" s="525">
        <f>'НМЦК (с разбивкой по объектам)'!K342</f>
        <v>188449</v>
      </c>
    </row>
    <row r="340" spans="1:8" s="539" customFormat="1" hidden="1" outlineLevel="3" x14ac:dyDescent="0.25">
      <c r="A340" s="363" t="s">
        <v>2591</v>
      </c>
      <c r="B340" s="381" t="s">
        <v>1425</v>
      </c>
      <c r="C340" s="381" t="s">
        <v>1406</v>
      </c>
      <c r="D340" s="100" t="s">
        <v>300</v>
      </c>
      <c r="E340" s="100">
        <f>84.47</f>
        <v>84.47</v>
      </c>
      <c r="F340" s="525">
        <f t="shared" si="5"/>
        <v>1030</v>
      </c>
      <c r="G340" s="525">
        <f>'НМЦК (с разбивкой по объектам)'!K343</f>
        <v>86990</v>
      </c>
    </row>
    <row r="341" spans="1:8" s="539" customFormat="1" ht="31.5" hidden="1" outlineLevel="3" x14ac:dyDescent="0.25">
      <c r="A341" s="363" t="s">
        <v>2592</v>
      </c>
      <c r="B341" s="381" t="s">
        <v>1426</v>
      </c>
      <c r="C341" s="381" t="s">
        <v>750</v>
      </c>
      <c r="D341" s="100" t="s">
        <v>300</v>
      </c>
      <c r="E341" s="100">
        <f>566.09</f>
        <v>566.09</v>
      </c>
      <c r="F341" s="525">
        <f t="shared" si="5"/>
        <v>113</v>
      </c>
      <c r="G341" s="525">
        <f>'НМЦК (с разбивкой по объектам)'!K344</f>
        <v>64089</v>
      </c>
    </row>
    <row r="342" spans="1:8" s="539" customFormat="1" ht="47.25" hidden="1" outlineLevel="3" x14ac:dyDescent="0.25">
      <c r="A342" s="363" t="s">
        <v>2593</v>
      </c>
      <c r="B342" s="381" t="s">
        <v>1428</v>
      </c>
      <c r="C342" s="381" t="s">
        <v>1427</v>
      </c>
      <c r="D342" s="100" t="s">
        <v>377</v>
      </c>
      <c r="E342" s="100">
        <v>2396</v>
      </c>
      <c r="F342" s="525">
        <f t="shared" si="5"/>
        <v>1999</v>
      </c>
      <c r="G342" s="525">
        <f>'НМЦК (с разбивкой по объектам)'!K345</f>
        <v>4788611</v>
      </c>
      <c r="H342" s="552" t="s">
        <v>1411</v>
      </c>
    </row>
    <row r="343" spans="1:8" s="539" customFormat="1" hidden="1" outlineLevel="3" x14ac:dyDescent="0.25">
      <c r="A343" s="363"/>
      <c r="B343" s="381"/>
      <c r="C343" s="381" t="s">
        <v>379</v>
      </c>
      <c r="D343" s="100"/>
      <c r="E343" s="100"/>
      <c r="F343" s="525" t="e">
        <f t="shared" si="5"/>
        <v>#DIV/0!</v>
      </c>
      <c r="G343" s="525">
        <f>'НМЦК (с разбивкой по объектам)'!K346</f>
        <v>0</v>
      </c>
    </row>
    <row r="344" spans="1:8" s="539" customFormat="1" hidden="1" outlineLevel="3" x14ac:dyDescent="0.25">
      <c r="A344" s="363" t="s">
        <v>2594</v>
      </c>
      <c r="B344" s="381" t="s">
        <v>1430</v>
      </c>
      <c r="C344" s="381" t="s">
        <v>1429</v>
      </c>
      <c r="D344" s="100" t="s">
        <v>377</v>
      </c>
      <c r="E344" s="100">
        <v>10</v>
      </c>
      <c r="F344" s="525">
        <f t="shared" si="5"/>
        <v>893</v>
      </c>
      <c r="G344" s="525">
        <f>'НМЦК (с разбивкой по объектам)'!K347</f>
        <v>8934</v>
      </c>
    </row>
    <row r="345" spans="1:8" s="539" customFormat="1" ht="47.25" hidden="1" outlineLevel="3" x14ac:dyDescent="0.25">
      <c r="A345" s="363" t="s">
        <v>2595</v>
      </c>
      <c r="B345" s="381" t="s">
        <v>1432</v>
      </c>
      <c r="C345" s="381" t="s">
        <v>1431</v>
      </c>
      <c r="D345" s="100" t="s">
        <v>377</v>
      </c>
      <c r="E345" s="100">
        <v>180</v>
      </c>
      <c r="F345" s="525">
        <f t="shared" si="5"/>
        <v>2112</v>
      </c>
      <c r="G345" s="525">
        <f>'НМЦК (с разбивкой по объектам)'!K348</f>
        <v>380106</v>
      </c>
    </row>
    <row r="346" spans="1:8" s="539" customFormat="1" hidden="1" outlineLevel="3" x14ac:dyDescent="0.25">
      <c r="A346" s="363" t="s">
        <v>2596</v>
      </c>
      <c r="B346" s="381" t="s">
        <v>1435</v>
      </c>
      <c r="C346" s="381" t="s">
        <v>1433</v>
      </c>
      <c r="D346" s="100" t="s">
        <v>377</v>
      </c>
      <c r="E346" s="100">
        <v>7</v>
      </c>
      <c r="F346" s="525">
        <f t="shared" si="5"/>
        <v>5395</v>
      </c>
      <c r="G346" s="525">
        <f>'НМЦК (с разбивкой по объектам)'!K349</f>
        <v>37764</v>
      </c>
    </row>
    <row r="347" spans="1:8" s="539" customFormat="1" hidden="1" outlineLevel="3" x14ac:dyDescent="0.25">
      <c r="A347" s="363" t="s">
        <v>2597</v>
      </c>
      <c r="B347" s="381" t="s">
        <v>1436</v>
      </c>
      <c r="C347" s="381" t="s">
        <v>1434</v>
      </c>
      <c r="D347" s="100" t="s">
        <v>377</v>
      </c>
      <c r="E347" s="100">
        <v>1955</v>
      </c>
      <c r="F347" s="525">
        <f t="shared" si="5"/>
        <v>4400</v>
      </c>
      <c r="G347" s="525">
        <f>'НМЦК (с разбивкой по объектам)'!K350</f>
        <v>8601838</v>
      </c>
    </row>
    <row r="348" spans="1:8" s="539" customFormat="1" hidden="1" outlineLevel="3" x14ac:dyDescent="0.25">
      <c r="A348" s="363" t="s">
        <v>2598</v>
      </c>
      <c r="B348" s="381" t="s">
        <v>1437</v>
      </c>
      <c r="C348" s="381" t="s">
        <v>1438</v>
      </c>
      <c r="D348" s="100" t="s">
        <v>377</v>
      </c>
      <c r="E348" s="100">
        <v>412</v>
      </c>
      <c r="F348" s="525">
        <f t="shared" si="5"/>
        <v>8385</v>
      </c>
      <c r="G348" s="525">
        <f>'НМЦК (с разбивкой по объектам)'!K351</f>
        <v>3454472</v>
      </c>
    </row>
    <row r="349" spans="1:8" s="539" customFormat="1" ht="31.5" hidden="1" outlineLevel="3" x14ac:dyDescent="0.25">
      <c r="A349" s="363" t="s">
        <v>2599</v>
      </c>
      <c r="B349" s="381" t="s">
        <v>1439</v>
      </c>
      <c r="C349" s="381" t="s">
        <v>1440</v>
      </c>
      <c r="D349" s="100" t="s">
        <v>377</v>
      </c>
      <c r="E349" s="100">
        <v>7</v>
      </c>
      <c r="F349" s="525">
        <f t="shared" si="5"/>
        <v>888</v>
      </c>
      <c r="G349" s="525">
        <f>'НМЦК (с разбивкой по объектам)'!K352</f>
        <v>6213</v>
      </c>
    </row>
    <row r="350" spans="1:8" s="539" customFormat="1" ht="31.5" hidden="1" outlineLevel="3" x14ac:dyDescent="0.25">
      <c r="A350" s="363" t="s">
        <v>2600</v>
      </c>
      <c r="B350" s="381" t="s">
        <v>1442</v>
      </c>
      <c r="C350" s="381" t="s">
        <v>1441</v>
      </c>
      <c r="D350" s="100" t="s">
        <v>377</v>
      </c>
      <c r="E350" s="100">
        <f>50</f>
        <v>50</v>
      </c>
      <c r="F350" s="525">
        <f t="shared" si="5"/>
        <v>941</v>
      </c>
      <c r="G350" s="525">
        <f>'НМЦК (с разбивкой по объектам)'!K353</f>
        <v>47074</v>
      </c>
    </row>
    <row r="351" spans="1:8" s="539" customFormat="1" ht="31.5" hidden="1" outlineLevel="3" x14ac:dyDescent="0.25">
      <c r="A351" s="363" t="s">
        <v>2601</v>
      </c>
      <c r="B351" s="381" t="s">
        <v>1444</v>
      </c>
      <c r="C351" s="381" t="s">
        <v>1443</v>
      </c>
      <c r="D351" s="100" t="s">
        <v>377</v>
      </c>
      <c r="E351" s="100">
        <v>100</v>
      </c>
      <c r="F351" s="525">
        <f t="shared" si="5"/>
        <v>2646</v>
      </c>
      <c r="G351" s="525">
        <f>'НМЦК (с разбивкой по объектам)'!K354</f>
        <v>264562</v>
      </c>
    </row>
    <row r="352" spans="1:8" s="539" customFormat="1" ht="47.25" hidden="1" outlineLevel="3" x14ac:dyDescent="0.25">
      <c r="A352" s="363" t="s">
        <v>2602</v>
      </c>
      <c r="B352" s="381" t="s">
        <v>1446</v>
      </c>
      <c r="C352" s="381" t="s">
        <v>1445</v>
      </c>
      <c r="D352" s="100" t="s">
        <v>377</v>
      </c>
      <c r="E352" s="100">
        <v>100</v>
      </c>
      <c r="F352" s="525">
        <f t="shared" si="5"/>
        <v>2095</v>
      </c>
      <c r="G352" s="525">
        <f>'НМЦК (с разбивкой по объектам)'!K355</f>
        <v>209549</v>
      </c>
    </row>
    <row r="353" spans="1:7" s="539" customFormat="1" ht="47.25" hidden="1" outlineLevel="3" x14ac:dyDescent="0.25">
      <c r="A353" s="363" t="s">
        <v>2603</v>
      </c>
      <c r="B353" s="381" t="s">
        <v>1447</v>
      </c>
      <c r="C353" s="381" t="s">
        <v>1449</v>
      </c>
      <c r="D353" s="100" t="s">
        <v>377</v>
      </c>
      <c r="E353" s="100">
        <v>12</v>
      </c>
      <c r="F353" s="525">
        <f t="shared" si="5"/>
        <v>5379</v>
      </c>
      <c r="G353" s="525">
        <f>'НМЦК (с разбивкой по объектам)'!K356</f>
        <v>64542</v>
      </c>
    </row>
    <row r="354" spans="1:7" s="539" customFormat="1" ht="47.25" hidden="1" outlineLevel="3" x14ac:dyDescent="0.25">
      <c r="A354" s="363" t="s">
        <v>2604</v>
      </c>
      <c r="B354" s="381" t="s">
        <v>1448</v>
      </c>
      <c r="C354" s="381" t="s">
        <v>1450</v>
      </c>
      <c r="D354" s="100" t="s">
        <v>377</v>
      </c>
      <c r="E354" s="100">
        <v>40</v>
      </c>
      <c r="F354" s="525">
        <f t="shared" si="5"/>
        <v>4384</v>
      </c>
      <c r="G354" s="525">
        <f>'НМЦК (с разбивкой по объектам)'!K357</f>
        <v>175345</v>
      </c>
    </row>
    <row r="355" spans="1:7" s="539" customFormat="1" ht="47.25" hidden="1" outlineLevel="3" x14ac:dyDescent="0.25">
      <c r="A355" s="363" t="s">
        <v>2605</v>
      </c>
      <c r="B355" s="381" t="s">
        <v>1451</v>
      </c>
      <c r="C355" s="381" t="s">
        <v>1453</v>
      </c>
      <c r="D355" s="100" t="s">
        <v>377</v>
      </c>
      <c r="E355" s="100">
        <v>62</v>
      </c>
      <c r="F355" s="525">
        <f t="shared" si="5"/>
        <v>8367</v>
      </c>
      <c r="G355" s="525">
        <f>'НМЦК (с разбивкой по объектам)'!K358</f>
        <v>518759</v>
      </c>
    </row>
    <row r="356" spans="1:7" s="539" customFormat="1" ht="47.25" hidden="1" outlineLevel="3" x14ac:dyDescent="0.25">
      <c r="A356" s="363" t="s">
        <v>2606</v>
      </c>
      <c r="B356" s="381" t="s">
        <v>1452</v>
      </c>
      <c r="C356" s="381" t="s">
        <v>1454</v>
      </c>
      <c r="D356" s="100" t="s">
        <v>377</v>
      </c>
      <c r="E356" s="100">
        <v>120</v>
      </c>
      <c r="F356" s="525">
        <f t="shared" si="5"/>
        <v>8952</v>
      </c>
      <c r="G356" s="525">
        <f>'НМЦК (с разбивкой по объектам)'!K359</f>
        <v>1074292</v>
      </c>
    </row>
    <row r="357" spans="1:7" s="539" customFormat="1" hidden="1" outlineLevel="3" x14ac:dyDescent="0.25">
      <c r="A357" s="363" t="s">
        <v>2607</v>
      </c>
      <c r="B357" s="381" t="s">
        <v>1456</v>
      </c>
      <c r="C357" s="381" t="s">
        <v>1455</v>
      </c>
      <c r="D357" s="100" t="s">
        <v>300</v>
      </c>
      <c r="E357" s="100">
        <v>7.2</v>
      </c>
      <c r="F357" s="525">
        <f t="shared" si="5"/>
        <v>1506</v>
      </c>
      <c r="G357" s="525">
        <f>'НМЦК (с разбивкой по объектам)'!K360</f>
        <v>10843</v>
      </c>
    </row>
    <row r="358" spans="1:7" s="539" customFormat="1" hidden="1" outlineLevel="3" x14ac:dyDescent="0.25">
      <c r="A358" s="363" t="s">
        <v>2608</v>
      </c>
      <c r="B358" s="381" t="s">
        <v>1463</v>
      </c>
      <c r="C358" s="381" t="s">
        <v>1457</v>
      </c>
      <c r="D358" s="100" t="s">
        <v>377</v>
      </c>
      <c r="E358" s="100">
        <v>33</v>
      </c>
      <c r="F358" s="525">
        <f t="shared" si="5"/>
        <v>5405</v>
      </c>
      <c r="G358" s="525">
        <f>'НМЦК (с разбивкой по объектам)'!K361</f>
        <v>178376</v>
      </c>
    </row>
    <row r="359" spans="1:7" s="539" customFormat="1" hidden="1" outlineLevel="3" x14ac:dyDescent="0.25">
      <c r="A359" s="363" t="s">
        <v>2609</v>
      </c>
      <c r="B359" s="381" t="s">
        <v>1462</v>
      </c>
      <c r="C359" s="381" t="s">
        <v>1461</v>
      </c>
      <c r="D359" s="100" t="s">
        <v>377</v>
      </c>
      <c r="E359" s="100">
        <v>120</v>
      </c>
      <c r="F359" s="525">
        <f t="shared" si="5"/>
        <v>4411</v>
      </c>
      <c r="G359" s="525">
        <f>'НМЦК (с разбивкой по объектам)'!K362</f>
        <v>529283</v>
      </c>
    </row>
    <row r="360" spans="1:7" s="539" customFormat="1" ht="31.5" hidden="1" outlineLevel="3" x14ac:dyDescent="0.25">
      <c r="A360" s="363" t="s">
        <v>2610</v>
      </c>
      <c r="B360" s="381" t="s">
        <v>1468</v>
      </c>
      <c r="C360" s="381" t="s">
        <v>1464</v>
      </c>
      <c r="D360" s="100" t="s">
        <v>408</v>
      </c>
      <c r="E360" s="100">
        <v>80</v>
      </c>
      <c r="F360" s="525">
        <f t="shared" si="5"/>
        <v>38</v>
      </c>
      <c r="G360" s="525">
        <f>'НМЦК (с разбивкой по объектам)'!K363</f>
        <v>3064</v>
      </c>
    </row>
    <row r="361" spans="1:7" s="539" customFormat="1" ht="31.5" hidden="1" outlineLevel="3" x14ac:dyDescent="0.25">
      <c r="A361" s="363" t="s">
        <v>2611</v>
      </c>
      <c r="B361" s="381" t="s">
        <v>1469</v>
      </c>
      <c r="C361" s="381" t="s">
        <v>1465</v>
      </c>
      <c r="D361" s="100" t="s">
        <v>408</v>
      </c>
      <c r="E361" s="100">
        <v>80</v>
      </c>
      <c r="F361" s="525">
        <f t="shared" si="5"/>
        <v>48</v>
      </c>
      <c r="G361" s="525">
        <f>'НМЦК (с разбивкой по объектам)'!K364</f>
        <v>3826</v>
      </c>
    </row>
    <row r="362" spans="1:7" s="539" customFormat="1" ht="31.5" hidden="1" outlineLevel="3" x14ac:dyDescent="0.25">
      <c r="A362" s="363" t="s">
        <v>2612</v>
      </c>
      <c r="B362" s="381" t="s">
        <v>1470</v>
      </c>
      <c r="C362" s="381" t="s">
        <v>1466</v>
      </c>
      <c r="D362" s="100" t="s">
        <v>408</v>
      </c>
      <c r="E362" s="100">
        <v>88</v>
      </c>
      <c r="F362" s="525">
        <f t="shared" si="5"/>
        <v>72</v>
      </c>
      <c r="G362" s="525">
        <f>'НМЦК (с разбивкой по объектам)'!K365</f>
        <v>6322</v>
      </c>
    </row>
    <row r="363" spans="1:7" s="539" customFormat="1" ht="31.5" hidden="1" outlineLevel="3" x14ac:dyDescent="0.25">
      <c r="A363" s="363" t="s">
        <v>2613</v>
      </c>
      <c r="B363" s="381" t="s">
        <v>1471</v>
      </c>
      <c r="C363" s="381" t="s">
        <v>1467</v>
      </c>
      <c r="D363" s="100" t="s">
        <v>408</v>
      </c>
      <c r="E363" s="100">
        <v>96</v>
      </c>
      <c r="F363" s="525">
        <f t="shared" si="5"/>
        <v>96</v>
      </c>
      <c r="G363" s="525">
        <f>'НМЦК (с разбивкой по объектам)'!K366</f>
        <v>9219</v>
      </c>
    </row>
    <row r="364" spans="1:7" s="539" customFormat="1" hidden="1" outlineLevel="3" x14ac:dyDescent="0.25">
      <c r="A364" s="363" t="s">
        <v>2614</v>
      </c>
      <c r="B364" s="381" t="s">
        <v>1474</v>
      </c>
      <c r="C364" s="381" t="s">
        <v>1472</v>
      </c>
      <c r="D364" s="100" t="s">
        <v>408</v>
      </c>
      <c r="E364" s="100">
        <v>16</v>
      </c>
      <c r="F364" s="525">
        <f t="shared" si="5"/>
        <v>56057</v>
      </c>
      <c r="G364" s="525">
        <f>'НМЦК (с разбивкой по объектам)'!K367</f>
        <v>896913</v>
      </c>
    </row>
    <row r="365" spans="1:7" s="539" customFormat="1" hidden="1" outlineLevel="3" x14ac:dyDescent="0.25">
      <c r="A365" s="363" t="s">
        <v>2615</v>
      </c>
      <c r="B365" s="381" t="s">
        <v>1475</v>
      </c>
      <c r="C365" s="381" t="s">
        <v>1473</v>
      </c>
      <c r="D365" s="100" t="s">
        <v>408</v>
      </c>
      <c r="E365" s="100">
        <v>8</v>
      </c>
      <c r="F365" s="525">
        <f t="shared" si="5"/>
        <v>20960</v>
      </c>
      <c r="G365" s="525">
        <f>'НМЦК (с разбивкой по объектам)'!K368</f>
        <v>167683</v>
      </c>
    </row>
    <row r="366" spans="1:7" s="539" customFormat="1" hidden="1" outlineLevel="3" x14ac:dyDescent="0.25">
      <c r="A366" s="363" t="s">
        <v>2616</v>
      </c>
      <c r="B366" s="381" t="s">
        <v>1478</v>
      </c>
      <c r="C366" s="381" t="s">
        <v>1476</v>
      </c>
      <c r="D366" s="100" t="s">
        <v>408</v>
      </c>
      <c r="E366" s="100">
        <v>4</v>
      </c>
      <c r="F366" s="525">
        <f t="shared" si="5"/>
        <v>51841</v>
      </c>
      <c r="G366" s="525">
        <f>'НМЦК (с разбивкой по объектам)'!K369</f>
        <v>207364</v>
      </c>
    </row>
    <row r="367" spans="1:7" s="539" customFormat="1" hidden="1" outlineLevel="3" x14ac:dyDescent="0.25">
      <c r="A367" s="363" t="s">
        <v>2617</v>
      </c>
      <c r="B367" s="381" t="s">
        <v>1479</v>
      </c>
      <c r="C367" s="381" t="s">
        <v>1477</v>
      </c>
      <c r="D367" s="100" t="s">
        <v>408</v>
      </c>
      <c r="E367" s="100">
        <v>16</v>
      </c>
      <c r="F367" s="525">
        <f t="shared" si="5"/>
        <v>53804</v>
      </c>
      <c r="G367" s="525">
        <f>'НМЦК (с разбивкой по объектам)'!K370</f>
        <v>860865</v>
      </c>
    </row>
    <row r="368" spans="1:7" s="539" customFormat="1" ht="31.5" hidden="1" outlineLevel="3" x14ac:dyDescent="0.25">
      <c r="A368" s="363" t="s">
        <v>2618</v>
      </c>
      <c r="B368" s="381" t="s">
        <v>1481</v>
      </c>
      <c r="C368" s="381" t="s">
        <v>1480</v>
      </c>
      <c r="D368" s="100" t="s">
        <v>408</v>
      </c>
      <c r="E368" s="100">
        <v>8</v>
      </c>
      <c r="F368" s="525">
        <f t="shared" si="5"/>
        <v>11801</v>
      </c>
      <c r="G368" s="525">
        <f>'НМЦК (с разбивкой по объектам)'!K371</f>
        <v>94409</v>
      </c>
    </row>
    <row r="369" spans="1:7" s="539" customFormat="1" hidden="1" outlineLevel="3" x14ac:dyDescent="0.25">
      <c r="A369" s="363" t="s">
        <v>2619</v>
      </c>
      <c r="B369" s="381" t="s">
        <v>1483</v>
      </c>
      <c r="C369" s="381" t="s">
        <v>1482</v>
      </c>
      <c r="D369" s="100" t="s">
        <v>408</v>
      </c>
      <c r="E369" s="100">
        <v>4</v>
      </c>
      <c r="F369" s="525">
        <f t="shared" si="5"/>
        <v>40274</v>
      </c>
      <c r="G369" s="525">
        <f>'НМЦК (с разбивкой по объектам)'!K372</f>
        <v>161094</v>
      </c>
    </row>
    <row r="370" spans="1:7" s="539" customFormat="1" ht="31.5" hidden="1" outlineLevel="3" x14ac:dyDescent="0.25">
      <c r="A370" s="363" t="s">
        <v>2620</v>
      </c>
      <c r="B370" s="381" t="s">
        <v>1485</v>
      </c>
      <c r="C370" s="381" t="s">
        <v>1484</v>
      </c>
      <c r="D370" s="100" t="s">
        <v>408</v>
      </c>
      <c r="E370" s="100">
        <v>2</v>
      </c>
      <c r="F370" s="525">
        <f t="shared" si="5"/>
        <v>65877</v>
      </c>
      <c r="G370" s="525">
        <f>'НМЦК (с разбивкой по объектам)'!K373</f>
        <v>131754</v>
      </c>
    </row>
    <row r="371" spans="1:7" s="539" customFormat="1" ht="31.5" hidden="1" outlineLevel="3" x14ac:dyDescent="0.25">
      <c r="A371" s="363" t="s">
        <v>2621</v>
      </c>
      <c r="B371" s="381" t="s">
        <v>1486</v>
      </c>
      <c r="C371" s="381" t="s">
        <v>1487</v>
      </c>
      <c r="D371" s="100" t="s">
        <v>408</v>
      </c>
      <c r="E371" s="100">
        <v>6</v>
      </c>
      <c r="F371" s="525">
        <f t="shared" si="5"/>
        <v>1263</v>
      </c>
      <c r="G371" s="525">
        <f>'НМЦК (с разбивкой по объектам)'!K374</f>
        <v>7579</v>
      </c>
    </row>
    <row r="372" spans="1:7" s="539" customFormat="1" ht="47.25" hidden="1" outlineLevel="3" x14ac:dyDescent="0.25">
      <c r="A372" s="363" t="s">
        <v>2622</v>
      </c>
      <c r="B372" s="381" t="s">
        <v>1488</v>
      </c>
      <c r="C372" s="381" t="s">
        <v>1489</v>
      </c>
      <c r="D372" s="100" t="s">
        <v>408</v>
      </c>
      <c r="E372" s="100">
        <v>2</v>
      </c>
      <c r="F372" s="525">
        <f t="shared" si="5"/>
        <v>27473</v>
      </c>
      <c r="G372" s="525">
        <f>'НМЦК (с разбивкой по объектам)'!K375</f>
        <v>54946</v>
      </c>
    </row>
    <row r="373" spans="1:7" s="539" customFormat="1" ht="31.5" hidden="1" outlineLevel="3" x14ac:dyDescent="0.25">
      <c r="A373" s="363" t="s">
        <v>2623</v>
      </c>
      <c r="B373" s="381" t="s">
        <v>1491</v>
      </c>
      <c r="C373" s="381" t="s">
        <v>1490</v>
      </c>
      <c r="D373" s="100" t="s">
        <v>404</v>
      </c>
      <c r="E373" s="100">
        <f>111.2</f>
        <v>111.2</v>
      </c>
      <c r="F373" s="525">
        <f t="shared" si="5"/>
        <v>620</v>
      </c>
      <c r="G373" s="525">
        <f>'НМЦК (с разбивкой по объектам)'!K376</f>
        <v>68963</v>
      </c>
    </row>
    <row r="374" spans="1:7" s="539" customFormat="1" outlineLevel="2" collapsed="1" x14ac:dyDescent="0.25">
      <c r="A374" s="132" t="s">
        <v>2624</v>
      </c>
      <c r="B374" s="320" t="s">
        <v>239</v>
      </c>
      <c r="C374" s="320" t="s">
        <v>240</v>
      </c>
      <c r="D374" s="134" t="s">
        <v>292</v>
      </c>
      <c r="E374" s="90">
        <v>1</v>
      </c>
      <c r="F374" s="526">
        <f t="shared" si="5"/>
        <v>83959041</v>
      </c>
      <c r="G374" s="526">
        <f>'НМЦК (с разбивкой по объектам)'!K377</f>
        <v>83959041</v>
      </c>
    </row>
    <row r="375" spans="1:7" s="539" customFormat="1" hidden="1" outlineLevel="3" x14ac:dyDescent="0.25">
      <c r="A375" s="363"/>
      <c r="B375" s="381"/>
      <c r="C375" s="381" t="s">
        <v>367</v>
      </c>
      <c r="D375" s="100"/>
      <c r="E375" s="100"/>
      <c r="F375" s="525" t="e">
        <f t="shared" si="5"/>
        <v>#DIV/0!</v>
      </c>
      <c r="G375" s="525">
        <f>'НМЦК (с разбивкой по объектам)'!K378</f>
        <v>0</v>
      </c>
    </row>
    <row r="376" spans="1:7" s="539" customFormat="1" ht="31.5" hidden="1" outlineLevel="3" x14ac:dyDescent="0.25">
      <c r="A376" s="363" t="s">
        <v>2625</v>
      </c>
      <c r="B376" s="381" t="s">
        <v>1520</v>
      </c>
      <c r="C376" s="381" t="s">
        <v>510</v>
      </c>
      <c r="D376" s="100" t="s">
        <v>300</v>
      </c>
      <c r="E376" s="100">
        <f>22435</f>
        <v>22435</v>
      </c>
      <c r="F376" s="525">
        <f t="shared" si="5"/>
        <v>1670</v>
      </c>
      <c r="G376" s="525">
        <f>'НМЦК (с разбивкой по объектам)'!K379</f>
        <v>37459802</v>
      </c>
    </row>
    <row r="377" spans="1:7" s="539" customFormat="1" ht="63" hidden="1" outlineLevel="3" x14ac:dyDescent="0.25">
      <c r="A377" s="363" t="s">
        <v>2626</v>
      </c>
      <c r="B377" s="381" t="s">
        <v>1523</v>
      </c>
      <c r="C377" s="381" t="s">
        <v>1521</v>
      </c>
      <c r="D377" s="100" t="s">
        <v>300</v>
      </c>
      <c r="E377" s="100">
        <f>20191.5</f>
        <v>20191.5</v>
      </c>
      <c r="F377" s="525">
        <f t="shared" si="5"/>
        <v>137</v>
      </c>
      <c r="G377" s="525">
        <f>'НМЦК (с разбивкой по объектам)'!K380</f>
        <v>2772251</v>
      </c>
    </row>
    <row r="378" spans="1:7" s="539" customFormat="1" ht="31.5" hidden="1" outlineLevel="3" x14ac:dyDescent="0.25">
      <c r="A378" s="363" t="s">
        <v>2627</v>
      </c>
      <c r="B378" s="381" t="s">
        <v>1524</v>
      </c>
      <c r="C378" s="381" t="s">
        <v>1522</v>
      </c>
      <c r="D378" s="100" t="s">
        <v>300</v>
      </c>
      <c r="E378" s="100">
        <f>2243.5</f>
        <v>2243.5</v>
      </c>
      <c r="F378" s="525">
        <f t="shared" si="5"/>
        <v>858</v>
      </c>
      <c r="G378" s="525">
        <f>'НМЦК (с разбивкой по объектам)'!K381</f>
        <v>1925285</v>
      </c>
    </row>
    <row r="379" spans="1:7" s="539" customFormat="1" hidden="1" outlineLevel="3" x14ac:dyDescent="0.25">
      <c r="A379" s="363" t="s">
        <v>2628</v>
      </c>
      <c r="B379" s="381" t="s">
        <v>1526</v>
      </c>
      <c r="C379" s="381" t="s">
        <v>1525</v>
      </c>
      <c r="D379" s="100" t="s">
        <v>300</v>
      </c>
      <c r="E379" s="100">
        <f>572.5</f>
        <v>572.5</v>
      </c>
      <c r="F379" s="525">
        <f t="shared" si="5"/>
        <v>1679</v>
      </c>
      <c r="G379" s="525">
        <f>'НМЦК (с разбивкой по объектам)'!K382</f>
        <v>961471</v>
      </c>
    </row>
    <row r="380" spans="1:7" s="539" customFormat="1" ht="31.5" hidden="1" outlineLevel="3" x14ac:dyDescent="0.25">
      <c r="A380" s="363" t="s">
        <v>2629</v>
      </c>
      <c r="B380" s="381" t="s">
        <v>1528</v>
      </c>
      <c r="C380" s="381" t="s">
        <v>1529</v>
      </c>
      <c r="D380" s="100" t="s">
        <v>300</v>
      </c>
      <c r="E380" s="100">
        <f>2863.6</f>
        <v>2863.6</v>
      </c>
      <c r="F380" s="525">
        <f t="shared" si="5"/>
        <v>648</v>
      </c>
      <c r="G380" s="525">
        <f>'НМЦК (с разбивкой по объектам)'!K383</f>
        <v>1854304</v>
      </c>
    </row>
    <row r="381" spans="1:7" s="539" customFormat="1" ht="31.5" hidden="1" outlineLevel="3" x14ac:dyDescent="0.25">
      <c r="A381" s="363" t="s">
        <v>2630</v>
      </c>
      <c r="B381" s="381" t="s">
        <v>1531</v>
      </c>
      <c r="C381" s="381" t="s">
        <v>1530</v>
      </c>
      <c r="D381" s="100" t="s">
        <v>300</v>
      </c>
      <c r="E381" s="100">
        <f>18444.7</f>
        <v>18444.7</v>
      </c>
      <c r="F381" s="525">
        <f t="shared" si="5"/>
        <v>126</v>
      </c>
      <c r="G381" s="525">
        <f>'НМЦК (с разбивкой по объектам)'!K384</f>
        <v>2321206</v>
      </c>
    </row>
    <row r="382" spans="1:7" s="539" customFormat="1" hidden="1" outlineLevel="3" x14ac:dyDescent="0.25">
      <c r="A382" s="363" t="s">
        <v>2631</v>
      </c>
      <c r="B382" s="381" t="s">
        <v>1533</v>
      </c>
      <c r="C382" s="381" t="s">
        <v>1532</v>
      </c>
      <c r="D382" s="100" t="s">
        <v>300</v>
      </c>
      <c r="E382" s="100">
        <f>3990.3</f>
        <v>3990.3</v>
      </c>
      <c r="F382" s="525">
        <f t="shared" si="5"/>
        <v>115</v>
      </c>
      <c r="G382" s="525">
        <f>'НМЦК (с разбивкой по объектам)'!K385</f>
        <v>460790</v>
      </c>
    </row>
    <row r="383" spans="1:7" s="539" customFormat="1" ht="31.5" hidden="1" outlineLevel="3" x14ac:dyDescent="0.25">
      <c r="A383" s="363" t="s">
        <v>2632</v>
      </c>
      <c r="B383" s="381" t="s">
        <v>1534</v>
      </c>
      <c r="C383" s="381" t="s">
        <v>1535</v>
      </c>
      <c r="D383" s="100" t="s">
        <v>404</v>
      </c>
      <c r="E383" s="100">
        <v>5370</v>
      </c>
      <c r="F383" s="525">
        <f t="shared" si="5"/>
        <v>171</v>
      </c>
      <c r="G383" s="525">
        <f>'НМЦК (с разбивкой по объектам)'!K386</f>
        <v>919135</v>
      </c>
    </row>
    <row r="384" spans="1:7" s="539" customFormat="1" ht="31.5" hidden="1" outlineLevel="3" x14ac:dyDescent="0.25">
      <c r="A384" s="363" t="s">
        <v>2633</v>
      </c>
      <c r="B384" s="381" t="s">
        <v>1537</v>
      </c>
      <c r="C384" s="381" t="s">
        <v>1536</v>
      </c>
      <c r="D384" s="100" t="s">
        <v>404</v>
      </c>
      <c r="E384" s="100">
        <f>3*2*20</f>
        <v>120</v>
      </c>
      <c r="F384" s="525">
        <f t="shared" si="5"/>
        <v>1578</v>
      </c>
      <c r="G384" s="525">
        <f>'НМЦК (с разбивкой по объектам)'!K387</f>
        <v>189345</v>
      </c>
    </row>
    <row r="385" spans="1:7" s="539" customFormat="1" ht="31.5" hidden="1" outlineLevel="3" x14ac:dyDescent="0.25">
      <c r="A385" s="363" t="s">
        <v>2634</v>
      </c>
      <c r="B385" s="381" t="s">
        <v>1539</v>
      </c>
      <c r="C385" s="381" t="s">
        <v>1538</v>
      </c>
      <c r="D385" s="100" t="s">
        <v>377</v>
      </c>
      <c r="E385" s="100">
        <f>105</f>
        <v>105</v>
      </c>
      <c r="F385" s="525">
        <f t="shared" si="5"/>
        <v>5279</v>
      </c>
      <c r="G385" s="525">
        <f>'НМЦК (с разбивкой по объектам)'!K388</f>
        <v>554295</v>
      </c>
    </row>
    <row r="386" spans="1:7" s="539" customFormat="1" ht="31.5" hidden="1" outlineLevel="3" x14ac:dyDescent="0.25">
      <c r="A386" s="363" t="s">
        <v>2635</v>
      </c>
      <c r="B386" s="381" t="s">
        <v>1541</v>
      </c>
      <c r="C386" s="381" t="s">
        <v>1540</v>
      </c>
      <c r="D386" s="100" t="s">
        <v>377</v>
      </c>
      <c r="E386" s="100">
        <f>135</f>
        <v>135</v>
      </c>
      <c r="F386" s="525">
        <f t="shared" si="5"/>
        <v>21328</v>
      </c>
      <c r="G386" s="525">
        <f>'НМЦК (с разбивкой по объектам)'!K389</f>
        <v>2879286</v>
      </c>
    </row>
    <row r="387" spans="1:7" s="539" customFormat="1" ht="31.5" hidden="1" outlineLevel="3" x14ac:dyDescent="0.25">
      <c r="A387" s="363" t="s">
        <v>2636</v>
      </c>
      <c r="B387" s="381" t="s">
        <v>1543</v>
      </c>
      <c r="C387" s="381" t="s">
        <v>1542</v>
      </c>
      <c r="D387" s="100" t="s">
        <v>377</v>
      </c>
      <c r="E387" s="100">
        <f>55</f>
        <v>55</v>
      </c>
      <c r="F387" s="525">
        <f t="shared" si="5"/>
        <v>8422</v>
      </c>
      <c r="G387" s="525">
        <f>'НМЦК (с разбивкой по объектам)'!K390</f>
        <v>463219</v>
      </c>
    </row>
    <row r="388" spans="1:7" s="539" customFormat="1" ht="31.5" hidden="1" outlineLevel="3" x14ac:dyDescent="0.25">
      <c r="A388" s="363" t="s">
        <v>2637</v>
      </c>
      <c r="B388" s="381" t="s">
        <v>1546</v>
      </c>
      <c r="C388" s="381" t="s">
        <v>1544</v>
      </c>
      <c r="D388" s="100" t="s">
        <v>377</v>
      </c>
      <c r="E388" s="100">
        <v>25</v>
      </c>
      <c r="F388" s="525">
        <f t="shared" si="5"/>
        <v>26328</v>
      </c>
      <c r="G388" s="525">
        <f>'НМЦК (с разбивкой по объектам)'!K391</f>
        <v>658190</v>
      </c>
    </row>
    <row r="389" spans="1:7" s="539" customFormat="1" ht="31.5" hidden="1" outlineLevel="3" x14ac:dyDescent="0.25">
      <c r="A389" s="363" t="s">
        <v>2638</v>
      </c>
      <c r="B389" s="381" t="s">
        <v>1547</v>
      </c>
      <c r="C389" s="381" t="s">
        <v>1545</v>
      </c>
      <c r="D389" s="100" t="s">
        <v>377</v>
      </c>
      <c r="E389" s="100">
        <v>20</v>
      </c>
      <c r="F389" s="525">
        <f t="shared" si="5"/>
        <v>26380</v>
      </c>
      <c r="G389" s="525">
        <f>'НМЦК (с разбивкой по объектам)'!K392</f>
        <v>527592</v>
      </c>
    </row>
    <row r="390" spans="1:7" s="539" customFormat="1" ht="47.25" hidden="1" outlineLevel="3" x14ac:dyDescent="0.25">
      <c r="A390" s="363" t="s">
        <v>2639</v>
      </c>
      <c r="B390" s="381" t="s">
        <v>1548</v>
      </c>
      <c r="C390" s="381" t="s">
        <v>1549</v>
      </c>
      <c r="D390" s="100" t="s">
        <v>377</v>
      </c>
      <c r="E390" s="100">
        <v>13</v>
      </c>
      <c r="F390" s="525">
        <f t="shared" si="5"/>
        <v>14482</v>
      </c>
      <c r="G390" s="525">
        <f>'НМЦК (с разбивкой по объектам)'!K393</f>
        <v>188265</v>
      </c>
    </row>
    <row r="391" spans="1:7" s="539" customFormat="1" ht="47.25" hidden="1" outlineLevel="3" x14ac:dyDescent="0.25">
      <c r="A391" s="363" t="s">
        <v>2640</v>
      </c>
      <c r="B391" s="381" t="s">
        <v>1551</v>
      </c>
      <c r="C391" s="381" t="s">
        <v>1550</v>
      </c>
      <c r="D391" s="100" t="s">
        <v>377</v>
      </c>
      <c r="E391" s="100">
        <f>1895</f>
        <v>1895</v>
      </c>
      <c r="F391" s="525">
        <f t="shared" si="5"/>
        <v>1750</v>
      </c>
      <c r="G391" s="525">
        <f>'НМЦК (с разбивкой по объектам)'!K394</f>
        <v>3316774</v>
      </c>
    </row>
    <row r="392" spans="1:7" s="539" customFormat="1" ht="47.25" hidden="1" outlineLevel="3" x14ac:dyDescent="0.25">
      <c r="A392" s="363" t="s">
        <v>2641</v>
      </c>
      <c r="B392" s="381" t="s">
        <v>1551</v>
      </c>
      <c r="C392" s="381" t="s">
        <v>1552</v>
      </c>
      <c r="D392" s="100" t="s">
        <v>377</v>
      </c>
      <c r="E392" s="100">
        <v>3441</v>
      </c>
      <c r="F392" s="525">
        <f t="shared" si="5"/>
        <v>1750</v>
      </c>
      <c r="G392" s="525">
        <f>'НМЦК (с разбивкой по объектам)'!K395</f>
        <v>6022665</v>
      </c>
    </row>
    <row r="393" spans="1:7" s="539" customFormat="1" ht="31.5" hidden="1" outlineLevel="3" x14ac:dyDescent="0.25">
      <c r="A393" s="363" t="s">
        <v>2642</v>
      </c>
      <c r="B393" s="381" t="s">
        <v>1554</v>
      </c>
      <c r="C393" s="381" t="s">
        <v>1553</v>
      </c>
      <c r="D393" s="100" t="s">
        <v>377</v>
      </c>
      <c r="E393" s="100">
        <v>65</v>
      </c>
      <c r="F393" s="525">
        <f t="shared" ref="F393:F456" si="6">G393/E393</f>
        <v>902</v>
      </c>
      <c r="G393" s="525">
        <f>'НМЦК (с разбивкой по объектам)'!K396</f>
        <v>58629</v>
      </c>
    </row>
    <row r="394" spans="1:7" s="539" customFormat="1" ht="31.5" hidden="1" outlineLevel="3" x14ac:dyDescent="0.25">
      <c r="A394" s="363" t="s">
        <v>2643</v>
      </c>
      <c r="B394" s="381" t="s">
        <v>1555</v>
      </c>
      <c r="C394" s="381" t="s">
        <v>1556</v>
      </c>
      <c r="D394" s="100" t="s">
        <v>377</v>
      </c>
      <c r="E394" s="100">
        <f>15</f>
        <v>15</v>
      </c>
      <c r="F394" s="525">
        <f t="shared" si="6"/>
        <v>1786</v>
      </c>
      <c r="G394" s="525">
        <f>'НМЦК (с разбивкой по объектам)'!K397</f>
        <v>26787</v>
      </c>
    </row>
    <row r="395" spans="1:7" s="539" customFormat="1" ht="31.5" hidden="1" outlineLevel="3" x14ac:dyDescent="0.25">
      <c r="A395" s="363" t="s">
        <v>2644</v>
      </c>
      <c r="B395" s="381" t="s">
        <v>1558</v>
      </c>
      <c r="C395" s="381" t="s">
        <v>1557</v>
      </c>
      <c r="D395" s="100" t="s">
        <v>377</v>
      </c>
      <c r="E395" s="100">
        <f>25</f>
        <v>25</v>
      </c>
      <c r="F395" s="525">
        <f t="shared" si="6"/>
        <v>383</v>
      </c>
      <c r="G395" s="525">
        <f>'НМЦК (с разбивкой по объектам)'!K398</f>
        <v>9571</v>
      </c>
    </row>
    <row r="396" spans="1:7" s="539" customFormat="1" hidden="1" outlineLevel="3" x14ac:dyDescent="0.25">
      <c r="A396" s="363" t="s">
        <v>2645</v>
      </c>
      <c r="B396" s="381" t="s">
        <v>1560</v>
      </c>
      <c r="C396" s="381" t="s">
        <v>1559</v>
      </c>
      <c r="D396" s="100" t="s">
        <v>377</v>
      </c>
      <c r="E396" s="100">
        <v>24</v>
      </c>
      <c r="F396" s="525">
        <f t="shared" si="6"/>
        <v>3672</v>
      </c>
      <c r="G396" s="525">
        <f>'НМЦК (с разбивкой по объектам)'!K399</f>
        <v>88137</v>
      </c>
    </row>
    <row r="397" spans="1:7" s="539" customFormat="1" hidden="1" outlineLevel="3" x14ac:dyDescent="0.25">
      <c r="A397" s="363" t="s">
        <v>2646</v>
      </c>
      <c r="B397" s="381" t="s">
        <v>1562</v>
      </c>
      <c r="C397" s="381" t="s">
        <v>1561</v>
      </c>
      <c r="D397" s="100" t="s">
        <v>377</v>
      </c>
      <c r="E397" s="100">
        <v>13</v>
      </c>
      <c r="F397" s="525">
        <f t="shared" si="6"/>
        <v>6671</v>
      </c>
      <c r="G397" s="525">
        <f>'НМЦК (с разбивкой по объектам)'!K400</f>
        <v>86722</v>
      </c>
    </row>
    <row r="398" spans="1:7" s="539" customFormat="1" hidden="1" outlineLevel="3" x14ac:dyDescent="0.25">
      <c r="A398" s="363" t="s">
        <v>2647</v>
      </c>
      <c r="B398" s="381" t="s">
        <v>1563</v>
      </c>
      <c r="C398" s="381" t="s">
        <v>1564</v>
      </c>
      <c r="D398" s="100" t="s">
        <v>377</v>
      </c>
      <c r="E398" s="100">
        <v>18</v>
      </c>
      <c r="F398" s="525">
        <f t="shared" si="6"/>
        <v>4413</v>
      </c>
      <c r="G398" s="525">
        <f>'НМЦК (с разбивкой по объектам)'!K401</f>
        <v>79430</v>
      </c>
    </row>
    <row r="399" spans="1:7" s="539" customFormat="1" hidden="1" outlineLevel="3" x14ac:dyDescent="0.25">
      <c r="A399" s="363" t="s">
        <v>2648</v>
      </c>
      <c r="B399" s="381" t="s">
        <v>1566</v>
      </c>
      <c r="C399" s="381" t="s">
        <v>1565</v>
      </c>
      <c r="D399" s="100" t="s">
        <v>300</v>
      </c>
      <c r="E399" s="100">
        <v>410</v>
      </c>
      <c r="F399" s="525">
        <f t="shared" si="6"/>
        <v>26158</v>
      </c>
      <c r="G399" s="525">
        <f>'НМЦК (с разбивкой по объектам)'!K402</f>
        <v>10724889</v>
      </c>
    </row>
    <row r="400" spans="1:7" s="539" customFormat="1" hidden="1" outlineLevel="3" x14ac:dyDescent="0.25">
      <c r="A400" s="363"/>
      <c r="B400" s="381"/>
      <c r="C400" s="381" t="s">
        <v>1567</v>
      </c>
      <c r="D400" s="100"/>
      <c r="E400" s="100"/>
      <c r="F400" s="525" t="e">
        <f t="shared" si="6"/>
        <v>#DIV/0!</v>
      </c>
      <c r="G400" s="525">
        <f>'НМЦК (с разбивкой по объектам)'!K403</f>
        <v>0</v>
      </c>
    </row>
    <row r="401" spans="1:8" s="539" customFormat="1" hidden="1" outlineLevel="3" x14ac:dyDescent="0.25">
      <c r="A401" s="363" t="s">
        <v>2649</v>
      </c>
      <c r="B401" s="381" t="s">
        <v>1569</v>
      </c>
      <c r="C401" s="381" t="s">
        <v>1568</v>
      </c>
      <c r="D401" s="100" t="s">
        <v>408</v>
      </c>
      <c r="E401" s="100">
        <v>2</v>
      </c>
      <c r="F401" s="525">
        <f t="shared" si="6"/>
        <v>3086</v>
      </c>
      <c r="G401" s="525">
        <f>'НМЦК (с разбивкой по объектам)'!K404</f>
        <v>6172</v>
      </c>
    </row>
    <row r="402" spans="1:8" s="539" customFormat="1" ht="31.5" hidden="1" outlineLevel="3" x14ac:dyDescent="0.25">
      <c r="A402" s="363" t="s">
        <v>2650</v>
      </c>
      <c r="B402" s="381" t="s">
        <v>1571</v>
      </c>
      <c r="C402" s="381" t="s">
        <v>1570</v>
      </c>
      <c r="D402" s="100" t="s">
        <v>408</v>
      </c>
      <c r="E402" s="100">
        <v>5</v>
      </c>
      <c r="F402" s="525">
        <f t="shared" si="6"/>
        <v>18199</v>
      </c>
      <c r="G402" s="525">
        <f>'НМЦК (с разбивкой по объектам)'!K405</f>
        <v>90993</v>
      </c>
      <c r="H402" s="539" t="s">
        <v>1572</v>
      </c>
    </row>
    <row r="403" spans="1:8" s="539" customFormat="1" ht="31.5" hidden="1" outlineLevel="3" x14ac:dyDescent="0.25">
      <c r="A403" s="363" t="s">
        <v>2651</v>
      </c>
      <c r="B403" s="381" t="s">
        <v>1573</v>
      </c>
      <c r="C403" s="381" t="s">
        <v>1574</v>
      </c>
      <c r="D403" s="100" t="s">
        <v>408</v>
      </c>
      <c r="E403" s="100">
        <v>2</v>
      </c>
      <c r="F403" s="525">
        <f t="shared" si="6"/>
        <v>8110</v>
      </c>
      <c r="G403" s="525">
        <f>'НМЦК (с разбивкой по объектам)'!K406</f>
        <v>16220</v>
      </c>
    </row>
    <row r="404" spans="1:8" s="539" customFormat="1" hidden="1" outlineLevel="3" x14ac:dyDescent="0.25">
      <c r="A404" s="363" t="s">
        <v>2652</v>
      </c>
      <c r="B404" s="381" t="s">
        <v>1576</v>
      </c>
      <c r="C404" s="381" t="s">
        <v>1575</v>
      </c>
      <c r="D404" s="100" t="s">
        <v>408</v>
      </c>
      <c r="E404" s="100">
        <v>2</v>
      </c>
      <c r="F404" s="525">
        <f t="shared" si="6"/>
        <v>30738</v>
      </c>
      <c r="G404" s="525">
        <f>'НМЦК (с разбивкой по объектам)'!K407</f>
        <v>61476</v>
      </c>
    </row>
    <row r="405" spans="1:8" s="539" customFormat="1" hidden="1" outlineLevel="3" x14ac:dyDescent="0.25">
      <c r="A405" s="363" t="s">
        <v>2653</v>
      </c>
      <c r="B405" s="381" t="s">
        <v>1578</v>
      </c>
      <c r="C405" s="381" t="s">
        <v>1577</v>
      </c>
      <c r="D405" s="100" t="s">
        <v>408</v>
      </c>
      <c r="E405" s="100">
        <v>1</v>
      </c>
      <c r="F405" s="525">
        <f t="shared" si="6"/>
        <v>9370</v>
      </c>
      <c r="G405" s="525">
        <f>'НМЦК (с разбивкой по объектам)'!K408</f>
        <v>9370</v>
      </c>
    </row>
    <row r="406" spans="1:8" s="539" customFormat="1" hidden="1" outlineLevel="3" x14ac:dyDescent="0.25">
      <c r="A406" s="363" t="s">
        <v>2654</v>
      </c>
      <c r="B406" s="381" t="s">
        <v>1581</v>
      </c>
      <c r="C406" s="381" t="s">
        <v>1579</v>
      </c>
      <c r="D406" s="100" t="s">
        <v>408</v>
      </c>
      <c r="E406" s="100">
        <v>1</v>
      </c>
      <c r="F406" s="525">
        <f t="shared" si="6"/>
        <v>37873</v>
      </c>
      <c r="G406" s="525">
        <f>'НМЦК (с разбивкой по объектам)'!K409</f>
        <v>37873</v>
      </c>
    </row>
    <row r="407" spans="1:8" s="539" customFormat="1" hidden="1" outlineLevel="3" x14ac:dyDescent="0.25">
      <c r="A407" s="363" t="s">
        <v>2655</v>
      </c>
      <c r="B407" s="381" t="s">
        <v>1582</v>
      </c>
      <c r="C407" s="381" t="s">
        <v>1580</v>
      </c>
      <c r="D407" s="100" t="s">
        <v>408</v>
      </c>
      <c r="E407" s="100">
        <v>1</v>
      </c>
      <c r="F407" s="525">
        <f t="shared" si="6"/>
        <v>22566</v>
      </c>
      <c r="G407" s="525">
        <f>'НМЦК (с разбивкой по объектам)'!K410</f>
        <v>22566</v>
      </c>
    </row>
    <row r="408" spans="1:8" s="539" customFormat="1" ht="31.5" hidden="1" outlineLevel="3" x14ac:dyDescent="0.25">
      <c r="A408" s="363" t="s">
        <v>2656</v>
      </c>
      <c r="B408" s="381" t="s">
        <v>1584</v>
      </c>
      <c r="C408" s="381" t="s">
        <v>1583</v>
      </c>
      <c r="D408" s="100" t="s">
        <v>408</v>
      </c>
      <c r="E408" s="100">
        <v>2</v>
      </c>
      <c r="F408" s="525">
        <f t="shared" si="6"/>
        <v>23123</v>
      </c>
      <c r="G408" s="525">
        <f>'НМЦК (с разбивкой по объектам)'!K411</f>
        <v>46245</v>
      </c>
    </row>
    <row r="409" spans="1:8" s="539" customFormat="1" ht="31.5" hidden="1" outlineLevel="3" x14ac:dyDescent="0.25">
      <c r="A409" s="363" t="s">
        <v>2657</v>
      </c>
      <c r="B409" s="381" t="s">
        <v>1586</v>
      </c>
      <c r="C409" s="381" t="s">
        <v>1585</v>
      </c>
      <c r="D409" s="100" t="s">
        <v>408</v>
      </c>
      <c r="E409" s="100">
        <v>2</v>
      </c>
      <c r="F409" s="525">
        <f t="shared" si="6"/>
        <v>14800</v>
      </c>
      <c r="G409" s="525">
        <f>'НМЦК (с разбивкой по объектам)'!K412</f>
        <v>29600</v>
      </c>
    </row>
    <row r="410" spans="1:8" s="539" customFormat="1" hidden="1" outlineLevel="3" x14ac:dyDescent="0.25">
      <c r="A410" s="363"/>
      <c r="B410" s="381"/>
      <c r="C410" s="381" t="s">
        <v>1587</v>
      </c>
      <c r="D410" s="100"/>
      <c r="E410" s="100"/>
      <c r="F410" s="525" t="e">
        <f t="shared" si="6"/>
        <v>#DIV/0!</v>
      </c>
      <c r="G410" s="525">
        <f>'НМЦК (с разбивкой по объектам)'!K413</f>
        <v>0</v>
      </c>
    </row>
    <row r="411" spans="1:8" s="539" customFormat="1" ht="63" hidden="1" outlineLevel="3" x14ac:dyDescent="0.25">
      <c r="A411" s="363" t="s">
        <v>2658</v>
      </c>
      <c r="B411" s="381" t="s">
        <v>1598</v>
      </c>
      <c r="C411" s="381" t="s">
        <v>1588</v>
      </c>
      <c r="D411" s="100" t="s">
        <v>408</v>
      </c>
      <c r="E411" s="100">
        <v>1</v>
      </c>
      <c r="F411" s="525">
        <f t="shared" si="6"/>
        <v>297227</v>
      </c>
      <c r="G411" s="525">
        <f>'НМЦК (с разбивкой по объектам)'!K414</f>
        <v>297227</v>
      </c>
    </row>
    <row r="412" spans="1:8" s="539" customFormat="1" ht="47.25" hidden="1" outlineLevel="3" x14ac:dyDescent="0.25">
      <c r="A412" s="363" t="s">
        <v>2659</v>
      </c>
      <c r="B412" s="381" t="s">
        <v>1599</v>
      </c>
      <c r="C412" s="381" t="s">
        <v>1589</v>
      </c>
      <c r="D412" s="100" t="s">
        <v>408</v>
      </c>
      <c r="E412" s="100">
        <v>1</v>
      </c>
      <c r="F412" s="525">
        <f t="shared" si="6"/>
        <v>747316</v>
      </c>
      <c r="G412" s="525">
        <f>'НМЦК (с разбивкой по объектам)'!K415</f>
        <v>747316</v>
      </c>
    </row>
    <row r="413" spans="1:8" s="539" customFormat="1" ht="47.25" hidden="1" outlineLevel="3" x14ac:dyDescent="0.25">
      <c r="A413" s="363" t="s">
        <v>2660</v>
      </c>
      <c r="B413" s="381" t="s">
        <v>1600</v>
      </c>
      <c r="C413" s="381" t="s">
        <v>1590</v>
      </c>
      <c r="D413" s="100" t="s">
        <v>408</v>
      </c>
      <c r="E413" s="100">
        <v>1</v>
      </c>
      <c r="F413" s="525">
        <f t="shared" si="6"/>
        <v>747316</v>
      </c>
      <c r="G413" s="525">
        <f>'НМЦК (с разбивкой по объектам)'!K416</f>
        <v>747316</v>
      </c>
    </row>
    <row r="414" spans="1:8" s="539" customFormat="1" ht="78.75" hidden="1" outlineLevel="3" x14ac:dyDescent="0.25">
      <c r="A414" s="363" t="s">
        <v>2661</v>
      </c>
      <c r="B414" s="381" t="s">
        <v>1601</v>
      </c>
      <c r="C414" s="381" t="s">
        <v>1591</v>
      </c>
      <c r="D414" s="100" t="s">
        <v>408</v>
      </c>
      <c r="E414" s="100">
        <v>1</v>
      </c>
      <c r="F414" s="525">
        <f t="shared" si="6"/>
        <v>416722</v>
      </c>
      <c r="G414" s="525">
        <f>'НМЦК (с разбивкой по объектам)'!K417</f>
        <v>416722</v>
      </c>
    </row>
    <row r="415" spans="1:8" s="539" customFormat="1" ht="47.25" hidden="1" outlineLevel="3" x14ac:dyDescent="0.25">
      <c r="A415" s="363" t="s">
        <v>2662</v>
      </c>
      <c r="B415" s="381" t="s">
        <v>1602</v>
      </c>
      <c r="C415" s="381" t="s">
        <v>1592</v>
      </c>
      <c r="D415" s="100" t="s">
        <v>408</v>
      </c>
      <c r="E415" s="100">
        <v>2</v>
      </c>
      <c r="F415" s="525">
        <f t="shared" si="6"/>
        <v>416719</v>
      </c>
      <c r="G415" s="525">
        <f>'НМЦК (с разбивкой по объектам)'!K418</f>
        <v>833437</v>
      </c>
    </row>
    <row r="416" spans="1:8" s="539" customFormat="1" ht="47.25" hidden="1" outlineLevel="3" x14ac:dyDescent="0.25">
      <c r="A416" s="363" t="s">
        <v>2663</v>
      </c>
      <c r="B416" s="381" t="s">
        <v>1603</v>
      </c>
      <c r="C416" s="381" t="s">
        <v>1593</v>
      </c>
      <c r="D416" s="100" t="s">
        <v>408</v>
      </c>
      <c r="E416" s="100">
        <v>1</v>
      </c>
      <c r="F416" s="525">
        <f t="shared" si="6"/>
        <v>416722</v>
      </c>
      <c r="G416" s="525">
        <f>'НМЦК (с разбивкой по объектам)'!K419</f>
        <v>416722</v>
      </c>
    </row>
    <row r="417" spans="1:8" s="539" customFormat="1" ht="47.25" hidden="1" outlineLevel="3" x14ac:dyDescent="0.25">
      <c r="A417" s="363" t="s">
        <v>2664</v>
      </c>
      <c r="B417" s="381" t="s">
        <v>1604</v>
      </c>
      <c r="C417" s="381" t="s">
        <v>1594</v>
      </c>
      <c r="D417" s="100" t="s">
        <v>408</v>
      </c>
      <c r="E417" s="100">
        <v>1</v>
      </c>
      <c r="F417" s="525">
        <f t="shared" si="6"/>
        <v>297227</v>
      </c>
      <c r="G417" s="525">
        <f>'НМЦК (с разбивкой по объектам)'!K420</f>
        <v>297227</v>
      </c>
    </row>
    <row r="418" spans="1:8" s="539" customFormat="1" ht="47.25" hidden="1" outlineLevel="3" x14ac:dyDescent="0.25">
      <c r="A418" s="363" t="s">
        <v>2665</v>
      </c>
      <c r="B418" s="381" t="s">
        <v>1605</v>
      </c>
      <c r="C418" s="381" t="s">
        <v>1595</v>
      </c>
      <c r="D418" s="100" t="s">
        <v>408</v>
      </c>
      <c r="E418" s="100">
        <v>1</v>
      </c>
      <c r="F418" s="525">
        <f t="shared" si="6"/>
        <v>416722</v>
      </c>
      <c r="G418" s="525">
        <f>'НМЦК (с разбивкой по объектам)'!K421</f>
        <v>416722</v>
      </c>
    </row>
    <row r="419" spans="1:8" s="539" customFormat="1" ht="47.25" hidden="1" outlineLevel="3" x14ac:dyDescent="0.25">
      <c r="A419" s="363" t="s">
        <v>2666</v>
      </c>
      <c r="B419" s="381" t="s">
        <v>1606</v>
      </c>
      <c r="C419" s="381" t="s">
        <v>1596</v>
      </c>
      <c r="D419" s="100" t="s">
        <v>408</v>
      </c>
      <c r="E419" s="100">
        <v>1</v>
      </c>
      <c r="F419" s="525">
        <f t="shared" si="6"/>
        <v>288853</v>
      </c>
      <c r="G419" s="525">
        <f>'НМЦК (с разбивкой по объектам)'!K422</f>
        <v>288853</v>
      </c>
    </row>
    <row r="420" spans="1:8" s="539" customFormat="1" ht="78.75" hidden="1" outlineLevel="3" x14ac:dyDescent="0.25">
      <c r="A420" s="363" t="s">
        <v>2667</v>
      </c>
      <c r="B420" s="381" t="s">
        <v>1607</v>
      </c>
      <c r="C420" s="381" t="s">
        <v>1597</v>
      </c>
      <c r="D420" s="100" t="s">
        <v>408</v>
      </c>
      <c r="E420" s="100">
        <v>1</v>
      </c>
      <c r="F420" s="525">
        <f t="shared" si="6"/>
        <v>288853</v>
      </c>
      <c r="G420" s="525">
        <f>'НМЦК (с разбивкой по объектам)'!K423</f>
        <v>288853</v>
      </c>
    </row>
    <row r="421" spans="1:8" s="539" customFormat="1" hidden="1" outlineLevel="3" x14ac:dyDescent="0.25">
      <c r="A421" s="363" t="s">
        <v>2668</v>
      </c>
      <c r="B421" s="381" t="s">
        <v>1608</v>
      </c>
      <c r="C421" s="381" t="s">
        <v>1559</v>
      </c>
      <c r="D421" s="100" t="s">
        <v>377</v>
      </c>
      <c r="E421" s="100">
        <v>7.2</v>
      </c>
      <c r="F421" s="525">
        <f t="shared" si="6"/>
        <v>3653</v>
      </c>
      <c r="G421" s="525">
        <f>'НМЦК (с разбивкой по объектам)'!K424</f>
        <v>26301</v>
      </c>
    </row>
    <row r="422" spans="1:8" s="539" customFormat="1" ht="31.5" hidden="1" outlineLevel="3" x14ac:dyDescent="0.25">
      <c r="A422" s="363" t="s">
        <v>2669</v>
      </c>
      <c r="B422" s="381" t="s">
        <v>1610</v>
      </c>
      <c r="C422" s="381" t="s">
        <v>1609</v>
      </c>
      <c r="D422" s="100" t="s">
        <v>300</v>
      </c>
      <c r="E422" s="100">
        <v>12.6</v>
      </c>
      <c r="F422" s="525">
        <f t="shared" si="6"/>
        <v>25789</v>
      </c>
      <c r="G422" s="525">
        <f>'НМЦК (с разбивкой по объектам)'!K425</f>
        <v>324943</v>
      </c>
    </row>
    <row r="423" spans="1:8" s="539" customFormat="1" hidden="1" outlineLevel="3" x14ac:dyDescent="0.25">
      <c r="A423" s="363"/>
      <c r="B423" s="381"/>
      <c r="C423" s="381" t="s">
        <v>1612</v>
      </c>
      <c r="D423" s="100"/>
      <c r="E423" s="100"/>
      <c r="F423" s="525" t="e">
        <f t="shared" si="6"/>
        <v>#DIV/0!</v>
      </c>
      <c r="G423" s="525">
        <f>'НМЦК (с разбивкой по объектам)'!K426</f>
        <v>0</v>
      </c>
    </row>
    <row r="424" spans="1:8" s="539" customFormat="1" ht="31.5" hidden="1" outlineLevel="3" x14ac:dyDescent="0.25">
      <c r="A424" s="363" t="s">
        <v>2670</v>
      </c>
      <c r="B424" s="381" t="s">
        <v>1613</v>
      </c>
      <c r="C424" s="381" t="s">
        <v>1611</v>
      </c>
      <c r="D424" s="100" t="s">
        <v>377</v>
      </c>
      <c r="E424" s="100">
        <v>3547</v>
      </c>
      <c r="F424" s="525">
        <f t="shared" si="6"/>
        <v>1125</v>
      </c>
      <c r="G424" s="525">
        <f>'НМЦК (с разбивкой по объектам)'!K427</f>
        <v>3988847</v>
      </c>
    </row>
    <row r="425" spans="1:8" s="546" customFormat="1" outlineLevel="2" collapsed="1" x14ac:dyDescent="0.25">
      <c r="A425" s="132" t="s">
        <v>2671</v>
      </c>
      <c r="B425" s="320" t="s">
        <v>51</v>
      </c>
      <c r="C425" s="320" t="s">
        <v>138</v>
      </c>
      <c r="D425" s="134" t="s">
        <v>292</v>
      </c>
      <c r="E425" s="90">
        <v>1</v>
      </c>
      <c r="F425" s="526">
        <f t="shared" si="6"/>
        <v>74244996</v>
      </c>
      <c r="G425" s="526">
        <f>'НМЦК (с разбивкой по объектам)'!K428</f>
        <v>74244996</v>
      </c>
    </row>
    <row r="426" spans="1:8" s="539" customFormat="1" hidden="1" outlineLevel="3" x14ac:dyDescent="0.25">
      <c r="A426" s="225"/>
      <c r="B426" s="381"/>
      <c r="C426" s="381" t="s">
        <v>367</v>
      </c>
      <c r="D426" s="100"/>
      <c r="E426" s="100"/>
      <c r="F426" s="525" t="e">
        <f t="shared" si="6"/>
        <v>#DIV/0!</v>
      </c>
      <c r="G426" s="525">
        <f>'НМЦК (с разбивкой по объектам)'!K429</f>
        <v>0</v>
      </c>
    </row>
    <row r="427" spans="1:8" s="539" customFormat="1" ht="31.5" hidden="1" outlineLevel="3" x14ac:dyDescent="0.25">
      <c r="A427" s="225" t="s">
        <v>2672</v>
      </c>
      <c r="B427" s="381" t="s">
        <v>1666</v>
      </c>
      <c r="C427" s="381" t="s">
        <v>510</v>
      </c>
      <c r="D427" s="100" t="s">
        <v>300</v>
      </c>
      <c r="E427" s="100">
        <f>18918</f>
        <v>18918</v>
      </c>
      <c r="F427" s="525">
        <f t="shared" si="6"/>
        <v>1670</v>
      </c>
      <c r="G427" s="525">
        <f>'НМЦК (с разбивкой по объектам)'!K430</f>
        <v>31587592</v>
      </c>
    </row>
    <row r="428" spans="1:8" s="539" customFormat="1" ht="47.25" hidden="1" outlineLevel="3" x14ac:dyDescent="0.25">
      <c r="A428" s="225" t="s">
        <v>2673</v>
      </c>
      <c r="B428" s="381" t="s">
        <v>1668</v>
      </c>
      <c r="C428" s="381" t="s">
        <v>1667</v>
      </c>
      <c r="D428" s="100" t="s">
        <v>300</v>
      </c>
      <c r="E428" s="100">
        <f>18918*0.9</f>
        <v>17026.2</v>
      </c>
      <c r="F428" s="525">
        <f t="shared" si="6"/>
        <v>160</v>
      </c>
      <c r="G428" s="525">
        <f>'НМЦК (с разбивкой по объектам)'!K431</f>
        <v>2724146</v>
      </c>
      <c r="H428" s="552" t="s">
        <v>1669</v>
      </c>
    </row>
    <row r="429" spans="1:8" s="539" customFormat="1" hidden="1" outlineLevel="3" x14ac:dyDescent="0.25">
      <c r="A429" s="225" t="s">
        <v>2674</v>
      </c>
      <c r="B429" s="381" t="s">
        <v>1670</v>
      </c>
      <c r="C429" s="381" t="s">
        <v>1671</v>
      </c>
      <c r="D429" s="100" t="s">
        <v>300</v>
      </c>
      <c r="E429" s="100">
        <f>18918*0.1</f>
        <v>1891.8</v>
      </c>
      <c r="F429" s="525">
        <f t="shared" si="6"/>
        <v>858</v>
      </c>
      <c r="G429" s="525">
        <f>'НМЦК (с разбивкой по объектам)'!K432</f>
        <v>1623470</v>
      </c>
    </row>
    <row r="430" spans="1:8" s="539" customFormat="1" hidden="1" outlineLevel="3" x14ac:dyDescent="0.25">
      <c r="A430" s="225" t="s">
        <v>2675</v>
      </c>
      <c r="B430" s="381" t="s">
        <v>1672</v>
      </c>
      <c r="C430" s="381" t="s">
        <v>1525</v>
      </c>
      <c r="D430" s="100" t="s">
        <v>300</v>
      </c>
      <c r="E430" s="100">
        <f>461.5</f>
        <v>461.5</v>
      </c>
      <c r="F430" s="525">
        <f t="shared" si="6"/>
        <v>1679</v>
      </c>
      <c r="G430" s="525">
        <f>'НМЦК (с разбивкой по объектам)'!K433</f>
        <v>775040</v>
      </c>
    </row>
    <row r="431" spans="1:8" s="539" customFormat="1" hidden="1" outlineLevel="3" x14ac:dyDescent="0.25">
      <c r="A431" s="225" t="s">
        <v>2676</v>
      </c>
      <c r="B431" s="381" t="s">
        <v>1673</v>
      </c>
      <c r="C431" s="381" t="s">
        <v>1527</v>
      </c>
      <c r="D431" s="100" t="s">
        <v>300</v>
      </c>
      <c r="E431" s="100">
        <f>2742</f>
        <v>2742</v>
      </c>
      <c r="F431" s="525">
        <f t="shared" si="6"/>
        <v>560</v>
      </c>
      <c r="G431" s="525">
        <f>'НМЦК (с разбивкой по объектам)'!K434</f>
        <v>1534379</v>
      </c>
    </row>
    <row r="432" spans="1:8" s="539" customFormat="1" ht="31.5" hidden="1" outlineLevel="3" x14ac:dyDescent="0.25">
      <c r="A432" s="225" t="s">
        <v>2677</v>
      </c>
      <c r="B432" s="381" t="s">
        <v>1675</v>
      </c>
      <c r="C432" s="381" t="s">
        <v>1674</v>
      </c>
      <c r="D432" s="100" t="s">
        <v>300</v>
      </c>
      <c r="E432" s="100">
        <f>15571.1</f>
        <v>15571.1</v>
      </c>
      <c r="F432" s="525">
        <f t="shared" si="6"/>
        <v>126</v>
      </c>
      <c r="G432" s="525">
        <f>'НМЦК (с разбивкой по объектам)'!K435</f>
        <v>1959565</v>
      </c>
    </row>
    <row r="433" spans="1:7" s="539" customFormat="1" hidden="1" outlineLevel="3" x14ac:dyDescent="0.25">
      <c r="A433" s="225" t="s">
        <v>2678</v>
      </c>
      <c r="B433" s="381" t="s">
        <v>1677</v>
      </c>
      <c r="C433" s="381" t="s">
        <v>1676</v>
      </c>
      <c r="D433" s="100" t="s">
        <v>404</v>
      </c>
      <c r="E433" s="100">
        <v>28</v>
      </c>
      <c r="F433" s="525">
        <f t="shared" si="6"/>
        <v>420</v>
      </c>
      <c r="G433" s="525">
        <f>'НМЦК (с разбивкой по объектам)'!K436</f>
        <v>11773</v>
      </c>
    </row>
    <row r="434" spans="1:7" s="539" customFormat="1" hidden="1" outlineLevel="3" x14ac:dyDescent="0.25">
      <c r="A434" s="225" t="s">
        <v>2679</v>
      </c>
      <c r="B434" s="381" t="s">
        <v>1679</v>
      </c>
      <c r="C434" s="381" t="s">
        <v>1678</v>
      </c>
      <c r="D434" s="100" t="s">
        <v>404</v>
      </c>
      <c r="E434" s="100">
        <v>5370</v>
      </c>
      <c r="F434" s="525">
        <f t="shared" si="6"/>
        <v>239</v>
      </c>
      <c r="G434" s="525">
        <f>'НМЦК (с разбивкой по объектам)'!K437</f>
        <v>1285098</v>
      </c>
    </row>
    <row r="435" spans="1:7" s="539" customFormat="1" ht="31.5" hidden="1" outlineLevel="3" x14ac:dyDescent="0.25">
      <c r="A435" s="225" t="s">
        <v>2680</v>
      </c>
      <c r="B435" s="381" t="s">
        <v>1680</v>
      </c>
      <c r="C435" s="381" t="s">
        <v>1681</v>
      </c>
      <c r="D435" s="100" t="s">
        <v>300</v>
      </c>
      <c r="E435" s="100">
        <v>1.8</v>
      </c>
      <c r="F435" s="525">
        <f t="shared" si="6"/>
        <v>3317</v>
      </c>
      <c r="G435" s="525">
        <f>'НМЦК (с разбивкой по объектам)'!K438</f>
        <v>5971</v>
      </c>
    </row>
    <row r="436" spans="1:7" s="539" customFormat="1" ht="31.5" hidden="1" outlineLevel="3" x14ac:dyDescent="0.25">
      <c r="A436" s="363" t="s">
        <v>2681</v>
      </c>
      <c r="B436" s="381" t="s">
        <v>1683</v>
      </c>
      <c r="C436" s="381" t="s">
        <v>1682</v>
      </c>
      <c r="D436" s="100" t="s">
        <v>377</v>
      </c>
      <c r="E436" s="100">
        <v>1850</v>
      </c>
      <c r="F436" s="525">
        <f t="shared" si="6"/>
        <v>4426</v>
      </c>
      <c r="G436" s="525">
        <f>'НМЦК (с разбивкой по объектам)'!K439</f>
        <v>8188431</v>
      </c>
    </row>
    <row r="437" spans="1:7" s="539" customFormat="1" ht="31.5" hidden="1" outlineLevel="3" x14ac:dyDescent="0.25">
      <c r="A437" s="363" t="s">
        <v>2682</v>
      </c>
      <c r="B437" s="381" t="s">
        <v>1684</v>
      </c>
      <c r="C437" s="381" t="s">
        <v>1691</v>
      </c>
      <c r="D437" s="100" t="s">
        <v>377</v>
      </c>
      <c r="E437" s="100">
        <f>1416</f>
        <v>1416</v>
      </c>
      <c r="F437" s="525">
        <f t="shared" si="6"/>
        <v>4426</v>
      </c>
      <c r="G437" s="525">
        <f>'НМЦК (с разбивкой по объектам)'!K440</f>
        <v>6267483</v>
      </c>
    </row>
    <row r="438" spans="1:7" s="539" customFormat="1" ht="31.5" hidden="1" outlineLevel="3" x14ac:dyDescent="0.25">
      <c r="A438" s="363" t="s">
        <v>2683</v>
      </c>
      <c r="B438" s="381" t="s">
        <v>1685</v>
      </c>
      <c r="C438" s="381" t="s">
        <v>1692</v>
      </c>
      <c r="D438" s="100" t="s">
        <v>377</v>
      </c>
      <c r="E438" s="100">
        <v>1460</v>
      </c>
      <c r="F438" s="525">
        <f t="shared" si="6"/>
        <v>4426</v>
      </c>
      <c r="G438" s="525">
        <f>'НМЦК (с разбивкой по объектам)'!K441</f>
        <v>6462212</v>
      </c>
    </row>
    <row r="439" spans="1:7" s="539" customFormat="1" ht="31.5" hidden="1" outlineLevel="3" x14ac:dyDescent="0.25">
      <c r="A439" s="363" t="s">
        <v>2684</v>
      </c>
      <c r="B439" s="381" t="s">
        <v>1686</v>
      </c>
      <c r="C439" s="381" t="s">
        <v>1693</v>
      </c>
      <c r="D439" s="100" t="s">
        <v>377</v>
      </c>
      <c r="E439" s="100">
        <v>210</v>
      </c>
      <c r="F439" s="525">
        <f t="shared" si="6"/>
        <v>4426</v>
      </c>
      <c r="G439" s="525">
        <f>'НМЦК (с разбивкой по объектам)'!K442</f>
        <v>929484</v>
      </c>
    </row>
    <row r="440" spans="1:7" s="539" customFormat="1" ht="31.5" hidden="1" outlineLevel="3" x14ac:dyDescent="0.25">
      <c r="A440" s="363" t="s">
        <v>2685</v>
      </c>
      <c r="B440" s="381" t="s">
        <v>1687</v>
      </c>
      <c r="C440" s="381" t="s">
        <v>1694</v>
      </c>
      <c r="D440" s="100" t="s">
        <v>377</v>
      </c>
      <c r="E440" s="100">
        <v>360</v>
      </c>
      <c r="F440" s="525">
        <f t="shared" si="6"/>
        <v>1272</v>
      </c>
      <c r="G440" s="525">
        <f>'НМЦК (с разбивкой по объектам)'!K443</f>
        <v>457802</v>
      </c>
    </row>
    <row r="441" spans="1:7" s="539" customFormat="1" hidden="1" outlineLevel="3" x14ac:dyDescent="0.25">
      <c r="A441" s="363" t="s">
        <v>2686</v>
      </c>
      <c r="B441" s="381" t="s">
        <v>1688</v>
      </c>
      <c r="C441" s="381" t="s">
        <v>1695</v>
      </c>
      <c r="D441" s="100" t="s">
        <v>377</v>
      </c>
      <c r="E441" s="100">
        <v>12</v>
      </c>
      <c r="F441" s="525">
        <f t="shared" si="6"/>
        <v>1040</v>
      </c>
      <c r="G441" s="525">
        <f>'НМЦК (с разбивкой по объектам)'!K444</f>
        <v>12484</v>
      </c>
    </row>
    <row r="442" spans="1:7" s="539" customFormat="1" ht="31.5" hidden="1" outlineLevel="3" x14ac:dyDescent="0.25">
      <c r="A442" s="363" t="s">
        <v>2687</v>
      </c>
      <c r="B442" s="381" t="s">
        <v>1689</v>
      </c>
      <c r="C442" s="381" t="s">
        <v>1696</v>
      </c>
      <c r="D442" s="100" t="s">
        <v>377</v>
      </c>
      <c r="E442" s="100">
        <v>12</v>
      </c>
      <c r="F442" s="525">
        <f t="shared" si="6"/>
        <v>1594</v>
      </c>
      <c r="G442" s="525">
        <f>'НМЦК (с разбивкой по объектам)'!K445</f>
        <v>19125</v>
      </c>
    </row>
    <row r="443" spans="1:7" s="539" customFormat="1" hidden="1" outlineLevel="3" x14ac:dyDescent="0.25">
      <c r="A443" s="363" t="s">
        <v>2688</v>
      </c>
      <c r="B443" s="381" t="s">
        <v>1690</v>
      </c>
      <c r="C443" s="381" t="s">
        <v>1697</v>
      </c>
      <c r="D443" s="100" t="s">
        <v>377</v>
      </c>
      <c r="E443" s="100">
        <v>24</v>
      </c>
      <c r="F443" s="525">
        <f t="shared" si="6"/>
        <v>3141</v>
      </c>
      <c r="G443" s="525">
        <f>'НМЦК (с разбивкой по объектам)'!K446</f>
        <v>75384</v>
      </c>
    </row>
    <row r="444" spans="1:7" s="539" customFormat="1" hidden="1" outlineLevel="3" x14ac:dyDescent="0.25">
      <c r="A444" s="363" t="s">
        <v>2689</v>
      </c>
      <c r="B444" s="381" t="s">
        <v>1699</v>
      </c>
      <c r="C444" s="381" t="s">
        <v>1698</v>
      </c>
      <c r="D444" s="100" t="s">
        <v>408</v>
      </c>
      <c r="E444" s="100">
        <v>2</v>
      </c>
      <c r="F444" s="525">
        <f t="shared" si="6"/>
        <v>21344</v>
      </c>
      <c r="G444" s="525">
        <f>'НМЦК (с разбивкой по объектам)'!K447</f>
        <v>42687</v>
      </c>
    </row>
    <row r="445" spans="1:7" s="539" customFormat="1" hidden="1" outlineLevel="3" x14ac:dyDescent="0.25">
      <c r="A445" s="363"/>
      <c r="B445" s="381"/>
      <c r="C445" s="381" t="s">
        <v>1587</v>
      </c>
      <c r="D445" s="100"/>
      <c r="E445" s="100"/>
      <c r="F445" s="525" t="e">
        <f t="shared" si="6"/>
        <v>#DIV/0!</v>
      </c>
      <c r="G445" s="525">
        <f>'НМЦК (с разбивкой по объектам)'!K448</f>
        <v>0</v>
      </c>
    </row>
    <row r="446" spans="1:7" s="539" customFormat="1" hidden="1" outlineLevel="3" x14ac:dyDescent="0.25">
      <c r="A446" s="363"/>
      <c r="B446" s="381"/>
      <c r="C446" s="381" t="s">
        <v>1700</v>
      </c>
      <c r="D446" s="100"/>
      <c r="E446" s="100"/>
      <c r="F446" s="525" t="e">
        <f t="shared" si="6"/>
        <v>#DIV/0!</v>
      </c>
      <c r="G446" s="525">
        <f>'НМЦК (с разбивкой по объектам)'!K449</f>
        <v>0</v>
      </c>
    </row>
    <row r="447" spans="1:7" s="539" customFormat="1" ht="126" hidden="1" outlineLevel="3" x14ac:dyDescent="0.25">
      <c r="A447" s="363" t="s">
        <v>2690</v>
      </c>
      <c r="B447" s="381" t="s">
        <v>1702</v>
      </c>
      <c r="C447" s="381" t="s">
        <v>1701</v>
      </c>
      <c r="D447" s="100" t="s">
        <v>408</v>
      </c>
      <c r="E447" s="100">
        <v>1</v>
      </c>
      <c r="F447" s="525">
        <f t="shared" si="6"/>
        <v>218886</v>
      </c>
      <c r="G447" s="525">
        <f>'НМЦК (с разбивкой по объектам)'!K450</f>
        <v>218886</v>
      </c>
    </row>
    <row r="448" spans="1:7" s="539" customFormat="1" ht="141.75" hidden="1" outlineLevel="3" x14ac:dyDescent="0.25">
      <c r="A448" s="363" t="s">
        <v>2691</v>
      </c>
      <c r="B448" s="381" t="s">
        <v>1704</v>
      </c>
      <c r="C448" s="381" t="s">
        <v>1703</v>
      </c>
      <c r="D448" s="100" t="s">
        <v>408</v>
      </c>
      <c r="E448" s="100">
        <v>1</v>
      </c>
      <c r="F448" s="525">
        <f t="shared" si="6"/>
        <v>218886</v>
      </c>
      <c r="G448" s="525">
        <f>'НМЦК (с разбивкой по объектам)'!K451</f>
        <v>218886</v>
      </c>
    </row>
    <row r="449" spans="1:7" s="539" customFormat="1" ht="94.5" hidden="1" outlineLevel="3" x14ac:dyDescent="0.25">
      <c r="A449" s="363" t="s">
        <v>2692</v>
      </c>
      <c r="B449" s="381" t="s">
        <v>1706</v>
      </c>
      <c r="C449" s="381" t="s">
        <v>1705</v>
      </c>
      <c r="D449" s="100" t="s">
        <v>408</v>
      </c>
      <c r="E449" s="100">
        <v>1</v>
      </c>
      <c r="F449" s="525">
        <f t="shared" si="6"/>
        <v>513776</v>
      </c>
      <c r="G449" s="525">
        <f>'НМЦК (с разбивкой по объектам)'!K452</f>
        <v>513776</v>
      </c>
    </row>
    <row r="450" spans="1:7" s="539" customFormat="1" ht="94.5" hidden="1" outlineLevel="3" x14ac:dyDescent="0.25">
      <c r="A450" s="363" t="s">
        <v>2693</v>
      </c>
      <c r="B450" s="381" t="s">
        <v>1707</v>
      </c>
      <c r="C450" s="381" t="s">
        <v>1710</v>
      </c>
      <c r="D450" s="100" t="s">
        <v>408</v>
      </c>
      <c r="E450" s="100">
        <v>2</v>
      </c>
      <c r="F450" s="525">
        <f t="shared" si="6"/>
        <v>513102</v>
      </c>
      <c r="G450" s="525">
        <f>'НМЦК (с разбивкой по объектам)'!K453</f>
        <v>1026204</v>
      </c>
    </row>
    <row r="451" spans="1:7" s="539" customFormat="1" ht="94.5" hidden="1" outlineLevel="3" x14ac:dyDescent="0.25">
      <c r="A451" s="363" t="s">
        <v>2694</v>
      </c>
      <c r="B451" s="381" t="s">
        <v>1708</v>
      </c>
      <c r="C451" s="381" t="s">
        <v>1711</v>
      </c>
      <c r="D451" s="100" t="s">
        <v>408</v>
      </c>
      <c r="E451" s="100">
        <v>14</v>
      </c>
      <c r="F451" s="525">
        <f t="shared" si="6"/>
        <v>275205</v>
      </c>
      <c r="G451" s="525">
        <f>'НМЦК (с разбивкой по объектам)'!K454</f>
        <v>3852863</v>
      </c>
    </row>
    <row r="452" spans="1:7" s="539" customFormat="1" ht="31.5" hidden="1" outlineLevel="3" x14ac:dyDescent="0.25">
      <c r="A452" s="363" t="s">
        <v>2695</v>
      </c>
      <c r="B452" s="381" t="s">
        <v>1709</v>
      </c>
      <c r="C452" s="381" t="s">
        <v>1712</v>
      </c>
      <c r="D452" s="100" t="s">
        <v>408</v>
      </c>
      <c r="E452" s="100">
        <v>19</v>
      </c>
      <c r="F452" s="525">
        <f t="shared" si="6"/>
        <v>3702</v>
      </c>
      <c r="G452" s="525">
        <f>'НМЦК (с разбивкой по объектам)'!K455</f>
        <v>70335</v>
      </c>
    </row>
    <row r="453" spans="1:7" s="539" customFormat="1" ht="31.5" hidden="1" outlineLevel="3" x14ac:dyDescent="0.25">
      <c r="A453" s="363" t="s">
        <v>2696</v>
      </c>
      <c r="B453" s="381" t="s">
        <v>1714</v>
      </c>
      <c r="C453" s="381" t="s">
        <v>1713</v>
      </c>
      <c r="D453" s="100" t="s">
        <v>300</v>
      </c>
      <c r="E453" s="100">
        <v>4.5999999999999996</v>
      </c>
      <c r="F453" s="525">
        <f t="shared" si="6"/>
        <v>20950</v>
      </c>
      <c r="G453" s="525">
        <f>'НМЦК (с разбивкой по объектам)'!K456</f>
        <v>96368</v>
      </c>
    </row>
    <row r="454" spans="1:7" s="539" customFormat="1" ht="31.5" hidden="1" outlineLevel="3" x14ac:dyDescent="0.25">
      <c r="A454" s="363" t="s">
        <v>2697</v>
      </c>
      <c r="B454" s="381" t="s">
        <v>1716</v>
      </c>
      <c r="C454" s="381" t="s">
        <v>1712</v>
      </c>
      <c r="D454" s="100" t="s">
        <v>408</v>
      </c>
      <c r="E454" s="100">
        <v>23</v>
      </c>
      <c r="F454" s="525">
        <f t="shared" si="6"/>
        <v>3702</v>
      </c>
      <c r="G454" s="525">
        <f>'НМЦК (с разбивкой по объектам)'!K457</f>
        <v>85148</v>
      </c>
    </row>
    <row r="455" spans="1:7" s="539" customFormat="1" ht="31.5" hidden="1" outlineLevel="3" x14ac:dyDescent="0.25">
      <c r="A455" s="363" t="s">
        <v>2698</v>
      </c>
      <c r="B455" s="381" t="s">
        <v>1717</v>
      </c>
      <c r="C455" s="381" t="s">
        <v>1715</v>
      </c>
      <c r="D455" s="100" t="s">
        <v>408</v>
      </c>
      <c r="E455" s="100">
        <v>2</v>
      </c>
      <c r="F455" s="525">
        <f t="shared" si="6"/>
        <v>4957</v>
      </c>
      <c r="G455" s="525">
        <f>'НМЦК (с разбивкой по объектам)'!K458</f>
        <v>9913</v>
      </c>
    </row>
    <row r="456" spans="1:7" s="539" customFormat="1" hidden="1" outlineLevel="3" x14ac:dyDescent="0.25">
      <c r="A456" s="363" t="s">
        <v>2699</v>
      </c>
      <c r="B456" s="381" t="s">
        <v>1719</v>
      </c>
      <c r="C456" s="381" t="s">
        <v>1718</v>
      </c>
      <c r="D456" s="100" t="s">
        <v>300</v>
      </c>
      <c r="E456" s="100">
        <v>20</v>
      </c>
      <c r="F456" s="525">
        <f t="shared" si="6"/>
        <v>6742</v>
      </c>
      <c r="G456" s="525">
        <f>'НМЦК (с разбивкой по объектам)'!K459</f>
        <v>134843</v>
      </c>
    </row>
    <row r="457" spans="1:7" s="539" customFormat="1" hidden="1" outlineLevel="3" x14ac:dyDescent="0.25">
      <c r="A457" s="363"/>
      <c r="B457" s="381"/>
      <c r="C457" s="381" t="s">
        <v>1612</v>
      </c>
      <c r="D457" s="100"/>
      <c r="E457" s="100"/>
      <c r="F457" s="525" t="e">
        <f t="shared" ref="F457:F520" si="7">G457/E457</f>
        <v>#DIV/0!</v>
      </c>
      <c r="G457" s="525">
        <f>'НМЦК (с разбивкой по объектам)'!K460</f>
        <v>0</v>
      </c>
    </row>
    <row r="458" spans="1:7" s="539" customFormat="1" ht="31.5" hidden="1" outlineLevel="3" x14ac:dyDescent="0.25">
      <c r="A458" s="363" t="s">
        <v>2700</v>
      </c>
      <c r="B458" s="381" t="s">
        <v>1721</v>
      </c>
      <c r="C458" s="381" t="s">
        <v>1720</v>
      </c>
      <c r="D458" s="100" t="s">
        <v>377</v>
      </c>
      <c r="E458" s="100">
        <v>3650</v>
      </c>
      <c r="F458" s="525">
        <f t="shared" si="7"/>
        <v>1111</v>
      </c>
      <c r="G458" s="525">
        <f>'НМЦК (с разбивкой по объектам)'!K461</f>
        <v>4055648</v>
      </c>
    </row>
    <row r="459" spans="1:7" s="539" customFormat="1" outlineLevel="2" x14ac:dyDescent="0.25">
      <c r="A459" s="132" t="s">
        <v>2701</v>
      </c>
      <c r="B459" s="320" t="s">
        <v>45</v>
      </c>
      <c r="C459" s="320" t="s">
        <v>46</v>
      </c>
      <c r="D459" s="134" t="s">
        <v>292</v>
      </c>
      <c r="E459" s="90">
        <v>1</v>
      </c>
      <c r="F459" s="523">
        <f t="shared" si="7"/>
        <v>2426559</v>
      </c>
      <c r="G459" s="523">
        <f>'НМЦК (с разбивкой по объектам)'!K462</f>
        <v>2426559</v>
      </c>
    </row>
    <row r="460" spans="1:7" s="539" customFormat="1" ht="31.5" outlineLevel="2" collapsed="1" x14ac:dyDescent="0.25">
      <c r="A460" s="132" t="s">
        <v>2702</v>
      </c>
      <c r="B460" s="320" t="s">
        <v>35</v>
      </c>
      <c r="C460" s="320" t="s">
        <v>36</v>
      </c>
      <c r="D460" s="134" t="s">
        <v>292</v>
      </c>
      <c r="E460" s="90">
        <v>1</v>
      </c>
      <c r="F460" s="526">
        <f t="shared" si="7"/>
        <v>16273050</v>
      </c>
      <c r="G460" s="526">
        <f>'НМЦК (с разбивкой по объектам)'!K463</f>
        <v>16273050</v>
      </c>
    </row>
    <row r="461" spans="1:7" s="539" customFormat="1" hidden="1" outlineLevel="3" x14ac:dyDescent="0.25">
      <c r="A461" s="363"/>
      <c r="B461" s="381"/>
      <c r="C461" s="381" t="s">
        <v>367</v>
      </c>
      <c r="D461" s="100"/>
      <c r="E461" s="100"/>
      <c r="F461" s="525" t="e">
        <f t="shared" si="7"/>
        <v>#DIV/0!</v>
      </c>
      <c r="G461" s="525">
        <f>'НМЦК (с разбивкой по объектам)'!K464</f>
        <v>0</v>
      </c>
    </row>
    <row r="462" spans="1:7" s="539" customFormat="1" ht="31.5" hidden="1" outlineLevel="3" x14ac:dyDescent="0.25">
      <c r="A462" s="363" t="s">
        <v>2703</v>
      </c>
      <c r="B462" s="381" t="s">
        <v>1400</v>
      </c>
      <c r="C462" s="381" t="s">
        <v>356</v>
      </c>
      <c r="D462" s="100" t="s">
        <v>300</v>
      </c>
      <c r="E462" s="100">
        <f>773.01</f>
        <v>773.01</v>
      </c>
      <c r="F462" s="525">
        <f t="shared" si="7"/>
        <v>1670</v>
      </c>
      <c r="G462" s="525">
        <f>'НМЦК (с разбивкой по объектам)'!K465</f>
        <v>1290684</v>
      </c>
    </row>
    <row r="463" spans="1:7" s="539" customFormat="1" hidden="1" outlineLevel="3" x14ac:dyDescent="0.25">
      <c r="A463" s="363" t="s">
        <v>2704</v>
      </c>
      <c r="B463" s="381" t="s">
        <v>1401</v>
      </c>
      <c r="C463" s="381" t="s">
        <v>398</v>
      </c>
      <c r="D463" s="100" t="s">
        <v>300</v>
      </c>
      <c r="E463" s="100">
        <f>287.91</f>
        <v>287.91000000000003</v>
      </c>
      <c r="F463" s="525">
        <f t="shared" si="7"/>
        <v>145</v>
      </c>
      <c r="G463" s="525">
        <f>'НМЦК (с разбивкой по объектам)'!K466</f>
        <v>41824</v>
      </c>
    </row>
    <row r="464" spans="1:7" s="539" customFormat="1" ht="47.25" hidden="1" outlineLevel="3" x14ac:dyDescent="0.25">
      <c r="A464" s="363" t="s">
        <v>2705</v>
      </c>
      <c r="B464" s="381" t="s">
        <v>1403</v>
      </c>
      <c r="C464" s="381" t="s">
        <v>1402</v>
      </c>
      <c r="D464" s="100" t="s">
        <v>300</v>
      </c>
      <c r="E464" s="100">
        <f>253.2</f>
        <v>253.2</v>
      </c>
      <c r="F464" s="525">
        <f t="shared" si="7"/>
        <v>304</v>
      </c>
      <c r="G464" s="525">
        <f>'НМЦК (с разбивкой по объектам)'!K467</f>
        <v>76884</v>
      </c>
    </row>
    <row r="465" spans="1:8" s="539" customFormat="1" ht="31.5" hidden="1" outlineLevel="3" x14ac:dyDescent="0.25">
      <c r="A465" s="363" t="s">
        <v>2706</v>
      </c>
      <c r="B465" s="381" t="s">
        <v>1404</v>
      </c>
      <c r="C465" s="381" t="s">
        <v>1405</v>
      </c>
      <c r="D465" s="100" t="s">
        <v>300</v>
      </c>
      <c r="E465" s="100">
        <f>154.6</f>
        <v>154.6</v>
      </c>
      <c r="F465" s="525">
        <f t="shared" si="7"/>
        <v>1116</v>
      </c>
      <c r="G465" s="525">
        <f>'НМЦК (с разбивкой по объектам)'!K468</f>
        <v>172481</v>
      </c>
    </row>
    <row r="466" spans="1:8" s="539" customFormat="1" hidden="1" outlineLevel="3" x14ac:dyDescent="0.25">
      <c r="A466" s="363" t="s">
        <v>2707</v>
      </c>
      <c r="B466" s="381" t="s">
        <v>1407</v>
      </c>
      <c r="C466" s="381" t="s">
        <v>1406</v>
      </c>
      <c r="D466" s="100" t="s">
        <v>300</v>
      </c>
      <c r="E466" s="100">
        <f>77.3</f>
        <v>77.3</v>
      </c>
      <c r="F466" s="525">
        <f t="shared" si="7"/>
        <v>1030</v>
      </c>
      <c r="G466" s="525">
        <f>'НМЦК (с разбивкой по объектам)'!K469</f>
        <v>79597</v>
      </c>
    </row>
    <row r="467" spans="1:8" s="539" customFormat="1" ht="31.5" hidden="1" outlineLevel="3" x14ac:dyDescent="0.25">
      <c r="A467" s="363" t="s">
        <v>2708</v>
      </c>
      <c r="B467" s="381" t="s">
        <v>1408</v>
      </c>
      <c r="C467" s="381" t="s">
        <v>750</v>
      </c>
      <c r="D467" s="100" t="s">
        <v>300</v>
      </c>
      <c r="E467" s="100">
        <f>519.81</f>
        <v>519.80999999999995</v>
      </c>
      <c r="F467" s="525">
        <f t="shared" si="7"/>
        <v>113</v>
      </c>
      <c r="G467" s="525">
        <f>'НМЦК (с разбивкой по объектам)'!K470</f>
        <v>58864</v>
      </c>
    </row>
    <row r="468" spans="1:8" s="539" customFormat="1" ht="47.25" hidden="1" outlineLevel="3" x14ac:dyDescent="0.25">
      <c r="A468" s="363" t="s">
        <v>2709</v>
      </c>
      <c r="B468" s="381" t="s">
        <v>1410</v>
      </c>
      <c r="C468" s="381" t="s">
        <v>1409</v>
      </c>
      <c r="D468" s="100" t="s">
        <v>377</v>
      </c>
      <c r="E468" s="100">
        <v>2110</v>
      </c>
      <c r="F468" s="525">
        <f t="shared" si="7"/>
        <v>4141</v>
      </c>
      <c r="G468" s="525">
        <f>'НМЦК (с разбивкой по объектам)'!K471</f>
        <v>8738322</v>
      </c>
      <c r="H468" s="552" t="s">
        <v>1411</v>
      </c>
    </row>
    <row r="469" spans="1:8" s="539" customFormat="1" hidden="1" outlineLevel="3" x14ac:dyDescent="0.25">
      <c r="A469" s="363"/>
      <c r="B469" s="381"/>
      <c r="C469" s="381" t="s">
        <v>379</v>
      </c>
      <c r="D469" s="100"/>
      <c r="E469" s="100"/>
      <c r="F469" s="525" t="e">
        <f t="shared" si="7"/>
        <v>#DIV/0!</v>
      </c>
      <c r="G469" s="525">
        <f>'НМЦК (с разбивкой по объектам)'!K472</f>
        <v>0</v>
      </c>
    </row>
    <row r="470" spans="1:8" s="539" customFormat="1" ht="47.25" hidden="1" outlineLevel="3" x14ac:dyDescent="0.25">
      <c r="A470" s="363" t="s">
        <v>2710</v>
      </c>
      <c r="B470" s="381" t="s">
        <v>1413</v>
      </c>
      <c r="C470" s="381" t="s">
        <v>1412</v>
      </c>
      <c r="D470" s="100" t="s">
        <v>377</v>
      </c>
      <c r="E470" s="100">
        <f>6330</f>
        <v>6330</v>
      </c>
      <c r="F470" s="525">
        <f t="shared" si="7"/>
        <v>848</v>
      </c>
      <c r="G470" s="525">
        <f>'НМЦК (с разбивкой по объектам)'!K473</f>
        <v>5366929</v>
      </c>
    </row>
    <row r="471" spans="1:8" s="539" customFormat="1" ht="63" hidden="1" outlineLevel="3" x14ac:dyDescent="0.25">
      <c r="A471" s="363" t="s">
        <v>2711</v>
      </c>
      <c r="B471" s="381" t="s">
        <v>1415</v>
      </c>
      <c r="C471" s="381" t="s">
        <v>1414</v>
      </c>
      <c r="D471" s="100" t="s">
        <v>377</v>
      </c>
      <c r="E471" s="100">
        <v>240</v>
      </c>
      <c r="F471" s="525">
        <f t="shared" si="7"/>
        <v>856</v>
      </c>
      <c r="G471" s="525">
        <f>'НМЦК (с разбивкой по объектам)'!K474</f>
        <v>205529</v>
      </c>
    </row>
    <row r="472" spans="1:8" s="539" customFormat="1" ht="31.5" hidden="1" outlineLevel="3" x14ac:dyDescent="0.25">
      <c r="A472" s="363" t="s">
        <v>2712</v>
      </c>
      <c r="B472" s="381" t="s">
        <v>1417</v>
      </c>
      <c r="C472" s="381" t="s">
        <v>1416</v>
      </c>
      <c r="D472" s="100" t="s">
        <v>408</v>
      </c>
      <c r="E472" s="100">
        <v>8</v>
      </c>
      <c r="F472" s="525">
        <f t="shared" si="7"/>
        <v>14167</v>
      </c>
      <c r="G472" s="525">
        <f>'НМЦК (с разбивкой по объектам)'!K475</f>
        <v>113332</v>
      </c>
    </row>
    <row r="473" spans="1:8" s="539" customFormat="1" ht="31.5" hidden="1" outlineLevel="3" x14ac:dyDescent="0.25">
      <c r="A473" s="363" t="s">
        <v>2713</v>
      </c>
      <c r="B473" s="381" t="s">
        <v>1419</v>
      </c>
      <c r="C473" s="381" t="s">
        <v>1418</v>
      </c>
      <c r="D473" s="100" t="s">
        <v>408</v>
      </c>
      <c r="E473" s="100">
        <v>8</v>
      </c>
      <c r="F473" s="525">
        <f t="shared" si="7"/>
        <v>13856</v>
      </c>
      <c r="G473" s="525">
        <f>'НМЦК (с разбивкой по объектам)'!K476</f>
        <v>110845</v>
      </c>
    </row>
    <row r="474" spans="1:8" s="539" customFormat="1" ht="31.5" hidden="1" outlineLevel="3" x14ac:dyDescent="0.25">
      <c r="A474" s="363" t="s">
        <v>2714</v>
      </c>
      <c r="B474" s="381" t="s">
        <v>1421</v>
      </c>
      <c r="C474" s="381" t="s">
        <v>1420</v>
      </c>
      <c r="D474" s="100" t="s">
        <v>404</v>
      </c>
      <c r="E474" s="100">
        <f>28.64</f>
        <v>28.64</v>
      </c>
      <c r="F474" s="525">
        <f t="shared" si="7"/>
        <v>620</v>
      </c>
      <c r="G474" s="525">
        <f>'НМЦК (с разбивкой по объектам)'!K477</f>
        <v>17759</v>
      </c>
    </row>
    <row r="475" spans="1:8" s="539" customFormat="1" ht="31.5" outlineLevel="1" collapsed="1" x14ac:dyDescent="0.25">
      <c r="A475" s="132" t="s">
        <v>508</v>
      </c>
      <c r="B475" s="320"/>
      <c r="C475" s="320" t="s">
        <v>1745</v>
      </c>
      <c r="D475" s="134" t="s">
        <v>292</v>
      </c>
      <c r="E475" s="90">
        <v>1</v>
      </c>
      <c r="F475" s="526">
        <f t="shared" si="7"/>
        <v>1888804</v>
      </c>
      <c r="G475" s="526">
        <f>'НМЦК (с разбивкой по объектам)'!K478</f>
        <v>1888804</v>
      </c>
    </row>
    <row r="476" spans="1:8" s="539" customFormat="1" ht="31.5" hidden="1" outlineLevel="2" x14ac:dyDescent="0.25">
      <c r="A476" s="225" t="s">
        <v>634</v>
      </c>
      <c r="B476" s="381" t="s">
        <v>1748</v>
      </c>
      <c r="C476" s="381" t="s">
        <v>356</v>
      </c>
      <c r="D476" s="100" t="s">
        <v>300</v>
      </c>
      <c r="E476" s="100">
        <v>792</v>
      </c>
      <c r="F476" s="525">
        <f t="shared" si="7"/>
        <v>1670</v>
      </c>
      <c r="G476" s="525">
        <f>'НМЦК (с разбивкой по объектам)'!K479</f>
        <v>1322408</v>
      </c>
    </row>
    <row r="477" spans="1:8" s="539" customFormat="1" hidden="1" outlineLevel="2" x14ac:dyDescent="0.25">
      <c r="A477" s="225" t="s">
        <v>647</v>
      </c>
      <c r="B477" s="381" t="s">
        <v>1752</v>
      </c>
      <c r="C477" s="381" t="s">
        <v>1493</v>
      </c>
      <c r="D477" s="100" t="s">
        <v>300</v>
      </c>
      <c r="E477" s="100">
        <v>792</v>
      </c>
      <c r="F477" s="525">
        <f t="shared" si="7"/>
        <v>107</v>
      </c>
      <c r="G477" s="525">
        <f>'НМЦК (с разбивкой по объектам)'!K480</f>
        <v>84897</v>
      </c>
    </row>
    <row r="478" spans="1:8" s="539" customFormat="1" hidden="1" outlineLevel="2" x14ac:dyDescent="0.25">
      <c r="A478" s="225" t="s">
        <v>2715</v>
      </c>
      <c r="B478" s="381" t="s">
        <v>1751</v>
      </c>
      <c r="C478" s="381" t="s">
        <v>1750</v>
      </c>
      <c r="D478" s="100" t="s">
        <v>300</v>
      </c>
      <c r="E478" s="100">
        <v>847</v>
      </c>
      <c r="F478" s="525">
        <f t="shared" si="7"/>
        <v>418</v>
      </c>
      <c r="G478" s="525">
        <f>'НМЦК (с разбивкой по объектам)'!K481</f>
        <v>354333</v>
      </c>
    </row>
    <row r="479" spans="1:8" s="539" customFormat="1" hidden="1" outlineLevel="2" x14ac:dyDescent="0.25">
      <c r="A479" s="225" t="s">
        <v>2716</v>
      </c>
      <c r="B479" s="381" t="s">
        <v>1754</v>
      </c>
      <c r="C479" s="381" t="s">
        <v>1753</v>
      </c>
      <c r="D479" s="100" t="s">
        <v>404</v>
      </c>
      <c r="E479" s="100">
        <f>5619</f>
        <v>5619</v>
      </c>
      <c r="F479" s="525">
        <f t="shared" si="7"/>
        <v>0</v>
      </c>
      <c r="G479" s="525">
        <f>'НМЦК (с разбивкой по объектам)'!K482</f>
        <v>2010</v>
      </c>
    </row>
    <row r="480" spans="1:8" s="539" customFormat="1" ht="31.5" hidden="1" outlineLevel="2" x14ac:dyDescent="0.25">
      <c r="A480" s="225" t="s">
        <v>2717</v>
      </c>
      <c r="B480" s="381" t="s">
        <v>1747</v>
      </c>
      <c r="C480" s="381" t="s">
        <v>1746</v>
      </c>
      <c r="D480" s="100" t="s">
        <v>292</v>
      </c>
      <c r="E480" s="100">
        <v>1</v>
      </c>
      <c r="F480" s="525">
        <f t="shared" si="7"/>
        <v>125156</v>
      </c>
      <c r="G480" s="525">
        <f>'НМЦК (с разбивкой по объектам)'!K483</f>
        <v>125156</v>
      </c>
    </row>
    <row r="481" spans="1:8" s="538" customFormat="1" outlineLevel="1" x14ac:dyDescent="0.25">
      <c r="A481" s="179" t="s">
        <v>509</v>
      </c>
      <c r="B481" s="422"/>
      <c r="C481" s="435" t="s">
        <v>2373</v>
      </c>
      <c r="D481" s="125" t="s">
        <v>292</v>
      </c>
      <c r="E481" s="126">
        <v>1</v>
      </c>
      <c r="F481" s="524">
        <f t="shared" si="7"/>
        <v>98935200</v>
      </c>
      <c r="G481" s="524">
        <f>'НМЦК (с разбивкой по объектам)'!K484</f>
        <v>98935200</v>
      </c>
    </row>
    <row r="482" spans="1:8" s="544" customFormat="1" outlineLevel="2" collapsed="1" x14ac:dyDescent="0.25">
      <c r="A482" s="132" t="s">
        <v>2718</v>
      </c>
      <c r="B482" s="320"/>
      <c r="C482" s="133" t="s">
        <v>2359</v>
      </c>
      <c r="D482" s="134" t="s">
        <v>292</v>
      </c>
      <c r="E482" s="90">
        <v>1</v>
      </c>
      <c r="F482" s="526">
        <f t="shared" si="7"/>
        <v>24215112</v>
      </c>
      <c r="G482" s="526">
        <f>'НМЦК (с разбивкой по объектам)'!K485</f>
        <v>24215112</v>
      </c>
    </row>
    <row r="483" spans="1:8" s="547" customFormat="1" hidden="1" outlineLevel="3" x14ac:dyDescent="0.25">
      <c r="A483" s="368"/>
      <c r="B483" s="406"/>
      <c r="C483" s="406" t="s">
        <v>2396</v>
      </c>
      <c r="D483" s="246"/>
      <c r="E483" s="247"/>
      <c r="F483" s="533" t="e">
        <f t="shared" si="7"/>
        <v>#DIV/0!</v>
      </c>
      <c r="G483" s="533">
        <f>'НМЦК (с разбивкой по объектам)'!K486</f>
        <v>0</v>
      </c>
    </row>
    <row r="484" spans="1:8" s="539" customFormat="1" hidden="1" outlineLevel="3" x14ac:dyDescent="0.25">
      <c r="A484" s="363"/>
      <c r="B484" s="381"/>
      <c r="C484" s="390" t="s">
        <v>2397</v>
      </c>
      <c r="D484" s="100"/>
      <c r="E484" s="149"/>
      <c r="F484" s="525" t="e">
        <f t="shared" si="7"/>
        <v>#DIV/0!</v>
      </c>
      <c r="G484" s="525">
        <f>'НМЦК (с разбивкой по объектам)'!K487</f>
        <v>0</v>
      </c>
    </row>
    <row r="485" spans="1:8" s="539" customFormat="1" ht="31.5" hidden="1" outlineLevel="3" x14ac:dyDescent="0.25">
      <c r="A485" s="363" t="s">
        <v>2719</v>
      </c>
      <c r="B485" s="381" t="s">
        <v>355</v>
      </c>
      <c r="C485" s="381" t="s">
        <v>356</v>
      </c>
      <c r="D485" s="100" t="s">
        <v>300</v>
      </c>
      <c r="E485" s="149">
        <f>'Земляные работы'!$H$18*446/500</f>
        <v>7225</v>
      </c>
      <c r="F485" s="525">
        <f t="shared" si="7"/>
        <v>1670</v>
      </c>
      <c r="G485" s="525">
        <f>'НМЦК (с разбивкой по объектам)'!K488</f>
        <v>12063967</v>
      </c>
    </row>
    <row r="486" spans="1:8" s="539" customFormat="1" ht="31.5" hidden="1" outlineLevel="3" x14ac:dyDescent="0.25">
      <c r="A486" s="363" t="s">
        <v>2720</v>
      </c>
      <c r="B486" s="381" t="s">
        <v>560</v>
      </c>
      <c r="C486" s="381" t="s">
        <v>656</v>
      </c>
      <c r="D486" s="100" t="s">
        <v>300</v>
      </c>
      <c r="E486" s="149">
        <f>'Земляные работы'!$H$18*446/500</f>
        <v>7225</v>
      </c>
      <c r="F486" s="525">
        <f t="shared" si="7"/>
        <v>256</v>
      </c>
      <c r="G486" s="525">
        <f>'НМЦК (с разбивкой по объектам)'!K489</f>
        <v>1850206</v>
      </c>
    </row>
    <row r="487" spans="1:8" s="542" customFormat="1" ht="31.5" hidden="1" outlineLevel="3" x14ac:dyDescent="0.25">
      <c r="A487" s="363" t="s">
        <v>2721</v>
      </c>
      <c r="B487" s="391" t="s">
        <v>561</v>
      </c>
      <c r="C487" s="391" t="s">
        <v>562</v>
      </c>
      <c r="D487" s="161" t="s">
        <v>300</v>
      </c>
      <c r="E487" s="162">
        <f>'Земляные работы'!$K$18*446/500</f>
        <v>361.3</v>
      </c>
      <c r="F487" s="528">
        <f t="shared" si="7"/>
        <v>1167</v>
      </c>
      <c r="G487" s="528">
        <f>'НМЦК (с разбивкой по объектам)'!K490</f>
        <v>421619</v>
      </c>
      <c r="H487" s="542" t="s">
        <v>563</v>
      </c>
    </row>
    <row r="488" spans="1:8" s="542" customFormat="1" hidden="1" outlineLevel="3" x14ac:dyDescent="0.25">
      <c r="A488" s="363" t="s">
        <v>2722</v>
      </c>
      <c r="B488" s="391" t="s">
        <v>564</v>
      </c>
      <c r="C488" s="391" t="s">
        <v>565</v>
      </c>
      <c r="D488" s="161" t="s">
        <v>300</v>
      </c>
      <c r="E488" s="162">
        <f>'Земляные работы'!$L$18*446/500</f>
        <v>361.3</v>
      </c>
      <c r="F488" s="528">
        <f t="shared" si="7"/>
        <v>292</v>
      </c>
      <c r="G488" s="528">
        <f>'НМЦК (с разбивкой по объектам)'!K491</f>
        <v>105663</v>
      </c>
      <c r="H488" s="542" t="s">
        <v>563</v>
      </c>
    </row>
    <row r="489" spans="1:8" s="539" customFormat="1" ht="31.5" hidden="1" outlineLevel="3" x14ac:dyDescent="0.25">
      <c r="A489" s="363" t="s">
        <v>2723</v>
      </c>
      <c r="B489" s="381" t="s">
        <v>567</v>
      </c>
      <c r="C489" s="381" t="s">
        <v>750</v>
      </c>
      <c r="D489" s="100" t="s">
        <v>300</v>
      </c>
      <c r="E489" s="168">
        <f>(20100.9*'Земляные работы'!$M$18/'Земляные работы'!$M$19+0.1)*446/500</f>
        <v>6422.4</v>
      </c>
      <c r="F489" s="525">
        <f t="shared" si="7"/>
        <v>120</v>
      </c>
      <c r="G489" s="525">
        <f>'НМЦК (с разбивкой по объектам)'!K492</f>
        <v>772230</v>
      </c>
      <c r="H489" s="539" t="s">
        <v>360</v>
      </c>
    </row>
    <row r="490" spans="1:8" s="539" customFormat="1" hidden="1" outlineLevel="3" x14ac:dyDescent="0.25">
      <c r="A490" s="363" t="s">
        <v>2724</v>
      </c>
      <c r="B490" s="381" t="s">
        <v>766</v>
      </c>
      <c r="C490" s="381" t="s">
        <v>749</v>
      </c>
      <c r="D490" s="100" t="s">
        <v>408</v>
      </c>
      <c r="E490" s="149">
        <v>1</v>
      </c>
      <c r="F490" s="525">
        <f t="shared" si="7"/>
        <v>9001427</v>
      </c>
      <c r="G490" s="525">
        <f>'НМЦК (с разбивкой по объектам)'!K493</f>
        <v>9001427</v>
      </c>
      <c r="H490" s="539" t="s">
        <v>2398</v>
      </c>
    </row>
    <row r="491" spans="1:8" s="544" customFormat="1" outlineLevel="2" collapsed="1" x14ac:dyDescent="0.25">
      <c r="A491" s="132" t="s">
        <v>2725</v>
      </c>
      <c r="B491" s="320"/>
      <c r="C491" s="133" t="s">
        <v>2360</v>
      </c>
      <c r="D491" s="134" t="s">
        <v>292</v>
      </c>
      <c r="E491" s="90">
        <v>1</v>
      </c>
      <c r="F491" s="526">
        <f t="shared" si="7"/>
        <v>8278609</v>
      </c>
      <c r="G491" s="526">
        <f>'НМЦК (с разбивкой по объектам)'!K494</f>
        <v>8278609</v>
      </c>
    </row>
    <row r="492" spans="1:8" s="539" customFormat="1" hidden="1" outlineLevel="3" x14ac:dyDescent="0.25">
      <c r="A492" s="363"/>
      <c r="B492" s="381"/>
      <c r="C492" s="390" t="s">
        <v>367</v>
      </c>
      <c r="D492" s="100"/>
      <c r="E492" s="100"/>
      <c r="F492" s="525" t="e">
        <f t="shared" si="7"/>
        <v>#DIV/0!</v>
      </c>
      <c r="G492" s="525">
        <f>'НМЦК (с разбивкой по объектам)'!K495</f>
        <v>0</v>
      </c>
    </row>
    <row r="493" spans="1:8" s="539" customFormat="1" hidden="1" outlineLevel="3" x14ac:dyDescent="0.25">
      <c r="A493" s="363" t="s">
        <v>2726</v>
      </c>
      <c r="B493" s="381" t="s">
        <v>1007</v>
      </c>
      <c r="C493" s="381" t="s">
        <v>1006</v>
      </c>
      <c r="D493" s="100" t="s">
        <v>300</v>
      </c>
      <c r="E493" s="100">
        <v>110</v>
      </c>
      <c r="F493" s="525">
        <f t="shared" si="7"/>
        <v>1398</v>
      </c>
      <c r="G493" s="525">
        <f>'НМЦК (с разбивкой по объектам)'!K496</f>
        <v>153750</v>
      </c>
      <c r="H493" s="539" t="s">
        <v>1008</v>
      </c>
    </row>
    <row r="494" spans="1:8" s="539" customFormat="1" ht="31.5" hidden="1" outlineLevel="3" x14ac:dyDescent="0.25">
      <c r="A494" s="363" t="s">
        <v>2727</v>
      </c>
      <c r="B494" s="381" t="s">
        <v>1009</v>
      </c>
      <c r="C494" s="381" t="s">
        <v>750</v>
      </c>
      <c r="D494" s="100" t="s">
        <v>300</v>
      </c>
      <c r="E494" s="100">
        <v>420</v>
      </c>
      <c r="F494" s="525">
        <f t="shared" si="7"/>
        <v>120</v>
      </c>
      <c r="G494" s="525">
        <f>'НМЦК (с разбивкой по объектам)'!K497</f>
        <v>50432</v>
      </c>
    </row>
    <row r="495" spans="1:8" s="539" customFormat="1" hidden="1" outlineLevel="3" x14ac:dyDescent="0.25">
      <c r="A495" s="363"/>
      <c r="B495" s="381"/>
      <c r="C495" s="390" t="s">
        <v>1020</v>
      </c>
      <c r="D495" s="100"/>
      <c r="E495" s="100"/>
      <c r="F495" s="525" t="e">
        <f t="shared" si="7"/>
        <v>#DIV/0!</v>
      </c>
      <c r="G495" s="525">
        <f>'НМЦК (с разбивкой по объектам)'!K498</f>
        <v>0</v>
      </c>
    </row>
    <row r="496" spans="1:8" s="539" customFormat="1" hidden="1" outlineLevel="3" x14ac:dyDescent="0.25">
      <c r="A496" s="363" t="s">
        <v>2728</v>
      </c>
      <c r="B496" s="381" t="s">
        <v>1011</v>
      </c>
      <c r="C496" s="381" t="s">
        <v>1021</v>
      </c>
      <c r="D496" s="100" t="s">
        <v>300</v>
      </c>
      <c r="E496" s="168">
        <f>237.9</f>
        <v>237.9</v>
      </c>
      <c r="F496" s="525">
        <f t="shared" si="7"/>
        <v>11242</v>
      </c>
      <c r="G496" s="525">
        <f>'НМЦК (с разбивкой по объектам)'!K499</f>
        <v>2674517</v>
      </c>
    </row>
    <row r="497" spans="1:11" s="539" customFormat="1" hidden="1" outlineLevel="3" x14ac:dyDescent="0.25">
      <c r="A497" s="363" t="s">
        <v>2729</v>
      </c>
      <c r="B497" s="381" t="s">
        <v>1013</v>
      </c>
      <c r="C497" s="381" t="s">
        <v>1022</v>
      </c>
      <c r="D497" s="100" t="s">
        <v>300</v>
      </c>
      <c r="E497" s="100">
        <f>52.1</f>
        <v>52.1</v>
      </c>
      <c r="F497" s="525">
        <f t="shared" si="7"/>
        <v>12162</v>
      </c>
      <c r="G497" s="525">
        <f>'НМЦК (с разбивкой по объектам)'!K500</f>
        <v>633656</v>
      </c>
    </row>
    <row r="498" spans="1:11" s="539" customFormat="1" hidden="1" outlineLevel="3" x14ac:dyDescent="0.25">
      <c r="A498" s="363" t="s">
        <v>2730</v>
      </c>
      <c r="B498" s="381" t="s">
        <v>1014</v>
      </c>
      <c r="C498" s="381" t="s">
        <v>1012</v>
      </c>
      <c r="D498" s="100" t="s">
        <v>300</v>
      </c>
      <c r="E498" s="100">
        <f>45.6</f>
        <v>45.6</v>
      </c>
      <c r="F498" s="525">
        <f t="shared" si="7"/>
        <v>13904</v>
      </c>
      <c r="G498" s="525">
        <f>'НМЦК (с разбивкой по объектам)'!K501</f>
        <v>634007</v>
      </c>
    </row>
    <row r="499" spans="1:11" s="539" customFormat="1" hidden="1" outlineLevel="3" x14ac:dyDescent="0.25">
      <c r="A499" s="363" t="s">
        <v>2731</v>
      </c>
      <c r="B499" s="381" t="s">
        <v>1015</v>
      </c>
      <c r="C499" s="381" t="s">
        <v>1023</v>
      </c>
      <c r="D499" s="100" t="s">
        <v>300</v>
      </c>
      <c r="E499" s="100">
        <f>27.6</f>
        <v>27.6</v>
      </c>
      <c r="F499" s="525">
        <f t="shared" si="7"/>
        <v>28314</v>
      </c>
      <c r="G499" s="525">
        <f>'НМЦК (с разбивкой по объектам)'!K502</f>
        <v>781453</v>
      </c>
    </row>
    <row r="500" spans="1:11" s="539" customFormat="1" hidden="1" outlineLevel="3" x14ac:dyDescent="0.25">
      <c r="A500" s="363" t="s">
        <v>2732</v>
      </c>
      <c r="B500" s="381" t="s">
        <v>1017</v>
      </c>
      <c r="C500" s="381" t="s">
        <v>1016</v>
      </c>
      <c r="D500" s="100" t="s">
        <v>300</v>
      </c>
      <c r="E500" s="100">
        <f>116</f>
        <v>116</v>
      </c>
      <c r="F500" s="525">
        <f t="shared" si="7"/>
        <v>18067</v>
      </c>
      <c r="G500" s="525">
        <f>'НМЦК (с разбивкой по объектам)'!K503</f>
        <v>2095748</v>
      </c>
    </row>
    <row r="501" spans="1:11" s="539" customFormat="1" hidden="1" outlineLevel="3" x14ac:dyDescent="0.25">
      <c r="A501" s="363" t="s">
        <v>2733</v>
      </c>
      <c r="B501" s="381" t="s">
        <v>1018</v>
      </c>
      <c r="C501" s="381" t="s">
        <v>1024</v>
      </c>
      <c r="D501" s="100" t="s">
        <v>300</v>
      </c>
      <c r="E501" s="100">
        <f>28.3</f>
        <v>28.3</v>
      </c>
      <c r="F501" s="525">
        <f t="shared" si="7"/>
        <v>14034</v>
      </c>
      <c r="G501" s="525">
        <f>'НМЦК (с разбивкой по объектам)'!K504</f>
        <v>397161</v>
      </c>
    </row>
    <row r="502" spans="1:11" s="539" customFormat="1" ht="31.5" hidden="1" outlineLevel="3" x14ac:dyDescent="0.25">
      <c r="A502" s="363" t="s">
        <v>2734</v>
      </c>
      <c r="B502" s="381" t="s">
        <v>1025</v>
      </c>
      <c r="C502" s="381" t="s">
        <v>1019</v>
      </c>
      <c r="D502" s="100" t="s">
        <v>292</v>
      </c>
      <c r="E502" s="100">
        <v>1</v>
      </c>
      <c r="F502" s="525">
        <f t="shared" si="7"/>
        <v>857885</v>
      </c>
      <c r="G502" s="525">
        <f>'НМЦК (с разбивкой по объектам)'!K505</f>
        <v>857885</v>
      </c>
    </row>
    <row r="503" spans="1:11" s="544" customFormat="1" outlineLevel="2" collapsed="1" x14ac:dyDescent="0.25">
      <c r="A503" s="132" t="s">
        <v>2735</v>
      </c>
      <c r="B503" s="320"/>
      <c r="C503" s="133" t="s">
        <v>2361</v>
      </c>
      <c r="D503" s="134" t="s">
        <v>292</v>
      </c>
      <c r="E503" s="90">
        <v>1</v>
      </c>
      <c r="F503" s="526">
        <f t="shared" si="7"/>
        <v>2741516</v>
      </c>
      <c r="G503" s="526">
        <f>'НМЦК (с разбивкой по объектам)'!K506</f>
        <v>2741516</v>
      </c>
    </row>
    <row r="504" spans="1:11" s="540" customFormat="1" hidden="1" outlineLevel="3" x14ac:dyDescent="0.25">
      <c r="A504" s="368"/>
      <c r="B504" s="387"/>
      <c r="C504" s="390" t="s">
        <v>614</v>
      </c>
      <c r="D504" s="239"/>
      <c r="E504" s="240"/>
      <c r="F504" s="527" t="e">
        <f t="shared" si="7"/>
        <v>#DIV/0!</v>
      </c>
      <c r="G504" s="527">
        <f>'НМЦК (с разбивкой по объектам)'!K507</f>
        <v>0</v>
      </c>
    </row>
    <row r="505" spans="1:11" s="539" customFormat="1" ht="102" hidden="1" customHeight="1" outlineLevel="3" x14ac:dyDescent="0.25">
      <c r="A505" s="363" t="s">
        <v>2736</v>
      </c>
      <c r="B505" s="381" t="s">
        <v>316</v>
      </c>
      <c r="C505" s="381" t="s">
        <v>312</v>
      </c>
      <c r="D505" s="100" t="s">
        <v>305</v>
      </c>
      <c r="E505" s="149">
        <v>1</v>
      </c>
      <c r="F505" s="525">
        <f t="shared" si="7"/>
        <v>1656011</v>
      </c>
      <c r="G505" s="525">
        <f>'НМЦК (с разбивкой по объектам)'!K508</f>
        <v>1656011</v>
      </c>
      <c r="H505" s="552" t="s">
        <v>2407</v>
      </c>
      <c r="I505" s="541">
        <v>30000</v>
      </c>
      <c r="J505" s="539">
        <f>E505*I505</f>
        <v>30000</v>
      </c>
      <c r="K505" s="555">
        <f>(197776-158923)*(1.023*1.005-2.3%*15%)*6.99</f>
        <v>278281</v>
      </c>
    </row>
    <row r="506" spans="1:11" s="539" customFormat="1" ht="63" hidden="1" outlineLevel="3" x14ac:dyDescent="0.25">
      <c r="A506" s="363"/>
      <c r="B506" s="381"/>
      <c r="C506" s="381" t="s">
        <v>313</v>
      </c>
      <c r="D506" s="100"/>
      <c r="E506" s="149"/>
      <c r="F506" s="525" t="e">
        <f t="shared" si="7"/>
        <v>#DIV/0!</v>
      </c>
      <c r="G506" s="525">
        <f>'НМЦК (с разбивкой по объектам)'!K509</f>
        <v>0</v>
      </c>
      <c r="H506" s="552" t="s">
        <v>314</v>
      </c>
      <c r="I506" s="541">
        <f>9671</f>
        <v>9671</v>
      </c>
    </row>
    <row r="507" spans="1:11" s="539" customFormat="1" ht="30.75" hidden="1" customHeight="1" outlineLevel="3" x14ac:dyDescent="0.25">
      <c r="A507" s="363" t="s">
        <v>2737</v>
      </c>
      <c r="B507" s="381" t="s">
        <v>326</v>
      </c>
      <c r="C507" s="381" t="s">
        <v>317</v>
      </c>
      <c r="D507" s="100" t="s">
        <v>305</v>
      </c>
      <c r="E507" s="149">
        <v>1</v>
      </c>
      <c r="F507" s="525">
        <f t="shared" si="7"/>
        <v>303680</v>
      </c>
      <c r="G507" s="525">
        <f>'НМЦК (с разбивкой по объектам)'!K510</f>
        <v>303680</v>
      </c>
      <c r="H507" s="630" t="s">
        <v>2408</v>
      </c>
      <c r="I507" s="541">
        <v>7587</v>
      </c>
      <c r="J507" s="539">
        <f>E507*I507</f>
        <v>7587</v>
      </c>
      <c r="K507" s="555">
        <f>(37340-10755)*(1.023*1.005-2.3%*15%)*6.99*1.2</f>
        <v>228495</v>
      </c>
    </row>
    <row r="508" spans="1:11" s="539" customFormat="1" ht="48.75" hidden="1" customHeight="1" outlineLevel="3" x14ac:dyDescent="0.25">
      <c r="A508" s="363" t="s">
        <v>2738</v>
      </c>
      <c r="B508" s="381" t="s">
        <v>326</v>
      </c>
      <c r="C508" s="381" t="s">
        <v>319</v>
      </c>
      <c r="D508" s="100" t="s">
        <v>305</v>
      </c>
      <c r="E508" s="149">
        <v>1</v>
      </c>
      <c r="F508" s="525">
        <f t="shared" si="7"/>
        <v>8966</v>
      </c>
      <c r="G508" s="525">
        <f>'НМЦК (с разбивкой по объектам)'!K511</f>
        <v>8966</v>
      </c>
      <c r="H508" s="631"/>
      <c r="I508" s="541">
        <v>224</v>
      </c>
      <c r="J508" s="539">
        <f>E508*I508</f>
        <v>224</v>
      </c>
    </row>
    <row r="509" spans="1:11" s="539" customFormat="1" ht="94.5" hidden="1" outlineLevel="3" x14ac:dyDescent="0.25">
      <c r="A509" s="363" t="s">
        <v>2739</v>
      </c>
      <c r="B509" s="381" t="s">
        <v>326</v>
      </c>
      <c r="C509" s="381" t="s">
        <v>321</v>
      </c>
      <c r="D509" s="100" t="s">
        <v>305</v>
      </c>
      <c r="E509" s="149">
        <v>1</v>
      </c>
      <c r="F509" s="525">
        <f t="shared" si="7"/>
        <v>247483</v>
      </c>
      <c r="G509" s="525">
        <f>'НМЦК (с разбивкой по объектам)'!K512</f>
        <v>247483</v>
      </c>
      <c r="H509" s="552" t="s">
        <v>2409</v>
      </c>
      <c r="I509" s="541">
        <v>6183</v>
      </c>
      <c r="J509" s="539">
        <f>E509*I509</f>
        <v>6183</v>
      </c>
      <c r="K509" s="555">
        <f>(29556-9449)*(1.023*1.005-2.3%*15%)*6.99*1.2</f>
        <v>172817</v>
      </c>
    </row>
    <row r="510" spans="1:11" s="539" customFormat="1" ht="110.25" hidden="1" outlineLevel="3" x14ac:dyDescent="0.25">
      <c r="A510" s="363" t="s">
        <v>2740</v>
      </c>
      <c r="B510" s="381" t="s">
        <v>326</v>
      </c>
      <c r="C510" s="381" t="s">
        <v>323</v>
      </c>
      <c r="D510" s="100" t="s">
        <v>305</v>
      </c>
      <c r="E510" s="149">
        <v>1</v>
      </c>
      <c r="F510" s="525">
        <f t="shared" si="7"/>
        <v>497928</v>
      </c>
      <c r="G510" s="525">
        <f>'НМЦК (с разбивкой по объектам)'!K513</f>
        <v>497928</v>
      </c>
      <c r="H510" s="552" t="s">
        <v>2410</v>
      </c>
      <c r="I510" s="541">
        <v>12440</v>
      </c>
      <c r="J510" s="539">
        <f>E510*I510</f>
        <v>12440</v>
      </c>
      <c r="K510" s="555">
        <f>(59468-19945)*(1.023*1.005-2.3%*15%)*6.99*1.2</f>
        <v>339696</v>
      </c>
    </row>
    <row r="511" spans="1:11" s="539" customFormat="1" hidden="1" outlineLevel="3" x14ac:dyDescent="0.25">
      <c r="A511" s="363"/>
      <c r="B511" s="381"/>
      <c r="C511" s="381" t="s">
        <v>324</v>
      </c>
      <c r="D511" s="100"/>
      <c r="E511" s="149"/>
      <c r="F511" s="525" t="e">
        <f t="shared" si="7"/>
        <v>#DIV/0!</v>
      </c>
      <c r="G511" s="525">
        <f>'НМЦК (с разбивкой по объектам)'!K514</f>
        <v>0</v>
      </c>
      <c r="I511" s="541">
        <f>3732</f>
        <v>3732</v>
      </c>
    </row>
    <row r="512" spans="1:11" s="539" customFormat="1" hidden="1" outlineLevel="3" x14ac:dyDescent="0.25">
      <c r="A512" s="363" t="s">
        <v>2741</v>
      </c>
      <c r="B512" s="381" t="s">
        <v>334</v>
      </c>
      <c r="C512" s="381" t="s">
        <v>327</v>
      </c>
      <c r="D512" s="100" t="s">
        <v>305</v>
      </c>
      <c r="E512" s="149">
        <v>2</v>
      </c>
      <c r="F512" s="525">
        <f t="shared" si="7"/>
        <v>4564</v>
      </c>
      <c r="G512" s="525">
        <f>'НМЦК (с разбивкой по объектам)'!K515</f>
        <v>9127</v>
      </c>
      <c r="I512" s="541">
        <v>340</v>
      </c>
      <c r="J512" s="539">
        <f>E512*I512</f>
        <v>680</v>
      </c>
    </row>
    <row r="513" spans="1:10" s="539" customFormat="1" hidden="1" outlineLevel="3" x14ac:dyDescent="0.25">
      <c r="A513" s="363" t="s">
        <v>2742</v>
      </c>
      <c r="B513" s="381" t="s">
        <v>334</v>
      </c>
      <c r="C513" s="381" t="s">
        <v>329</v>
      </c>
      <c r="D513" s="100" t="s">
        <v>305</v>
      </c>
      <c r="E513" s="149">
        <v>1</v>
      </c>
      <c r="F513" s="525">
        <f t="shared" si="7"/>
        <v>6711</v>
      </c>
      <c r="G513" s="525">
        <f>'НМЦК (с разбивкой по объектам)'!K516</f>
        <v>6711</v>
      </c>
      <c r="I513" s="539">
        <v>500</v>
      </c>
      <c r="J513" s="557">
        <f>E513*I513</f>
        <v>500</v>
      </c>
    </row>
    <row r="514" spans="1:10" s="539" customFormat="1" hidden="1" outlineLevel="3" x14ac:dyDescent="0.25">
      <c r="A514" s="363" t="s">
        <v>2743</v>
      </c>
      <c r="B514" s="381" t="s">
        <v>334</v>
      </c>
      <c r="C514" s="381" t="s">
        <v>331</v>
      </c>
      <c r="D514" s="100" t="s">
        <v>305</v>
      </c>
      <c r="E514" s="149">
        <v>1</v>
      </c>
      <c r="F514" s="525">
        <f t="shared" si="7"/>
        <v>11610</v>
      </c>
      <c r="G514" s="525">
        <f>'НМЦК (с разбивкой по объектам)'!K517</f>
        <v>11610</v>
      </c>
      <c r="I514" s="539">
        <v>865</v>
      </c>
      <c r="J514" s="557">
        <f>E514*I514</f>
        <v>865</v>
      </c>
    </row>
    <row r="515" spans="1:10" s="544" customFormat="1" outlineLevel="2" collapsed="1" x14ac:dyDescent="0.25">
      <c r="A515" s="132" t="s">
        <v>2744</v>
      </c>
      <c r="B515" s="320"/>
      <c r="C515" s="133" t="s">
        <v>2362</v>
      </c>
      <c r="D515" s="134" t="s">
        <v>292</v>
      </c>
      <c r="E515" s="90">
        <v>1</v>
      </c>
      <c r="F515" s="526">
        <f t="shared" si="7"/>
        <v>17780041</v>
      </c>
      <c r="G515" s="526">
        <f>'НМЦК (с разбивкой по объектам)'!K518</f>
        <v>17780041</v>
      </c>
    </row>
    <row r="516" spans="1:10" s="539" customFormat="1" hidden="1" outlineLevel="3" x14ac:dyDescent="0.25">
      <c r="A516" s="363"/>
      <c r="B516" s="381"/>
      <c r="C516" s="390" t="s">
        <v>1026</v>
      </c>
      <c r="D516" s="100"/>
      <c r="E516" s="100"/>
      <c r="F516" s="525" t="e">
        <f t="shared" si="7"/>
        <v>#DIV/0!</v>
      </c>
      <c r="G516" s="525">
        <f>'НМЦК (с разбивкой по объектам)'!K519</f>
        <v>0</v>
      </c>
    </row>
    <row r="517" spans="1:10" s="539" customFormat="1" ht="31.5" hidden="1" outlineLevel="3" x14ac:dyDescent="0.25">
      <c r="A517" s="363" t="s">
        <v>2745</v>
      </c>
      <c r="B517" s="381" t="s">
        <v>1029</v>
      </c>
      <c r="C517" s="381" t="s">
        <v>1027</v>
      </c>
      <c r="D517" s="100" t="s">
        <v>292</v>
      </c>
      <c r="E517" s="100">
        <v>1</v>
      </c>
      <c r="F517" s="525">
        <f t="shared" si="7"/>
        <v>270189</v>
      </c>
      <c r="G517" s="525">
        <f>'НМЦК (с разбивкой по объектам)'!K520</f>
        <v>270189</v>
      </c>
      <c r="H517" s="539" t="s">
        <v>1039</v>
      </c>
    </row>
    <row r="518" spans="1:10" s="539" customFormat="1" hidden="1" outlineLevel="3" x14ac:dyDescent="0.25">
      <c r="A518" s="363" t="s">
        <v>2746</v>
      </c>
      <c r="B518" s="391" t="s">
        <v>1030</v>
      </c>
      <c r="C518" s="391" t="s">
        <v>1028</v>
      </c>
      <c r="D518" s="161" t="s">
        <v>408</v>
      </c>
      <c r="E518" s="161">
        <v>918</v>
      </c>
      <c r="F518" s="528">
        <f t="shared" si="7"/>
        <v>2787</v>
      </c>
      <c r="G518" s="528">
        <f>'НМЦК (с разбивкой по объектам)'!K521</f>
        <v>2558506</v>
      </c>
      <c r="H518" s="539" t="s">
        <v>742</v>
      </c>
    </row>
    <row r="519" spans="1:10" s="539" customFormat="1" ht="31.5" hidden="1" outlineLevel="3" x14ac:dyDescent="0.25">
      <c r="A519" s="363" t="s">
        <v>2747</v>
      </c>
      <c r="B519" s="381" t="s">
        <v>1032</v>
      </c>
      <c r="C519" s="381" t="s">
        <v>1031</v>
      </c>
      <c r="D519" s="100" t="s">
        <v>292</v>
      </c>
      <c r="E519" s="100">
        <v>1</v>
      </c>
      <c r="F519" s="525">
        <f t="shared" si="7"/>
        <v>9716563</v>
      </c>
      <c r="G519" s="525">
        <f>'НМЦК (с разбивкой по объектам)'!K522</f>
        <v>9716563</v>
      </c>
      <c r="H519" s="552" t="s">
        <v>1038</v>
      </c>
    </row>
    <row r="520" spans="1:10" s="539" customFormat="1" hidden="1" outlineLevel="3" x14ac:dyDescent="0.25">
      <c r="A520" s="363" t="s">
        <v>2748</v>
      </c>
      <c r="B520" s="391" t="s">
        <v>1033</v>
      </c>
      <c r="C520" s="391" t="s">
        <v>1028</v>
      </c>
      <c r="D520" s="161" t="s">
        <v>408</v>
      </c>
      <c r="E520" s="161">
        <v>1200</v>
      </c>
      <c r="F520" s="528">
        <f t="shared" si="7"/>
        <v>2787</v>
      </c>
      <c r="G520" s="528">
        <f>'НМЦК (с разбивкой по объектам)'!K523</f>
        <v>3344463</v>
      </c>
      <c r="H520" s="539" t="s">
        <v>742</v>
      </c>
    </row>
    <row r="521" spans="1:10" s="539" customFormat="1" hidden="1" outlineLevel="3" x14ac:dyDescent="0.25">
      <c r="A521" s="363" t="s">
        <v>2749</v>
      </c>
      <c r="B521" s="381" t="s">
        <v>1035</v>
      </c>
      <c r="C521" s="381" t="s">
        <v>1034</v>
      </c>
      <c r="D521" s="100" t="s">
        <v>292</v>
      </c>
      <c r="E521" s="100">
        <v>1</v>
      </c>
      <c r="F521" s="525">
        <f t="shared" ref="F521:F584" si="8">G521/E521</f>
        <v>66702</v>
      </c>
      <c r="G521" s="525">
        <f>'НМЦК (с разбивкой по объектам)'!K524</f>
        <v>66702</v>
      </c>
      <c r="H521" s="539" t="s">
        <v>1040</v>
      </c>
    </row>
    <row r="522" spans="1:10" s="539" customFormat="1" hidden="1" outlineLevel="3" x14ac:dyDescent="0.25">
      <c r="A522" s="363" t="s">
        <v>2750</v>
      </c>
      <c r="B522" s="381" t="s">
        <v>1037</v>
      </c>
      <c r="C522" s="381" t="s">
        <v>1036</v>
      </c>
      <c r="D522" s="100" t="s">
        <v>637</v>
      </c>
      <c r="E522" s="100">
        <v>1.5</v>
      </c>
      <c r="F522" s="525">
        <f t="shared" si="8"/>
        <v>125119</v>
      </c>
      <c r="G522" s="525">
        <f>'НМЦК (с разбивкой по объектам)'!K525</f>
        <v>187679</v>
      </c>
    </row>
    <row r="523" spans="1:10" s="539" customFormat="1" ht="47.25" hidden="1" outlineLevel="3" x14ac:dyDescent="0.25">
      <c r="A523" s="363" t="s">
        <v>2751</v>
      </c>
      <c r="B523" s="415" t="s">
        <v>1042</v>
      </c>
      <c r="C523" s="415" t="s">
        <v>1041</v>
      </c>
      <c r="D523" s="227" t="s">
        <v>404</v>
      </c>
      <c r="E523" s="227">
        <f>3951</f>
        <v>3951</v>
      </c>
      <c r="F523" s="534">
        <f t="shared" si="8"/>
        <v>121</v>
      </c>
      <c r="G523" s="534">
        <f>'НМЦК (с разбивкой по объектам)'!K526</f>
        <v>479203</v>
      </c>
      <c r="H523" s="539" t="s">
        <v>1043</v>
      </c>
    </row>
    <row r="524" spans="1:10" s="539" customFormat="1" ht="63" hidden="1" outlineLevel="3" x14ac:dyDescent="0.25">
      <c r="A524" s="363" t="s">
        <v>2752</v>
      </c>
      <c r="B524" s="415" t="s">
        <v>1046</v>
      </c>
      <c r="C524" s="415" t="s">
        <v>1044</v>
      </c>
      <c r="D524" s="227" t="s">
        <v>404</v>
      </c>
      <c r="E524" s="227">
        <f>198</f>
        <v>198</v>
      </c>
      <c r="F524" s="534">
        <f t="shared" si="8"/>
        <v>5842</v>
      </c>
      <c r="G524" s="534">
        <f>'НМЦК (с разбивкой по объектам)'!K527</f>
        <v>1156736</v>
      </c>
      <c r="H524" s="539" t="s">
        <v>1045</v>
      </c>
    </row>
    <row r="525" spans="1:10" s="548" customFormat="1" outlineLevel="2" collapsed="1" x14ac:dyDescent="0.25">
      <c r="A525" s="132" t="s">
        <v>2753</v>
      </c>
      <c r="B525" s="320"/>
      <c r="C525" s="320" t="s">
        <v>1773</v>
      </c>
      <c r="D525" s="134" t="s">
        <v>292</v>
      </c>
      <c r="E525" s="90">
        <v>1</v>
      </c>
      <c r="F525" s="526">
        <f t="shared" si="8"/>
        <v>4841476</v>
      </c>
      <c r="G525" s="526">
        <f>'НМЦК (с разбивкой по объектам)'!K528</f>
        <v>4841476</v>
      </c>
    </row>
    <row r="526" spans="1:10" s="539" customFormat="1" hidden="1" outlineLevel="3" x14ac:dyDescent="0.25">
      <c r="A526" s="363" t="s">
        <v>2754</v>
      </c>
      <c r="B526" s="381" t="s">
        <v>846</v>
      </c>
      <c r="C526" s="381" t="s">
        <v>414</v>
      </c>
      <c r="D526" s="100" t="s">
        <v>292</v>
      </c>
      <c r="E526" s="149">
        <v>1</v>
      </c>
      <c r="F526" s="525">
        <f t="shared" si="8"/>
        <v>1593309</v>
      </c>
      <c r="G526" s="525">
        <f>'НМЦК (с разбивкой по объектам)'!K529</f>
        <v>1593309</v>
      </c>
      <c r="H526" s="539" t="s">
        <v>847</v>
      </c>
    </row>
    <row r="527" spans="1:10" s="539" customFormat="1" hidden="1" outlineLevel="3" x14ac:dyDescent="0.25">
      <c r="A527" s="363" t="s">
        <v>2755</v>
      </c>
      <c r="B527" s="381" t="s">
        <v>848</v>
      </c>
      <c r="C527" s="381" t="s">
        <v>1772</v>
      </c>
      <c r="D527" s="100" t="s">
        <v>292</v>
      </c>
      <c r="E527" s="149">
        <v>1</v>
      </c>
      <c r="F527" s="525">
        <f t="shared" si="8"/>
        <v>456101</v>
      </c>
      <c r="G527" s="525">
        <f>'НМЦК (с разбивкой по объектам)'!K530</f>
        <v>456101</v>
      </c>
    </row>
    <row r="528" spans="1:10" s="539" customFormat="1" hidden="1" outlineLevel="3" x14ac:dyDescent="0.25">
      <c r="A528" s="363" t="s">
        <v>2756</v>
      </c>
      <c r="B528" s="381" t="s">
        <v>849</v>
      </c>
      <c r="C528" s="381" t="s">
        <v>1773</v>
      </c>
      <c r="D528" s="100" t="s">
        <v>292</v>
      </c>
      <c r="E528" s="149">
        <v>1</v>
      </c>
      <c r="F528" s="525">
        <f t="shared" si="8"/>
        <v>2792066</v>
      </c>
      <c r="G528" s="525">
        <f>'НМЦК (с разбивкой по объектам)'!K531</f>
        <v>2792066</v>
      </c>
    </row>
    <row r="529" spans="1:8" s="548" customFormat="1" outlineLevel="2" collapsed="1" x14ac:dyDescent="0.25">
      <c r="A529" s="132" t="s">
        <v>2757</v>
      </c>
      <c r="B529" s="320"/>
      <c r="C529" s="320" t="s">
        <v>2379</v>
      </c>
      <c r="D529" s="134" t="s">
        <v>292</v>
      </c>
      <c r="E529" s="90">
        <v>1</v>
      </c>
      <c r="F529" s="526">
        <f t="shared" si="8"/>
        <v>1385775</v>
      </c>
      <c r="G529" s="526">
        <f>'НМЦК (с разбивкой по объектам)'!K532</f>
        <v>1385775</v>
      </c>
    </row>
    <row r="530" spans="1:8" s="539" customFormat="1" hidden="1" outlineLevel="3" x14ac:dyDescent="0.25">
      <c r="A530" s="363" t="s">
        <v>2758</v>
      </c>
      <c r="B530" s="381" t="s">
        <v>851</v>
      </c>
      <c r="C530" s="381" t="s">
        <v>850</v>
      </c>
      <c r="D530" s="100" t="s">
        <v>404</v>
      </c>
      <c r="E530" s="149">
        <v>72</v>
      </c>
      <c r="F530" s="525">
        <f t="shared" si="8"/>
        <v>10060</v>
      </c>
      <c r="G530" s="525">
        <f>'НМЦК (с разбивкой по объектам)'!K533</f>
        <v>724330</v>
      </c>
    </row>
    <row r="531" spans="1:8" s="539" customFormat="1" hidden="1" outlineLevel="3" x14ac:dyDescent="0.25">
      <c r="A531" s="363" t="s">
        <v>2759</v>
      </c>
      <c r="B531" s="381" t="s">
        <v>854</v>
      </c>
      <c r="C531" s="381" t="s">
        <v>852</v>
      </c>
      <c r="D531" s="100" t="s">
        <v>292</v>
      </c>
      <c r="E531" s="149">
        <v>1</v>
      </c>
      <c r="F531" s="525">
        <f t="shared" si="8"/>
        <v>583751</v>
      </c>
      <c r="G531" s="525">
        <f>'НМЦК (с разбивкой по объектам)'!K534</f>
        <v>583751</v>
      </c>
      <c r="H531" s="539" t="s">
        <v>853</v>
      </c>
    </row>
    <row r="532" spans="1:8" s="539" customFormat="1" hidden="1" outlineLevel="3" x14ac:dyDescent="0.25">
      <c r="A532" s="363" t="s">
        <v>2760</v>
      </c>
      <c r="B532" s="381" t="s">
        <v>856</v>
      </c>
      <c r="C532" s="381" t="s">
        <v>855</v>
      </c>
      <c r="D532" s="100" t="s">
        <v>377</v>
      </c>
      <c r="E532" s="149">
        <v>25</v>
      </c>
      <c r="F532" s="525">
        <f t="shared" si="8"/>
        <v>1572</v>
      </c>
      <c r="G532" s="525">
        <f>'НМЦК (с разбивкой по объектам)'!K535</f>
        <v>39295</v>
      </c>
    </row>
    <row r="533" spans="1:8" s="545" customFormat="1" ht="31.5" hidden="1" outlineLevel="3" x14ac:dyDescent="0.25">
      <c r="A533" s="363" t="s">
        <v>2761</v>
      </c>
      <c r="B533" s="381" t="s">
        <v>863</v>
      </c>
      <c r="C533" s="381" t="s">
        <v>864</v>
      </c>
      <c r="D533" s="143" t="s">
        <v>404</v>
      </c>
      <c r="E533" s="168">
        <v>55</v>
      </c>
      <c r="F533" s="525">
        <f t="shared" si="8"/>
        <v>382</v>
      </c>
      <c r="G533" s="525">
        <f>'НМЦК (с разбивкой по объектам)'!K536</f>
        <v>21000</v>
      </c>
      <c r="H533" s="553"/>
    </row>
    <row r="534" spans="1:8" s="539" customFormat="1" hidden="1" outlineLevel="3" x14ac:dyDescent="0.25">
      <c r="A534" s="363" t="s">
        <v>2762</v>
      </c>
      <c r="B534" s="381" t="s">
        <v>858</v>
      </c>
      <c r="C534" s="381" t="s">
        <v>857</v>
      </c>
      <c r="D534" s="100" t="s">
        <v>404</v>
      </c>
      <c r="E534" s="168">
        <f>548.2</f>
        <v>548.20000000000005</v>
      </c>
      <c r="F534" s="525">
        <f t="shared" si="8"/>
        <v>32</v>
      </c>
      <c r="G534" s="525">
        <f>'НМЦК (с разбивкой по объектам)'!K537</f>
        <v>17399</v>
      </c>
    </row>
    <row r="535" spans="1:8" s="544" customFormat="1" outlineLevel="2" collapsed="1" x14ac:dyDescent="0.25">
      <c r="A535" s="132" t="s">
        <v>2763</v>
      </c>
      <c r="B535" s="320"/>
      <c r="C535" s="133" t="s">
        <v>2363</v>
      </c>
      <c r="D535" s="134" t="s">
        <v>292</v>
      </c>
      <c r="E535" s="90">
        <v>1</v>
      </c>
      <c r="F535" s="526">
        <f t="shared" si="8"/>
        <v>1320586</v>
      </c>
      <c r="G535" s="526">
        <f>'НМЦК (с разбивкой по объектам)'!K538</f>
        <v>1320586</v>
      </c>
    </row>
    <row r="536" spans="1:8" s="539" customFormat="1" ht="31.5" hidden="1" outlineLevel="3" collapsed="1" x14ac:dyDescent="0.25">
      <c r="A536" s="368" t="s">
        <v>2764</v>
      </c>
      <c r="B536" s="387" t="s">
        <v>168</v>
      </c>
      <c r="C536" s="387" t="s">
        <v>1846</v>
      </c>
      <c r="D536" s="239" t="s">
        <v>292</v>
      </c>
      <c r="E536" s="240">
        <v>1</v>
      </c>
      <c r="F536" s="529">
        <f t="shared" si="8"/>
        <v>986730</v>
      </c>
      <c r="G536" s="529">
        <f>'НМЦК (с разбивкой по объектам)'!K539</f>
        <v>986730</v>
      </c>
    </row>
    <row r="537" spans="1:8" s="539" customFormat="1" hidden="1" outlineLevel="4" x14ac:dyDescent="0.25">
      <c r="A537" s="363"/>
      <c r="B537" s="381"/>
      <c r="C537" s="390" t="s">
        <v>1098</v>
      </c>
      <c r="D537" s="100"/>
      <c r="E537" s="145"/>
      <c r="F537" s="525" t="e">
        <f t="shared" si="8"/>
        <v>#DIV/0!</v>
      </c>
      <c r="G537" s="525">
        <f>'НМЦК (с разбивкой по объектам)'!K540</f>
        <v>0</v>
      </c>
    </row>
    <row r="538" spans="1:8" s="539" customFormat="1" ht="47.25" hidden="1" outlineLevel="4" x14ac:dyDescent="0.25">
      <c r="A538" s="363" t="s">
        <v>2766</v>
      </c>
      <c r="B538" s="381" t="s">
        <v>1099</v>
      </c>
      <c r="C538" s="381" t="s">
        <v>427</v>
      </c>
      <c r="D538" s="100" t="s">
        <v>408</v>
      </c>
      <c r="E538" s="149">
        <v>1</v>
      </c>
      <c r="F538" s="525">
        <f t="shared" si="8"/>
        <v>178631</v>
      </c>
      <c r="G538" s="525">
        <f>'НМЦК (с разбивкой по объектам)'!K541</f>
        <v>178631</v>
      </c>
    </row>
    <row r="539" spans="1:8" s="539" customFormat="1" ht="31.5" hidden="1" outlineLevel="4" x14ac:dyDescent="0.25">
      <c r="A539" s="363" t="s">
        <v>2767</v>
      </c>
      <c r="B539" s="381" t="s">
        <v>1100</v>
      </c>
      <c r="C539" s="381" t="s">
        <v>429</v>
      </c>
      <c r="D539" s="100" t="s">
        <v>408</v>
      </c>
      <c r="E539" s="149">
        <v>1</v>
      </c>
      <c r="F539" s="525">
        <f t="shared" si="8"/>
        <v>239431</v>
      </c>
      <c r="G539" s="525">
        <f>'НМЦК (с разбивкой по объектам)'!K542</f>
        <v>239431</v>
      </c>
    </row>
    <row r="540" spans="1:8" s="539" customFormat="1" hidden="1" outlineLevel="4" x14ac:dyDescent="0.25">
      <c r="A540" s="363" t="s">
        <v>2768</v>
      </c>
      <c r="B540" s="381" t="s">
        <v>1101</v>
      </c>
      <c r="C540" s="381" t="s">
        <v>379</v>
      </c>
      <c r="D540" s="100" t="s">
        <v>292</v>
      </c>
      <c r="E540" s="149">
        <v>1</v>
      </c>
      <c r="F540" s="525">
        <f t="shared" si="8"/>
        <v>347437</v>
      </c>
      <c r="G540" s="525">
        <f>'НМЦК (с разбивкой по объектам)'!K543</f>
        <v>347437</v>
      </c>
    </row>
    <row r="541" spans="1:8" s="539" customFormat="1" hidden="1" outlineLevel="4" x14ac:dyDescent="0.25">
      <c r="A541" s="363" t="s">
        <v>2769</v>
      </c>
      <c r="B541" s="381" t="s">
        <v>1103</v>
      </c>
      <c r="C541" s="381" t="s">
        <v>1102</v>
      </c>
      <c r="D541" s="100" t="s">
        <v>292</v>
      </c>
      <c r="E541" s="149">
        <v>1</v>
      </c>
      <c r="F541" s="525">
        <f t="shared" si="8"/>
        <v>220386</v>
      </c>
      <c r="G541" s="525">
        <f>'НМЦК (с разбивкой по объектам)'!K544</f>
        <v>220386</v>
      </c>
    </row>
    <row r="542" spans="1:8" s="539" customFormat="1" ht="31.5" hidden="1" outlineLevel="4" x14ac:dyDescent="0.25">
      <c r="A542" s="363" t="s">
        <v>2770</v>
      </c>
      <c r="B542" s="381" t="s">
        <v>1104</v>
      </c>
      <c r="C542" s="381" t="s">
        <v>1105</v>
      </c>
      <c r="D542" s="100" t="s">
        <v>408</v>
      </c>
      <c r="E542" s="149">
        <v>5</v>
      </c>
      <c r="F542" s="525">
        <f t="shared" si="8"/>
        <v>169</v>
      </c>
      <c r="G542" s="525">
        <f>'НМЦК (с разбивкой по объектам)'!K545</f>
        <v>845</v>
      </c>
    </row>
    <row r="543" spans="1:8" s="539" customFormat="1" hidden="1" outlineLevel="3" x14ac:dyDescent="0.25">
      <c r="A543" s="363" t="s">
        <v>2771</v>
      </c>
      <c r="B543" s="381" t="s">
        <v>789</v>
      </c>
      <c r="C543" s="381" t="s">
        <v>1815</v>
      </c>
      <c r="D543" s="100" t="s">
        <v>292</v>
      </c>
      <c r="E543" s="149">
        <v>1</v>
      </c>
      <c r="F543" s="525">
        <f t="shared" si="8"/>
        <v>333856</v>
      </c>
      <c r="G543" s="525">
        <f>'НМЦК (с разбивкой по объектам)'!K546</f>
        <v>333856</v>
      </c>
    </row>
    <row r="544" spans="1:8" s="544" customFormat="1" outlineLevel="2" collapsed="1" x14ac:dyDescent="0.25">
      <c r="A544" s="132" t="s">
        <v>2772</v>
      </c>
      <c r="B544" s="320"/>
      <c r="C544" s="133" t="s">
        <v>1292</v>
      </c>
      <c r="D544" s="134" t="s">
        <v>292</v>
      </c>
      <c r="E544" s="90">
        <v>1</v>
      </c>
      <c r="F544" s="526">
        <f t="shared" si="8"/>
        <v>1252808</v>
      </c>
      <c r="G544" s="526">
        <f>'НМЦК (с разбивкой по объектам)'!K547</f>
        <v>1252808</v>
      </c>
    </row>
    <row r="545" spans="1:9" s="545" customFormat="1" hidden="1" outlineLevel="3" x14ac:dyDescent="0.25">
      <c r="A545" s="363" t="s">
        <v>2773</v>
      </c>
      <c r="B545" s="381" t="s">
        <v>861</v>
      </c>
      <c r="C545" s="381" t="s">
        <v>859</v>
      </c>
      <c r="D545" s="143" t="s">
        <v>305</v>
      </c>
      <c r="E545" s="149">
        <v>1</v>
      </c>
      <c r="F545" s="525">
        <f t="shared" si="8"/>
        <v>1191808</v>
      </c>
      <c r="G545" s="525">
        <f>'НМЦК (с разбивкой по объектам)'!K548</f>
        <v>1191808</v>
      </c>
      <c r="H545" s="553"/>
      <c r="I545" s="558"/>
    </row>
    <row r="546" spans="1:9" s="539" customFormat="1" ht="31.5" hidden="1" outlineLevel="3" x14ac:dyDescent="0.25">
      <c r="A546" s="363" t="s">
        <v>2774</v>
      </c>
      <c r="B546" s="381" t="s">
        <v>786</v>
      </c>
      <c r="C546" s="381" t="s">
        <v>779</v>
      </c>
      <c r="D546" s="143" t="s">
        <v>408</v>
      </c>
      <c r="E546" s="149">
        <v>3</v>
      </c>
      <c r="F546" s="525">
        <f t="shared" si="8"/>
        <v>4424</v>
      </c>
      <c r="G546" s="525">
        <f>'НМЦК (с разбивкой по объектам)'!K549</f>
        <v>13271</v>
      </c>
    </row>
    <row r="547" spans="1:9" s="539" customFormat="1" ht="63" hidden="1" outlineLevel="3" x14ac:dyDescent="0.25">
      <c r="A547" s="363" t="s">
        <v>2775</v>
      </c>
      <c r="B547" s="381" t="s">
        <v>1293</v>
      </c>
      <c r="C547" s="381" t="s">
        <v>435</v>
      </c>
      <c r="D547" s="100" t="s">
        <v>408</v>
      </c>
      <c r="E547" s="149">
        <v>1</v>
      </c>
      <c r="F547" s="525">
        <f t="shared" si="8"/>
        <v>30831</v>
      </c>
      <c r="G547" s="525">
        <f>'НМЦК (с разбивкой по объектам)'!K550</f>
        <v>30831</v>
      </c>
      <c r="H547" s="552" t="s">
        <v>1296</v>
      </c>
    </row>
    <row r="548" spans="1:9" s="539" customFormat="1" ht="63" hidden="1" outlineLevel="3" x14ac:dyDescent="0.25">
      <c r="A548" s="363" t="s">
        <v>2776</v>
      </c>
      <c r="B548" s="381" t="s">
        <v>1294</v>
      </c>
      <c r="C548" s="381" t="s">
        <v>437</v>
      </c>
      <c r="D548" s="100" t="s">
        <v>408</v>
      </c>
      <c r="E548" s="149">
        <v>1</v>
      </c>
      <c r="F548" s="525">
        <f t="shared" si="8"/>
        <v>8909</v>
      </c>
      <c r="G548" s="525">
        <f>'НМЦК (с разбивкой по объектам)'!K551</f>
        <v>8909</v>
      </c>
      <c r="H548" s="552" t="s">
        <v>1296</v>
      </c>
    </row>
    <row r="549" spans="1:9" s="539" customFormat="1" ht="78.75" hidden="1" outlineLevel="3" x14ac:dyDescent="0.25">
      <c r="A549" s="363" t="s">
        <v>2777</v>
      </c>
      <c r="B549" s="381" t="s">
        <v>1295</v>
      </c>
      <c r="C549" s="381" t="s">
        <v>439</v>
      </c>
      <c r="D549" s="100" t="s">
        <v>408</v>
      </c>
      <c r="E549" s="149">
        <v>1</v>
      </c>
      <c r="F549" s="525">
        <f t="shared" si="8"/>
        <v>7989</v>
      </c>
      <c r="G549" s="525">
        <f>'НМЦК (с разбивкой по объектам)'!K552</f>
        <v>7989</v>
      </c>
      <c r="H549" s="552" t="s">
        <v>1296</v>
      </c>
    </row>
    <row r="550" spans="1:9" s="539" customFormat="1" outlineLevel="2" collapsed="1" x14ac:dyDescent="0.25">
      <c r="A550" s="132" t="s">
        <v>2778</v>
      </c>
      <c r="B550" s="320"/>
      <c r="C550" s="320" t="s">
        <v>2400</v>
      </c>
      <c r="D550" s="134" t="s">
        <v>408</v>
      </c>
      <c r="E550" s="90">
        <v>1</v>
      </c>
      <c r="F550" s="526">
        <f t="shared" si="8"/>
        <v>1129864</v>
      </c>
      <c r="G550" s="526">
        <f>'НМЦК (с разбивкой по объектам)'!K553</f>
        <v>1129864</v>
      </c>
      <c r="H550" s="552"/>
    </row>
    <row r="551" spans="1:9" s="545" customFormat="1" hidden="1" outlineLevel="3" x14ac:dyDescent="0.25">
      <c r="A551" s="363" t="s">
        <v>2779</v>
      </c>
      <c r="B551" s="381" t="s">
        <v>862</v>
      </c>
      <c r="C551" s="381" t="s">
        <v>860</v>
      </c>
      <c r="D551" s="143" t="s">
        <v>408</v>
      </c>
      <c r="E551" s="149">
        <v>1</v>
      </c>
      <c r="F551" s="525">
        <f t="shared" si="8"/>
        <v>1129864</v>
      </c>
      <c r="G551" s="525">
        <f>'НМЦК (с разбивкой по объектам)'!K554</f>
        <v>1129864</v>
      </c>
      <c r="H551" s="553"/>
    </row>
    <row r="552" spans="1:9" s="546" customFormat="1" outlineLevel="2" collapsed="1" x14ac:dyDescent="0.25">
      <c r="A552" s="132" t="s">
        <v>511</v>
      </c>
      <c r="B552" s="320" t="s">
        <v>41</v>
      </c>
      <c r="C552" s="320" t="s">
        <v>2096</v>
      </c>
      <c r="D552" s="134" t="s">
        <v>408</v>
      </c>
      <c r="E552" s="90">
        <v>1</v>
      </c>
      <c r="F552" s="526">
        <f t="shared" si="8"/>
        <v>35989413</v>
      </c>
      <c r="G552" s="526">
        <f>'НМЦК (с разбивкой по объектам)'!K555</f>
        <v>35989413</v>
      </c>
    </row>
    <row r="553" spans="1:9" s="540" customFormat="1" ht="31.5" hidden="1" outlineLevel="3" collapsed="1" x14ac:dyDescent="0.25">
      <c r="A553" s="363" t="s">
        <v>2780</v>
      </c>
      <c r="B553" s="381" t="s">
        <v>233</v>
      </c>
      <c r="C553" s="381" t="s">
        <v>648</v>
      </c>
      <c r="D553" s="100" t="s">
        <v>292</v>
      </c>
      <c r="E553" s="149">
        <v>1</v>
      </c>
      <c r="F553" s="144">
        <f t="shared" si="8"/>
        <v>850305</v>
      </c>
      <c r="G553" s="144">
        <f>'НМЦК (с разбивкой по объектам)'!K556</f>
        <v>850305</v>
      </c>
    </row>
    <row r="554" spans="1:9" s="539" customFormat="1" hidden="1" outlineLevel="4" x14ac:dyDescent="0.25">
      <c r="A554" s="363"/>
      <c r="B554" s="381"/>
      <c r="C554" s="381" t="s">
        <v>367</v>
      </c>
      <c r="D554" s="100"/>
      <c r="E554" s="100"/>
      <c r="F554" s="525" t="e">
        <f t="shared" si="8"/>
        <v>#DIV/0!</v>
      </c>
      <c r="G554" s="525">
        <f>'НМЦК (с разбивкой по объектам)'!K557</f>
        <v>0</v>
      </c>
    </row>
    <row r="555" spans="1:9" s="539" customFormat="1" ht="31.5" hidden="1" outlineLevel="4" x14ac:dyDescent="0.25">
      <c r="A555" s="363" t="s">
        <v>2781</v>
      </c>
      <c r="B555" s="381" t="s">
        <v>1507</v>
      </c>
      <c r="C555" s="381" t="s">
        <v>1506</v>
      </c>
      <c r="D555" s="100" t="s">
        <v>300</v>
      </c>
      <c r="E555" s="100">
        <f>176</f>
        <v>176</v>
      </c>
      <c r="F555" s="525">
        <f t="shared" si="8"/>
        <v>1669</v>
      </c>
      <c r="G555" s="525">
        <f>'НМЦК (с разбивкой по объектам)'!K558</f>
        <v>293826</v>
      </c>
    </row>
    <row r="556" spans="1:9" s="539" customFormat="1" ht="31.5" hidden="1" outlineLevel="4" x14ac:dyDescent="0.25">
      <c r="A556" s="363" t="s">
        <v>2782</v>
      </c>
      <c r="B556" s="381" t="s">
        <v>1508</v>
      </c>
      <c r="C556" s="381" t="s">
        <v>656</v>
      </c>
      <c r="D556" s="100" t="s">
        <v>300</v>
      </c>
      <c r="E556" s="100">
        <f>76.32</f>
        <v>76.319999999999993</v>
      </c>
      <c r="F556" s="525">
        <f t="shared" si="8"/>
        <v>392</v>
      </c>
      <c r="G556" s="525">
        <f>'НМЦК (с разбивкой по объектам)'!K559</f>
        <v>29951</v>
      </c>
    </row>
    <row r="557" spans="1:9" s="539" customFormat="1" hidden="1" outlineLevel="4" x14ac:dyDescent="0.25">
      <c r="A557" s="363" t="s">
        <v>2783</v>
      </c>
      <c r="B557" s="381" t="s">
        <v>1509</v>
      </c>
      <c r="C557" s="381" t="s">
        <v>1493</v>
      </c>
      <c r="D557" s="100" t="s">
        <v>300</v>
      </c>
      <c r="E557" s="100">
        <f>99.68</f>
        <v>99.68</v>
      </c>
      <c r="F557" s="525">
        <f t="shared" si="8"/>
        <v>107</v>
      </c>
      <c r="G557" s="525">
        <f>'НМЦК (с разбивкой по объектам)'!K560</f>
        <v>10710</v>
      </c>
    </row>
    <row r="558" spans="1:9" s="539" customFormat="1" hidden="1" outlineLevel="4" x14ac:dyDescent="0.25">
      <c r="A558" s="363" t="s">
        <v>2784</v>
      </c>
      <c r="B558" s="381" t="s">
        <v>1510</v>
      </c>
      <c r="C558" s="381" t="s">
        <v>492</v>
      </c>
      <c r="D558" s="100" t="s">
        <v>300</v>
      </c>
      <c r="E558" s="100">
        <f>9.72</f>
        <v>9.7200000000000006</v>
      </c>
      <c r="F558" s="525">
        <f t="shared" si="8"/>
        <v>31295</v>
      </c>
      <c r="G558" s="525">
        <f>'НМЦК (с разбивкой по объектам)'!K561</f>
        <v>304184</v>
      </c>
    </row>
    <row r="559" spans="1:9" s="539" customFormat="1" hidden="1" outlineLevel="4" x14ac:dyDescent="0.25">
      <c r="A559" s="363" t="s">
        <v>2785</v>
      </c>
      <c r="B559" s="381" t="s">
        <v>1511</v>
      </c>
      <c r="C559" s="381" t="s">
        <v>1498</v>
      </c>
      <c r="D559" s="100" t="s">
        <v>292</v>
      </c>
      <c r="E559" s="100">
        <v>1</v>
      </c>
      <c r="F559" s="525">
        <f t="shared" si="8"/>
        <v>25966</v>
      </c>
      <c r="G559" s="525">
        <f>'НМЦК (с разбивкой по объектам)'!K562</f>
        <v>25966</v>
      </c>
    </row>
    <row r="560" spans="1:9" s="539" customFormat="1" hidden="1" outlineLevel="4" x14ac:dyDescent="0.25">
      <c r="A560" s="363" t="s">
        <v>2786</v>
      </c>
      <c r="B560" s="381" t="s">
        <v>1512</v>
      </c>
      <c r="C560" s="381" t="s">
        <v>414</v>
      </c>
      <c r="D560" s="100" t="s">
        <v>404</v>
      </c>
      <c r="E560" s="100">
        <v>28</v>
      </c>
      <c r="F560" s="525">
        <f t="shared" si="8"/>
        <v>1372</v>
      </c>
      <c r="G560" s="525">
        <f>'НМЦК (с разбивкой по объектам)'!K563</f>
        <v>38425</v>
      </c>
    </row>
    <row r="561" spans="1:8" s="539" customFormat="1" hidden="1" outlineLevel="4" x14ac:dyDescent="0.25">
      <c r="A561" s="363" t="s">
        <v>2787</v>
      </c>
      <c r="B561" s="381" t="s">
        <v>1513</v>
      </c>
      <c r="C561" s="381" t="s">
        <v>1514</v>
      </c>
      <c r="D561" s="100" t="s">
        <v>637</v>
      </c>
      <c r="E561" s="145">
        <f>0.144+0.152</f>
        <v>0.29599999999999999</v>
      </c>
      <c r="F561" s="525">
        <f t="shared" si="8"/>
        <v>94368</v>
      </c>
      <c r="G561" s="525">
        <f>'НМЦК (с разбивкой по объектам)'!K564</f>
        <v>27933</v>
      </c>
    </row>
    <row r="562" spans="1:8" s="539" customFormat="1" hidden="1" outlineLevel="4" x14ac:dyDescent="0.25">
      <c r="A562" s="363" t="s">
        <v>2788</v>
      </c>
      <c r="B562" s="381" t="s">
        <v>1515</v>
      </c>
      <c r="C562" s="381" t="s">
        <v>493</v>
      </c>
      <c r="D562" s="100" t="s">
        <v>292</v>
      </c>
      <c r="E562" s="149">
        <v>1</v>
      </c>
      <c r="F562" s="525">
        <f t="shared" si="8"/>
        <v>99441</v>
      </c>
      <c r="G562" s="525">
        <f>'НМЦК (с разбивкой по объектам)'!K565</f>
        <v>99441</v>
      </c>
    </row>
    <row r="563" spans="1:8" s="539" customFormat="1" hidden="1" outlineLevel="4" x14ac:dyDescent="0.25">
      <c r="A563" s="363" t="s">
        <v>2789</v>
      </c>
      <c r="B563" s="381" t="s">
        <v>1516</v>
      </c>
      <c r="C563" s="381" t="s">
        <v>494</v>
      </c>
      <c r="D563" s="100" t="s">
        <v>404</v>
      </c>
      <c r="E563" s="100">
        <f>21.2</f>
        <v>21.2</v>
      </c>
      <c r="F563" s="525">
        <f t="shared" si="8"/>
        <v>937</v>
      </c>
      <c r="G563" s="525">
        <f>'НМЦК (с разбивкой по объектам)'!K566</f>
        <v>19869</v>
      </c>
    </row>
    <row r="564" spans="1:8" s="540" customFormat="1" hidden="1" outlineLevel="3" collapsed="1" x14ac:dyDescent="0.25">
      <c r="A564" s="363" t="s">
        <v>2790</v>
      </c>
      <c r="B564" s="381" t="s">
        <v>235</v>
      </c>
      <c r="C564" s="381" t="s">
        <v>646</v>
      </c>
      <c r="D564" s="100" t="s">
        <v>292</v>
      </c>
      <c r="E564" s="149">
        <v>1</v>
      </c>
      <c r="F564" s="144">
        <f t="shared" si="8"/>
        <v>35139108</v>
      </c>
      <c r="G564" s="144">
        <f>'НМЦК (с разбивкой по объектам)'!K567</f>
        <v>35139108</v>
      </c>
    </row>
    <row r="565" spans="1:8" s="539" customFormat="1" ht="47.25" hidden="1" outlineLevel="4" x14ac:dyDescent="0.25">
      <c r="A565" s="363" t="s">
        <v>2791</v>
      </c>
      <c r="B565" s="381" t="s">
        <v>1517</v>
      </c>
      <c r="C565" s="381" t="s">
        <v>1518</v>
      </c>
      <c r="D565" s="100" t="s">
        <v>408</v>
      </c>
      <c r="E565" s="149">
        <v>1</v>
      </c>
      <c r="F565" s="525">
        <f t="shared" si="8"/>
        <v>35139108</v>
      </c>
      <c r="G565" s="525">
        <f>'НМЦК (с разбивкой по объектам)'!K568</f>
        <v>35139108</v>
      </c>
    </row>
    <row r="566" spans="1:8" s="538" customFormat="1" outlineLevel="1" x14ac:dyDescent="0.25">
      <c r="A566" s="179" t="s">
        <v>512</v>
      </c>
      <c r="B566" s="422"/>
      <c r="C566" s="435" t="s">
        <v>2374</v>
      </c>
      <c r="D566" s="125" t="s">
        <v>292</v>
      </c>
      <c r="E566" s="126">
        <v>1</v>
      </c>
      <c r="F566" s="524">
        <f t="shared" si="8"/>
        <v>293724595</v>
      </c>
      <c r="G566" s="524">
        <f>'НМЦК (с разбивкой по объектам)'!K569</f>
        <v>293724595</v>
      </c>
    </row>
    <row r="567" spans="1:8" s="544" customFormat="1" outlineLevel="1" collapsed="1" x14ac:dyDescent="0.25">
      <c r="A567" s="132" t="s">
        <v>513</v>
      </c>
      <c r="B567" s="320"/>
      <c r="C567" s="133" t="s">
        <v>2375</v>
      </c>
      <c r="D567" s="134" t="s">
        <v>292</v>
      </c>
      <c r="E567" s="90">
        <v>1</v>
      </c>
      <c r="F567" s="526">
        <f t="shared" si="8"/>
        <v>19843893</v>
      </c>
      <c r="G567" s="526">
        <f>'НМЦК (с разбивкой по объектам)'!K570</f>
        <v>19843893</v>
      </c>
    </row>
    <row r="568" spans="1:8" s="539" customFormat="1" hidden="1" outlineLevel="2" x14ac:dyDescent="0.25">
      <c r="A568" s="363"/>
      <c r="B568" s="381"/>
      <c r="C568" s="390" t="s">
        <v>367</v>
      </c>
      <c r="D568" s="100"/>
      <c r="E568" s="100"/>
      <c r="F568" s="525" t="e">
        <f t="shared" si="8"/>
        <v>#DIV/0!</v>
      </c>
      <c r="G568" s="525">
        <f>'НМЦК (с разбивкой по объектам)'!K571</f>
        <v>0</v>
      </c>
    </row>
    <row r="569" spans="1:8" s="539" customFormat="1" ht="31.5" hidden="1" outlineLevel="2" x14ac:dyDescent="0.25">
      <c r="A569" s="363" t="s">
        <v>2097</v>
      </c>
      <c r="B569" s="381" t="s">
        <v>1047</v>
      </c>
      <c r="C569" s="381" t="s">
        <v>356</v>
      </c>
      <c r="D569" s="100" t="s">
        <v>300</v>
      </c>
      <c r="E569" s="100">
        <f>4472.5</f>
        <v>4472.5</v>
      </c>
      <c r="F569" s="525">
        <f t="shared" si="8"/>
        <v>1670</v>
      </c>
      <c r="G569" s="525">
        <f>'НМЦК (с разбивкой по объектам)'!K572</f>
        <v>7467735</v>
      </c>
    </row>
    <row r="570" spans="1:8" s="539" customFormat="1" hidden="1" outlineLevel="2" x14ac:dyDescent="0.25">
      <c r="A570" s="363" t="s">
        <v>2098</v>
      </c>
      <c r="B570" s="381" t="s">
        <v>1053</v>
      </c>
      <c r="C570" s="381" t="s">
        <v>1048</v>
      </c>
      <c r="D570" s="100" t="s">
        <v>300</v>
      </c>
      <c r="E570" s="100">
        <f>3261.5</f>
        <v>3261.5</v>
      </c>
      <c r="F570" s="525">
        <f t="shared" si="8"/>
        <v>107</v>
      </c>
      <c r="G570" s="525">
        <f>'НМЦК (с разбивкой по объектам)'!K573</f>
        <v>349668</v>
      </c>
    </row>
    <row r="571" spans="1:8" s="539" customFormat="1" ht="31.5" hidden="1" outlineLevel="2" x14ac:dyDescent="0.25">
      <c r="A571" s="363" t="s">
        <v>2099</v>
      </c>
      <c r="B571" s="381" t="s">
        <v>1054</v>
      </c>
      <c r="C571" s="381" t="s">
        <v>1049</v>
      </c>
      <c r="D571" s="100" t="s">
        <v>300</v>
      </c>
      <c r="E571" s="100">
        <f>1211</f>
        <v>1211</v>
      </c>
      <c r="F571" s="525">
        <f t="shared" si="8"/>
        <v>364</v>
      </c>
      <c r="G571" s="525">
        <f>'НМЦК (с разбивкой по объектам)'!K574</f>
        <v>441330</v>
      </c>
      <c r="H571" s="539" t="s">
        <v>1050</v>
      </c>
    </row>
    <row r="572" spans="1:8" s="539" customFormat="1" ht="31.5" hidden="1" outlineLevel="2" x14ac:dyDescent="0.25">
      <c r="A572" s="363" t="s">
        <v>2100</v>
      </c>
      <c r="B572" s="381" t="s">
        <v>1055</v>
      </c>
      <c r="C572" s="381" t="s">
        <v>1052</v>
      </c>
      <c r="D572" s="100" t="s">
        <v>300</v>
      </c>
      <c r="E572" s="100">
        <f>3261.5</f>
        <v>3261.5</v>
      </c>
      <c r="F572" s="525">
        <f t="shared" si="8"/>
        <v>138</v>
      </c>
      <c r="G572" s="525">
        <f>'НМЦК (с разбивкой по объектам)'!K575</f>
        <v>451538</v>
      </c>
    </row>
    <row r="573" spans="1:8" s="539" customFormat="1" hidden="1" outlineLevel="2" x14ac:dyDescent="0.25">
      <c r="A573" s="363" t="s">
        <v>2101</v>
      </c>
      <c r="B573" s="381" t="s">
        <v>1057</v>
      </c>
      <c r="C573" s="381" t="s">
        <v>1056</v>
      </c>
      <c r="D573" s="100" t="s">
        <v>300</v>
      </c>
      <c r="E573" s="100">
        <f>860.9</f>
        <v>860.9</v>
      </c>
      <c r="F573" s="525">
        <f t="shared" si="8"/>
        <v>11988</v>
      </c>
      <c r="G573" s="525">
        <f>'НМЦК (с разбивкой по объектам)'!K576</f>
        <v>10320585</v>
      </c>
      <c r="H573" s="539" t="s">
        <v>1058</v>
      </c>
    </row>
    <row r="574" spans="1:8" s="539" customFormat="1" ht="31.5" hidden="1" outlineLevel="2" x14ac:dyDescent="0.25">
      <c r="A574" s="363" t="s">
        <v>2102</v>
      </c>
      <c r="B574" s="381" t="s">
        <v>1075</v>
      </c>
      <c r="C574" s="381" t="s">
        <v>1019</v>
      </c>
      <c r="D574" s="100" t="s">
        <v>292</v>
      </c>
      <c r="E574" s="100">
        <v>1</v>
      </c>
      <c r="F574" s="525">
        <f t="shared" si="8"/>
        <v>813037</v>
      </c>
      <c r="G574" s="525">
        <f>'НМЦК (с разбивкой по объектам)'!K577</f>
        <v>813037</v>
      </c>
    </row>
    <row r="575" spans="1:8" s="540" customFormat="1" ht="31.5" outlineLevel="1" collapsed="1" x14ac:dyDescent="0.25">
      <c r="A575" s="132" t="s">
        <v>514</v>
      </c>
      <c r="B575" s="320" t="s">
        <v>164</v>
      </c>
      <c r="C575" s="320" t="s">
        <v>1919</v>
      </c>
      <c r="D575" s="134" t="s">
        <v>292</v>
      </c>
      <c r="E575" s="90">
        <v>1</v>
      </c>
      <c r="F575" s="526">
        <f t="shared" si="8"/>
        <v>64663931</v>
      </c>
      <c r="G575" s="526">
        <f>'НМЦК (с разбивкой по объектам)'!K578</f>
        <v>64663931</v>
      </c>
    </row>
    <row r="576" spans="1:8" s="539" customFormat="1" hidden="1" outlineLevel="2" x14ac:dyDescent="0.25">
      <c r="A576" s="363" t="s">
        <v>2143</v>
      </c>
      <c r="B576" s="381" t="s">
        <v>1060</v>
      </c>
      <c r="C576" s="381" t="s">
        <v>1059</v>
      </c>
      <c r="D576" s="100" t="s">
        <v>300</v>
      </c>
      <c r="E576" s="100">
        <v>378</v>
      </c>
      <c r="F576" s="525">
        <f t="shared" si="8"/>
        <v>20816</v>
      </c>
      <c r="G576" s="525">
        <f>'НМЦК (с разбивкой по объектам)'!K579</f>
        <v>7868278</v>
      </c>
      <c r="H576" s="539" t="s">
        <v>1061</v>
      </c>
    </row>
    <row r="577" spans="1:8" s="539" customFormat="1" hidden="1" outlineLevel="2" x14ac:dyDescent="0.25">
      <c r="A577" s="363" t="s">
        <v>2144</v>
      </c>
      <c r="B577" s="381" t="s">
        <v>1063</v>
      </c>
      <c r="C577" s="381" t="s">
        <v>1062</v>
      </c>
      <c r="D577" s="100" t="s">
        <v>300</v>
      </c>
      <c r="E577" s="100">
        <f>175.7</f>
        <v>175.7</v>
      </c>
      <c r="F577" s="525">
        <f t="shared" si="8"/>
        <v>20648</v>
      </c>
      <c r="G577" s="525">
        <f>'НМЦК (с разбивкой по объектам)'!K580</f>
        <v>3627840</v>
      </c>
      <c r="H577" s="539" t="s">
        <v>1064</v>
      </c>
    </row>
    <row r="578" spans="1:8" s="539" customFormat="1" hidden="1" outlineLevel="2" x14ac:dyDescent="0.25">
      <c r="A578" s="363" t="s">
        <v>2145</v>
      </c>
      <c r="B578" s="381" t="s">
        <v>1066</v>
      </c>
      <c r="C578" s="381" t="s">
        <v>1065</v>
      </c>
      <c r="D578" s="100" t="s">
        <v>300</v>
      </c>
      <c r="E578" s="100">
        <f>165.6</f>
        <v>165.6</v>
      </c>
      <c r="F578" s="525">
        <f t="shared" si="8"/>
        <v>20572</v>
      </c>
      <c r="G578" s="525">
        <f>'НМЦК (с разбивкой по объектам)'!K581</f>
        <v>3406653</v>
      </c>
      <c r="H578" s="539" t="s">
        <v>1067</v>
      </c>
    </row>
    <row r="579" spans="1:8" s="539" customFormat="1" hidden="1" outlineLevel="2" x14ac:dyDescent="0.25">
      <c r="A579" s="363"/>
      <c r="B579" s="381"/>
      <c r="C579" s="390" t="s">
        <v>1068</v>
      </c>
      <c r="D579" s="100"/>
      <c r="E579" s="100"/>
      <c r="F579" s="525" t="e">
        <f t="shared" si="8"/>
        <v>#DIV/0!</v>
      </c>
      <c r="G579" s="525">
        <f>'НМЦК (с разбивкой по объектам)'!K582</f>
        <v>0</v>
      </c>
    </row>
    <row r="580" spans="1:8" s="539" customFormat="1" hidden="1" outlineLevel="2" x14ac:dyDescent="0.25">
      <c r="A580" s="225" t="s">
        <v>2146</v>
      </c>
      <c r="B580" s="381" t="s">
        <v>1070</v>
      </c>
      <c r="C580" s="381" t="s">
        <v>1069</v>
      </c>
      <c r="D580" s="100" t="s">
        <v>300</v>
      </c>
      <c r="E580" s="100">
        <v>605</v>
      </c>
      <c r="F580" s="525">
        <f t="shared" si="8"/>
        <v>17299</v>
      </c>
      <c r="G580" s="525">
        <f>'НМЦК (с разбивкой по объектам)'!K583</f>
        <v>10465711</v>
      </c>
    </row>
    <row r="581" spans="1:8" s="539" customFormat="1" hidden="1" outlineLevel="2" x14ac:dyDescent="0.25">
      <c r="A581" s="363" t="s">
        <v>2792</v>
      </c>
      <c r="B581" s="381" t="s">
        <v>1072</v>
      </c>
      <c r="C581" s="381" t="s">
        <v>1071</v>
      </c>
      <c r="D581" s="100" t="s">
        <v>300</v>
      </c>
      <c r="E581" s="100">
        <f>480.7+623</f>
        <v>1103.7</v>
      </c>
      <c r="F581" s="525">
        <f t="shared" si="8"/>
        <v>23203</v>
      </c>
      <c r="G581" s="525">
        <f>'НМЦК (с разбивкой по объектам)'!K584</f>
        <v>25609490</v>
      </c>
    </row>
    <row r="582" spans="1:8" s="539" customFormat="1" hidden="1" outlineLevel="2" x14ac:dyDescent="0.25">
      <c r="A582" s="363" t="s">
        <v>2793</v>
      </c>
      <c r="B582" s="381" t="s">
        <v>1073</v>
      </c>
      <c r="C582" s="381" t="s">
        <v>1074</v>
      </c>
      <c r="D582" s="100" t="s">
        <v>300</v>
      </c>
      <c r="E582" s="100">
        <v>15</v>
      </c>
      <c r="F582" s="525">
        <f t="shared" si="8"/>
        <v>18691</v>
      </c>
      <c r="G582" s="525">
        <f>'НМЦК (с разбивкой по объектам)'!K585</f>
        <v>280363</v>
      </c>
    </row>
    <row r="583" spans="1:8" s="539" customFormat="1" hidden="1" outlineLevel="2" x14ac:dyDescent="0.25">
      <c r="A583" s="363"/>
      <c r="B583" s="381"/>
      <c r="C583" s="390" t="s">
        <v>1026</v>
      </c>
      <c r="D583" s="100"/>
      <c r="E583" s="100"/>
      <c r="F583" s="525" t="e">
        <f t="shared" si="8"/>
        <v>#DIV/0!</v>
      </c>
      <c r="G583" s="525">
        <f>'НМЦК (с разбивкой по объектам)'!K586</f>
        <v>0</v>
      </c>
    </row>
    <row r="584" spans="1:8" s="539" customFormat="1" hidden="1" outlineLevel="2" x14ac:dyDescent="0.25">
      <c r="A584" s="363" t="s">
        <v>2794</v>
      </c>
      <c r="B584" s="381" t="s">
        <v>1077</v>
      </c>
      <c r="C584" s="381" t="s">
        <v>1076</v>
      </c>
      <c r="D584" s="100" t="s">
        <v>637</v>
      </c>
      <c r="E584" s="100">
        <v>70.47</v>
      </c>
      <c r="F584" s="525">
        <f t="shared" si="8"/>
        <v>75155</v>
      </c>
      <c r="G584" s="525">
        <f>'НМЦК (с разбивкой по объектам)'!K587</f>
        <v>5296141</v>
      </c>
    </row>
    <row r="585" spans="1:8" s="539" customFormat="1" hidden="1" outlineLevel="2" x14ac:dyDescent="0.25">
      <c r="A585" s="363"/>
      <c r="B585" s="381"/>
      <c r="C585" s="390" t="s">
        <v>1078</v>
      </c>
      <c r="D585" s="100"/>
      <c r="E585" s="100"/>
      <c r="F585" s="525" t="e">
        <f t="shared" ref="F585:F648" si="9">G585/E585</f>
        <v>#DIV/0!</v>
      </c>
      <c r="G585" s="525">
        <f>'НМЦК (с разбивкой по объектам)'!K588</f>
        <v>0</v>
      </c>
    </row>
    <row r="586" spans="1:8" s="539" customFormat="1" hidden="1" outlineLevel="2" x14ac:dyDescent="0.25">
      <c r="A586" s="363" t="s">
        <v>2795</v>
      </c>
      <c r="B586" s="381" t="s">
        <v>1080</v>
      </c>
      <c r="C586" s="381" t="s">
        <v>1079</v>
      </c>
      <c r="D586" s="100" t="s">
        <v>637</v>
      </c>
      <c r="E586" s="145">
        <f>7.149+0.678</f>
        <v>7.827</v>
      </c>
      <c r="F586" s="525">
        <f t="shared" si="9"/>
        <v>75458</v>
      </c>
      <c r="G586" s="525">
        <f>'НМЦК (с разбивкой по объектам)'!K589</f>
        <v>590609</v>
      </c>
    </row>
    <row r="587" spans="1:8" s="539" customFormat="1" hidden="1" outlineLevel="2" x14ac:dyDescent="0.25">
      <c r="A587" s="363" t="s">
        <v>2796</v>
      </c>
      <c r="B587" s="381" t="s">
        <v>1082</v>
      </c>
      <c r="C587" s="381" t="s">
        <v>1081</v>
      </c>
      <c r="D587" s="100" t="s">
        <v>637</v>
      </c>
      <c r="E587" s="100">
        <v>2.1</v>
      </c>
      <c r="F587" s="525">
        <f t="shared" si="9"/>
        <v>103307</v>
      </c>
      <c r="G587" s="525">
        <f>'НМЦК (с разбивкой по объектам)'!K590</f>
        <v>216944</v>
      </c>
    </row>
    <row r="588" spans="1:8" s="539" customFormat="1" hidden="1" outlineLevel="2" x14ac:dyDescent="0.25">
      <c r="A588" s="363" t="s">
        <v>2797</v>
      </c>
      <c r="B588" s="381" t="s">
        <v>1084</v>
      </c>
      <c r="C588" s="381" t="s">
        <v>1083</v>
      </c>
      <c r="D588" s="100" t="s">
        <v>637</v>
      </c>
      <c r="E588" s="145">
        <f>65.191</f>
        <v>65.191000000000003</v>
      </c>
      <c r="F588" s="525">
        <f t="shared" si="9"/>
        <v>81282</v>
      </c>
      <c r="G588" s="525">
        <f>'НМЦК (с разбивкой по объектам)'!K591</f>
        <v>5298871</v>
      </c>
    </row>
    <row r="589" spans="1:8" s="539" customFormat="1" hidden="1" outlineLevel="2" x14ac:dyDescent="0.25">
      <c r="A589" s="363" t="s">
        <v>2798</v>
      </c>
      <c r="B589" s="381" t="s">
        <v>1086</v>
      </c>
      <c r="C589" s="381" t="s">
        <v>1085</v>
      </c>
      <c r="D589" s="100" t="s">
        <v>637</v>
      </c>
      <c r="E589" s="145">
        <f>21.534</f>
        <v>21.533999999999999</v>
      </c>
      <c r="F589" s="525">
        <f t="shared" si="9"/>
        <v>75391</v>
      </c>
      <c r="G589" s="525">
        <f>'НМЦК (с разбивкой по объектам)'!K592</f>
        <v>1623478</v>
      </c>
    </row>
    <row r="590" spans="1:8" s="539" customFormat="1" hidden="1" outlineLevel="2" x14ac:dyDescent="0.25">
      <c r="A590" s="363" t="s">
        <v>2799</v>
      </c>
      <c r="B590" s="381" t="s">
        <v>1088</v>
      </c>
      <c r="C590" s="381" t="s">
        <v>1087</v>
      </c>
      <c r="D590" s="100" t="s">
        <v>637</v>
      </c>
      <c r="E590" s="145">
        <f>2.929</f>
        <v>2.9289999999999998</v>
      </c>
      <c r="F590" s="525">
        <f t="shared" si="9"/>
        <v>75391</v>
      </c>
      <c r="G590" s="525">
        <f>'НМЦК (с разбивкой по объектам)'!K593</f>
        <v>220820</v>
      </c>
    </row>
    <row r="591" spans="1:8" s="539" customFormat="1" ht="31.5" hidden="1" outlineLevel="2" x14ac:dyDescent="0.25">
      <c r="A591" s="363" t="s">
        <v>2800</v>
      </c>
      <c r="B591" s="381" t="s">
        <v>1090</v>
      </c>
      <c r="C591" s="381" t="s">
        <v>1089</v>
      </c>
      <c r="D591" s="100" t="s">
        <v>404</v>
      </c>
      <c r="E591" s="149">
        <f>136</f>
        <v>136</v>
      </c>
      <c r="F591" s="525">
        <f t="shared" si="9"/>
        <v>1167</v>
      </c>
      <c r="G591" s="525">
        <f>'НМЦК (с разбивкой по объектам)'!K594</f>
        <v>158733</v>
      </c>
    </row>
    <row r="592" spans="1:8" s="544" customFormat="1" outlineLevel="1" collapsed="1" x14ac:dyDescent="0.25">
      <c r="A592" s="132" t="s">
        <v>515</v>
      </c>
      <c r="B592" s="320"/>
      <c r="C592" s="133" t="s">
        <v>2454</v>
      </c>
      <c r="D592" s="134" t="s">
        <v>292</v>
      </c>
      <c r="E592" s="90">
        <v>1</v>
      </c>
      <c r="F592" s="526">
        <f t="shared" si="9"/>
        <v>111509306</v>
      </c>
      <c r="G592" s="526">
        <f>'НМЦК (с разбивкой по объектам)'!K595</f>
        <v>111509306</v>
      </c>
    </row>
    <row r="593" spans="1:8" s="539" customFormat="1" ht="31.5" hidden="1" outlineLevel="2" x14ac:dyDescent="0.25">
      <c r="A593" s="363" t="s">
        <v>2147</v>
      </c>
      <c r="B593" s="381" t="s">
        <v>788</v>
      </c>
      <c r="C593" s="381" t="s">
        <v>1816</v>
      </c>
      <c r="D593" s="100" t="s">
        <v>292</v>
      </c>
      <c r="E593" s="149">
        <v>1</v>
      </c>
      <c r="F593" s="525">
        <f t="shared" si="9"/>
        <v>2226338</v>
      </c>
      <c r="G593" s="525">
        <f>'НМЦК (с разбивкой по объектам)'!K596</f>
        <v>2226338</v>
      </c>
    </row>
    <row r="594" spans="1:8" s="539" customFormat="1" ht="31.5" hidden="1" outlineLevel="2" collapsed="1" x14ac:dyDescent="0.25">
      <c r="A594" s="95" t="s">
        <v>2148</v>
      </c>
      <c r="B594" s="381" t="s">
        <v>166</v>
      </c>
      <c r="C594" s="381" t="s">
        <v>1920</v>
      </c>
      <c r="D594" s="100" t="s">
        <v>292</v>
      </c>
      <c r="E594" s="149">
        <v>1</v>
      </c>
      <c r="F594" s="144">
        <f t="shared" si="9"/>
        <v>2853932</v>
      </c>
      <c r="G594" s="144">
        <f>'НМЦК (с разбивкой по объектам)'!K597</f>
        <v>2853932</v>
      </c>
    </row>
    <row r="595" spans="1:8" s="539" customFormat="1" hidden="1" outlineLevel="3" x14ac:dyDescent="0.25">
      <c r="A595" s="363" t="s">
        <v>2801</v>
      </c>
      <c r="B595" s="381" t="s">
        <v>1091</v>
      </c>
      <c r="C595" s="381" t="s">
        <v>601</v>
      </c>
      <c r="D595" s="100" t="s">
        <v>292</v>
      </c>
      <c r="E595" s="149">
        <v>1</v>
      </c>
      <c r="F595" s="525">
        <f t="shared" si="9"/>
        <v>1311866</v>
      </c>
      <c r="G595" s="525">
        <f>'НМЦК (с разбивкой по объектам)'!K598</f>
        <v>1311866</v>
      </c>
    </row>
    <row r="596" spans="1:8" s="539" customFormat="1" hidden="1" outlineLevel="3" x14ac:dyDescent="0.25">
      <c r="A596" s="363" t="s">
        <v>2802</v>
      </c>
      <c r="B596" s="381" t="s">
        <v>1092</v>
      </c>
      <c r="C596" s="381" t="s">
        <v>603</v>
      </c>
      <c r="D596" s="100" t="s">
        <v>292</v>
      </c>
      <c r="E596" s="149">
        <v>1</v>
      </c>
      <c r="F596" s="525">
        <f t="shared" si="9"/>
        <v>260807</v>
      </c>
      <c r="G596" s="525">
        <f>'НМЦК (с разбивкой по объектам)'!K599</f>
        <v>260807</v>
      </c>
    </row>
    <row r="597" spans="1:8" s="539" customFormat="1" hidden="1" outlineLevel="3" x14ac:dyDescent="0.25">
      <c r="A597" s="363" t="s">
        <v>2803</v>
      </c>
      <c r="B597" s="381" t="s">
        <v>1093</v>
      </c>
      <c r="C597" s="381" t="s">
        <v>808</v>
      </c>
      <c r="D597" s="100" t="s">
        <v>292</v>
      </c>
      <c r="E597" s="149">
        <v>1</v>
      </c>
      <c r="F597" s="525">
        <f t="shared" si="9"/>
        <v>368941</v>
      </c>
      <c r="G597" s="525">
        <f>'НМЦК (с разбивкой по объектам)'!K600</f>
        <v>368941</v>
      </c>
    </row>
    <row r="598" spans="1:8" s="539" customFormat="1" hidden="1" outlineLevel="3" x14ac:dyDescent="0.25">
      <c r="A598" s="363" t="s">
        <v>2804</v>
      </c>
      <c r="B598" s="381" t="s">
        <v>1095</v>
      </c>
      <c r="C598" s="381" t="s">
        <v>1094</v>
      </c>
      <c r="D598" s="100" t="s">
        <v>292</v>
      </c>
      <c r="E598" s="149">
        <v>1</v>
      </c>
      <c r="F598" s="525">
        <f t="shared" si="9"/>
        <v>74670</v>
      </c>
      <c r="G598" s="525">
        <f>'НМЦК (с разбивкой по объектам)'!K601</f>
        <v>74670</v>
      </c>
    </row>
    <row r="599" spans="1:8" s="539" customFormat="1" hidden="1" outlineLevel="3" x14ac:dyDescent="0.25">
      <c r="A599" s="363" t="s">
        <v>2805</v>
      </c>
      <c r="B599" s="381" t="s">
        <v>1097</v>
      </c>
      <c r="C599" s="381" t="s">
        <v>1096</v>
      </c>
      <c r="D599" s="100" t="s">
        <v>292</v>
      </c>
      <c r="E599" s="149">
        <v>1</v>
      </c>
      <c r="F599" s="525">
        <f t="shared" si="9"/>
        <v>837648</v>
      </c>
      <c r="G599" s="525">
        <f>'НМЦК (с разбивкой по объектам)'!K602</f>
        <v>837648</v>
      </c>
    </row>
    <row r="600" spans="1:8" s="549" customFormat="1" ht="31.5" hidden="1" outlineLevel="2" collapsed="1" x14ac:dyDescent="0.25">
      <c r="A600" s="95" t="s">
        <v>2149</v>
      </c>
      <c r="B600" s="381" t="s">
        <v>170</v>
      </c>
      <c r="C600" s="381" t="s">
        <v>2380</v>
      </c>
      <c r="D600" s="100" t="s">
        <v>292</v>
      </c>
      <c r="E600" s="149">
        <v>1</v>
      </c>
      <c r="F600" s="144">
        <f t="shared" si="9"/>
        <v>32917969</v>
      </c>
      <c r="G600" s="144">
        <f>'НМЦК (с разбивкой по объектам)'!K603</f>
        <v>32917969</v>
      </c>
    </row>
    <row r="601" spans="1:8" s="539" customFormat="1" hidden="1" outlineLevel="3" x14ac:dyDescent="0.25">
      <c r="A601" s="363"/>
      <c r="B601" s="381"/>
      <c r="C601" s="381" t="s">
        <v>379</v>
      </c>
      <c r="D601" s="100"/>
      <c r="E601" s="145"/>
      <c r="F601" s="525" t="e">
        <f t="shared" si="9"/>
        <v>#DIV/0!</v>
      </c>
      <c r="G601" s="525">
        <f>'НМЦК (с разбивкой по объектам)'!K604</f>
        <v>0</v>
      </c>
    </row>
    <row r="602" spans="1:8" s="539" customFormat="1" hidden="1" outlineLevel="3" x14ac:dyDescent="0.25">
      <c r="A602" s="363"/>
      <c r="B602" s="381"/>
      <c r="C602" s="390" t="s">
        <v>1098</v>
      </c>
      <c r="D602" s="100"/>
      <c r="E602" s="145"/>
      <c r="F602" s="525" t="e">
        <f t="shared" si="9"/>
        <v>#DIV/0!</v>
      </c>
      <c r="G602" s="525">
        <f>'НМЦК (с разбивкой по объектам)'!K605</f>
        <v>0</v>
      </c>
    </row>
    <row r="603" spans="1:8" s="539" customFormat="1" hidden="1" outlineLevel="3" x14ac:dyDescent="0.25">
      <c r="A603" s="363" t="s">
        <v>441</v>
      </c>
      <c r="B603" s="381" t="s">
        <v>1154</v>
      </c>
      <c r="C603" s="381" t="s">
        <v>1106</v>
      </c>
      <c r="D603" s="100" t="s">
        <v>408</v>
      </c>
      <c r="E603" s="149">
        <v>1</v>
      </c>
      <c r="F603" s="525">
        <f t="shared" si="9"/>
        <v>5373251</v>
      </c>
      <c r="G603" s="525">
        <f>'НМЦК (с разбивкой по объектам)'!K606</f>
        <v>5373251</v>
      </c>
      <c r="H603" s="539" t="s">
        <v>1197</v>
      </c>
    </row>
    <row r="604" spans="1:8" s="539" customFormat="1" hidden="1" outlineLevel="3" x14ac:dyDescent="0.25">
      <c r="A604" s="363" t="s">
        <v>442</v>
      </c>
      <c r="B604" s="381" t="s">
        <v>1155</v>
      </c>
      <c r="C604" s="381" t="s">
        <v>1107</v>
      </c>
      <c r="D604" s="100" t="s">
        <v>408</v>
      </c>
      <c r="E604" s="149">
        <v>1</v>
      </c>
      <c r="F604" s="525">
        <f t="shared" si="9"/>
        <v>49957</v>
      </c>
      <c r="G604" s="525">
        <f>'НМЦК (с разбивкой по объектам)'!K607</f>
        <v>49957</v>
      </c>
    </row>
    <row r="605" spans="1:8" s="539" customFormat="1" hidden="1" outlineLevel="3" x14ac:dyDescent="0.25">
      <c r="A605" s="363" t="s">
        <v>443</v>
      </c>
      <c r="B605" s="381" t="s">
        <v>1156</v>
      </c>
      <c r="C605" s="381" t="s">
        <v>1108</v>
      </c>
      <c r="D605" s="100" t="s">
        <v>408</v>
      </c>
      <c r="E605" s="149">
        <v>1</v>
      </c>
      <c r="F605" s="525">
        <f t="shared" si="9"/>
        <v>49957</v>
      </c>
      <c r="G605" s="525">
        <f>'НМЦК (с разбивкой по объектам)'!K608</f>
        <v>49957</v>
      </c>
    </row>
    <row r="606" spans="1:8" s="539" customFormat="1" hidden="1" outlineLevel="3" x14ac:dyDescent="0.25">
      <c r="A606" s="363" t="s">
        <v>1948</v>
      </c>
      <c r="B606" s="381" t="s">
        <v>1157</v>
      </c>
      <c r="C606" s="381" t="s">
        <v>1109</v>
      </c>
      <c r="D606" s="100" t="s">
        <v>408</v>
      </c>
      <c r="E606" s="149">
        <v>1</v>
      </c>
      <c r="F606" s="525">
        <f t="shared" si="9"/>
        <v>49957</v>
      </c>
      <c r="G606" s="525">
        <f>'НМЦК (с разбивкой по объектам)'!K609</f>
        <v>49957</v>
      </c>
    </row>
    <row r="607" spans="1:8" s="539" customFormat="1" hidden="1" outlineLevel="3" x14ac:dyDescent="0.25">
      <c r="A607" s="363" t="s">
        <v>1949</v>
      </c>
      <c r="B607" s="381" t="s">
        <v>1158</v>
      </c>
      <c r="C607" s="381" t="s">
        <v>1110</v>
      </c>
      <c r="D607" s="100" t="s">
        <v>408</v>
      </c>
      <c r="E607" s="149">
        <v>1</v>
      </c>
      <c r="F607" s="525">
        <f t="shared" si="9"/>
        <v>49957</v>
      </c>
      <c r="G607" s="525">
        <f>'НМЦК (с разбивкой по объектам)'!K610</f>
        <v>49957</v>
      </c>
    </row>
    <row r="608" spans="1:8" s="539" customFormat="1" hidden="1" outlineLevel="3" x14ac:dyDescent="0.25">
      <c r="A608" s="363" t="s">
        <v>1950</v>
      </c>
      <c r="B608" s="381" t="s">
        <v>1159</v>
      </c>
      <c r="C608" s="381" t="s">
        <v>1111</v>
      </c>
      <c r="D608" s="100" t="s">
        <v>408</v>
      </c>
      <c r="E608" s="149">
        <v>1</v>
      </c>
      <c r="F608" s="525">
        <f t="shared" si="9"/>
        <v>49957</v>
      </c>
      <c r="G608" s="525">
        <f>'НМЦК (с разбивкой по объектам)'!K611</f>
        <v>49957</v>
      </c>
    </row>
    <row r="609" spans="1:8" s="539" customFormat="1" hidden="1" outlineLevel="3" x14ac:dyDescent="0.25">
      <c r="A609" s="363" t="s">
        <v>1951</v>
      </c>
      <c r="B609" s="381" t="s">
        <v>1160</v>
      </c>
      <c r="C609" s="381" t="s">
        <v>1112</v>
      </c>
      <c r="D609" s="100" t="s">
        <v>408</v>
      </c>
      <c r="E609" s="149">
        <v>1</v>
      </c>
      <c r="F609" s="525">
        <f t="shared" si="9"/>
        <v>49957</v>
      </c>
      <c r="G609" s="525">
        <f>'НМЦК (с разбивкой по объектам)'!K612</f>
        <v>49957</v>
      </c>
    </row>
    <row r="610" spans="1:8" s="539" customFormat="1" hidden="1" outlineLevel="3" x14ac:dyDescent="0.25">
      <c r="A610" s="363" t="s">
        <v>1952</v>
      </c>
      <c r="B610" s="381" t="s">
        <v>1161</v>
      </c>
      <c r="C610" s="381" t="s">
        <v>1113</v>
      </c>
      <c r="D610" s="100" t="s">
        <v>408</v>
      </c>
      <c r="E610" s="149">
        <v>1</v>
      </c>
      <c r="F610" s="525">
        <f t="shared" si="9"/>
        <v>49957</v>
      </c>
      <c r="G610" s="525">
        <f>'НМЦК (с разбивкой по объектам)'!K613</f>
        <v>49957</v>
      </c>
    </row>
    <row r="611" spans="1:8" s="539" customFormat="1" hidden="1" outlineLevel="3" x14ac:dyDescent="0.25">
      <c r="A611" s="363" t="s">
        <v>1953</v>
      </c>
      <c r="B611" s="381" t="s">
        <v>1162</v>
      </c>
      <c r="C611" s="381" t="s">
        <v>1114</v>
      </c>
      <c r="D611" s="100" t="s">
        <v>408</v>
      </c>
      <c r="E611" s="149">
        <v>1</v>
      </c>
      <c r="F611" s="525">
        <f t="shared" si="9"/>
        <v>49957</v>
      </c>
      <c r="G611" s="525">
        <f>'НМЦК (с разбивкой по объектам)'!K614</f>
        <v>49957</v>
      </c>
    </row>
    <row r="612" spans="1:8" s="539" customFormat="1" hidden="1" outlineLevel="3" x14ac:dyDescent="0.25">
      <c r="A612" s="363" t="s">
        <v>1954</v>
      </c>
      <c r="B612" s="381" t="s">
        <v>1163</v>
      </c>
      <c r="C612" s="381" t="s">
        <v>1115</v>
      </c>
      <c r="D612" s="100" t="s">
        <v>408</v>
      </c>
      <c r="E612" s="149">
        <v>1</v>
      </c>
      <c r="F612" s="525">
        <f t="shared" si="9"/>
        <v>49957</v>
      </c>
      <c r="G612" s="525">
        <f>'НМЦК (с разбивкой по объектам)'!K615</f>
        <v>49957</v>
      </c>
    </row>
    <row r="613" spans="1:8" s="539" customFormat="1" hidden="1" outlineLevel="3" x14ac:dyDescent="0.25">
      <c r="A613" s="363" t="s">
        <v>1955</v>
      </c>
      <c r="B613" s="381" t="s">
        <v>1164</v>
      </c>
      <c r="C613" s="381" t="s">
        <v>1116</v>
      </c>
      <c r="D613" s="100" t="s">
        <v>408</v>
      </c>
      <c r="E613" s="149">
        <v>1</v>
      </c>
      <c r="F613" s="525">
        <f t="shared" si="9"/>
        <v>712560</v>
      </c>
      <c r="G613" s="525">
        <f>'НМЦК (с разбивкой по объектам)'!K616</f>
        <v>712560</v>
      </c>
      <c r="H613" s="539" t="s">
        <v>1199</v>
      </c>
    </row>
    <row r="614" spans="1:8" s="539" customFormat="1" hidden="1" outlineLevel="3" x14ac:dyDescent="0.25">
      <c r="A614" s="363" t="s">
        <v>1956</v>
      </c>
      <c r="B614" s="381" t="s">
        <v>1165</v>
      </c>
      <c r="C614" s="381" t="s">
        <v>1117</v>
      </c>
      <c r="D614" s="100" t="s">
        <v>408</v>
      </c>
      <c r="E614" s="149">
        <v>1</v>
      </c>
      <c r="F614" s="525">
        <f t="shared" si="9"/>
        <v>49957</v>
      </c>
      <c r="G614" s="525">
        <f>'НМЦК (с разбивкой по объектам)'!K617</f>
        <v>49957</v>
      </c>
    </row>
    <row r="615" spans="1:8" s="539" customFormat="1" hidden="1" outlineLevel="3" x14ac:dyDescent="0.25">
      <c r="A615" s="363" t="s">
        <v>1957</v>
      </c>
      <c r="B615" s="381" t="s">
        <v>1166</v>
      </c>
      <c r="C615" s="381" t="s">
        <v>1118</v>
      </c>
      <c r="D615" s="100" t="s">
        <v>408</v>
      </c>
      <c r="E615" s="149">
        <v>1</v>
      </c>
      <c r="F615" s="525">
        <f t="shared" si="9"/>
        <v>76360</v>
      </c>
      <c r="G615" s="525">
        <f>'НМЦК (с разбивкой по объектам)'!K618</f>
        <v>76360</v>
      </c>
    </row>
    <row r="616" spans="1:8" s="539" customFormat="1" hidden="1" outlineLevel="3" x14ac:dyDescent="0.25">
      <c r="A616" s="363" t="s">
        <v>1958</v>
      </c>
      <c r="B616" s="381" t="s">
        <v>1167</v>
      </c>
      <c r="C616" s="381" t="s">
        <v>1119</v>
      </c>
      <c r="D616" s="100" t="s">
        <v>408</v>
      </c>
      <c r="E616" s="149">
        <v>1</v>
      </c>
      <c r="F616" s="525">
        <f t="shared" si="9"/>
        <v>76360</v>
      </c>
      <c r="G616" s="525">
        <f>'НМЦК (с разбивкой по объектам)'!K619</f>
        <v>76360</v>
      </c>
    </row>
    <row r="617" spans="1:8" s="539" customFormat="1" hidden="1" outlineLevel="3" x14ac:dyDescent="0.25">
      <c r="A617" s="363"/>
      <c r="B617" s="381"/>
      <c r="C617" s="390" t="s">
        <v>1120</v>
      </c>
      <c r="D617" s="100"/>
      <c r="E617" s="145"/>
      <c r="F617" s="525" t="e">
        <f t="shared" si="9"/>
        <v>#DIV/0!</v>
      </c>
      <c r="G617" s="525">
        <f>'НМЦК (с разбивкой по объектам)'!K620</f>
        <v>0</v>
      </c>
    </row>
    <row r="618" spans="1:8" s="539" customFormat="1" hidden="1" outlineLevel="3" x14ac:dyDescent="0.25">
      <c r="A618" s="363" t="s">
        <v>1959</v>
      </c>
      <c r="B618" s="381" t="s">
        <v>1168</v>
      </c>
      <c r="C618" s="381" t="s">
        <v>1122</v>
      </c>
      <c r="D618" s="100" t="s">
        <v>408</v>
      </c>
      <c r="E618" s="149">
        <v>363</v>
      </c>
      <c r="F618" s="525">
        <f t="shared" si="9"/>
        <v>194</v>
      </c>
      <c r="G618" s="525">
        <f>'НМЦК (с разбивкой по объектам)'!K621</f>
        <v>70327</v>
      </c>
    </row>
    <row r="619" spans="1:8" s="539" customFormat="1" hidden="1" outlineLevel="3" x14ac:dyDescent="0.25">
      <c r="A619" s="363" t="s">
        <v>1960</v>
      </c>
      <c r="B619" s="381" t="s">
        <v>1169</v>
      </c>
      <c r="C619" s="381" t="s">
        <v>1121</v>
      </c>
      <c r="D619" s="100" t="s">
        <v>408</v>
      </c>
      <c r="E619" s="149">
        <v>87</v>
      </c>
      <c r="F619" s="525">
        <f t="shared" si="9"/>
        <v>447</v>
      </c>
      <c r="G619" s="525">
        <f>'НМЦК (с разбивкой по объектам)'!K622</f>
        <v>38919</v>
      </c>
    </row>
    <row r="620" spans="1:8" s="539" customFormat="1" hidden="1" outlineLevel="3" x14ac:dyDescent="0.25">
      <c r="A620" s="363" t="s">
        <v>1961</v>
      </c>
      <c r="B620" s="381" t="s">
        <v>1170</v>
      </c>
      <c r="C620" s="381" t="s">
        <v>1123</v>
      </c>
      <c r="D620" s="100" t="s">
        <v>408</v>
      </c>
      <c r="E620" s="149">
        <v>611</v>
      </c>
      <c r="F620" s="525">
        <f t="shared" si="9"/>
        <v>228</v>
      </c>
      <c r="G620" s="525">
        <f>'НМЦК (с разбивкой по объектам)'!K623</f>
        <v>139508</v>
      </c>
    </row>
    <row r="621" spans="1:8" s="539" customFormat="1" hidden="1" outlineLevel="3" x14ac:dyDescent="0.25">
      <c r="A621" s="363" t="s">
        <v>1962</v>
      </c>
      <c r="B621" s="381" t="s">
        <v>1171</v>
      </c>
      <c r="C621" s="381" t="s">
        <v>1124</v>
      </c>
      <c r="D621" s="100" t="s">
        <v>408</v>
      </c>
      <c r="E621" s="149">
        <v>9</v>
      </c>
      <c r="F621" s="525">
        <f t="shared" si="9"/>
        <v>187</v>
      </c>
      <c r="G621" s="525">
        <f>'НМЦК (с разбивкой по объектам)'!K624</f>
        <v>1683</v>
      </c>
    </row>
    <row r="622" spans="1:8" s="539" customFormat="1" hidden="1" outlineLevel="3" x14ac:dyDescent="0.25">
      <c r="A622" s="363" t="s">
        <v>1963</v>
      </c>
      <c r="B622" s="381" t="s">
        <v>1172</v>
      </c>
      <c r="C622" s="381" t="s">
        <v>1125</v>
      </c>
      <c r="D622" s="100" t="s">
        <v>408</v>
      </c>
      <c r="E622" s="149">
        <v>38</v>
      </c>
      <c r="F622" s="525">
        <f t="shared" si="9"/>
        <v>616</v>
      </c>
      <c r="G622" s="525">
        <f>'НМЦК (с разбивкой по объектам)'!K625</f>
        <v>23403</v>
      </c>
    </row>
    <row r="623" spans="1:8" s="539" customFormat="1" hidden="1" outlineLevel="3" x14ac:dyDescent="0.25">
      <c r="A623" s="363" t="s">
        <v>1964</v>
      </c>
      <c r="B623" s="381" t="s">
        <v>1173</v>
      </c>
      <c r="C623" s="381" t="s">
        <v>1126</v>
      </c>
      <c r="D623" s="100" t="s">
        <v>408</v>
      </c>
      <c r="E623" s="149">
        <v>40</v>
      </c>
      <c r="F623" s="525">
        <f t="shared" si="9"/>
        <v>187</v>
      </c>
      <c r="G623" s="525">
        <f>'НМЦК (с разбивкой по объектам)'!K626</f>
        <v>7470</v>
      </c>
    </row>
    <row r="624" spans="1:8" s="539" customFormat="1" hidden="1" outlineLevel="3" x14ac:dyDescent="0.25">
      <c r="A624" s="363" t="s">
        <v>1965</v>
      </c>
      <c r="B624" s="381" t="s">
        <v>1174</v>
      </c>
      <c r="C624" s="381" t="s">
        <v>1127</v>
      </c>
      <c r="D624" s="100" t="s">
        <v>408</v>
      </c>
      <c r="E624" s="149">
        <v>10</v>
      </c>
      <c r="F624" s="525">
        <f t="shared" si="9"/>
        <v>447</v>
      </c>
      <c r="G624" s="525">
        <f>'НМЦК (с разбивкой по объектам)'!K627</f>
        <v>4472</v>
      </c>
    </row>
    <row r="625" spans="1:8" s="539" customFormat="1" hidden="1" outlineLevel="3" x14ac:dyDescent="0.25">
      <c r="A625" s="363"/>
      <c r="B625" s="381"/>
      <c r="C625" s="390" t="s">
        <v>1128</v>
      </c>
      <c r="D625" s="100"/>
      <c r="E625" s="149"/>
      <c r="F625" s="525" t="e">
        <f t="shared" si="9"/>
        <v>#DIV/0!</v>
      </c>
      <c r="G625" s="525">
        <f>'НМЦК (с разбивкой по объектам)'!K628</f>
        <v>0</v>
      </c>
    </row>
    <row r="626" spans="1:8" s="539" customFormat="1" ht="283.5" hidden="1" outlineLevel="3" x14ac:dyDescent="0.25">
      <c r="A626" s="363" t="s">
        <v>1966</v>
      </c>
      <c r="B626" s="381" t="s">
        <v>1175</v>
      </c>
      <c r="C626" s="381" t="s">
        <v>1129</v>
      </c>
      <c r="D626" s="100" t="s">
        <v>408</v>
      </c>
      <c r="E626" s="149">
        <v>1</v>
      </c>
      <c r="F626" s="525">
        <f t="shared" si="9"/>
        <v>16306419</v>
      </c>
      <c r="G626" s="525">
        <f>'НМЦК (с разбивкой по объектам)'!K629</f>
        <v>16306419</v>
      </c>
      <c r="H626" s="552" t="s">
        <v>1198</v>
      </c>
    </row>
    <row r="627" spans="1:8" s="539" customFormat="1" ht="157.5" hidden="1" outlineLevel="3" x14ac:dyDescent="0.25">
      <c r="A627" s="363" t="s">
        <v>1967</v>
      </c>
      <c r="B627" s="381" t="s">
        <v>1176</v>
      </c>
      <c r="C627" s="381" t="s">
        <v>1130</v>
      </c>
      <c r="D627" s="100" t="s">
        <v>408</v>
      </c>
      <c r="E627" s="149">
        <v>1</v>
      </c>
      <c r="F627" s="525">
        <f t="shared" si="9"/>
        <v>1316316</v>
      </c>
      <c r="G627" s="525">
        <f>'НМЦК (с разбивкой по объектам)'!K630</f>
        <v>1316316</v>
      </c>
    </row>
    <row r="628" spans="1:8" s="539" customFormat="1" hidden="1" outlineLevel="3" x14ac:dyDescent="0.25">
      <c r="A628" s="363"/>
      <c r="B628" s="381"/>
      <c r="C628" s="390" t="s">
        <v>1131</v>
      </c>
      <c r="D628" s="100"/>
      <c r="E628" s="149"/>
      <c r="F628" s="525" t="e">
        <f t="shared" si="9"/>
        <v>#DIV/0!</v>
      </c>
      <c r="G628" s="525">
        <f>'НМЦК (с разбивкой по объектам)'!K631</f>
        <v>0</v>
      </c>
    </row>
    <row r="629" spans="1:8" s="539" customFormat="1" ht="31.5" hidden="1" outlineLevel="3" x14ac:dyDescent="0.25">
      <c r="A629" s="363" t="s">
        <v>1968</v>
      </c>
      <c r="B629" s="381" t="s">
        <v>1177</v>
      </c>
      <c r="C629" s="381" t="s">
        <v>1132</v>
      </c>
      <c r="D629" s="100" t="s">
        <v>408</v>
      </c>
      <c r="E629" s="149">
        <v>176</v>
      </c>
      <c r="F629" s="525">
        <f t="shared" si="9"/>
        <v>10186</v>
      </c>
      <c r="G629" s="525">
        <f>'НМЦК (с разбивкой по объектам)'!K632</f>
        <v>1792686</v>
      </c>
    </row>
    <row r="630" spans="1:8" s="539" customFormat="1" ht="31.5" hidden="1" outlineLevel="3" x14ac:dyDescent="0.25">
      <c r="A630" s="363" t="s">
        <v>1969</v>
      </c>
      <c r="B630" s="381" t="s">
        <v>1178</v>
      </c>
      <c r="C630" s="381" t="s">
        <v>1133</v>
      </c>
      <c r="D630" s="100" t="s">
        <v>408</v>
      </c>
      <c r="E630" s="149">
        <v>87</v>
      </c>
      <c r="F630" s="525">
        <f t="shared" si="9"/>
        <v>6813</v>
      </c>
      <c r="G630" s="525">
        <f>'НМЦК (с разбивкой по объектам)'!K633</f>
        <v>592728</v>
      </c>
    </row>
    <row r="631" spans="1:8" s="539" customFormat="1" ht="31.5" hidden="1" outlineLevel="3" x14ac:dyDescent="0.25">
      <c r="A631" s="363" t="s">
        <v>1970</v>
      </c>
      <c r="B631" s="381" t="s">
        <v>1179</v>
      </c>
      <c r="C631" s="381" t="s">
        <v>1134</v>
      </c>
      <c r="D631" s="100" t="s">
        <v>408</v>
      </c>
      <c r="E631" s="149">
        <v>8</v>
      </c>
      <c r="F631" s="525">
        <f t="shared" si="9"/>
        <v>45200</v>
      </c>
      <c r="G631" s="525">
        <f>'НМЦК (с разбивкой по объектам)'!K634</f>
        <v>361601</v>
      </c>
    </row>
    <row r="632" spans="1:8" s="539" customFormat="1" hidden="1" outlineLevel="3" x14ac:dyDescent="0.25">
      <c r="A632" s="363" t="s">
        <v>1971</v>
      </c>
      <c r="B632" s="381" t="s">
        <v>1180</v>
      </c>
      <c r="C632" s="381" t="s">
        <v>1135</v>
      </c>
      <c r="D632" s="100" t="s">
        <v>408</v>
      </c>
      <c r="E632" s="149">
        <v>11</v>
      </c>
      <c r="F632" s="525">
        <f t="shared" si="9"/>
        <v>73698</v>
      </c>
      <c r="G632" s="525">
        <f>'НМЦК (с разбивкой по объектам)'!K635</f>
        <v>810677</v>
      </c>
    </row>
    <row r="633" spans="1:8" s="539" customFormat="1" hidden="1" outlineLevel="3" x14ac:dyDescent="0.25">
      <c r="A633" s="363" t="s">
        <v>1972</v>
      </c>
      <c r="B633" s="381" t="s">
        <v>1181</v>
      </c>
      <c r="C633" s="381" t="s">
        <v>1136</v>
      </c>
      <c r="D633" s="100" t="s">
        <v>408</v>
      </c>
      <c r="E633" s="149">
        <v>11</v>
      </c>
      <c r="F633" s="525">
        <f t="shared" si="9"/>
        <v>15170</v>
      </c>
      <c r="G633" s="525">
        <f>'НМЦК (с разбивкой по объектам)'!K636</f>
        <v>166872</v>
      </c>
    </row>
    <row r="634" spans="1:8" s="539" customFormat="1" hidden="1" outlineLevel="3" x14ac:dyDescent="0.25">
      <c r="A634" s="363" t="s">
        <v>1973</v>
      </c>
      <c r="B634" s="381" t="s">
        <v>1182</v>
      </c>
      <c r="C634" s="381" t="s">
        <v>1137</v>
      </c>
      <c r="D634" s="100" t="s">
        <v>408</v>
      </c>
      <c r="E634" s="149">
        <v>13</v>
      </c>
      <c r="F634" s="525">
        <f t="shared" si="9"/>
        <v>6560</v>
      </c>
      <c r="G634" s="525">
        <f>'НМЦК (с разбивкой по объектам)'!K637</f>
        <v>85274</v>
      </c>
    </row>
    <row r="635" spans="1:8" s="539" customFormat="1" hidden="1" outlineLevel="3" x14ac:dyDescent="0.25">
      <c r="A635" s="363" t="s">
        <v>1974</v>
      </c>
      <c r="B635" s="381" t="s">
        <v>1183</v>
      </c>
      <c r="C635" s="381" t="s">
        <v>1138</v>
      </c>
      <c r="D635" s="100" t="s">
        <v>408</v>
      </c>
      <c r="E635" s="149">
        <v>3</v>
      </c>
      <c r="F635" s="525">
        <f t="shared" si="9"/>
        <v>4418</v>
      </c>
      <c r="G635" s="525">
        <f>'НМЦК (с разбивкой по объектам)'!K638</f>
        <v>13255</v>
      </c>
    </row>
    <row r="636" spans="1:8" s="539" customFormat="1" hidden="1" outlineLevel="3" x14ac:dyDescent="0.25">
      <c r="A636" s="363" t="s">
        <v>1975</v>
      </c>
      <c r="B636" s="381" t="s">
        <v>1184</v>
      </c>
      <c r="C636" s="381" t="s">
        <v>1139</v>
      </c>
      <c r="D636" s="100" t="s">
        <v>408</v>
      </c>
      <c r="E636" s="149">
        <v>76</v>
      </c>
      <c r="F636" s="525">
        <f t="shared" si="9"/>
        <v>6004</v>
      </c>
      <c r="G636" s="525">
        <f>'НМЦК (с разбивкой по объектам)'!K639</f>
        <v>456286</v>
      </c>
    </row>
    <row r="637" spans="1:8" s="539" customFormat="1" ht="31.5" hidden="1" outlineLevel="3" x14ac:dyDescent="0.25">
      <c r="A637" s="363" t="s">
        <v>1976</v>
      </c>
      <c r="B637" s="381" t="s">
        <v>1185</v>
      </c>
      <c r="C637" s="381" t="s">
        <v>1140</v>
      </c>
      <c r="D637" s="100" t="s">
        <v>408</v>
      </c>
      <c r="E637" s="149">
        <v>125</v>
      </c>
      <c r="F637" s="525">
        <f t="shared" si="9"/>
        <v>4238</v>
      </c>
      <c r="G637" s="525">
        <f>'НМЦК (с разбивкой по объектам)'!K640</f>
        <v>529786</v>
      </c>
    </row>
    <row r="638" spans="1:8" s="539" customFormat="1" hidden="1" outlineLevel="3" x14ac:dyDescent="0.25">
      <c r="A638" s="363" t="s">
        <v>1977</v>
      </c>
      <c r="B638" s="381" t="s">
        <v>1186</v>
      </c>
      <c r="C638" s="381" t="s">
        <v>1141</v>
      </c>
      <c r="D638" s="100" t="s">
        <v>408</v>
      </c>
      <c r="E638" s="149">
        <v>27</v>
      </c>
      <c r="F638" s="525">
        <f t="shared" si="9"/>
        <v>10235</v>
      </c>
      <c r="G638" s="525">
        <f>'НМЦК (с разбивкой по объектам)'!K641</f>
        <v>276336</v>
      </c>
    </row>
    <row r="639" spans="1:8" s="539" customFormat="1" ht="31.5" hidden="1" outlineLevel="3" x14ac:dyDescent="0.25">
      <c r="A639" s="363" t="s">
        <v>1978</v>
      </c>
      <c r="B639" s="381" t="s">
        <v>1187</v>
      </c>
      <c r="C639" s="381" t="s">
        <v>1142</v>
      </c>
      <c r="D639" s="100" t="s">
        <v>408</v>
      </c>
      <c r="E639" s="149">
        <v>8</v>
      </c>
      <c r="F639" s="525">
        <f t="shared" si="9"/>
        <v>11961</v>
      </c>
      <c r="G639" s="525">
        <f>'НМЦК (с разбивкой по объектам)'!K642</f>
        <v>95690</v>
      </c>
    </row>
    <row r="640" spans="1:8" s="539" customFormat="1" hidden="1" outlineLevel="3" x14ac:dyDescent="0.25">
      <c r="A640" s="363"/>
      <c r="B640" s="381"/>
      <c r="C640" s="390" t="s">
        <v>1143</v>
      </c>
      <c r="D640" s="100"/>
      <c r="E640" s="149"/>
      <c r="F640" s="525" t="e">
        <f t="shared" si="9"/>
        <v>#DIV/0!</v>
      </c>
      <c r="G640" s="525">
        <f>'НМЦК (с разбивкой по объектам)'!K643</f>
        <v>0</v>
      </c>
    </row>
    <row r="641" spans="1:8" s="539" customFormat="1" hidden="1" outlineLevel="3" x14ac:dyDescent="0.25">
      <c r="A641" s="363" t="s">
        <v>1979</v>
      </c>
      <c r="B641" s="381" t="s">
        <v>1188</v>
      </c>
      <c r="C641" s="381" t="s">
        <v>1144</v>
      </c>
      <c r="D641" s="100" t="s">
        <v>377</v>
      </c>
      <c r="E641" s="149">
        <v>155</v>
      </c>
      <c r="F641" s="525">
        <f t="shared" si="9"/>
        <v>1118</v>
      </c>
      <c r="G641" s="525">
        <f>'НМЦК (с разбивкой по объектам)'!K644</f>
        <v>173269</v>
      </c>
    </row>
    <row r="642" spans="1:8" s="539" customFormat="1" ht="31.5" hidden="1" outlineLevel="3" x14ac:dyDescent="0.25">
      <c r="A642" s="363" t="s">
        <v>1980</v>
      </c>
      <c r="B642" s="381" t="s">
        <v>1189</v>
      </c>
      <c r="C642" s="381" t="s">
        <v>1146</v>
      </c>
      <c r="D642" s="100" t="s">
        <v>377</v>
      </c>
      <c r="E642" s="100">
        <f>3862.1/1.08</f>
        <v>3576.02</v>
      </c>
      <c r="F642" s="525">
        <f t="shared" si="9"/>
        <v>48</v>
      </c>
      <c r="G642" s="525">
        <f>'НМЦК (с разбивкой по объектам)'!K645</f>
        <v>172281</v>
      </c>
      <c r="H642" s="552" t="s">
        <v>1150</v>
      </c>
    </row>
    <row r="643" spans="1:8" s="539" customFormat="1" ht="31.5" hidden="1" outlineLevel="3" x14ac:dyDescent="0.25">
      <c r="A643" s="363" t="s">
        <v>1981</v>
      </c>
      <c r="B643" s="381" t="s">
        <v>1190</v>
      </c>
      <c r="C643" s="381" t="s">
        <v>1145</v>
      </c>
      <c r="D643" s="100" t="s">
        <v>377</v>
      </c>
      <c r="E643" s="100">
        <f>428.8/1.08</f>
        <v>397.04</v>
      </c>
      <c r="F643" s="525">
        <f t="shared" si="9"/>
        <v>109</v>
      </c>
      <c r="G643" s="525">
        <f>'НМЦК (с разбивкой по объектам)'!K646</f>
        <v>43198</v>
      </c>
      <c r="H643" s="552" t="s">
        <v>1150</v>
      </c>
    </row>
    <row r="644" spans="1:8" s="539" customFormat="1" ht="31.5" hidden="1" outlineLevel="3" x14ac:dyDescent="0.25">
      <c r="A644" s="363" t="s">
        <v>1982</v>
      </c>
      <c r="B644" s="381" t="s">
        <v>1191</v>
      </c>
      <c r="C644" s="381" t="s">
        <v>1147</v>
      </c>
      <c r="D644" s="100" t="s">
        <v>377</v>
      </c>
      <c r="E644" s="100">
        <f>3160.1/1.08-0.01</f>
        <v>2926.01</v>
      </c>
      <c r="F644" s="525">
        <f t="shared" si="9"/>
        <v>71</v>
      </c>
      <c r="G644" s="525">
        <f>'НМЦК (с разбивкой по объектам)'!K647</f>
        <v>206468</v>
      </c>
      <c r="H644" s="552" t="s">
        <v>1150</v>
      </c>
    </row>
    <row r="645" spans="1:8" s="539" customFormat="1" ht="31.5" hidden="1" outlineLevel="3" x14ac:dyDescent="0.25">
      <c r="A645" s="363" t="s">
        <v>1983</v>
      </c>
      <c r="B645" s="381" t="s">
        <v>1192</v>
      </c>
      <c r="C645" s="381" t="s">
        <v>1148</v>
      </c>
      <c r="D645" s="100" t="s">
        <v>377</v>
      </c>
      <c r="E645" s="100">
        <f>351/1.08</f>
        <v>325</v>
      </c>
      <c r="F645" s="525">
        <f t="shared" si="9"/>
        <v>142</v>
      </c>
      <c r="G645" s="525">
        <f>'НМЦК (с разбивкой по объектам)'!K648</f>
        <v>46204</v>
      </c>
      <c r="H645" s="552" t="s">
        <v>1150</v>
      </c>
    </row>
    <row r="646" spans="1:8" s="539" customFormat="1" ht="31.5" hidden="1" outlineLevel="3" x14ac:dyDescent="0.25">
      <c r="A646" s="363" t="s">
        <v>1984</v>
      </c>
      <c r="B646" s="381" t="s">
        <v>1193</v>
      </c>
      <c r="C646" s="381" t="s">
        <v>1149</v>
      </c>
      <c r="D646" s="100" t="s">
        <v>377</v>
      </c>
      <c r="E646" s="100">
        <f>216/1.08</f>
        <v>200</v>
      </c>
      <c r="F646" s="525">
        <f t="shared" si="9"/>
        <v>115</v>
      </c>
      <c r="G646" s="525">
        <f>'НМЦК (с разбивкой по объектам)'!K649</f>
        <v>23009</v>
      </c>
      <c r="H646" s="552" t="s">
        <v>1150</v>
      </c>
    </row>
    <row r="647" spans="1:8" s="539" customFormat="1" ht="31.5" hidden="1" outlineLevel="3" x14ac:dyDescent="0.25">
      <c r="A647" s="363" t="s">
        <v>1985</v>
      </c>
      <c r="B647" s="381" t="s">
        <v>1194</v>
      </c>
      <c r="C647" s="381" t="s">
        <v>1151</v>
      </c>
      <c r="D647" s="100" t="s">
        <v>377</v>
      </c>
      <c r="E647" s="100">
        <v>200</v>
      </c>
      <c r="F647" s="525">
        <f t="shared" si="9"/>
        <v>1018</v>
      </c>
      <c r="G647" s="525">
        <f>'НМЦК (с разбивкой по объектам)'!K650</f>
        <v>203638</v>
      </c>
      <c r="H647" s="552" t="s">
        <v>1150</v>
      </c>
    </row>
    <row r="648" spans="1:8" s="539" customFormat="1" ht="31.5" hidden="1" outlineLevel="3" x14ac:dyDescent="0.25">
      <c r="A648" s="363" t="s">
        <v>1986</v>
      </c>
      <c r="B648" s="381" t="s">
        <v>1195</v>
      </c>
      <c r="C648" s="381" t="s">
        <v>1152</v>
      </c>
      <c r="D648" s="100" t="s">
        <v>377</v>
      </c>
      <c r="E648" s="100">
        <f>540/1.08</f>
        <v>500</v>
      </c>
      <c r="F648" s="525">
        <f t="shared" si="9"/>
        <v>4000</v>
      </c>
      <c r="G648" s="525">
        <f>'НМЦК (с разбивкой по объектам)'!K651</f>
        <v>1999849</v>
      </c>
      <c r="H648" s="552" t="s">
        <v>1150</v>
      </c>
    </row>
    <row r="649" spans="1:8" s="539" customFormat="1" ht="31.5" hidden="1" outlineLevel="3" x14ac:dyDescent="0.25">
      <c r="A649" s="363" t="s">
        <v>1987</v>
      </c>
      <c r="B649" s="381" t="s">
        <v>1196</v>
      </c>
      <c r="C649" s="381" t="s">
        <v>1153</v>
      </c>
      <c r="D649" s="100" t="s">
        <v>377</v>
      </c>
      <c r="E649" s="100">
        <f>54/1.08</f>
        <v>50</v>
      </c>
      <c r="F649" s="525">
        <f t="shared" ref="F649:F712" si="10">G649/E649</f>
        <v>4445</v>
      </c>
      <c r="G649" s="525">
        <f>'НМЦК (с разбивкой по объектам)'!K652</f>
        <v>222244</v>
      </c>
      <c r="H649" s="552" t="s">
        <v>1150</v>
      </c>
    </row>
    <row r="650" spans="1:8" s="539" customFormat="1" hidden="1" outlineLevel="2" collapsed="1" x14ac:dyDescent="0.25">
      <c r="A650" s="363" t="s">
        <v>2150</v>
      </c>
      <c r="B650" s="381" t="s">
        <v>174</v>
      </c>
      <c r="C650" s="381" t="s">
        <v>1922</v>
      </c>
      <c r="D650" s="100" t="s">
        <v>292</v>
      </c>
      <c r="E650" s="149">
        <v>1</v>
      </c>
      <c r="F650" s="144">
        <f t="shared" si="10"/>
        <v>25005375</v>
      </c>
      <c r="G650" s="144">
        <f>'НМЦК (с разбивкой по объектам)'!K653</f>
        <v>25005375</v>
      </c>
    </row>
    <row r="651" spans="1:8" s="539" customFormat="1" ht="31.5" hidden="1" outlineLevel="3" x14ac:dyDescent="0.25">
      <c r="A651" s="363" t="s">
        <v>2806</v>
      </c>
      <c r="B651" s="381" t="s">
        <v>1205</v>
      </c>
      <c r="C651" s="381" t="s">
        <v>1204</v>
      </c>
      <c r="D651" s="100" t="s">
        <v>408</v>
      </c>
      <c r="E651" s="149">
        <v>1</v>
      </c>
      <c r="F651" s="525">
        <f t="shared" si="10"/>
        <v>283771</v>
      </c>
      <c r="G651" s="525">
        <f>'НМЦК (с разбивкой по объектам)'!K654</f>
        <v>283771</v>
      </c>
    </row>
    <row r="652" spans="1:8" s="539" customFormat="1" ht="31.5" hidden="1" outlineLevel="3" x14ac:dyDescent="0.25">
      <c r="A652" s="363" t="s">
        <v>2807</v>
      </c>
      <c r="B652" s="381" t="s">
        <v>1207</v>
      </c>
      <c r="C652" s="381" t="s">
        <v>1206</v>
      </c>
      <c r="D652" s="100" t="s">
        <v>408</v>
      </c>
      <c r="E652" s="149">
        <v>1</v>
      </c>
      <c r="F652" s="525">
        <f t="shared" si="10"/>
        <v>23052967</v>
      </c>
      <c r="G652" s="525">
        <f>'НМЦК (с разбивкой по объектам)'!K655</f>
        <v>23052967</v>
      </c>
    </row>
    <row r="653" spans="1:8" s="539" customFormat="1" hidden="1" outlineLevel="3" x14ac:dyDescent="0.25">
      <c r="A653" s="363" t="s">
        <v>2808</v>
      </c>
      <c r="B653" s="381" t="s">
        <v>1209</v>
      </c>
      <c r="C653" s="381" t="s">
        <v>1208</v>
      </c>
      <c r="D653" s="100" t="s">
        <v>292</v>
      </c>
      <c r="E653" s="149">
        <v>1</v>
      </c>
      <c r="F653" s="525">
        <f t="shared" si="10"/>
        <v>783614</v>
      </c>
      <c r="G653" s="525">
        <f>'НМЦК (с разбивкой по объектам)'!K656</f>
        <v>783614</v>
      </c>
    </row>
    <row r="654" spans="1:8" s="539" customFormat="1" hidden="1" outlineLevel="3" x14ac:dyDescent="0.25">
      <c r="A654" s="363" t="s">
        <v>2809</v>
      </c>
      <c r="B654" s="381" t="s">
        <v>1211</v>
      </c>
      <c r="C654" s="381" t="s">
        <v>1210</v>
      </c>
      <c r="D654" s="100" t="s">
        <v>292</v>
      </c>
      <c r="E654" s="149">
        <v>1</v>
      </c>
      <c r="F654" s="525">
        <f t="shared" si="10"/>
        <v>442277</v>
      </c>
      <c r="G654" s="525">
        <f>'НМЦК (с разбивкой по объектам)'!K657</f>
        <v>442277</v>
      </c>
    </row>
    <row r="655" spans="1:8" s="539" customFormat="1" hidden="1" outlineLevel="3" x14ac:dyDescent="0.25">
      <c r="A655" s="363" t="s">
        <v>2810</v>
      </c>
      <c r="B655" s="381" t="s">
        <v>1213</v>
      </c>
      <c r="C655" s="381" t="s">
        <v>1212</v>
      </c>
      <c r="D655" s="100" t="s">
        <v>292</v>
      </c>
      <c r="E655" s="149">
        <v>1</v>
      </c>
      <c r="F655" s="525">
        <f t="shared" si="10"/>
        <v>442746</v>
      </c>
      <c r="G655" s="525">
        <f>'НМЦК (с разбивкой по объектам)'!K658</f>
        <v>442746</v>
      </c>
    </row>
    <row r="656" spans="1:8" s="539" customFormat="1" hidden="1" outlineLevel="2" collapsed="1" x14ac:dyDescent="0.25">
      <c r="A656" s="363" t="s">
        <v>2151</v>
      </c>
      <c r="B656" s="381" t="s">
        <v>176</v>
      </c>
      <c r="C656" s="381" t="s">
        <v>1923</v>
      </c>
      <c r="D656" s="100" t="s">
        <v>292</v>
      </c>
      <c r="E656" s="149">
        <v>1</v>
      </c>
      <c r="F656" s="144">
        <f t="shared" si="10"/>
        <v>1629904</v>
      </c>
      <c r="G656" s="144">
        <f>'НМЦК (с разбивкой по объектам)'!K659</f>
        <v>1629904</v>
      </c>
    </row>
    <row r="657" spans="1:7" s="539" customFormat="1" hidden="1" outlineLevel="3" x14ac:dyDescent="0.25">
      <c r="A657" s="363" t="s">
        <v>2811</v>
      </c>
      <c r="B657" s="381" t="s">
        <v>1215</v>
      </c>
      <c r="C657" s="381" t="s">
        <v>1214</v>
      </c>
      <c r="D657" s="100" t="s">
        <v>292</v>
      </c>
      <c r="E657" s="149">
        <v>1</v>
      </c>
      <c r="F657" s="525">
        <f t="shared" si="10"/>
        <v>1629904</v>
      </c>
      <c r="G657" s="525">
        <f>'НМЦК (с разбивкой по объектам)'!K660</f>
        <v>1629904</v>
      </c>
    </row>
    <row r="658" spans="1:7" s="539" customFormat="1" hidden="1" outlineLevel="2" collapsed="1" x14ac:dyDescent="0.25">
      <c r="A658" s="363" t="s">
        <v>2152</v>
      </c>
      <c r="B658" s="381" t="s">
        <v>178</v>
      </c>
      <c r="C658" s="381" t="s">
        <v>1924</v>
      </c>
      <c r="D658" s="100" t="s">
        <v>292</v>
      </c>
      <c r="E658" s="149">
        <v>1</v>
      </c>
      <c r="F658" s="144">
        <f t="shared" si="10"/>
        <v>843969</v>
      </c>
      <c r="G658" s="144">
        <f>'НМЦК (с разбивкой по объектам)'!K661</f>
        <v>843969</v>
      </c>
    </row>
    <row r="659" spans="1:7" s="539" customFormat="1" hidden="1" outlineLevel="3" x14ac:dyDescent="0.25">
      <c r="A659" s="363" t="s">
        <v>2812</v>
      </c>
      <c r="B659" s="381" t="s">
        <v>1217</v>
      </c>
      <c r="C659" s="381" t="s">
        <v>1216</v>
      </c>
      <c r="D659" s="100" t="s">
        <v>292</v>
      </c>
      <c r="E659" s="149">
        <v>1</v>
      </c>
      <c r="F659" s="525">
        <f t="shared" si="10"/>
        <v>670400</v>
      </c>
      <c r="G659" s="525">
        <f>'НМЦК (с разбивкой по объектам)'!K662</f>
        <v>670400</v>
      </c>
    </row>
    <row r="660" spans="1:7" s="539" customFormat="1" hidden="1" outlineLevel="3" x14ac:dyDescent="0.25">
      <c r="A660" s="363" t="s">
        <v>2813</v>
      </c>
      <c r="B660" s="381" t="s">
        <v>1219</v>
      </c>
      <c r="C660" s="381" t="s">
        <v>1218</v>
      </c>
      <c r="D660" s="100" t="s">
        <v>292</v>
      </c>
      <c r="E660" s="149">
        <v>1</v>
      </c>
      <c r="F660" s="525">
        <f t="shared" si="10"/>
        <v>173569</v>
      </c>
      <c r="G660" s="525">
        <f>'НМЦК (с разбивкой по объектам)'!K663</f>
        <v>173569</v>
      </c>
    </row>
    <row r="661" spans="1:7" s="539" customFormat="1" ht="31.5" hidden="1" outlineLevel="2" collapsed="1" x14ac:dyDescent="0.25">
      <c r="A661" s="363" t="s">
        <v>2153</v>
      </c>
      <c r="B661" s="381" t="s">
        <v>180</v>
      </c>
      <c r="C661" s="381" t="s">
        <v>1925</v>
      </c>
      <c r="D661" s="100" t="s">
        <v>292</v>
      </c>
      <c r="E661" s="149">
        <v>1</v>
      </c>
      <c r="F661" s="144">
        <f t="shared" si="10"/>
        <v>38497171</v>
      </c>
      <c r="G661" s="144">
        <f>'НМЦК (с разбивкой по объектам)'!K664</f>
        <v>38497171</v>
      </c>
    </row>
    <row r="662" spans="1:7" s="539" customFormat="1" hidden="1" outlineLevel="3" x14ac:dyDescent="0.25">
      <c r="A662" s="363" t="s">
        <v>2814</v>
      </c>
      <c r="B662" s="381" t="s">
        <v>1221</v>
      </c>
      <c r="C662" s="381" t="s">
        <v>1220</v>
      </c>
      <c r="D662" s="100" t="s">
        <v>292</v>
      </c>
      <c r="E662" s="100">
        <v>1</v>
      </c>
      <c r="F662" s="525">
        <f t="shared" si="10"/>
        <v>1125064</v>
      </c>
      <c r="G662" s="525">
        <f>'НМЦК (с разбивкой по объектам)'!K665</f>
        <v>1125064</v>
      </c>
    </row>
    <row r="663" spans="1:7" s="539" customFormat="1" hidden="1" outlineLevel="3" x14ac:dyDescent="0.25">
      <c r="A663" s="363" t="s">
        <v>2815</v>
      </c>
      <c r="B663" s="381" t="s">
        <v>1223</v>
      </c>
      <c r="C663" s="381" t="s">
        <v>1222</v>
      </c>
      <c r="D663" s="100" t="s">
        <v>292</v>
      </c>
      <c r="E663" s="100">
        <v>1</v>
      </c>
      <c r="F663" s="525">
        <f t="shared" si="10"/>
        <v>1054765</v>
      </c>
      <c r="G663" s="525">
        <f>'НМЦК (с разбивкой по объектам)'!K666</f>
        <v>1054765</v>
      </c>
    </row>
    <row r="664" spans="1:7" s="539" customFormat="1" hidden="1" outlineLevel="3" x14ac:dyDescent="0.25">
      <c r="A664" s="363" t="s">
        <v>2816</v>
      </c>
      <c r="B664" s="381" t="s">
        <v>1224</v>
      </c>
      <c r="C664" s="381" t="s">
        <v>1225</v>
      </c>
      <c r="D664" s="100" t="s">
        <v>292</v>
      </c>
      <c r="E664" s="100">
        <v>1</v>
      </c>
      <c r="F664" s="525">
        <f t="shared" si="10"/>
        <v>45501</v>
      </c>
      <c r="G664" s="525">
        <f>'НМЦК (с разбивкой по объектам)'!K667</f>
        <v>45501</v>
      </c>
    </row>
    <row r="665" spans="1:7" s="539" customFormat="1" hidden="1" outlineLevel="3" x14ac:dyDescent="0.25">
      <c r="A665" s="363" t="s">
        <v>2817</v>
      </c>
      <c r="B665" s="381" t="s">
        <v>1227</v>
      </c>
      <c r="C665" s="381" t="s">
        <v>1226</v>
      </c>
      <c r="D665" s="100" t="s">
        <v>292</v>
      </c>
      <c r="E665" s="100">
        <v>1</v>
      </c>
      <c r="F665" s="525">
        <f t="shared" si="10"/>
        <v>4557010</v>
      </c>
      <c r="G665" s="525">
        <f>'НМЦК (с разбивкой по объектам)'!K668</f>
        <v>4557010</v>
      </c>
    </row>
    <row r="666" spans="1:7" s="539" customFormat="1" hidden="1" outlineLevel="3" x14ac:dyDescent="0.25">
      <c r="A666" s="363" t="s">
        <v>2818</v>
      </c>
      <c r="B666" s="381" t="s">
        <v>1229</v>
      </c>
      <c r="C666" s="381" t="s">
        <v>1228</v>
      </c>
      <c r="D666" s="100" t="s">
        <v>292</v>
      </c>
      <c r="E666" s="100">
        <v>1</v>
      </c>
      <c r="F666" s="525">
        <f t="shared" si="10"/>
        <v>1418022</v>
      </c>
      <c r="G666" s="525">
        <f>'НМЦК (с разбивкой по объектам)'!K669</f>
        <v>1418022</v>
      </c>
    </row>
    <row r="667" spans="1:7" s="539" customFormat="1" hidden="1" outlineLevel="3" x14ac:dyDescent="0.25">
      <c r="A667" s="363" t="s">
        <v>2819</v>
      </c>
      <c r="B667" s="381" t="s">
        <v>1231</v>
      </c>
      <c r="C667" s="381" t="s">
        <v>1230</v>
      </c>
      <c r="D667" s="100" t="s">
        <v>292</v>
      </c>
      <c r="E667" s="100">
        <v>1</v>
      </c>
      <c r="F667" s="525">
        <f t="shared" si="10"/>
        <v>887600</v>
      </c>
      <c r="G667" s="525">
        <f>'НМЦК (с разбивкой по объектам)'!K670</f>
        <v>887600</v>
      </c>
    </row>
    <row r="668" spans="1:7" s="539" customFormat="1" hidden="1" outlineLevel="3" x14ac:dyDescent="0.25">
      <c r="A668" s="363" t="s">
        <v>2820</v>
      </c>
      <c r="B668" s="381" t="s">
        <v>1233</v>
      </c>
      <c r="C668" s="381" t="s">
        <v>1232</v>
      </c>
      <c r="D668" s="100" t="s">
        <v>292</v>
      </c>
      <c r="E668" s="100">
        <v>1</v>
      </c>
      <c r="F668" s="525">
        <f t="shared" si="10"/>
        <v>1687294</v>
      </c>
      <c r="G668" s="525">
        <f>'НМЦК (с разбивкой по объектам)'!K671</f>
        <v>1687294</v>
      </c>
    </row>
    <row r="669" spans="1:7" s="539" customFormat="1" hidden="1" outlineLevel="3" x14ac:dyDescent="0.25">
      <c r="A669" s="363" t="s">
        <v>2821</v>
      </c>
      <c r="B669" s="381" t="s">
        <v>1235</v>
      </c>
      <c r="C669" s="381" t="s">
        <v>1234</v>
      </c>
      <c r="D669" s="100" t="s">
        <v>292</v>
      </c>
      <c r="E669" s="100">
        <v>1</v>
      </c>
      <c r="F669" s="525">
        <f t="shared" si="10"/>
        <v>2037742</v>
      </c>
      <c r="G669" s="525">
        <f>'НМЦК (с разбивкой по объектам)'!K672</f>
        <v>2037742</v>
      </c>
    </row>
    <row r="670" spans="1:7" s="539" customFormat="1" hidden="1" outlineLevel="3" x14ac:dyDescent="0.25">
      <c r="A670" s="363" t="s">
        <v>2822</v>
      </c>
      <c r="B670" s="381" t="s">
        <v>1237</v>
      </c>
      <c r="C670" s="381" t="s">
        <v>1236</v>
      </c>
      <c r="D670" s="100" t="s">
        <v>292</v>
      </c>
      <c r="E670" s="100">
        <v>1</v>
      </c>
      <c r="F670" s="525">
        <f t="shared" si="10"/>
        <v>1308526</v>
      </c>
      <c r="G670" s="525">
        <f>'НМЦК (с разбивкой по объектам)'!K673</f>
        <v>1308526</v>
      </c>
    </row>
    <row r="671" spans="1:7" s="539" customFormat="1" hidden="1" outlineLevel="3" x14ac:dyDescent="0.25">
      <c r="A671" s="363" t="s">
        <v>2823</v>
      </c>
      <c r="B671" s="381" t="s">
        <v>1239</v>
      </c>
      <c r="C671" s="381" t="s">
        <v>1238</v>
      </c>
      <c r="D671" s="100" t="s">
        <v>292</v>
      </c>
      <c r="E671" s="100">
        <v>1</v>
      </c>
      <c r="F671" s="525">
        <f t="shared" si="10"/>
        <v>108109</v>
      </c>
      <c r="G671" s="525">
        <f>'НМЦК (с разбивкой по объектам)'!K674</f>
        <v>108109</v>
      </c>
    </row>
    <row r="672" spans="1:7" s="539" customFormat="1" hidden="1" outlineLevel="3" x14ac:dyDescent="0.25">
      <c r="A672" s="363" t="s">
        <v>2824</v>
      </c>
      <c r="B672" s="381" t="s">
        <v>1241</v>
      </c>
      <c r="C672" s="381" t="s">
        <v>1240</v>
      </c>
      <c r="D672" s="100" t="s">
        <v>292</v>
      </c>
      <c r="E672" s="100">
        <v>1</v>
      </c>
      <c r="F672" s="525">
        <f t="shared" si="10"/>
        <v>1376888</v>
      </c>
      <c r="G672" s="525">
        <f>'НМЦК (с разбивкой по объектам)'!K675</f>
        <v>1376888</v>
      </c>
    </row>
    <row r="673" spans="1:7" s="539" customFormat="1" hidden="1" outlineLevel="3" x14ac:dyDescent="0.25">
      <c r="A673" s="363" t="s">
        <v>2825</v>
      </c>
      <c r="B673" s="381" t="s">
        <v>1243</v>
      </c>
      <c r="C673" s="381" t="s">
        <v>1242</v>
      </c>
      <c r="D673" s="100" t="s">
        <v>292</v>
      </c>
      <c r="E673" s="100">
        <v>1</v>
      </c>
      <c r="F673" s="525">
        <f t="shared" si="10"/>
        <v>1401180</v>
      </c>
      <c r="G673" s="525">
        <f>'НМЦК (с разбивкой по объектам)'!K676</f>
        <v>1401180</v>
      </c>
    </row>
    <row r="674" spans="1:7" s="539" customFormat="1" hidden="1" outlineLevel="3" x14ac:dyDescent="0.25">
      <c r="A674" s="363" t="s">
        <v>2826</v>
      </c>
      <c r="B674" s="381" t="s">
        <v>1245</v>
      </c>
      <c r="C674" s="381" t="s">
        <v>1244</v>
      </c>
      <c r="D674" s="100" t="s">
        <v>292</v>
      </c>
      <c r="E674" s="100">
        <v>1</v>
      </c>
      <c r="F674" s="525">
        <f t="shared" si="10"/>
        <v>222871</v>
      </c>
      <c r="G674" s="525">
        <f>'НМЦК (с разбивкой по объектам)'!K677</f>
        <v>222871</v>
      </c>
    </row>
    <row r="675" spans="1:7" s="539" customFormat="1" hidden="1" outlineLevel="3" x14ac:dyDescent="0.25">
      <c r="A675" s="363" t="s">
        <v>2827</v>
      </c>
      <c r="B675" s="381" t="s">
        <v>1247</v>
      </c>
      <c r="C675" s="381" t="s">
        <v>1246</v>
      </c>
      <c r="D675" s="100" t="s">
        <v>292</v>
      </c>
      <c r="E675" s="100">
        <v>1</v>
      </c>
      <c r="F675" s="525">
        <f t="shared" si="10"/>
        <v>352968</v>
      </c>
      <c r="G675" s="525">
        <f>'НМЦК (с разбивкой по объектам)'!K678</f>
        <v>352968</v>
      </c>
    </row>
    <row r="676" spans="1:7" s="539" customFormat="1" hidden="1" outlineLevel="3" x14ac:dyDescent="0.25">
      <c r="A676" s="363" t="s">
        <v>2828</v>
      </c>
      <c r="B676" s="381" t="s">
        <v>1249</v>
      </c>
      <c r="C676" s="381" t="s">
        <v>1248</v>
      </c>
      <c r="D676" s="100" t="s">
        <v>292</v>
      </c>
      <c r="E676" s="100">
        <v>1</v>
      </c>
      <c r="F676" s="525">
        <f t="shared" si="10"/>
        <v>284736</v>
      </c>
      <c r="G676" s="525">
        <f>'НМЦК (с разбивкой по объектам)'!K679</f>
        <v>284736</v>
      </c>
    </row>
    <row r="677" spans="1:7" s="539" customFormat="1" hidden="1" outlineLevel="3" x14ac:dyDescent="0.25">
      <c r="A677" s="363" t="s">
        <v>2829</v>
      </c>
      <c r="B677" s="381" t="s">
        <v>1251</v>
      </c>
      <c r="C677" s="381" t="s">
        <v>1250</v>
      </c>
      <c r="D677" s="100" t="s">
        <v>292</v>
      </c>
      <c r="E677" s="100">
        <v>1</v>
      </c>
      <c r="F677" s="525">
        <f t="shared" si="10"/>
        <v>233052</v>
      </c>
      <c r="G677" s="525">
        <f>'НМЦК (с разбивкой по объектам)'!K680</f>
        <v>233052</v>
      </c>
    </row>
    <row r="678" spans="1:7" s="539" customFormat="1" hidden="1" outlineLevel="3" x14ac:dyDescent="0.25">
      <c r="A678" s="363" t="s">
        <v>2830</v>
      </c>
      <c r="B678" s="381" t="s">
        <v>1253</v>
      </c>
      <c r="C678" s="381" t="s">
        <v>1252</v>
      </c>
      <c r="D678" s="100" t="s">
        <v>292</v>
      </c>
      <c r="E678" s="100">
        <v>1</v>
      </c>
      <c r="F678" s="525">
        <f t="shared" si="10"/>
        <v>249505</v>
      </c>
      <c r="G678" s="525">
        <f>'НМЦК (с разбивкой по объектам)'!K681</f>
        <v>249505</v>
      </c>
    </row>
    <row r="679" spans="1:7" s="539" customFormat="1" hidden="1" outlineLevel="3" x14ac:dyDescent="0.25">
      <c r="A679" s="363" t="s">
        <v>2831</v>
      </c>
      <c r="B679" s="381" t="s">
        <v>1255</v>
      </c>
      <c r="C679" s="381" t="s">
        <v>1254</v>
      </c>
      <c r="D679" s="100" t="s">
        <v>292</v>
      </c>
      <c r="E679" s="100">
        <v>1</v>
      </c>
      <c r="F679" s="525">
        <f t="shared" si="10"/>
        <v>252059</v>
      </c>
      <c r="G679" s="525">
        <f>'НМЦК (с разбивкой по объектам)'!K682</f>
        <v>252059</v>
      </c>
    </row>
    <row r="680" spans="1:7" s="539" customFormat="1" hidden="1" outlineLevel="3" x14ac:dyDescent="0.25">
      <c r="A680" s="363" t="s">
        <v>2832</v>
      </c>
      <c r="B680" s="381" t="s">
        <v>1257</v>
      </c>
      <c r="C680" s="381" t="s">
        <v>1256</v>
      </c>
      <c r="D680" s="100" t="s">
        <v>292</v>
      </c>
      <c r="E680" s="100">
        <v>1</v>
      </c>
      <c r="F680" s="525">
        <f t="shared" si="10"/>
        <v>110635</v>
      </c>
      <c r="G680" s="525">
        <f>'НМЦК (с разбивкой по объектам)'!K683</f>
        <v>110635</v>
      </c>
    </row>
    <row r="681" spans="1:7" s="539" customFormat="1" hidden="1" outlineLevel="3" x14ac:dyDescent="0.25">
      <c r="A681" s="363" t="s">
        <v>2833</v>
      </c>
      <c r="B681" s="381" t="s">
        <v>1259</v>
      </c>
      <c r="C681" s="381" t="s">
        <v>1258</v>
      </c>
      <c r="D681" s="100" t="s">
        <v>292</v>
      </c>
      <c r="E681" s="100">
        <v>1</v>
      </c>
      <c r="F681" s="525">
        <f t="shared" si="10"/>
        <v>714689</v>
      </c>
      <c r="G681" s="525">
        <f>'НМЦК (с разбивкой по объектам)'!K684</f>
        <v>714689</v>
      </c>
    </row>
    <row r="682" spans="1:7" s="539" customFormat="1" hidden="1" outlineLevel="3" x14ac:dyDescent="0.25">
      <c r="A682" s="363" t="s">
        <v>2834</v>
      </c>
      <c r="B682" s="381" t="s">
        <v>1261</v>
      </c>
      <c r="C682" s="381" t="s">
        <v>1260</v>
      </c>
      <c r="D682" s="100" t="s">
        <v>292</v>
      </c>
      <c r="E682" s="100">
        <v>1</v>
      </c>
      <c r="F682" s="525">
        <f t="shared" si="10"/>
        <v>449766</v>
      </c>
      <c r="G682" s="525">
        <f>'НМЦК (с разбивкой по объектам)'!K685</f>
        <v>449766</v>
      </c>
    </row>
    <row r="683" spans="1:7" s="539" customFormat="1" hidden="1" outlineLevel="3" x14ac:dyDescent="0.25">
      <c r="A683" s="363" t="s">
        <v>2835</v>
      </c>
      <c r="B683" s="381" t="s">
        <v>1263</v>
      </c>
      <c r="C683" s="381" t="s">
        <v>1262</v>
      </c>
      <c r="D683" s="100" t="s">
        <v>292</v>
      </c>
      <c r="E683" s="100">
        <v>1</v>
      </c>
      <c r="F683" s="525">
        <f t="shared" si="10"/>
        <v>437064</v>
      </c>
      <c r="G683" s="525">
        <f>'НМЦК (с разбивкой по объектам)'!K686</f>
        <v>437064</v>
      </c>
    </row>
    <row r="684" spans="1:7" s="539" customFormat="1" hidden="1" outlineLevel="3" x14ac:dyDescent="0.25">
      <c r="A684" s="363" t="s">
        <v>2836</v>
      </c>
      <c r="B684" s="381" t="s">
        <v>1265</v>
      </c>
      <c r="C684" s="381" t="s">
        <v>1264</v>
      </c>
      <c r="D684" s="100" t="s">
        <v>292</v>
      </c>
      <c r="E684" s="100">
        <v>1</v>
      </c>
      <c r="F684" s="525">
        <f t="shared" si="10"/>
        <v>666459</v>
      </c>
      <c r="G684" s="525">
        <f>'НМЦК (с разбивкой по объектам)'!K687</f>
        <v>666459</v>
      </c>
    </row>
    <row r="685" spans="1:7" s="539" customFormat="1" hidden="1" outlineLevel="3" x14ac:dyDescent="0.25">
      <c r="A685" s="363" t="s">
        <v>2837</v>
      </c>
      <c r="B685" s="381" t="s">
        <v>1267</v>
      </c>
      <c r="C685" s="381" t="s">
        <v>1266</v>
      </c>
      <c r="D685" s="100" t="s">
        <v>292</v>
      </c>
      <c r="E685" s="100">
        <v>1</v>
      </c>
      <c r="F685" s="525">
        <f t="shared" si="10"/>
        <v>76104</v>
      </c>
      <c r="G685" s="525">
        <f>'НМЦК (с разбивкой по объектам)'!K688</f>
        <v>76104</v>
      </c>
    </row>
    <row r="686" spans="1:7" s="539" customFormat="1" hidden="1" outlineLevel="3" x14ac:dyDescent="0.25">
      <c r="A686" s="363" t="s">
        <v>2838</v>
      </c>
      <c r="B686" s="381" t="s">
        <v>1269</v>
      </c>
      <c r="C686" s="381" t="s">
        <v>1268</v>
      </c>
      <c r="D686" s="100" t="s">
        <v>292</v>
      </c>
      <c r="E686" s="100">
        <v>1</v>
      </c>
      <c r="F686" s="525">
        <f t="shared" si="10"/>
        <v>419755</v>
      </c>
      <c r="G686" s="525">
        <f>'НМЦК (с разбивкой по объектам)'!K689</f>
        <v>419755</v>
      </c>
    </row>
    <row r="687" spans="1:7" s="539" customFormat="1" hidden="1" outlineLevel="3" x14ac:dyDescent="0.25">
      <c r="A687" s="363" t="s">
        <v>2839</v>
      </c>
      <c r="B687" s="381" t="s">
        <v>1271</v>
      </c>
      <c r="C687" s="381" t="s">
        <v>1270</v>
      </c>
      <c r="D687" s="100" t="s">
        <v>292</v>
      </c>
      <c r="E687" s="100">
        <v>1</v>
      </c>
      <c r="F687" s="525">
        <f t="shared" si="10"/>
        <v>506462</v>
      </c>
      <c r="G687" s="525">
        <f>'НМЦК (с разбивкой по объектам)'!K690</f>
        <v>506462</v>
      </c>
    </row>
    <row r="688" spans="1:7" s="539" customFormat="1" hidden="1" outlineLevel="3" x14ac:dyDescent="0.25">
      <c r="A688" s="363" t="s">
        <v>2840</v>
      </c>
      <c r="B688" s="381" t="s">
        <v>1273</v>
      </c>
      <c r="C688" s="381" t="s">
        <v>1272</v>
      </c>
      <c r="D688" s="100" t="s">
        <v>292</v>
      </c>
      <c r="E688" s="100">
        <v>1</v>
      </c>
      <c r="F688" s="525">
        <f t="shared" si="10"/>
        <v>1446053</v>
      </c>
      <c r="G688" s="525">
        <f>'НМЦК (с разбивкой по объектам)'!K691</f>
        <v>1446053</v>
      </c>
    </row>
    <row r="689" spans="1:7" s="539" customFormat="1" hidden="1" outlineLevel="3" x14ac:dyDescent="0.25">
      <c r="A689" s="363" t="s">
        <v>2841</v>
      </c>
      <c r="B689" s="381" t="s">
        <v>1275</v>
      </c>
      <c r="C689" s="381" t="s">
        <v>1274</v>
      </c>
      <c r="D689" s="100" t="s">
        <v>292</v>
      </c>
      <c r="E689" s="100">
        <v>1</v>
      </c>
      <c r="F689" s="525">
        <f t="shared" si="10"/>
        <v>1527206</v>
      </c>
      <c r="G689" s="525">
        <f>'НМЦК (с разбивкой по объектам)'!K692</f>
        <v>1527206</v>
      </c>
    </row>
    <row r="690" spans="1:7" s="539" customFormat="1" hidden="1" outlineLevel="3" x14ac:dyDescent="0.25">
      <c r="A690" s="363" t="s">
        <v>2842</v>
      </c>
      <c r="B690" s="381" t="s">
        <v>1277</v>
      </c>
      <c r="C690" s="381" t="s">
        <v>1276</v>
      </c>
      <c r="D690" s="100" t="s">
        <v>292</v>
      </c>
      <c r="E690" s="100">
        <v>1</v>
      </c>
      <c r="F690" s="525">
        <f t="shared" si="10"/>
        <v>1502614</v>
      </c>
      <c r="G690" s="525">
        <f>'НМЦК (с разбивкой по объектам)'!K693</f>
        <v>1502614</v>
      </c>
    </row>
    <row r="691" spans="1:7" s="539" customFormat="1" hidden="1" outlineLevel="3" x14ac:dyDescent="0.25">
      <c r="A691" s="363" t="s">
        <v>2843</v>
      </c>
      <c r="B691" s="381" t="s">
        <v>1279</v>
      </c>
      <c r="C691" s="381" t="s">
        <v>1278</v>
      </c>
      <c r="D691" s="100" t="s">
        <v>292</v>
      </c>
      <c r="E691" s="100">
        <v>1</v>
      </c>
      <c r="F691" s="525">
        <f t="shared" si="10"/>
        <v>1739972</v>
      </c>
      <c r="G691" s="525">
        <f>'НМЦК (с разбивкой по объектам)'!K694</f>
        <v>1739972</v>
      </c>
    </row>
    <row r="692" spans="1:7" s="539" customFormat="1" hidden="1" outlineLevel="3" x14ac:dyDescent="0.25">
      <c r="A692" s="363" t="s">
        <v>2844</v>
      </c>
      <c r="B692" s="381" t="s">
        <v>1281</v>
      </c>
      <c r="C692" s="381" t="s">
        <v>1280</v>
      </c>
      <c r="D692" s="100" t="s">
        <v>292</v>
      </c>
      <c r="E692" s="100">
        <v>1</v>
      </c>
      <c r="F692" s="525">
        <f t="shared" si="10"/>
        <v>571375</v>
      </c>
      <c r="G692" s="525">
        <f>'НМЦК (с разбивкой по объектам)'!K695</f>
        <v>571375</v>
      </c>
    </row>
    <row r="693" spans="1:7" s="539" customFormat="1" hidden="1" outlineLevel="3" x14ac:dyDescent="0.25">
      <c r="A693" s="363" t="s">
        <v>2845</v>
      </c>
      <c r="B693" s="381" t="s">
        <v>1283</v>
      </c>
      <c r="C693" s="381" t="s">
        <v>1282</v>
      </c>
      <c r="D693" s="100" t="s">
        <v>292</v>
      </c>
      <c r="E693" s="100">
        <v>1</v>
      </c>
      <c r="F693" s="525">
        <f t="shared" si="10"/>
        <v>510871</v>
      </c>
      <c r="G693" s="525">
        <f>'НМЦК (с разбивкой по объектам)'!K696</f>
        <v>510871</v>
      </c>
    </row>
    <row r="694" spans="1:7" s="539" customFormat="1" hidden="1" outlineLevel="3" x14ac:dyDescent="0.25">
      <c r="A694" s="363" t="s">
        <v>2846</v>
      </c>
      <c r="B694" s="381" t="s">
        <v>1285</v>
      </c>
      <c r="C694" s="381" t="s">
        <v>1284</v>
      </c>
      <c r="D694" s="100" t="s">
        <v>292</v>
      </c>
      <c r="E694" s="100">
        <v>1</v>
      </c>
      <c r="F694" s="525">
        <f t="shared" si="10"/>
        <v>593353</v>
      </c>
      <c r="G694" s="525">
        <f>'НМЦК (с разбивкой по объектам)'!K697</f>
        <v>593353</v>
      </c>
    </row>
    <row r="695" spans="1:7" s="539" customFormat="1" hidden="1" outlineLevel="3" x14ac:dyDescent="0.25">
      <c r="A695" s="363" t="s">
        <v>2847</v>
      </c>
      <c r="B695" s="381" t="s">
        <v>1287</v>
      </c>
      <c r="C695" s="381" t="s">
        <v>1286</v>
      </c>
      <c r="D695" s="100" t="s">
        <v>292</v>
      </c>
      <c r="E695" s="100">
        <v>1</v>
      </c>
      <c r="F695" s="525">
        <f t="shared" si="10"/>
        <v>657788</v>
      </c>
      <c r="G695" s="525">
        <f>'НМЦК (с разбивкой по объектам)'!K698</f>
        <v>657788</v>
      </c>
    </row>
    <row r="696" spans="1:7" s="539" customFormat="1" hidden="1" outlineLevel="3" x14ac:dyDescent="0.25">
      <c r="A696" s="363" t="s">
        <v>2848</v>
      </c>
      <c r="B696" s="381" t="s">
        <v>1289</v>
      </c>
      <c r="C696" s="381" t="s">
        <v>1288</v>
      </c>
      <c r="D696" s="100" t="s">
        <v>292</v>
      </c>
      <c r="E696" s="100">
        <v>1</v>
      </c>
      <c r="F696" s="525">
        <f t="shared" si="10"/>
        <v>1077653</v>
      </c>
      <c r="G696" s="525">
        <f>'НМЦК (с разбивкой по объектам)'!K699</f>
        <v>1077653</v>
      </c>
    </row>
    <row r="697" spans="1:7" s="539" customFormat="1" hidden="1" outlineLevel="3" x14ac:dyDescent="0.25">
      <c r="A697" s="363" t="s">
        <v>2849</v>
      </c>
      <c r="B697" s="381" t="s">
        <v>1291</v>
      </c>
      <c r="C697" s="381" t="s">
        <v>1290</v>
      </c>
      <c r="D697" s="100" t="s">
        <v>292</v>
      </c>
      <c r="E697" s="100">
        <v>1</v>
      </c>
      <c r="F697" s="525">
        <f t="shared" si="10"/>
        <v>6886460</v>
      </c>
      <c r="G697" s="525">
        <f>'НМЦК (с разбивкой по объектам)'!K700</f>
        <v>6886460</v>
      </c>
    </row>
    <row r="698" spans="1:7" s="539" customFormat="1" hidden="1" outlineLevel="2" x14ac:dyDescent="0.25">
      <c r="A698" s="363" t="s">
        <v>2154</v>
      </c>
      <c r="B698" s="381" t="s">
        <v>182</v>
      </c>
      <c r="C698" s="381" t="s">
        <v>1926</v>
      </c>
      <c r="D698" s="100" t="s">
        <v>292</v>
      </c>
      <c r="E698" s="149">
        <v>1</v>
      </c>
      <c r="F698" s="525">
        <f t="shared" si="10"/>
        <v>4448015</v>
      </c>
      <c r="G698" s="525">
        <f>'НМЦК (с разбивкой по объектам)'!K701</f>
        <v>4448015</v>
      </c>
    </row>
    <row r="699" spans="1:7" s="539" customFormat="1" ht="31.5" hidden="1" outlineLevel="2" collapsed="1" x14ac:dyDescent="0.25">
      <c r="A699" s="363" t="s">
        <v>2155</v>
      </c>
      <c r="B699" s="381" t="s">
        <v>186</v>
      </c>
      <c r="C699" s="381" t="s">
        <v>1927</v>
      </c>
      <c r="D699" s="100" t="s">
        <v>292</v>
      </c>
      <c r="E699" s="149">
        <v>1</v>
      </c>
      <c r="F699" s="144">
        <f t="shared" si="10"/>
        <v>3086633</v>
      </c>
      <c r="G699" s="144">
        <f>'НМЦК (с разбивкой по объектам)'!K702</f>
        <v>3086633</v>
      </c>
    </row>
    <row r="700" spans="1:7" s="539" customFormat="1" hidden="1" outlineLevel="3" x14ac:dyDescent="0.25">
      <c r="A700" s="363" t="s">
        <v>2850</v>
      </c>
      <c r="B700" s="381" t="s">
        <v>1298</v>
      </c>
      <c r="C700" s="381" t="s">
        <v>1297</v>
      </c>
      <c r="D700" s="100" t="s">
        <v>292</v>
      </c>
      <c r="E700" s="149">
        <v>1</v>
      </c>
      <c r="F700" s="525">
        <f t="shared" si="10"/>
        <v>795737</v>
      </c>
      <c r="G700" s="525">
        <f>'НМЦК (с разбивкой по объектам)'!K703</f>
        <v>795737</v>
      </c>
    </row>
    <row r="701" spans="1:7" s="539" customFormat="1" hidden="1" outlineLevel="3" x14ac:dyDescent="0.25">
      <c r="A701" s="363" t="s">
        <v>2851</v>
      </c>
      <c r="B701" s="381" t="s">
        <v>1300</v>
      </c>
      <c r="C701" s="381" t="s">
        <v>1299</v>
      </c>
      <c r="D701" s="100" t="s">
        <v>292</v>
      </c>
      <c r="E701" s="149">
        <v>1</v>
      </c>
      <c r="F701" s="525">
        <f t="shared" si="10"/>
        <v>1207365</v>
      </c>
      <c r="G701" s="525">
        <f>'НМЦК (с разбивкой по объектам)'!K704</f>
        <v>1207365</v>
      </c>
    </row>
    <row r="702" spans="1:7" s="539" customFormat="1" hidden="1" outlineLevel="3" x14ac:dyDescent="0.25">
      <c r="A702" s="363" t="s">
        <v>2852</v>
      </c>
      <c r="B702" s="381" t="s">
        <v>1302</v>
      </c>
      <c r="C702" s="381" t="s">
        <v>1301</v>
      </c>
      <c r="D702" s="100" t="s">
        <v>292</v>
      </c>
      <c r="E702" s="149">
        <v>1</v>
      </c>
      <c r="F702" s="525">
        <f t="shared" si="10"/>
        <v>400418</v>
      </c>
      <c r="G702" s="525">
        <f>'НМЦК (с разбивкой по объектам)'!K705</f>
        <v>400418</v>
      </c>
    </row>
    <row r="703" spans="1:7" s="539" customFormat="1" hidden="1" outlineLevel="3" x14ac:dyDescent="0.25">
      <c r="A703" s="363" t="s">
        <v>2853</v>
      </c>
      <c r="B703" s="381" t="s">
        <v>1304</v>
      </c>
      <c r="C703" s="381" t="s">
        <v>1303</v>
      </c>
      <c r="D703" s="100" t="s">
        <v>292</v>
      </c>
      <c r="E703" s="149">
        <v>1</v>
      </c>
      <c r="F703" s="525">
        <f t="shared" si="10"/>
        <v>683113</v>
      </c>
      <c r="G703" s="525">
        <f>'НМЦК (с разбивкой по объектам)'!K706</f>
        <v>683113</v>
      </c>
    </row>
    <row r="704" spans="1:7" s="544" customFormat="1" outlineLevel="1" collapsed="1" x14ac:dyDescent="0.25">
      <c r="A704" s="132" t="s">
        <v>2854</v>
      </c>
      <c r="B704" s="320"/>
      <c r="C704" s="133" t="s">
        <v>2376</v>
      </c>
      <c r="D704" s="134" t="s">
        <v>292</v>
      </c>
      <c r="E704" s="90">
        <v>1</v>
      </c>
      <c r="F704" s="526">
        <f t="shared" si="10"/>
        <v>69218331</v>
      </c>
      <c r="G704" s="526">
        <f>'НМЦК (с разбивкой по объектам)'!K707</f>
        <v>69218331</v>
      </c>
    </row>
    <row r="705" spans="1:7" s="539" customFormat="1" hidden="1" outlineLevel="2" x14ac:dyDescent="0.25">
      <c r="A705" s="363"/>
      <c r="B705" s="381"/>
      <c r="C705" s="381" t="s">
        <v>866</v>
      </c>
      <c r="D705" s="100"/>
      <c r="E705" s="168"/>
      <c r="F705" s="525" t="e">
        <f t="shared" si="10"/>
        <v>#DIV/0!</v>
      </c>
      <c r="G705" s="525">
        <f>'НМЦК (с разбивкой по объектам)'!K708</f>
        <v>0</v>
      </c>
    </row>
    <row r="706" spans="1:7" s="539" customFormat="1" hidden="1" outlineLevel="2" x14ac:dyDescent="0.25">
      <c r="A706" s="363"/>
      <c r="B706" s="381"/>
      <c r="C706" s="390" t="s">
        <v>870</v>
      </c>
      <c r="D706" s="100"/>
      <c r="E706" s="168"/>
      <c r="F706" s="525" t="e">
        <f t="shared" si="10"/>
        <v>#DIV/0!</v>
      </c>
      <c r="G706" s="525">
        <f>'НМЦК (с разбивкой по объектам)'!K709</f>
        <v>0</v>
      </c>
    </row>
    <row r="707" spans="1:7" s="539" customFormat="1" ht="31.5" hidden="1" outlineLevel="2" x14ac:dyDescent="0.25">
      <c r="A707" s="363" t="s">
        <v>2855</v>
      </c>
      <c r="B707" s="381" t="s">
        <v>867</v>
      </c>
      <c r="C707" s="381" t="s">
        <v>865</v>
      </c>
      <c r="D707" s="100" t="s">
        <v>377</v>
      </c>
      <c r="E707" s="168">
        <f>147.8</f>
        <v>147.80000000000001</v>
      </c>
      <c r="F707" s="525">
        <f t="shared" si="10"/>
        <v>1510</v>
      </c>
      <c r="G707" s="525">
        <f>'НМЦК (с разбивкой по объектам)'!K710</f>
        <v>223215</v>
      </c>
    </row>
    <row r="708" spans="1:7" s="539" customFormat="1" ht="31.5" hidden="1" outlineLevel="2" x14ac:dyDescent="0.25">
      <c r="A708" s="363" t="s">
        <v>2856</v>
      </c>
      <c r="B708" s="381" t="s">
        <v>400</v>
      </c>
      <c r="C708" s="381" t="s">
        <v>868</v>
      </c>
      <c r="D708" s="100" t="s">
        <v>404</v>
      </c>
      <c r="E708" s="168">
        <v>1360</v>
      </c>
      <c r="F708" s="525">
        <f t="shared" si="10"/>
        <v>1324</v>
      </c>
      <c r="G708" s="525">
        <f>'НМЦК (с разбивкой по объектам)'!K711</f>
        <v>1799987</v>
      </c>
    </row>
    <row r="709" spans="1:7" s="539" customFormat="1" ht="94.5" hidden="1" outlineLevel="2" x14ac:dyDescent="0.25">
      <c r="A709" s="363" t="s">
        <v>2857</v>
      </c>
      <c r="B709" s="381" t="s">
        <v>869</v>
      </c>
      <c r="C709" s="381" t="s">
        <v>871</v>
      </c>
      <c r="D709" s="100" t="s">
        <v>404</v>
      </c>
      <c r="E709" s="168">
        <v>57.1</v>
      </c>
      <c r="F709" s="525">
        <f t="shared" si="10"/>
        <v>5411</v>
      </c>
      <c r="G709" s="525">
        <f>'НМЦК (с разбивкой по объектам)'!K712</f>
        <v>308941</v>
      </c>
    </row>
    <row r="710" spans="1:7" s="539" customFormat="1" hidden="1" outlineLevel="2" x14ac:dyDescent="0.25">
      <c r="A710" s="363"/>
      <c r="B710" s="381"/>
      <c r="C710" s="390" t="s">
        <v>872</v>
      </c>
      <c r="D710" s="100"/>
      <c r="E710" s="168"/>
      <c r="F710" s="525" t="e">
        <f t="shared" si="10"/>
        <v>#DIV/0!</v>
      </c>
      <c r="G710" s="525">
        <f>'НМЦК (с разбивкой по объектам)'!K713</f>
        <v>0</v>
      </c>
    </row>
    <row r="711" spans="1:7" s="539" customFormat="1" hidden="1" outlineLevel="2" x14ac:dyDescent="0.25">
      <c r="A711" s="363" t="s">
        <v>2858</v>
      </c>
      <c r="B711" s="381" t="s">
        <v>874</v>
      </c>
      <c r="C711" s="381" t="s">
        <v>873</v>
      </c>
      <c r="D711" s="100" t="s">
        <v>404</v>
      </c>
      <c r="E711" s="168">
        <v>1034.3</v>
      </c>
      <c r="F711" s="525">
        <f t="shared" si="10"/>
        <v>172</v>
      </c>
      <c r="G711" s="525">
        <f>'НМЦК (с разбивкой по объектам)'!K714</f>
        <v>177990</v>
      </c>
    </row>
    <row r="712" spans="1:7" s="539" customFormat="1" ht="63" hidden="1" outlineLevel="2" x14ac:dyDescent="0.25">
      <c r="A712" s="363" t="s">
        <v>2859</v>
      </c>
      <c r="B712" s="381" t="s">
        <v>876</v>
      </c>
      <c r="C712" s="381" t="s">
        <v>875</v>
      </c>
      <c r="D712" s="100" t="s">
        <v>404</v>
      </c>
      <c r="E712" s="168">
        <v>957.9</v>
      </c>
      <c r="F712" s="525">
        <f t="shared" si="10"/>
        <v>6676</v>
      </c>
      <c r="G712" s="525">
        <f>'НМЦК (с разбивкой по объектам)'!K715</f>
        <v>6395310</v>
      </c>
    </row>
    <row r="713" spans="1:7" s="539" customFormat="1" ht="63" hidden="1" outlineLevel="2" x14ac:dyDescent="0.25">
      <c r="A713" s="363" t="s">
        <v>2860</v>
      </c>
      <c r="B713" s="381" t="s">
        <v>878</v>
      </c>
      <c r="C713" s="381" t="s">
        <v>877</v>
      </c>
      <c r="D713" s="100" t="s">
        <v>404</v>
      </c>
      <c r="E713" s="168">
        <v>24.5</v>
      </c>
      <c r="F713" s="525">
        <f t="shared" ref="F713:F776" si="11">G713/E713</f>
        <v>6117</v>
      </c>
      <c r="G713" s="525">
        <f>'НМЦК (с разбивкой по объектам)'!K716</f>
        <v>149857</v>
      </c>
    </row>
    <row r="714" spans="1:7" s="539" customFormat="1" ht="31.5" hidden="1" outlineLevel="2" x14ac:dyDescent="0.25">
      <c r="A714" s="363" t="s">
        <v>2861</v>
      </c>
      <c r="B714" s="381" t="s">
        <v>880</v>
      </c>
      <c r="C714" s="381" t="s">
        <v>879</v>
      </c>
      <c r="D714" s="100" t="s">
        <v>404</v>
      </c>
      <c r="E714" s="100">
        <f>18.51</f>
        <v>18.510000000000002</v>
      </c>
      <c r="F714" s="525">
        <f t="shared" si="11"/>
        <v>1092</v>
      </c>
      <c r="G714" s="525">
        <f>'НМЦК (с разбивкой по объектам)'!K717</f>
        <v>20222</v>
      </c>
    </row>
    <row r="715" spans="1:7" s="539" customFormat="1" ht="47.25" hidden="1" outlineLevel="2" x14ac:dyDescent="0.25">
      <c r="A715" s="363" t="s">
        <v>2862</v>
      </c>
      <c r="B715" s="381" t="s">
        <v>882</v>
      </c>
      <c r="C715" s="381" t="s">
        <v>881</v>
      </c>
      <c r="D715" s="100" t="s">
        <v>404</v>
      </c>
      <c r="E715" s="100">
        <f>2.56</f>
        <v>2.56</v>
      </c>
      <c r="F715" s="525">
        <f t="shared" si="11"/>
        <v>8537</v>
      </c>
      <c r="G715" s="525">
        <f>'НМЦК (с разбивкой по объектам)'!K718</f>
        <v>21855</v>
      </c>
    </row>
    <row r="716" spans="1:7" s="539" customFormat="1" hidden="1" outlineLevel="2" x14ac:dyDescent="0.25">
      <c r="A716" s="363" t="s">
        <v>2863</v>
      </c>
      <c r="B716" s="381" t="s">
        <v>884</v>
      </c>
      <c r="C716" s="381" t="s">
        <v>883</v>
      </c>
      <c r="D716" s="100" t="s">
        <v>404</v>
      </c>
      <c r="E716" s="100">
        <f>116.13</f>
        <v>116.13</v>
      </c>
      <c r="F716" s="525">
        <f t="shared" si="11"/>
        <v>1546</v>
      </c>
      <c r="G716" s="525">
        <f>'НМЦК (с разбивкой по объектам)'!K719</f>
        <v>179498</v>
      </c>
    </row>
    <row r="717" spans="1:7" s="539" customFormat="1" hidden="1" outlineLevel="2" x14ac:dyDescent="0.25">
      <c r="A717" s="363"/>
      <c r="B717" s="381"/>
      <c r="C717" s="390" t="s">
        <v>885</v>
      </c>
      <c r="D717" s="100"/>
      <c r="E717" s="168"/>
      <c r="F717" s="525" t="e">
        <f t="shared" si="11"/>
        <v>#DIV/0!</v>
      </c>
      <c r="G717" s="525">
        <f>'НМЦК (с разбивкой по объектам)'!K720</f>
        <v>0</v>
      </c>
    </row>
    <row r="718" spans="1:7" s="539" customFormat="1" hidden="1" outlineLevel="2" x14ac:dyDescent="0.25">
      <c r="A718" s="363"/>
      <c r="B718" s="381"/>
      <c r="C718" s="381" t="s">
        <v>886</v>
      </c>
      <c r="D718" s="100"/>
      <c r="E718" s="168"/>
      <c r="F718" s="525" t="e">
        <f t="shared" si="11"/>
        <v>#DIV/0!</v>
      </c>
      <c r="G718" s="525">
        <f>'НМЦК (с разбивкой по объектам)'!K721</f>
        <v>0</v>
      </c>
    </row>
    <row r="719" spans="1:7" s="539" customFormat="1" hidden="1" outlineLevel="2" x14ac:dyDescent="0.25">
      <c r="A719" s="363" t="s">
        <v>2864</v>
      </c>
      <c r="B719" s="381" t="s">
        <v>888</v>
      </c>
      <c r="C719" s="381" t="s">
        <v>887</v>
      </c>
      <c r="D719" s="100" t="s">
        <v>404</v>
      </c>
      <c r="E719" s="168">
        <f>196.4</f>
        <v>196.4</v>
      </c>
      <c r="F719" s="525">
        <f t="shared" si="11"/>
        <v>1004</v>
      </c>
      <c r="G719" s="525">
        <f>'НМЦК (с разбивкой по объектам)'!K722</f>
        <v>197157</v>
      </c>
    </row>
    <row r="720" spans="1:7" s="539" customFormat="1" hidden="1" outlineLevel="2" x14ac:dyDescent="0.25">
      <c r="A720" s="363" t="s">
        <v>2865</v>
      </c>
      <c r="B720" s="381" t="s">
        <v>889</v>
      </c>
      <c r="C720" s="381" t="s">
        <v>890</v>
      </c>
      <c r="D720" s="100" t="s">
        <v>377</v>
      </c>
      <c r="E720" s="168">
        <f>91.2</f>
        <v>91.2</v>
      </c>
      <c r="F720" s="525">
        <f t="shared" si="11"/>
        <v>1571</v>
      </c>
      <c r="G720" s="525">
        <f>'НМЦК (с разбивкой по объектам)'!K723</f>
        <v>143300</v>
      </c>
    </row>
    <row r="721" spans="1:8" s="539" customFormat="1" ht="47.25" hidden="1" outlineLevel="2" x14ac:dyDescent="0.25">
      <c r="A721" s="363" t="s">
        <v>2866</v>
      </c>
      <c r="B721" s="381" t="s">
        <v>892</v>
      </c>
      <c r="C721" s="381" t="s">
        <v>891</v>
      </c>
      <c r="D721" s="100" t="s">
        <v>404</v>
      </c>
      <c r="E721" s="168">
        <f>57.4</f>
        <v>57.4</v>
      </c>
      <c r="F721" s="525">
        <f t="shared" si="11"/>
        <v>976</v>
      </c>
      <c r="G721" s="525">
        <f>'НМЦК (с разбивкой по объектам)'!K724</f>
        <v>56050</v>
      </c>
    </row>
    <row r="722" spans="1:8" s="539" customFormat="1" hidden="1" outlineLevel="2" x14ac:dyDescent="0.25">
      <c r="A722" s="363"/>
      <c r="B722" s="381"/>
      <c r="C722" s="390" t="s">
        <v>465</v>
      </c>
      <c r="D722" s="100"/>
      <c r="E722" s="168"/>
      <c r="F722" s="525" t="e">
        <f t="shared" si="11"/>
        <v>#DIV/0!</v>
      </c>
      <c r="G722" s="525">
        <f>'НМЦК (с разбивкой по объектам)'!K725</f>
        <v>0</v>
      </c>
    </row>
    <row r="723" spans="1:8" s="539" customFormat="1" hidden="1" outlineLevel="2" x14ac:dyDescent="0.25">
      <c r="A723" s="363" t="s">
        <v>2867</v>
      </c>
      <c r="B723" s="381" t="s">
        <v>894</v>
      </c>
      <c r="C723" s="381" t="s">
        <v>893</v>
      </c>
      <c r="D723" s="100" t="s">
        <v>300</v>
      </c>
      <c r="E723" s="100">
        <f>938.53</f>
        <v>938.53</v>
      </c>
      <c r="F723" s="525">
        <f t="shared" si="11"/>
        <v>3186</v>
      </c>
      <c r="G723" s="525">
        <f>'НМЦК (с разбивкой по объектам)'!K726</f>
        <v>2990115</v>
      </c>
    </row>
    <row r="724" spans="1:8" s="539" customFormat="1" hidden="1" outlineLevel="2" x14ac:dyDescent="0.25">
      <c r="A724" s="363" t="s">
        <v>2868</v>
      </c>
      <c r="B724" s="381" t="s">
        <v>896</v>
      </c>
      <c r="C724" s="381" t="s">
        <v>895</v>
      </c>
      <c r="D724" s="100" t="s">
        <v>404</v>
      </c>
      <c r="E724" s="145">
        <f>107.894</f>
        <v>107.89400000000001</v>
      </c>
      <c r="F724" s="525">
        <f t="shared" si="11"/>
        <v>1415</v>
      </c>
      <c r="G724" s="525">
        <f>'НМЦК (с разбивкой по объектам)'!K727</f>
        <v>152670</v>
      </c>
    </row>
    <row r="725" spans="1:8" s="539" customFormat="1" hidden="1" outlineLevel="2" x14ac:dyDescent="0.25">
      <c r="A725" s="363" t="s">
        <v>2869</v>
      </c>
      <c r="B725" s="381" t="s">
        <v>898</v>
      </c>
      <c r="C725" s="381" t="s">
        <v>897</v>
      </c>
      <c r="D725" s="100" t="s">
        <v>300</v>
      </c>
      <c r="E725" s="168">
        <f>11.7</f>
        <v>11.7</v>
      </c>
      <c r="F725" s="525">
        <f t="shared" si="11"/>
        <v>7084</v>
      </c>
      <c r="G725" s="525">
        <f>'НМЦК (с разбивкой по объектам)'!K728</f>
        <v>82879</v>
      </c>
    </row>
    <row r="726" spans="1:8" s="539" customFormat="1" hidden="1" outlineLevel="2" x14ac:dyDescent="0.25">
      <c r="A726" s="363"/>
      <c r="B726" s="381"/>
      <c r="C726" s="390" t="s">
        <v>414</v>
      </c>
      <c r="D726" s="100"/>
      <c r="E726" s="168"/>
      <c r="F726" s="525" t="e">
        <f t="shared" si="11"/>
        <v>#DIV/0!</v>
      </c>
      <c r="G726" s="525">
        <f>'НМЦК (с разбивкой по объектам)'!K729</f>
        <v>0</v>
      </c>
    </row>
    <row r="727" spans="1:8" s="539" customFormat="1" ht="126" hidden="1" outlineLevel="2" x14ac:dyDescent="0.25">
      <c r="A727" s="363" t="s">
        <v>2870</v>
      </c>
      <c r="B727" s="381" t="s">
        <v>899</v>
      </c>
      <c r="C727" s="381" t="s">
        <v>2411</v>
      </c>
      <c r="D727" s="100" t="s">
        <v>404</v>
      </c>
      <c r="E727" s="168">
        <v>428</v>
      </c>
      <c r="F727" s="525">
        <f t="shared" si="11"/>
        <v>5337</v>
      </c>
      <c r="G727" s="525">
        <f>'НМЦК (с разбивкой по объектам)'!K730</f>
        <v>2284223</v>
      </c>
    </row>
    <row r="728" spans="1:8" s="539" customFormat="1" ht="94.5" hidden="1" outlineLevel="2" x14ac:dyDescent="0.25">
      <c r="A728" s="363" t="s">
        <v>2871</v>
      </c>
      <c r="B728" s="381" t="s">
        <v>902</v>
      </c>
      <c r="C728" s="381" t="s">
        <v>2412</v>
      </c>
      <c r="D728" s="100" t="s">
        <v>404</v>
      </c>
      <c r="E728" s="168">
        <f>988.1</f>
        <v>988.1</v>
      </c>
      <c r="F728" s="525">
        <f t="shared" si="11"/>
        <v>1827</v>
      </c>
      <c r="G728" s="525">
        <f>'НМЦК (с разбивкой по объектам)'!K731</f>
        <v>1804810</v>
      </c>
    </row>
    <row r="729" spans="1:8" s="539" customFormat="1" ht="63" hidden="1" outlineLevel="2" x14ac:dyDescent="0.25">
      <c r="A729" s="363" t="s">
        <v>2872</v>
      </c>
      <c r="B729" s="381" t="s">
        <v>903</v>
      </c>
      <c r="C729" s="381" t="s">
        <v>2413</v>
      </c>
      <c r="D729" s="100" t="s">
        <v>404</v>
      </c>
      <c r="E729" s="168">
        <f>33.2</f>
        <v>33.200000000000003</v>
      </c>
      <c r="F729" s="525">
        <f t="shared" si="11"/>
        <v>3429</v>
      </c>
      <c r="G729" s="525">
        <f>'НМЦК (с разбивкой по объектам)'!K732</f>
        <v>113843</v>
      </c>
    </row>
    <row r="730" spans="1:8" s="539" customFormat="1" hidden="1" outlineLevel="2" x14ac:dyDescent="0.25">
      <c r="A730" s="363" t="s">
        <v>2873</v>
      </c>
      <c r="B730" s="381" t="s">
        <v>906</v>
      </c>
      <c r="C730" s="381" t="s">
        <v>905</v>
      </c>
      <c r="D730" s="100" t="s">
        <v>377</v>
      </c>
      <c r="E730" s="168">
        <f>147</f>
        <v>147</v>
      </c>
      <c r="F730" s="525">
        <f t="shared" si="11"/>
        <v>979</v>
      </c>
      <c r="G730" s="525">
        <f>'НМЦК (с разбивкой по объектам)'!K733</f>
        <v>143920</v>
      </c>
    </row>
    <row r="731" spans="1:8" s="539" customFormat="1" ht="31.5" hidden="1" outlineLevel="2" x14ac:dyDescent="0.25">
      <c r="A731" s="363" t="s">
        <v>2874</v>
      </c>
      <c r="B731" s="381" t="s">
        <v>907</v>
      </c>
      <c r="C731" s="381" t="s">
        <v>908</v>
      </c>
      <c r="D731" s="100" t="s">
        <v>408</v>
      </c>
      <c r="E731" s="168">
        <v>1</v>
      </c>
      <c r="F731" s="525">
        <f t="shared" si="11"/>
        <v>22122</v>
      </c>
      <c r="G731" s="525">
        <f>'НМЦК (с разбивкой по объектам)'!K734</f>
        <v>22122</v>
      </c>
    </row>
    <row r="732" spans="1:8" s="539" customFormat="1" hidden="1" outlineLevel="2" x14ac:dyDescent="0.25">
      <c r="A732" s="363" t="s">
        <v>2875</v>
      </c>
      <c r="B732" s="381" t="s">
        <v>910</v>
      </c>
      <c r="C732" s="381" t="s">
        <v>909</v>
      </c>
      <c r="D732" s="100" t="s">
        <v>292</v>
      </c>
      <c r="E732" s="168">
        <v>1</v>
      </c>
      <c r="F732" s="525">
        <f t="shared" si="11"/>
        <v>52542</v>
      </c>
      <c r="G732" s="525">
        <f>'НМЦК (с разбивкой по объектам)'!K735</f>
        <v>52542</v>
      </c>
    </row>
    <row r="733" spans="1:8" s="539" customFormat="1" ht="47.25" hidden="1" outlineLevel="2" x14ac:dyDescent="0.25">
      <c r="A733" s="363" t="s">
        <v>2876</v>
      </c>
      <c r="B733" s="381" t="s">
        <v>912</v>
      </c>
      <c r="C733" s="381" t="s">
        <v>911</v>
      </c>
      <c r="D733" s="100" t="s">
        <v>292</v>
      </c>
      <c r="E733" s="168">
        <v>1</v>
      </c>
      <c r="F733" s="525">
        <f t="shared" si="11"/>
        <v>160809</v>
      </c>
      <c r="G733" s="525">
        <f>'НМЦК (с разбивкой по объектам)'!K736</f>
        <v>160809</v>
      </c>
    </row>
    <row r="734" spans="1:8" s="539" customFormat="1" hidden="1" outlineLevel="2" x14ac:dyDescent="0.25">
      <c r="A734" s="363"/>
      <c r="B734" s="381"/>
      <c r="C734" s="390" t="s">
        <v>913</v>
      </c>
      <c r="D734" s="100"/>
      <c r="E734" s="168"/>
      <c r="F734" s="525" t="e">
        <f t="shared" si="11"/>
        <v>#DIV/0!</v>
      </c>
      <c r="G734" s="525">
        <f>'НМЦК (с разбивкой по объектам)'!K737</f>
        <v>0</v>
      </c>
    </row>
    <row r="735" spans="1:8" s="539" customFormat="1" hidden="1" outlineLevel="2" x14ac:dyDescent="0.25">
      <c r="A735" s="363" t="s">
        <v>2877</v>
      </c>
      <c r="B735" s="381" t="s">
        <v>915</v>
      </c>
      <c r="C735" s="381" t="s">
        <v>914</v>
      </c>
      <c r="D735" s="100" t="s">
        <v>404</v>
      </c>
      <c r="E735" s="168">
        <f>378.1</f>
        <v>378.1</v>
      </c>
      <c r="F735" s="525">
        <f t="shared" si="11"/>
        <v>125858</v>
      </c>
      <c r="G735" s="525">
        <f>'НМЦК (с разбивкой по объектам)'!K738</f>
        <v>47586775</v>
      </c>
      <c r="H735" s="539" t="s">
        <v>916</v>
      </c>
    </row>
    <row r="736" spans="1:8" s="539" customFormat="1" hidden="1" outlineLevel="2" x14ac:dyDescent="0.25">
      <c r="A736" s="363" t="s">
        <v>2878</v>
      </c>
      <c r="B736" s="381" t="s">
        <v>918</v>
      </c>
      <c r="C736" s="381" t="s">
        <v>917</v>
      </c>
      <c r="D736" s="100" t="s">
        <v>404</v>
      </c>
      <c r="E736" s="100">
        <f>60.22+16.28+20.72</f>
        <v>97.22</v>
      </c>
      <c r="F736" s="525">
        <f t="shared" si="11"/>
        <v>36808</v>
      </c>
      <c r="G736" s="525">
        <f>'НМЦК (с разбивкой по объектам)'!K739</f>
        <v>3578522</v>
      </c>
      <c r="H736" s="539" t="s">
        <v>916</v>
      </c>
    </row>
    <row r="737" spans="1:7" s="539" customFormat="1" hidden="1" outlineLevel="2" x14ac:dyDescent="0.25">
      <c r="A737" s="363" t="s">
        <v>2879</v>
      </c>
      <c r="B737" s="381" t="s">
        <v>922</v>
      </c>
      <c r="C737" s="381" t="s">
        <v>921</v>
      </c>
      <c r="D737" s="100" t="s">
        <v>404</v>
      </c>
      <c r="E737" s="100">
        <f>37.66</f>
        <v>37.659999999999997</v>
      </c>
      <c r="F737" s="525">
        <f t="shared" si="11"/>
        <v>15181</v>
      </c>
      <c r="G737" s="525">
        <f>'НМЦК (с разбивкой по объектам)'!K740</f>
        <v>571719</v>
      </c>
    </row>
    <row r="738" spans="1:7" s="544" customFormat="1" outlineLevel="1" collapsed="1" x14ac:dyDescent="0.25">
      <c r="A738" s="132" t="s">
        <v>2880</v>
      </c>
      <c r="B738" s="320"/>
      <c r="C738" s="133" t="s">
        <v>2377</v>
      </c>
      <c r="D738" s="134" t="s">
        <v>292</v>
      </c>
      <c r="E738" s="90">
        <v>1</v>
      </c>
      <c r="F738" s="526">
        <f t="shared" si="11"/>
        <v>27664032</v>
      </c>
      <c r="G738" s="526">
        <f>'НМЦК (с разбивкой по объектам)'!K741</f>
        <v>27664032</v>
      </c>
    </row>
    <row r="739" spans="1:7" s="539" customFormat="1" hidden="1" outlineLevel="2" x14ac:dyDescent="0.25">
      <c r="A739" s="363"/>
      <c r="B739" s="381"/>
      <c r="C739" s="390" t="s">
        <v>913</v>
      </c>
      <c r="D739" s="100"/>
      <c r="E739" s="168"/>
      <c r="F739" s="525" t="e">
        <f t="shared" si="11"/>
        <v>#DIV/0!</v>
      </c>
      <c r="G739" s="525">
        <f>'НМЦК (с разбивкой по объектам)'!K742</f>
        <v>0</v>
      </c>
    </row>
    <row r="740" spans="1:7" s="539" customFormat="1" hidden="1" outlineLevel="2" x14ac:dyDescent="0.25">
      <c r="A740" s="363" t="s">
        <v>2881</v>
      </c>
      <c r="B740" s="381" t="s">
        <v>920</v>
      </c>
      <c r="C740" s="381" t="s">
        <v>919</v>
      </c>
      <c r="D740" s="100" t="s">
        <v>377</v>
      </c>
      <c r="E740" s="168">
        <f>24.8</f>
        <v>24.8</v>
      </c>
      <c r="F740" s="525">
        <f t="shared" si="11"/>
        <v>704</v>
      </c>
      <c r="G740" s="525">
        <f>'НМЦК (с разбивкой по объектам)'!K743</f>
        <v>17466</v>
      </c>
    </row>
    <row r="741" spans="1:7" s="539" customFormat="1" hidden="1" outlineLevel="2" x14ac:dyDescent="0.25">
      <c r="A741" s="363" t="s">
        <v>2882</v>
      </c>
      <c r="B741" s="381" t="s">
        <v>924</v>
      </c>
      <c r="C741" s="381" t="s">
        <v>923</v>
      </c>
      <c r="D741" s="100" t="s">
        <v>404</v>
      </c>
      <c r="E741" s="100">
        <f>64.14+29.88+38.96+55.09</f>
        <v>188.07</v>
      </c>
      <c r="F741" s="525">
        <f t="shared" si="11"/>
        <v>13465</v>
      </c>
      <c r="G741" s="525">
        <f>'НМЦК (с разбивкой по объектам)'!K744</f>
        <v>2532381</v>
      </c>
    </row>
    <row r="742" spans="1:7" s="539" customFormat="1" hidden="1" outlineLevel="2" x14ac:dyDescent="0.25">
      <c r="A742" s="363"/>
      <c r="B742" s="381"/>
      <c r="C742" s="390" t="s">
        <v>925</v>
      </c>
      <c r="D742" s="100"/>
      <c r="E742" s="168"/>
      <c r="F742" s="525" t="e">
        <f t="shared" si="11"/>
        <v>#DIV/0!</v>
      </c>
      <c r="G742" s="525">
        <f>'НМЦК (с разбивкой по объектам)'!K745</f>
        <v>0</v>
      </c>
    </row>
    <row r="743" spans="1:7" s="539" customFormat="1" hidden="1" outlineLevel="2" x14ac:dyDescent="0.25">
      <c r="A743" s="363"/>
      <c r="B743" s="381"/>
      <c r="C743" s="381" t="s">
        <v>926</v>
      </c>
      <c r="D743" s="100"/>
      <c r="E743" s="168"/>
      <c r="F743" s="525" t="e">
        <f t="shared" si="11"/>
        <v>#DIV/0!</v>
      </c>
      <c r="G743" s="525">
        <f>'НМЦК (с разбивкой по объектам)'!K746</f>
        <v>0</v>
      </c>
    </row>
    <row r="744" spans="1:7" s="539" customFormat="1" ht="94.5" hidden="1" outlineLevel="2" x14ac:dyDescent="0.25">
      <c r="A744" s="363" t="s">
        <v>2883</v>
      </c>
      <c r="B744" s="381" t="s">
        <v>928</v>
      </c>
      <c r="C744" s="381" t="s">
        <v>2414</v>
      </c>
      <c r="D744" s="100" t="s">
        <v>404</v>
      </c>
      <c r="E744" s="100">
        <f>86.64</f>
        <v>86.64</v>
      </c>
      <c r="F744" s="525">
        <f t="shared" si="11"/>
        <v>2611</v>
      </c>
      <c r="G744" s="525">
        <f>'НМЦК (с разбивкой по объектам)'!K747</f>
        <v>226203</v>
      </c>
    </row>
    <row r="745" spans="1:7" s="539" customFormat="1" ht="141.75" hidden="1" outlineLevel="2" x14ac:dyDescent="0.25">
      <c r="A745" s="363" t="s">
        <v>2884</v>
      </c>
      <c r="B745" s="381" t="s">
        <v>930</v>
      </c>
      <c r="C745" s="381" t="s">
        <v>2415</v>
      </c>
      <c r="D745" s="100" t="s">
        <v>404</v>
      </c>
      <c r="E745" s="100">
        <f>254.58</f>
        <v>254.58</v>
      </c>
      <c r="F745" s="525">
        <f t="shared" si="11"/>
        <v>3019</v>
      </c>
      <c r="G745" s="525">
        <f>'НМЦК (с разбивкой по объектам)'!K748</f>
        <v>768532</v>
      </c>
    </row>
    <row r="746" spans="1:7" s="539" customFormat="1" ht="157.5" hidden="1" outlineLevel="2" x14ac:dyDescent="0.25">
      <c r="A746" s="363" t="s">
        <v>2885</v>
      </c>
      <c r="B746" s="381" t="s">
        <v>931</v>
      </c>
      <c r="C746" s="381" t="s">
        <v>2416</v>
      </c>
      <c r="D746" s="100" t="s">
        <v>404</v>
      </c>
      <c r="E746" s="168">
        <f>25</f>
        <v>25</v>
      </c>
      <c r="F746" s="525">
        <f t="shared" si="11"/>
        <v>3714</v>
      </c>
      <c r="G746" s="525">
        <f>'НМЦК (с разбивкой по объектам)'!K749</f>
        <v>92843</v>
      </c>
    </row>
    <row r="747" spans="1:7" s="539" customFormat="1" ht="141.75" hidden="1" outlineLevel="2" x14ac:dyDescent="0.25">
      <c r="A747" s="363" t="s">
        <v>2886</v>
      </c>
      <c r="B747" s="381" t="s">
        <v>934</v>
      </c>
      <c r="C747" s="381" t="s">
        <v>2417</v>
      </c>
      <c r="D747" s="100" t="s">
        <v>404</v>
      </c>
      <c r="E747" s="100">
        <f>252.25</f>
        <v>252.25</v>
      </c>
      <c r="F747" s="525">
        <f t="shared" si="11"/>
        <v>3547</v>
      </c>
      <c r="G747" s="525">
        <f>'НМЦК (с разбивкой по объектам)'!K750</f>
        <v>894743</v>
      </c>
    </row>
    <row r="748" spans="1:7" s="539" customFormat="1" ht="110.25" hidden="1" outlineLevel="2" x14ac:dyDescent="0.25">
      <c r="A748" s="363" t="s">
        <v>2887</v>
      </c>
      <c r="B748" s="381" t="s">
        <v>936</v>
      </c>
      <c r="C748" s="381" t="s">
        <v>2418</v>
      </c>
      <c r="D748" s="100" t="s">
        <v>404</v>
      </c>
      <c r="E748" s="100">
        <f>65.52</f>
        <v>65.52</v>
      </c>
      <c r="F748" s="525">
        <f t="shared" si="11"/>
        <v>3418</v>
      </c>
      <c r="G748" s="525">
        <f>'НМЦК (с разбивкой по объектам)'!K751</f>
        <v>223951</v>
      </c>
    </row>
    <row r="749" spans="1:7" s="539" customFormat="1" ht="126" hidden="1" outlineLevel="2" x14ac:dyDescent="0.25">
      <c r="A749" s="363" t="s">
        <v>2888</v>
      </c>
      <c r="B749" s="381" t="s">
        <v>938</v>
      </c>
      <c r="C749" s="381" t="s">
        <v>2419</v>
      </c>
      <c r="D749" s="100" t="s">
        <v>404</v>
      </c>
      <c r="E749" s="100">
        <f>80.27</f>
        <v>80.27</v>
      </c>
      <c r="F749" s="525">
        <f t="shared" si="11"/>
        <v>3359</v>
      </c>
      <c r="G749" s="525">
        <f>'НМЦК (с разбивкой по объектам)'!K752</f>
        <v>269603</v>
      </c>
    </row>
    <row r="750" spans="1:7" s="539" customFormat="1" ht="141.75" hidden="1" outlineLevel="2" x14ac:dyDescent="0.25">
      <c r="A750" s="363" t="s">
        <v>2889</v>
      </c>
      <c r="B750" s="381" t="s">
        <v>940</v>
      </c>
      <c r="C750" s="381" t="s">
        <v>2420</v>
      </c>
      <c r="D750" s="100" t="s">
        <v>404</v>
      </c>
      <c r="E750" s="100">
        <f>85.07</f>
        <v>85.07</v>
      </c>
      <c r="F750" s="525">
        <f t="shared" si="11"/>
        <v>3548</v>
      </c>
      <c r="G750" s="525">
        <f>'НМЦК (с разбивкой по объектам)'!K753</f>
        <v>301815</v>
      </c>
    </row>
    <row r="751" spans="1:7" s="539" customFormat="1" ht="157.5" hidden="1" outlineLevel="2" x14ac:dyDescent="0.25">
      <c r="A751" s="363" t="s">
        <v>2890</v>
      </c>
      <c r="B751" s="381" t="s">
        <v>942</v>
      </c>
      <c r="C751" s="381" t="s">
        <v>2421</v>
      </c>
      <c r="D751" s="100" t="s">
        <v>404</v>
      </c>
      <c r="E751" s="100">
        <f>122.32</f>
        <v>122.32</v>
      </c>
      <c r="F751" s="525">
        <f t="shared" si="11"/>
        <v>3713</v>
      </c>
      <c r="G751" s="525">
        <f>'НМЦК (с разбивкой по объектам)'!K754</f>
        <v>454175</v>
      </c>
    </row>
    <row r="752" spans="1:7" s="539" customFormat="1" ht="157.5" hidden="1" outlineLevel="2" x14ac:dyDescent="0.25">
      <c r="A752" s="363" t="s">
        <v>2891</v>
      </c>
      <c r="B752" s="381" t="s">
        <v>944</v>
      </c>
      <c r="C752" s="381" t="s">
        <v>2422</v>
      </c>
      <c r="D752" s="100" t="s">
        <v>404</v>
      </c>
      <c r="E752" s="168">
        <f>109.6</f>
        <v>109.6</v>
      </c>
      <c r="F752" s="525">
        <f t="shared" si="11"/>
        <v>3714</v>
      </c>
      <c r="G752" s="525">
        <f>'НМЦК (с разбивкой по объектам)'!K755</f>
        <v>407085</v>
      </c>
    </row>
    <row r="753" spans="1:8" s="539" customFormat="1" ht="157.5" hidden="1" outlineLevel="2" x14ac:dyDescent="0.25">
      <c r="A753" s="363" t="s">
        <v>2892</v>
      </c>
      <c r="B753" s="381" t="s">
        <v>946</v>
      </c>
      <c r="C753" s="381" t="s">
        <v>2423</v>
      </c>
      <c r="D753" s="100" t="s">
        <v>404</v>
      </c>
      <c r="E753" s="100">
        <f>50.92</f>
        <v>50.92</v>
      </c>
      <c r="F753" s="525">
        <f t="shared" si="11"/>
        <v>3714</v>
      </c>
      <c r="G753" s="525">
        <f>'НМЦК (с разбивкой по объектам)'!K756</f>
        <v>189095</v>
      </c>
    </row>
    <row r="754" spans="1:8" s="539" customFormat="1" ht="126" hidden="1" outlineLevel="2" x14ac:dyDescent="0.25">
      <c r="A754" s="363" t="s">
        <v>2893</v>
      </c>
      <c r="B754" s="381" t="s">
        <v>948</v>
      </c>
      <c r="C754" s="381" t="s">
        <v>2424</v>
      </c>
      <c r="D754" s="100" t="s">
        <v>404</v>
      </c>
      <c r="E754" s="100">
        <f>51.75</f>
        <v>51.75</v>
      </c>
      <c r="F754" s="525">
        <f t="shared" si="11"/>
        <v>4056</v>
      </c>
      <c r="G754" s="525">
        <f>'НМЦК (с разбивкой по объектам)'!K757</f>
        <v>209876</v>
      </c>
    </row>
    <row r="755" spans="1:8" s="539" customFormat="1" hidden="1" outlineLevel="2" x14ac:dyDescent="0.25">
      <c r="A755" s="363"/>
      <c r="B755" s="381"/>
      <c r="C755" s="381" t="s">
        <v>949</v>
      </c>
      <c r="D755" s="100"/>
      <c r="E755" s="168"/>
      <c r="F755" s="525" t="e">
        <f t="shared" si="11"/>
        <v>#DIV/0!</v>
      </c>
      <c r="G755" s="525">
        <f>'НМЦК (с разбивкой по объектам)'!K758</f>
        <v>0</v>
      </c>
    </row>
    <row r="756" spans="1:8" s="539" customFormat="1" ht="157.5" hidden="1" outlineLevel="2" x14ac:dyDescent="0.25">
      <c r="A756" s="363" t="s">
        <v>2894</v>
      </c>
      <c r="B756" s="381" t="s">
        <v>951</v>
      </c>
      <c r="C756" s="381" t="s">
        <v>2425</v>
      </c>
      <c r="D756" s="100" t="s">
        <v>404</v>
      </c>
      <c r="E756" s="168">
        <f>318.7</f>
        <v>318.7</v>
      </c>
      <c r="F756" s="525">
        <f t="shared" si="11"/>
        <v>3013</v>
      </c>
      <c r="G756" s="525">
        <f>'НМЦК (с разбивкой по объектам)'!K759</f>
        <v>960123</v>
      </c>
    </row>
    <row r="757" spans="1:8" s="539" customFormat="1" ht="157.5" hidden="1" outlineLevel="2" x14ac:dyDescent="0.25">
      <c r="A757" s="363" t="s">
        <v>2895</v>
      </c>
      <c r="B757" s="381" t="s">
        <v>953</v>
      </c>
      <c r="C757" s="381" t="s">
        <v>2426</v>
      </c>
      <c r="D757" s="100" t="s">
        <v>404</v>
      </c>
      <c r="E757" s="168">
        <f>34.8</f>
        <v>34.799999999999997</v>
      </c>
      <c r="F757" s="525">
        <f t="shared" si="11"/>
        <v>3013</v>
      </c>
      <c r="G757" s="525">
        <f>'НМЦК (с разбивкой по объектам)'!K760</f>
        <v>104859</v>
      </c>
    </row>
    <row r="758" spans="1:8" s="539" customFormat="1" ht="157.5" hidden="1" outlineLevel="2" x14ac:dyDescent="0.25">
      <c r="A758" s="363" t="s">
        <v>2896</v>
      </c>
      <c r="B758" s="381" t="s">
        <v>955</v>
      </c>
      <c r="C758" s="381" t="s">
        <v>2427</v>
      </c>
      <c r="D758" s="100" t="s">
        <v>404</v>
      </c>
      <c r="E758" s="100">
        <f>258.83</f>
        <v>258.83</v>
      </c>
      <c r="F758" s="525">
        <f t="shared" si="11"/>
        <v>3012</v>
      </c>
      <c r="G758" s="525">
        <f>'НМЦК (с разбивкой по объектам)'!K761</f>
        <v>779687</v>
      </c>
    </row>
    <row r="759" spans="1:8" s="539" customFormat="1" ht="157.5" hidden="1" outlineLevel="2" x14ac:dyDescent="0.25">
      <c r="A759" s="363" t="s">
        <v>2897</v>
      </c>
      <c r="B759" s="381" t="s">
        <v>957</v>
      </c>
      <c r="C759" s="381" t="s">
        <v>2428</v>
      </c>
      <c r="D759" s="100" t="s">
        <v>404</v>
      </c>
      <c r="E759" s="100">
        <f>69.84</f>
        <v>69.84</v>
      </c>
      <c r="F759" s="525">
        <f t="shared" si="11"/>
        <v>3011</v>
      </c>
      <c r="G759" s="525">
        <f>'НМЦК (с разбивкой по объектам)'!K762</f>
        <v>210278</v>
      </c>
    </row>
    <row r="760" spans="1:8" s="539" customFormat="1" ht="173.25" hidden="1" outlineLevel="2" x14ac:dyDescent="0.25">
      <c r="A760" s="363" t="s">
        <v>2898</v>
      </c>
      <c r="B760" s="381" t="s">
        <v>959</v>
      </c>
      <c r="C760" s="381" t="s">
        <v>2429</v>
      </c>
      <c r="D760" s="100" t="s">
        <v>404</v>
      </c>
      <c r="E760" s="100">
        <f>99.64</f>
        <v>99.64</v>
      </c>
      <c r="F760" s="525">
        <f t="shared" si="11"/>
        <v>4200</v>
      </c>
      <c r="G760" s="525">
        <f>'НМЦК (с разбивкой по объектам)'!K763</f>
        <v>418454</v>
      </c>
    </row>
    <row r="761" spans="1:8" s="539" customFormat="1" ht="63" hidden="1" outlineLevel="2" x14ac:dyDescent="0.25">
      <c r="A761" s="363" t="s">
        <v>2899</v>
      </c>
      <c r="B761" s="381" t="s">
        <v>960</v>
      </c>
      <c r="C761" s="381" t="s">
        <v>2430</v>
      </c>
      <c r="D761" s="100" t="s">
        <v>404</v>
      </c>
      <c r="E761" s="168">
        <f>688</f>
        <v>688</v>
      </c>
      <c r="F761" s="525">
        <f t="shared" si="11"/>
        <v>974</v>
      </c>
      <c r="G761" s="525">
        <f>'НМЦК (с разбивкой по объектам)'!K764</f>
        <v>670173</v>
      </c>
      <c r="H761" s="552" t="s">
        <v>958</v>
      </c>
    </row>
    <row r="762" spans="1:8" s="539" customFormat="1" hidden="1" outlineLevel="2" x14ac:dyDescent="0.25">
      <c r="A762" s="363"/>
      <c r="B762" s="381"/>
      <c r="C762" s="390" t="s">
        <v>963</v>
      </c>
      <c r="D762" s="100"/>
      <c r="E762" s="168"/>
      <c r="F762" s="525" t="e">
        <f t="shared" si="11"/>
        <v>#DIV/0!</v>
      </c>
      <c r="G762" s="525">
        <f>'НМЦК (с разбивкой по объектам)'!K765</f>
        <v>0</v>
      </c>
    </row>
    <row r="763" spans="1:8" s="539" customFormat="1" ht="31.5" hidden="1" outlineLevel="2" x14ac:dyDescent="0.25">
      <c r="A763" s="363" t="s">
        <v>2900</v>
      </c>
      <c r="B763" s="381" t="s">
        <v>964</v>
      </c>
      <c r="C763" s="381" t="s">
        <v>2431</v>
      </c>
      <c r="D763" s="100" t="s">
        <v>404</v>
      </c>
      <c r="E763" s="100">
        <f>432.57</f>
        <v>432.57</v>
      </c>
      <c r="F763" s="525">
        <f t="shared" si="11"/>
        <v>755</v>
      </c>
      <c r="G763" s="525">
        <f>'НМЦК (с разбивкой по объектам)'!K766</f>
        <v>326449</v>
      </c>
    </row>
    <row r="764" spans="1:8" s="539" customFormat="1" ht="110.25" hidden="1" outlineLevel="2" x14ac:dyDescent="0.25">
      <c r="A764" s="363" t="s">
        <v>2901</v>
      </c>
      <c r="B764" s="381" t="s">
        <v>966</v>
      </c>
      <c r="C764" s="381" t="s">
        <v>2432</v>
      </c>
      <c r="D764" s="100" t="s">
        <v>404</v>
      </c>
      <c r="E764" s="100">
        <f>2224.93</f>
        <v>2224.9299999999998</v>
      </c>
      <c r="F764" s="525">
        <f t="shared" si="11"/>
        <v>1131</v>
      </c>
      <c r="G764" s="525">
        <f>'НМЦК (с разбивкой по объектам)'!K767</f>
        <v>2516606</v>
      </c>
    </row>
    <row r="765" spans="1:8" s="539" customFormat="1" ht="31.5" hidden="1" outlineLevel="2" x14ac:dyDescent="0.25">
      <c r="A765" s="363" t="s">
        <v>2902</v>
      </c>
      <c r="B765" s="381" t="s">
        <v>968</v>
      </c>
      <c r="C765" s="381" t="s">
        <v>2433</v>
      </c>
      <c r="D765" s="100" t="s">
        <v>404</v>
      </c>
      <c r="E765" s="145">
        <f>204.491</f>
        <v>204.49100000000001</v>
      </c>
      <c r="F765" s="525">
        <f t="shared" si="11"/>
        <v>755</v>
      </c>
      <c r="G765" s="525">
        <f>'НМЦК (с разбивкой по объектам)'!K768</f>
        <v>154327</v>
      </c>
    </row>
    <row r="766" spans="1:8" s="539" customFormat="1" ht="110.25" hidden="1" outlineLevel="2" x14ac:dyDescent="0.25">
      <c r="A766" s="363" t="s">
        <v>2903</v>
      </c>
      <c r="B766" s="381" t="s">
        <v>969</v>
      </c>
      <c r="C766" s="381" t="s">
        <v>2434</v>
      </c>
      <c r="D766" s="100" t="s">
        <v>404</v>
      </c>
      <c r="E766" s="100">
        <f>154.71</f>
        <v>154.71</v>
      </c>
      <c r="F766" s="525">
        <f t="shared" si="11"/>
        <v>1131</v>
      </c>
      <c r="G766" s="525">
        <f>'НМЦК (с разбивкой по объектам)'!K769</f>
        <v>175010</v>
      </c>
    </row>
    <row r="767" spans="1:8" s="539" customFormat="1" ht="31.5" hidden="1" outlineLevel="2" x14ac:dyDescent="0.25">
      <c r="A767" s="363" t="s">
        <v>2904</v>
      </c>
      <c r="B767" s="381" t="s">
        <v>972</v>
      </c>
      <c r="C767" s="381" t="s">
        <v>2435</v>
      </c>
      <c r="D767" s="100" t="s">
        <v>404</v>
      </c>
      <c r="E767" s="145">
        <f>580.553</f>
        <v>580.553</v>
      </c>
      <c r="F767" s="525">
        <f t="shared" si="11"/>
        <v>1731</v>
      </c>
      <c r="G767" s="525">
        <f>'НМЦК (с разбивкой по объектам)'!K770</f>
        <v>1004735</v>
      </c>
    </row>
    <row r="768" spans="1:8" s="539" customFormat="1" ht="110.25" hidden="1" outlineLevel="2" x14ac:dyDescent="0.25">
      <c r="A768" s="363" t="s">
        <v>2905</v>
      </c>
      <c r="B768" s="381" t="s">
        <v>974</v>
      </c>
      <c r="C768" s="381" t="s">
        <v>2436</v>
      </c>
      <c r="D768" s="100" t="s">
        <v>404</v>
      </c>
      <c r="E768" s="100">
        <f>403.71</f>
        <v>403.71</v>
      </c>
      <c r="F768" s="525">
        <f t="shared" si="11"/>
        <v>1131</v>
      </c>
      <c r="G768" s="525">
        <f>'НМЦК (с разбивкой по объектам)'!K771</f>
        <v>456602</v>
      </c>
    </row>
    <row r="769" spans="1:8" s="539" customFormat="1" ht="31.5" hidden="1" outlineLevel="2" x14ac:dyDescent="0.25">
      <c r="A769" s="363" t="s">
        <v>2906</v>
      </c>
      <c r="B769" s="381" t="s">
        <v>976</v>
      </c>
      <c r="C769" s="381" t="s">
        <v>2437</v>
      </c>
      <c r="D769" s="100" t="s">
        <v>404</v>
      </c>
      <c r="E769" s="100">
        <f>487.169*0.12</f>
        <v>58.46</v>
      </c>
      <c r="F769" s="525">
        <f t="shared" si="11"/>
        <v>2321</v>
      </c>
      <c r="G769" s="525">
        <f>'НМЦК (с разбивкой по объектам)'!K772</f>
        <v>135690</v>
      </c>
    </row>
    <row r="770" spans="1:8" s="539" customFormat="1" ht="63" hidden="1" outlineLevel="2" x14ac:dyDescent="0.25">
      <c r="A770" s="363" t="s">
        <v>2907</v>
      </c>
      <c r="B770" s="381" t="s">
        <v>978</v>
      </c>
      <c r="C770" s="381" t="s">
        <v>2438</v>
      </c>
      <c r="D770" s="100" t="s">
        <v>404</v>
      </c>
      <c r="E770" s="100">
        <f>174.99</f>
        <v>174.99</v>
      </c>
      <c r="F770" s="525">
        <f t="shared" si="11"/>
        <v>388</v>
      </c>
      <c r="G770" s="525">
        <f>'НМЦК (с разбивкой по объектам)'!K773</f>
        <v>67916</v>
      </c>
    </row>
    <row r="771" spans="1:8" s="539" customFormat="1" ht="110.25" hidden="1" outlineLevel="2" x14ac:dyDescent="0.25">
      <c r="A771" s="363" t="s">
        <v>2908</v>
      </c>
      <c r="B771" s="381" t="s">
        <v>980</v>
      </c>
      <c r="C771" s="381" t="s">
        <v>2439</v>
      </c>
      <c r="D771" s="100" t="s">
        <v>404</v>
      </c>
      <c r="E771" s="145">
        <f>392.145</f>
        <v>392.14499999999998</v>
      </c>
      <c r="F771" s="525">
        <f t="shared" si="11"/>
        <v>861</v>
      </c>
      <c r="G771" s="525">
        <f>'НМЦК (с разбивкой по объектам)'!K774</f>
        <v>337820</v>
      </c>
    </row>
    <row r="772" spans="1:8" s="539" customFormat="1" ht="47.25" hidden="1" outlineLevel="2" x14ac:dyDescent="0.25">
      <c r="A772" s="363" t="s">
        <v>2909</v>
      </c>
      <c r="B772" s="381" t="s">
        <v>982</v>
      </c>
      <c r="C772" s="381" t="s">
        <v>2440</v>
      </c>
      <c r="D772" s="100" t="s">
        <v>404</v>
      </c>
      <c r="E772" s="145">
        <f>448.285</f>
        <v>448.28500000000003</v>
      </c>
      <c r="F772" s="525">
        <f t="shared" si="11"/>
        <v>462</v>
      </c>
      <c r="G772" s="525">
        <f>'НМЦК (с разбивкой по объектам)'!K775</f>
        <v>207214</v>
      </c>
    </row>
    <row r="773" spans="1:8" s="539" customFormat="1" ht="31.5" hidden="1" outlineLevel="2" x14ac:dyDescent="0.25">
      <c r="A773" s="363" t="s">
        <v>2910</v>
      </c>
      <c r="B773" s="381" t="s">
        <v>984</v>
      </c>
      <c r="C773" s="381" t="s">
        <v>2441</v>
      </c>
      <c r="D773" s="100" t="s">
        <v>404</v>
      </c>
      <c r="E773" s="100">
        <f>195.32</f>
        <v>195.32</v>
      </c>
      <c r="F773" s="525">
        <f t="shared" si="11"/>
        <v>754</v>
      </c>
      <c r="G773" s="525">
        <f>'НМЦК (с разбивкой по объектам)'!K776</f>
        <v>147353</v>
      </c>
    </row>
    <row r="774" spans="1:8" s="539" customFormat="1" ht="94.5" hidden="1" outlineLevel="2" x14ac:dyDescent="0.25">
      <c r="A774" s="363" t="s">
        <v>2911</v>
      </c>
      <c r="B774" s="381" t="s">
        <v>986</v>
      </c>
      <c r="C774" s="381" t="s">
        <v>2442</v>
      </c>
      <c r="D774" s="100" t="s">
        <v>404</v>
      </c>
      <c r="E774" s="100">
        <f>93.14</f>
        <v>93.14</v>
      </c>
      <c r="F774" s="525">
        <f t="shared" si="11"/>
        <v>5924</v>
      </c>
      <c r="G774" s="525">
        <f>'НМЦК (с разбивкой по объектам)'!K777</f>
        <v>551799</v>
      </c>
    </row>
    <row r="775" spans="1:8" s="539" customFormat="1" ht="78.75" hidden="1" outlineLevel="2" x14ac:dyDescent="0.25">
      <c r="A775" s="363" t="s">
        <v>2912</v>
      </c>
      <c r="B775" s="381" t="s">
        <v>987</v>
      </c>
      <c r="C775" s="381" t="s">
        <v>2443</v>
      </c>
      <c r="D775" s="100" t="s">
        <v>404</v>
      </c>
      <c r="E775" s="100">
        <f>171.75</f>
        <v>171.75</v>
      </c>
      <c r="F775" s="525">
        <f t="shared" si="11"/>
        <v>2450</v>
      </c>
      <c r="G775" s="525">
        <f>'НМЦК (с разбивкой по объектам)'!K778</f>
        <v>420858</v>
      </c>
    </row>
    <row r="776" spans="1:8" s="539" customFormat="1" hidden="1" outlineLevel="2" x14ac:dyDescent="0.25">
      <c r="A776" s="363"/>
      <c r="B776" s="381"/>
      <c r="C776" s="390" t="s">
        <v>989</v>
      </c>
      <c r="D776" s="100"/>
      <c r="E776" s="168"/>
      <c r="F776" s="525" t="e">
        <f t="shared" si="11"/>
        <v>#DIV/0!</v>
      </c>
      <c r="G776" s="525">
        <f>'НМЦК (с разбивкой по объектам)'!K779</f>
        <v>0</v>
      </c>
    </row>
    <row r="777" spans="1:8" s="539" customFormat="1" ht="78.75" hidden="1" outlineLevel="2" x14ac:dyDescent="0.25">
      <c r="A777" s="363" t="s">
        <v>2913</v>
      </c>
      <c r="B777" s="381" t="s">
        <v>991</v>
      </c>
      <c r="C777" s="381" t="s">
        <v>2444</v>
      </c>
      <c r="D777" s="100" t="s">
        <v>404</v>
      </c>
      <c r="E777" s="100">
        <f>706.52</f>
        <v>706.52</v>
      </c>
      <c r="F777" s="525">
        <f t="shared" ref="F777:F822" si="12">G777/E777</f>
        <v>986</v>
      </c>
      <c r="G777" s="525">
        <f>'НМЦК (с разбивкой по объектам)'!K780</f>
        <v>696556</v>
      </c>
    </row>
    <row r="778" spans="1:8" s="539" customFormat="1" ht="31.5" hidden="1" outlineLevel="2" x14ac:dyDescent="0.25">
      <c r="A778" s="363" t="s">
        <v>2914</v>
      </c>
      <c r="B778" s="381" t="s">
        <v>993</v>
      </c>
      <c r="C778" s="381" t="s">
        <v>2445</v>
      </c>
      <c r="D778" s="100" t="s">
        <v>404</v>
      </c>
      <c r="E778" s="168">
        <f>150.5</f>
        <v>150.5</v>
      </c>
      <c r="F778" s="525">
        <f t="shared" si="12"/>
        <v>21213</v>
      </c>
      <c r="G778" s="525">
        <f>'НМЦК (с разбивкой по объектам)'!K781</f>
        <v>3192522</v>
      </c>
      <c r="H778" s="539" t="s">
        <v>994</v>
      </c>
    </row>
    <row r="779" spans="1:8" s="539" customFormat="1" ht="47.25" hidden="1" outlineLevel="2" x14ac:dyDescent="0.25">
      <c r="A779" s="363" t="s">
        <v>2915</v>
      </c>
      <c r="B779" s="381" t="s">
        <v>996</v>
      </c>
      <c r="C779" s="381" t="s">
        <v>2446</v>
      </c>
      <c r="D779" s="100" t="s">
        <v>404</v>
      </c>
      <c r="E779" s="100">
        <f>108.05</f>
        <v>108.05</v>
      </c>
      <c r="F779" s="525">
        <f t="shared" si="12"/>
        <v>48097</v>
      </c>
      <c r="G779" s="525">
        <f>'НМЦК (с разбивкой по объектам)'!K782</f>
        <v>5196843</v>
      </c>
      <c r="H779" s="539" t="s">
        <v>994</v>
      </c>
    </row>
    <row r="780" spans="1:8" s="539" customFormat="1" ht="47.25" hidden="1" outlineLevel="2" x14ac:dyDescent="0.25">
      <c r="A780" s="363" t="s">
        <v>2916</v>
      </c>
      <c r="B780" s="381" t="s">
        <v>998</v>
      </c>
      <c r="C780" s="381" t="s">
        <v>2447</v>
      </c>
      <c r="D780" s="100" t="s">
        <v>404</v>
      </c>
      <c r="E780" s="100">
        <f>387.56</f>
        <v>387.56</v>
      </c>
      <c r="F780" s="525">
        <f t="shared" si="12"/>
        <v>522</v>
      </c>
      <c r="G780" s="525">
        <f>'НМЦК (с разбивкой по объектам)'!K783</f>
        <v>202432</v>
      </c>
    </row>
    <row r="781" spans="1:8" s="539" customFormat="1" ht="47.25" hidden="1" outlineLevel="2" x14ac:dyDescent="0.25">
      <c r="A781" s="363" t="s">
        <v>2917</v>
      </c>
      <c r="B781" s="381" t="s">
        <v>1001</v>
      </c>
      <c r="C781" s="381" t="s">
        <v>2448</v>
      </c>
      <c r="D781" s="100" t="s">
        <v>404</v>
      </c>
      <c r="E781" s="100">
        <f>102.03</f>
        <v>102.03</v>
      </c>
      <c r="F781" s="525">
        <f t="shared" si="12"/>
        <v>12638</v>
      </c>
      <c r="G781" s="525">
        <f>'НМЦК (с разбивкой по объектам)'!K784</f>
        <v>1289501</v>
      </c>
    </row>
    <row r="782" spans="1:8" s="539" customFormat="1" ht="63" hidden="1" outlineLevel="2" x14ac:dyDescent="0.25">
      <c r="A782" s="363" t="s">
        <v>2918</v>
      </c>
      <c r="B782" s="381" t="s">
        <v>1003</v>
      </c>
      <c r="C782" s="381" t="s">
        <v>2449</v>
      </c>
      <c r="D782" s="100" t="s">
        <v>404</v>
      </c>
      <c r="E782" s="100">
        <f>145.22</f>
        <v>145.22</v>
      </c>
      <c r="F782" s="525">
        <f t="shared" si="12"/>
        <v>3766</v>
      </c>
      <c r="G782" s="525">
        <f>'НМЦК (с разбивкой по объектам)'!K785</f>
        <v>546909</v>
      </c>
    </row>
    <row r="783" spans="1:8" s="539" customFormat="1" ht="31.5" hidden="1" outlineLevel="2" x14ac:dyDescent="0.25">
      <c r="A783" s="363" t="s">
        <v>2919</v>
      </c>
      <c r="B783" s="381" t="s">
        <v>1004</v>
      </c>
      <c r="C783" s="381" t="s">
        <v>2450</v>
      </c>
      <c r="D783" s="100" t="s">
        <v>404</v>
      </c>
      <c r="E783" s="100">
        <f>371.74</f>
        <v>371.74</v>
      </c>
      <c r="F783" s="525">
        <f t="shared" si="12"/>
        <v>822</v>
      </c>
      <c r="G783" s="525">
        <f>'НМЦК (с разбивкой по объектам)'!K786</f>
        <v>305548</v>
      </c>
    </row>
    <row r="784" spans="1:8" s="540" customFormat="1" outlineLevel="1" collapsed="1" x14ac:dyDescent="0.25">
      <c r="A784" s="132" t="s">
        <v>2920</v>
      </c>
      <c r="B784" s="320" t="s">
        <v>172</v>
      </c>
      <c r="C784" s="320" t="s">
        <v>1921</v>
      </c>
      <c r="D784" s="134" t="s">
        <v>292</v>
      </c>
      <c r="E784" s="90">
        <v>1</v>
      </c>
      <c r="F784" s="526">
        <f t="shared" si="12"/>
        <v>825102</v>
      </c>
      <c r="G784" s="526">
        <f>'НМЦК (с разбивкой по объектам)'!K787</f>
        <v>825102</v>
      </c>
    </row>
    <row r="785" spans="1:10" s="383" customFormat="1" hidden="1" outlineLevel="2" x14ac:dyDescent="0.25">
      <c r="A785" s="95"/>
      <c r="B785" s="381"/>
      <c r="C785" s="390" t="s">
        <v>367</v>
      </c>
      <c r="D785" s="100"/>
      <c r="E785" s="100"/>
      <c r="F785" s="525" t="e">
        <f t="shared" si="12"/>
        <v>#DIV/0!</v>
      </c>
      <c r="G785" s="525">
        <f>'НМЦК (с разбивкой по объектам)'!K788</f>
        <v>0</v>
      </c>
      <c r="H785" s="559"/>
      <c r="I785" s="404"/>
      <c r="J785" s="404"/>
    </row>
    <row r="786" spans="1:10" s="383" customFormat="1" ht="31.5" hidden="1" outlineLevel="2" x14ac:dyDescent="0.25">
      <c r="A786" s="363" t="s">
        <v>446</v>
      </c>
      <c r="B786" s="381" t="s">
        <v>1200</v>
      </c>
      <c r="C786" s="381" t="s">
        <v>356</v>
      </c>
      <c r="D786" s="100" t="s">
        <v>300</v>
      </c>
      <c r="E786" s="100">
        <f>225.74</f>
        <v>225.74</v>
      </c>
      <c r="F786" s="525">
        <f t="shared" si="12"/>
        <v>1670</v>
      </c>
      <c r="G786" s="525">
        <f>'НМЦК (с разбивкой по объектам)'!K789</f>
        <v>376931</v>
      </c>
      <c r="H786" s="560"/>
      <c r="I786" s="382"/>
      <c r="J786" s="382"/>
    </row>
    <row r="787" spans="1:10" s="383" customFormat="1" hidden="1" outlineLevel="2" x14ac:dyDescent="0.25">
      <c r="A787" s="363" t="s">
        <v>447</v>
      </c>
      <c r="B787" s="381" t="s">
        <v>1201</v>
      </c>
      <c r="C787" s="381" t="s">
        <v>373</v>
      </c>
      <c r="D787" s="100" t="s">
        <v>300</v>
      </c>
      <c r="E787" s="100">
        <f>225.74</f>
        <v>225.74</v>
      </c>
      <c r="F787" s="525">
        <f t="shared" si="12"/>
        <v>733</v>
      </c>
      <c r="G787" s="525">
        <f>'НМЦК (с разбивкой по объектам)'!K790</f>
        <v>165397</v>
      </c>
      <c r="H787" s="560"/>
      <c r="I787" s="382"/>
      <c r="J787" s="382"/>
    </row>
    <row r="788" spans="1:10" s="383" customFormat="1" ht="31.5" hidden="1" outlineLevel="2" x14ac:dyDescent="0.25">
      <c r="A788" s="363" t="s">
        <v>448</v>
      </c>
      <c r="B788" s="381" t="s">
        <v>1202</v>
      </c>
      <c r="C788" s="381" t="s">
        <v>750</v>
      </c>
      <c r="D788" s="100" t="s">
        <v>300</v>
      </c>
      <c r="E788" s="100">
        <f>225.74</f>
        <v>225.74</v>
      </c>
      <c r="F788" s="525">
        <f t="shared" si="12"/>
        <v>113</v>
      </c>
      <c r="G788" s="525">
        <f>'НМЦК (с разбивкой по объектам)'!K791</f>
        <v>25555</v>
      </c>
      <c r="H788" s="560"/>
      <c r="I788" s="382"/>
      <c r="J788" s="382"/>
    </row>
    <row r="789" spans="1:10" s="383" customFormat="1" hidden="1" outlineLevel="2" x14ac:dyDescent="0.25">
      <c r="A789" s="363" t="s">
        <v>1988</v>
      </c>
      <c r="B789" s="381" t="s">
        <v>1203</v>
      </c>
      <c r="C789" s="381" t="s">
        <v>379</v>
      </c>
      <c r="D789" s="100" t="s">
        <v>292</v>
      </c>
      <c r="E789" s="100">
        <v>1</v>
      </c>
      <c r="F789" s="525">
        <f t="shared" si="12"/>
        <v>257219</v>
      </c>
      <c r="G789" s="525">
        <f>'НМЦК (с разбивкой по объектам)'!K792</f>
        <v>257219</v>
      </c>
      <c r="H789" s="560"/>
      <c r="I789" s="382"/>
      <c r="J789" s="382"/>
    </row>
    <row r="790" spans="1:10" s="383" customFormat="1" outlineLevel="1" collapsed="1" x14ac:dyDescent="0.25">
      <c r="A790" s="132" t="s">
        <v>516</v>
      </c>
      <c r="B790" s="320" t="s">
        <v>150</v>
      </c>
      <c r="C790" s="320" t="s">
        <v>2765</v>
      </c>
      <c r="D790" s="134" t="s">
        <v>292</v>
      </c>
      <c r="E790" s="90">
        <v>1</v>
      </c>
      <c r="F790" s="526">
        <f t="shared" si="12"/>
        <v>745019</v>
      </c>
      <c r="G790" s="526">
        <f>'НМЦК (с разбивкой по объектам)'!K793</f>
        <v>745019</v>
      </c>
      <c r="H790" s="560"/>
      <c r="I790" s="382"/>
      <c r="J790" s="382"/>
    </row>
    <row r="791" spans="1:10" s="383" customFormat="1" ht="31.5" hidden="1" outlineLevel="2" x14ac:dyDescent="0.25">
      <c r="A791" s="225" t="s">
        <v>2253</v>
      </c>
      <c r="B791" s="381" t="s">
        <v>795</v>
      </c>
      <c r="C791" s="381" t="s">
        <v>1823</v>
      </c>
      <c r="D791" s="100" t="s">
        <v>292</v>
      </c>
      <c r="E791" s="149">
        <v>1</v>
      </c>
      <c r="F791" s="525">
        <f t="shared" si="12"/>
        <v>213776</v>
      </c>
      <c r="G791" s="525">
        <f>'НМЦК (с разбивкой по объектам)'!K794</f>
        <v>213776</v>
      </c>
      <c r="H791" s="382"/>
      <c r="I791" s="382"/>
      <c r="J791" s="382"/>
    </row>
    <row r="792" spans="1:10" s="383" customFormat="1" ht="31.5" hidden="1" outlineLevel="2" x14ac:dyDescent="0.25">
      <c r="A792" s="225" t="s">
        <v>2254</v>
      </c>
      <c r="B792" s="381" t="s">
        <v>796</v>
      </c>
      <c r="C792" s="381" t="s">
        <v>1824</v>
      </c>
      <c r="D792" s="100" t="s">
        <v>292</v>
      </c>
      <c r="E792" s="149">
        <v>1</v>
      </c>
      <c r="F792" s="525">
        <f t="shared" si="12"/>
        <v>531243</v>
      </c>
      <c r="G792" s="525">
        <f>'НМЦК (с разбивкой по объектам)'!K795</f>
        <v>531243</v>
      </c>
      <c r="H792" s="382"/>
      <c r="I792" s="382"/>
      <c r="J792" s="382"/>
    </row>
    <row r="793" spans="1:10" s="385" customFormat="1" hidden="1" outlineLevel="1" x14ac:dyDescent="0.25">
      <c r="A793" s="364" t="s">
        <v>615</v>
      </c>
      <c r="B793" s="436"/>
      <c r="C793" s="437" t="s">
        <v>2378</v>
      </c>
      <c r="D793" s="438" t="s">
        <v>292</v>
      </c>
      <c r="E793" s="439">
        <v>1</v>
      </c>
      <c r="F793" s="535">
        <f t="shared" si="12"/>
        <v>0</v>
      </c>
      <c r="G793" s="535">
        <f>'НМЦК (с разбивкой по объектам)'!K796</f>
        <v>0</v>
      </c>
    </row>
    <row r="794" spans="1:10" s="380" customFormat="1" ht="31.5" outlineLevel="1" x14ac:dyDescent="0.25">
      <c r="A794" s="132" t="s">
        <v>517</v>
      </c>
      <c r="B794" s="320" t="s">
        <v>65</v>
      </c>
      <c r="C794" s="320" t="s">
        <v>2921</v>
      </c>
      <c r="D794" s="134" t="s">
        <v>292</v>
      </c>
      <c r="E794" s="90">
        <v>1</v>
      </c>
      <c r="F794" s="523">
        <f t="shared" si="12"/>
        <v>1221302</v>
      </c>
      <c r="G794" s="523">
        <f>'НМЦК (с разбивкой по объектам)'!K797</f>
        <v>1221302</v>
      </c>
      <c r="H794" s="379"/>
      <c r="I794" s="379"/>
      <c r="J794" s="379"/>
    </row>
    <row r="795" spans="1:10" s="380" customFormat="1" outlineLevel="1" x14ac:dyDescent="0.25">
      <c r="A795" s="132" t="s">
        <v>518</v>
      </c>
      <c r="B795" s="320" t="s">
        <v>67</v>
      </c>
      <c r="C795" s="320" t="s">
        <v>68</v>
      </c>
      <c r="D795" s="134" t="s">
        <v>292</v>
      </c>
      <c r="E795" s="90">
        <v>1</v>
      </c>
      <c r="F795" s="523">
        <f t="shared" si="12"/>
        <v>731822</v>
      </c>
      <c r="G795" s="523">
        <f>'НМЦК (с разбивкой по объектам)'!K798</f>
        <v>731822</v>
      </c>
      <c r="H795" s="379"/>
      <c r="I795" s="379"/>
      <c r="J795" s="379"/>
    </row>
    <row r="796" spans="1:10" s="380" customFormat="1" outlineLevel="1" collapsed="1" x14ac:dyDescent="0.25">
      <c r="A796" s="132" t="s">
        <v>520</v>
      </c>
      <c r="B796" s="320" t="s">
        <v>71</v>
      </c>
      <c r="C796" s="320" t="s">
        <v>2922</v>
      </c>
      <c r="D796" s="134" t="s">
        <v>292</v>
      </c>
      <c r="E796" s="90">
        <v>1</v>
      </c>
      <c r="F796" s="526">
        <f t="shared" si="12"/>
        <v>13563363</v>
      </c>
      <c r="G796" s="526">
        <f>'НМЦК (с разбивкой по объектам)'!K799</f>
        <v>13563363</v>
      </c>
      <c r="H796" s="379"/>
      <c r="I796" s="379"/>
      <c r="J796" s="379"/>
    </row>
    <row r="797" spans="1:10" s="421" customFormat="1" ht="31.5" hidden="1" outlineLevel="2" x14ac:dyDescent="0.25">
      <c r="A797" s="177" t="s">
        <v>2213</v>
      </c>
      <c r="B797" s="381" t="s">
        <v>1789</v>
      </c>
      <c r="C797" s="381" t="s">
        <v>1788</v>
      </c>
      <c r="D797" s="100" t="s">
        <v>292</v>
      </c>
      <c r="E797" s="149">
        <v>1</v>
      </c>
      <c r="F797" s="525">
        <f t="shared" si="12"/>
        <v>1258901</v>
      </c>
      <c r="G797" s="525">
        <f>'НМЦК (с разбивкой по объектам)'!K800</f>
        <v>1258901</v>
      </c>
      <c r="H797" s="420"/>
      <c r="I797" s="420"/>
      <c r="J797" s="420"/>
    </row>
    <row r="798" spans="1:10" s="421" customFormat="1" ht="47.25" hidden="1" outlineLevel="2" x14ac:dyDescent="0.25">
      <c r="A798" s="177" t="s">
        <v>2214</v>
      </c>
      <c r="B798" s="381" t="s">
        <v>274</v>
      </c>
      <c r="C798" s="381" t="s">
        <v>1791</v>
      </c>
      <c r="D798" s="100" t="s">
        <v>292</v>
      </c>
      <c r="E798" s="149">
        <v>1</v>
      </c>
      <c r="F798" s="525">
        <f t="shared" si="12"/>
        <v>2147442</v>
      </c>
      <c r="G798" s="525">
        <f>'НМЦК (с разбивкой по объектам)'!K801</f>
        <v>2147442</v>
      </c>
      <c r="H798" s="420"/>
      <c r="I798" s="420"/>
      <c r="J798" s="420"/>
    </row>
    <row r="799" spans="1:10" s="421" customFormat="1" ht="31.5" hidden="1" outlineLevel="2" x14ac:dyDescent="0.25">
      <c r="A799" s="177" t="s">
        <v>2215</v>
      </c>
      <c r="B799" s="381" t="s">
        <v>1790</v>
      </c>
      <c r="C799" s="381" t="s">
        <v>685</v>
      </c>
      <c r="D799" s="100" t="s">
        <v>292</v>
      </c>
      <c r="E799" s="149">
        <v>1</v>
      </c>
      <c r="F799" s="525">
        <f t="shared" si="12"/>
        <v>10157020</v>
      </c>
      <c r="G799" s="525">
        <f>'НМЦК (с разбивкой по объектам)'!K802</f>
        <v>10157020</v>
      </c>
      <c r="H799" s="420"/>
      <c r="I799" s="420"/>
      <c r="J799" s="420"/>
    </row>
    <row r="800" spans="1:10" s="380" customFormat="1" hidden="1" outlineLevel="1" x14ac:dyDescent="0.25">
      <c r="A800" s="132" t="s">
        <v>521</v>
      </c>
      <c r="B800" s="320" t="s">
        <v>729</v>
      </c>
      <c r="C800" s="448" t="s">
        <v>728</v>
      </c>
      <c r="D800" s="449" t="s">
        <v>292</v>
      </c>
      <c r="E800" s="90">
        <v>1</v>
      </c>
      <c r="F800" s="523">
        <f t="shared" si="12"/>
        <v>0</v>
      </c>
      <c r="G800" s="523">
        <f>'НМЦК (с разбивкой по объектам)'!K803</f>
        <v>0</v>
      </c>
      <c r="H800" s="379"/>
      <c r="I800" s="379"/>
      <c r="J800" s="379"/>
    </row>
    <row r="801" spans="1:10" s="380" customFormat="1" outlineLevel="1" x14ac:dyDescent="0.25">
      <c r="A801" s="132" t="s">
        <v>521</v>
      </c>
      <c r="B801" s="320"/>
      <c r="C801" s="320" t="s">
        <v>556</v>
      </c>
      <c r="D801" s="449" t="s">
        <v>292</v>
      </c>
      <c r="E801" s="90">
        <v>1</v>
      </c>
      <c r="F801" s="523">
        <f t="shared" si="12"/>
        <v>18928631</v>
      </c>
      <c r="G801" s="523">
        <f>'НМЦК (с разбивкой по объектам)'!K804</f>
        <v>18928631</v>
      </c>
      <c r="H801" s="379"/>
      <c r="I801" s="379"/>
      <c r="J801" s="379"/>
    </row>
    <row r="802" spans="1:10" s="426" customFormat="1" ht="54" customHeight="1" x14ac:dyDescent="0.25">
      <c r="A802" s="179" t="s">
        <v>524</v>
      </c>
      <c r="B802" s="422"/>
      <c r="C802" s="423" t="s">
        <v>70</v>
      </c>
      <c r="D802" s="125" t="s">
        <v>292</v>
      </c>
      <c r="E802" s="126">
        <v>1</v>
      </c>
      <c r="F802" s="524">
        <f t="shared" si="12"/>
        <v>1162212</v>
      </c>
      <c r="G802" s="524">
        <f>'НМЦК (с разбивкой по объектам)'!K805</f>
        <v>1162212</v>
      </c>
      <c r="H802" s="424"/>
      <c r="I802" s="183"/>
      <c r="J802" s="425"/>
    </row>
    <row r="803" spans="1:10" s="446" customFormat="1" collapsed="1" x14ac:dyDescent="0.25">
      <c r="A803" s="141" t="s">
        <v>525</v>
      </c>
      <c r="B803" s="450" t="s">
        <v>69</v>
      </c>
      <c r="C803" s="142" t="s">
        <v>646</v>
      </c>
      <c r="D803" s="134" t="s">
        <v>292</v>
      </c>
      <c r="E803" s="90">
        <v>1</v>
      </c>
      <c r="F803" s="526">
        <f t="shared" si="12"/>
        <v>294456</v>
      </c>
      <c r="G803" s="526">
        <f>'НМЦК (с разбивкой по объектам)'!K806</f>
        <v>294456</v>
      </c>
      <c r="H803" s="445"/>
      <c r="I803" s="445"/>
      <c r="J803" s="445"/>
    </row>
    <row r="804" spans="1:10" s="383" customFormat="1" hidden="1" outlineLevel="1" x14ac:dyDescent="0.25">
      <c r="A804" s="95" t="s">
        <v>526</v>
      </c>
      <c r="B804" s="381" t="s">
        <v>248</v>
      </c>
      <c r="C804" s="381" t="s">
        <v>1794</v>
      </c>
      <c r="D804" s="100" t="s">
        <v>292</v>
      </c>
      <c r="E804" s="149">
        <v>1</v>
      </c>
      <c r="F804" s="525">
        <f t="shared" si="12"/>
        <v>44021</v>
      </c>
      <c r="G804" s="525">
        <f>'НМЦК (с разбивкой по объектам)'!K807</f>
        <v>44021</v>
      </c>
      <c r="H804" s="382"/>
      <c r="I804" s="382"/>
      <c r="J804" s="382"/>
    </row>
    <row r="805" spans="1:10" s="383" customFormat="1" hidden="1" outlineLevel="1" x14ac:dyDescent="0.25">
      <c r="A805" s="95" t="s">
        <v>527</v>
      </c>
      <c r="B805" s="381" t="s">
        <v>250</v>
      </c>
      <c r="C805" s="381" t="s">
        <v>1793</v>
      </c>
      <c r="D805" s="100" t="s">
        <v>292</v>
      </c>
      <c r="E805" s="149">
        <v>1</v>
      </c>
      <c r="F805" s="525">
        <f t="shared" si="12"/>
        <v>130150</v>
      </c>
      <c r="G805" s="525">
        <f>'НМЦК (с разбивкой по объектам)'!K808</f>
        <v>130150</v>
      </c>
      <c r="H805" s="382"/>
      <c r="I805" s="382"/>
      <c r="J805" s="382"/>
    </row>
    <row r="806" spans="1:10" s="383" customFormat="1" hidden="1" outlineLevel="1" x14ac:dyDescent="0.25">
      <c r="A806" s="95" t="s">
        <v>528</v>
      </c>
      <c r="B806" s="381" t="s">
        <v>252</v>
      </c>
      <c r="C806" s="381" t="s">
        <v>1795</v>
      </c>
      <c r="D806" s="427" t="s">
        <v>292</v>
      </c>
      <c r="E806" s="149">
        <v>1</v>
      </c>
      <c r="F806" s="525">
        <f t="shared" si="12"/>
        <v>56977</v>
      </c>
      <c r="G806" s="525">
        <f>'НМЦК (с разбивкой по объектам)'!K809</f>
        <v>56977</v>
      </c>
      <c r="H806" s="382"/>
      <c r="I806" s="382"/>
      <c r="J806" s="382"/>
    </row>
    <row r="807" spans="1:10" s="383" customFormat="1" hidden="1" outlineLevel="1" x14ac:dyDescent="0.25">
      <c r="A807" s="95" t="s">
        <v>529</v>
      </c>
      <c r="B807" s="381" t="s">
        <v>254</v>
      </c>
      <c r="C807" s="381" t="s">
        <v>1796</v>
      </c>
      <c r="D807" s="427" t="s">
        <v>292</v>
      </c>
      <c r="E807" s="149">
        <v>1</v>
      </c>
      <c r="F807" s="525">
        <f t="shared" si="12"/>
        <v>63308</v>
      </c>
      <c r="G807" s="525">
        <f>'НМЦК (с разбивкой по объектам)'!K810</f>
        <v>63308</v>
      </c>
      <c r="H807" s="382"/>
      <c r="I807" s="382"/>
      <c r="J807" s="382"/>
    </row>
    <row r="808" spans="1:10" s="380" customFormat="1" collapsed="1" x14ac:dyDescent="0.25">
      <c r="A808" s="132" t="s">
        <v>532</v>
      </c>
      <c r="B808" s="320" t="s">
        <v>69</v>
      </c>
      <c r="C808" s="320" t="s">
        <v>2216</v>
      </c>
      <c r="D808" s="134" t="s">
        <v>292</v>
      </c>
      <c r="E808" s="90">
        <v>1</v>
      </c>
      <c r="F808" s="526">
        <f t="shared" si="12"/>
        <v>824187</v>
      </c>
      <c r="G808" s="526">
        <f>'НМЦК (с разбивкой по объектам)'!K811</f>
        <v>824187</v>
      </c>
      <c r="H808" s="379"/>
      <c r="I808" s="379"/>
      <c r="J808" s="379"/>
    </row>
    <row r="809" spans="1:10" s="383" customFormat="1" hidden="1" outlineLevel="1" x14ac:dyDescent="0.25">
      <c r="A809" s="95" t="s">
        <v>690</v>
      </c>
      <c r="B809" s="381" t="s">
        <v>256</v>
      </c>
      <c r="C809" s="381" t="s">
        <v>1800</v>
      </c>
      <c r="D809" s="427" t="s">
        <v>292</v>
      </c>
      <c r="E809" s="149">
        <v>1</v>
      </c>
      <c r="F809" s="525">
        <f t="shared" si="12"/>
        <v>143697</v>
      </c>
      <c r="G809" s="525">
        <f>'НМЦК (с разбивкой по объектам)'!K812</f>
        <v>143697</v>
      </c>
      <c r="H809" s="382"/>
      <c r="I809" s="382"/>
      <c r="J809" s="382"/>
    </row>
    <row r="810" spans="1:10" s="399" customFormat="1" hidden="1" outlineLevel="1" x14ac:dyDescent="0.25">
      <c r="A810" s="93" t="s">
        <v>691</v>
      </c>
      <c r="B810" s="408" t="s">
        <v>1770</v>
      </c>
      <c r="C810" s="408" t="s">
        <v>530</v>
      </c>
      <c r="D810" s="428" t="s">
        <v>292</v>
      </c>
      <c r="E810" s="151">
        <v>1</v>
      </c>
      <c r="F810" s="532">
        <f t="shared" si="12"/>
        <v>67196</v>
      </c>
      <c r="G810" s="532">
        <f>'НМЦК (с разбивкой по объектам)'!K813</f>
        <v>67196</v>
      </c>
      <c r="H810" s="398"/>
      <c r="I810" s="398"/>
      <c r="J810" s="398"/>
    </row>
    <row r="811" spans="1:10" s="399" customFormat="1" hidden="1" outlineLevel="1" x14ac:dyDescent="0.25">
      <c r="A811" s="93" t="s">
        <v>692</v>
      </c>
      <c r="B811" s="408" t="s">
        <v>1771</v>
      </c>
      <c r="C811" s="408" t="s">
        <v>531</v>
      </c>
      <c r="D811" s="428" t="s">
        <v>292</v>
      </c>
      <c r="E811" s="151">
        <v>1</v>
      </c>
      <c r="F811" s="532">
        <f t="shared" si="12"/>
        <v>76501</v>
      </c>
      <c r="G811" s="532">
        <f>'НМЦК (с разбивкой по объектам)'!K814</f>
        <v>76501</v>
      </c>
      <c r="H811" s="398"/>
      <c r="I811" s="398"/>
      <c r="J811" s="398"/>
    </row>
    <row r="812" spans="1:10" s="383" customFormat="1" ht="31.5" hidden="1" outlineLevel="1" x14ac:dyDescent="0.25">
      <c r="A812" s="95" t="s">
        <v>693</v>
      </c>
      <c r="B812" s="381" t="s">
        <v>258</v>
      </c>
      <c r="C812" s="381" t="s">
        <v>1798</v>
      </c>
      <c r="D812" s="427" t="s">
        <v>292</v>
      </c>
      <c r="E812" s="149">
        <v>1</v>
      </c>
      <c r="F812" s="525">
        <f t="shared" si="12"/>
        <v>583172</v>
      </c>
      <c r="G812" s="525">
        <f>'НМЦК (с разбивкой по объектам)'!K815</f>
        <v>583172</v>
      </c>
      <c r="H812" s="382"/>
      <c r="I812" s="382"/>
      <c r="J812" s="382"/>
    </row>
    <row r="813" spans="1:10" s="383" customFormat="1" ht="31.5" hidden="1" outlineLevel="1" x14ac:dyDescent="0.25">
      <c r="A813" s="95" t="s">
        <v>694</v>
      </c>
      <c r="B813" s="381" t="s">
        <v>260</v>
      </c>
      <c r="C813" s="381" t="s">
        <v>1799</v>
      </c>
      <c r="D813" s="427" t="s">
        <v>292</v>
      </c>
      <c r="E813" s="149">
        <v>1</v>
      </c>
      <c r="F813" s="525">
        <f t="shared" si="12"/>
        <v>41076</v>
      </c>
      <c r="G813" s="525">
        <f>'НМЦК (с разбивкой по объектам)'!K816</f>
        <v>41076</v>
      </c>
      <c r="H813" s="382"/>
      <c r="I813" s="382"/>
      <c r="J813" s="382"/>
    </row>
    <row r="814" spans="1:10" s="383" customFormat="1" ht="31.5" hidden="1" outlineLevel="1" x14ac:dyDescent="0.25">
      <c r="A814" s="95"/>
      <c r="B814" s="381" t="s">
        <v>262</v>
      </c>
      <c r="C814" s="381" t="s">
        <v>177</v>
      </c>
      <c r="D814" s="427" t="s">
        <v>292</v>
      </c>
      <c r="E814" s="149">
        <v>1</v>
      </c>
      <c r="F814" s="525">
        <f t="shared" si="12"/>
        <v>56242</v>
      </c>
      <c r="G814" s="525">
        <f>'НМЦК (с разбивкой по объектам)'!K817</f>
        <v>56242</v>
      </c>
      <c r="H814" s="382"/>
      <c r="I814" s="382"/>
      <c r="J814" s="382"/>
    </row>
    <row r="815" spans="1:10" s="380" customFormat="1" collapsed="1" x14ac:dyDescent="0.25">
      <c r="A815" s="132" t="s">
        <v>533</v>
      </c>
      <c r="B815" s="320" t="s">
        <v>71</v>
      </c>
      <c r="C815" s="320" t="s">
        <v>2922</v>
      </c>
      <c r="D815" s="134" t="s">
        <v>292</v>
      </c>
      <c r="E815" s="90">
        <v>1</v>
      </c>
      <c r="F815" s="526">
        <f t="shared" si="12"/>
        <v>20720</v>
      </c>
      <c r="G815" s="526">
        <f>'НМЦК (с разбивкой по объектам)'!K818</f>
        <v>20720</v>
      </c>
      <c r="H815" s="379"/>
      <c r="I815" s="379"/>
      <c r="J815" s="379"/>
    </row>
    <row r="816" spans="1:10" s="421" customFormat="1" ht="31.5" hidden="1" outlineLevel="1" x14ac:dyDescent="0.25">
      <c r="A816" s="177" t="s">
        <v>695</v>
      </c>
      <c r="B816" s="381" t="s">
        <v>1789</v>
      </c>
      <c r="C816" s="381" t="s">
        <v>1788</v>
      </c>
      <c r="D816" s="100" t="s">
        <v>292</v>
      </c>
      <c r="E816" s="149">
        <v>1</v>
      </c>
      <c r="F816" s="525">
        <f t="shared" si="12"/>
        <v>1918</v>
      </c>
      <c r="G816" s="525">
        <f>'НМЦК (с разбивкой по объектам)'!K819</f>
        <v>1918</v>
      </c>
      <c r="H816" s="420"/>
      <c r="I816" s="420"/>
      <c r="J816" s="420"/>
    </row>
    <row r="817" spans="1:10" s="421" customFormat="1" ht="47.25" hidden="1" outlineLevel="1" x14ac:dyDescent="0.25">
      <c r="A817" s="177" t="s">
        <v>696</v>
      </c>
      <c r="B817" s="381" t="s">
        <v>274</v>
      </c>
      <c r="C817" s="381" t="s">
        <v>1791</v>
      </c>
      <c r="D817" s="100" t="s">
        <v>292</v>
      </c>
      <c r="E817" s="149">
        <v>1</v>
      </c>
      <c r="F817" s="525">
        <f t="shared" si="12"/>
        <v>3332</v>
      </c>
      <c r="G817" s="525">
        <f>'НМЦК (с разбивкой по объектам)'!K820</f>
        <v>3332</v>
      </c>
      <c r="H817" s="420"/>
      <c r="I817" s="420"/>
      <c r="J817" s="420"/>
    </row>
    <row r="818" spans="1:10" s="421" customFormat="1" ht="31.5" hidden="1" outlineLevel="1" x14ac:dyDescent="0.25">
      <c r="A818" s="177" t="s">
        <v>2217</v>
      </c>
      <c r="B818" s="381" t="s">
        <v>1790</v>
      </c>
      <c r="C818" s="381" t="s">
        <v>685</v>
      </c>
      <c r="D818" s="100" t="s">
        <v>292</v>
      </c>
      <c r="E818" s="149">
        <v>1</v>
      </c>
      <c r="F818" s="525">
        <f t="shared" si="12"/>
        <v>15470</v>
      </c>
      <c r="G818" s="525">
        <f>'НМЦК (с разбивкой по объектам)'!K821</f>
        <v>15470</v>
      </c>
      <c r="H818" s="420"/>
      <c r="I818" s="420"/>
      <c r="J818" s="420"/>
    </row>
    <row r="819" spans="1:10" s="380" customFormat="1" x14ac:dyDescent="0.25">
      <c r="A819" s="132" t="s">
        <v>697</v>
      </c>
      <c r="B819" s="320"/>
      <c r="C819" s="320" t="s">
        <v>556</v>
      </c>
      <c r="D819" s="449" t="s">
        <v>292</v>
      </c>
      <c r="E819" s="90">
        <v>1</v>
      </c>
      <c r="F819" s="523">
        <f t="shared" si="12"/>
        <v>22849</v>
      </c>
      <c r="G819" s="523">
        <f>'НМЦК (с разбивкой по объектам)'!K822</f>
        <v>22849</v>
      </c>
      <c r="H819" s="379"/>
      <c r="I819" s="379"/>
      <c r="J819" s="379"/>
    </row>
    <row r="820" spans="1:10" s="378" customFormat="1" hidden="1" x14ac:dyDescent="0.25">
      <c r="A820" s="179" t="s">
        <v>2929</v>
      </c>
      <c r="B820" s="422"/>
      <c r="C820" s="422" t="s">
        <v>2930</v>
      </c>
      <c r="D820" s="460" t="s">
        <v>292</v>
      </c>
      <c r="E820" s="126">
        <v>1</v>
      </c>
      <c r="F820" s="524">
        <f t="shared" si="12"/>
        <v>0</v>
      </c>
      <c r="G820" s="524">
        <f>'НМЦК (с разбивкой по объектам)'!K823</f>
        <v>0</v>
      </c>
      <c r="H820" s="464"/>
      <c r="I820" s="464"/>
      <c r="J820" s="464"/>
    </row>
    <row r="821" spans="1:10" s="380" customFormat="1" hidden="1" outlineLevel="1" x14ac:dyDescent="0.25">
      <c r="A821" s="132" t="s">
        <v>2932</v>
      </c>
      <c r="B821" s="320"/>
      <c r="C821" s="320" t="s">
        <v>2930</v>
      </c>
      <c r="D821" s="449" t="s">
        <v>292</v>
      </c>
      <c r="E821" s="90">
        <v>1</v>
      </c>
      <c r="F821" s="523">
        <f t="shared" si="12"/>
        <v>0</v>
      </c>
      <c r="G821" s="523">
        <f>'НМЦК (с разбивкой по объектам)'!K824</f>
        <v>0</v>
      </c>
      <c r="H821" s="463"/>
      <c r="I821" s="463"/>
      <c r="J821" s="463"/>
    </row>
    <row r="822" spans="1:10" s="380" customFormat="1" hidden="1" outlineLevel="1" x14ac:dyDescent="0.25">
      <c r="A822" s="132" t="s">
        <v>2933</v>
      </c>
      <c r="B822" s="320"/>
      <c r="C822" s="320" t="s">
        <v>556</v>
      </c>
      <c r="D822" s="449" t="s">
        <v>292</v>
      </c>
      <c r="E822" s="90">
        <v>1</v>
      </c>
      <c r="F822" s="523">
        <f t="shared" si="12"/>
        <v>0</v>
      </c>
      <c r="G822" s="523">
        <f>'НМЦК (с разбивкой по объектам)'!K825</f>
        <v>0</v>
      </c>
      <c r="H822" s="463"/>
      <c r="I822" s="463"/>
      <c r="J822" s="463"/>
    </row>
    <row r="823" spans="1:10" x14ac:dyDescent="0.25">
      <c r="A823" s="187"/>
      <c r="B823" s="324"/>
      <c r="C823" s="189" t="s">
        <v>698</v>
      </c>
      <c r="D823" s="324"/>
      <c r="E823" s="326"/>
      <c r="F823" s="191"/>
      <c r="G823" s="191">
        <f>G9+G12+G802+G820</f>
        <v>988227146</v>
      </c>
    </row>
    <row r="824" spans="1:10" x14ac:dyDescent="0.25">
      <c r="A824" s="193"/>
      <c r="B824" s="324"/>
      <c r="C824" s="189" t="s">
        <v>699</v>
      </c>
      <c r="D824" s="324"/>
      <c r="E824" s="326"/>
      <c r="F824" s="194"/>
      <c r="G824" s="194">
        <f>G823*0.2</f>
        <v>197645429.19999999</v>
      </c>
    </row>
    <row r="825" spans="1:10" x14ac:dyDescent="0.25">
      <c r="A825" s="193"/>
      <c r="B825" s="324"/>
      <c r="C825" s="189" t="s">
        <v>700</v>
      </c>
      <c r="D825" s="324"/>
      <c r="E825" s="326"/>
      <c r="F825" s="194"/>
      <c r="G825" s="194">
        <f>G823+G824</f>
        <v>1185872575.2</v>
      </c>
    </row>
    <row r="826" spans="1:10" hidden="1" x14ac:dyDescent="0.25">
      <c r="A826" s="429"/>
      <c r="B826" s="198"/>
      <c r="C826" s="430"/>
      <c r="D826" s="431"/>
      <c r="E826" s="432"/>
    </row>
    <row r="827" spans="1:10" hidden="1" x14ac:dyDescent="0.25">
      <c r="A827" s="429"/>
      <c r="B827" s="198"/>
      <c r="C827" s="430"/>
      <c r="D827" s="431"/>
      <c r="E827" s="432"/>
    </row>
    <row r="828" spans="1:10" ht="76.150000000000006" hidden="1" customHeight="1" x14ac:dyDescent="0.25">
      <c r="A828" s="613" t="s">
        <v>2927</v>
      </c>
      <c r="B828" s="613"/>
      <c r="C828" s="613"/>
      <c r="D828" s="197"/>
    </row>
    <row r="829" spans="1:10" hidden="1" x14ac:dyDescent="0.25">
      <c r="A829" s="198"/>
      <c r="B829" s="198"/>
      <c r="C829" s="198"/>
      <c r="D829" s="198"/>
    </row>
    <row r="830" spans="1:10" hidden="1" x14ac:dyDescent="0.25">
      <c r="A830" s="118" t="s">
        <v>703</v>
      </c>
      <c r="B830" s="118"/>
      <c r="C830" s="118"/>
      <c r="D830" s="118"/>
      <c r="E830" s="118"/>
    </row>
    <row r="831" spans="1:10" hidden="1" x14ac:dyDescent="0.25">
      <c r="A831" s="614" t="s">
        <v>2928</v>
      </c>
      <c r="B831" s="614"/>
      <c r="C831" s="614"/>
      <c r="D831" s="614"/>
      <c r="E831" s="614"/>
    </row>
    <row r="832" spans="1:10" ht="30.6" hidden="1" customHeight="1" x14ac:dyDescent="0.25">
      <c r="A832" s="614" t="s">
        <v>705</v>
      </c>
      <c r="B832" s="614"/>
      <c r="C832" s="614"/>
      <c r="D832" s="614"/>
      <c r="E832" s="614"/>
    </row>
    <row r="833" spans="1:13" x14ac:dyDescent="0.25">
      <c r="A833" s="429"/>
      <c r="B833" s="198"/>
      <c r="C833" s="430"/>
      <c r="D833" s="431"/>
      <c r="E833" s="432"/>
    </row>
    <row r="834" spans="1:13" s="198" customFormat="1" x14ac:dyDescent="0.25">
      <c r="A834" s="429"/>
      <c r="B834" s="117" t="s">
        <v>534</v>
      </c>
      <c r="C834" s="430"/>
      <c r="D834" s="431"/>
      <c r="E834" s="432"/>
      <c r="F834" s="117"/>
      <c r="G834" s="117"/>
      <c r="H834" s="117"/>
      <c r="I834" s="117"/>
      <c r="J834" s="117"/>
      <c r="K834" s="117"/>
      <c r="L834" s="117"/>
      <c r="M834" s="117"/>
    </row>
    <row r="835" spans="1:13" s="198" customFormat="1" x14ac:dyDescent="0.25">
      <c r="A835" s="429"/>
      <c r="B835" s="117"/>
      <c r="C835" s="430"/>
      <c r="D835" s="431"/>
      <c r="E835" s="432"/>
      <c r="F835" s="117"/>
      <c r="G835" s="117"/>
      <c r="H835" s="117"/>
      <c r="I835" s="117"/>
      <c r="J835" s="117"/>
      <c r="K835" s="117"/>
      <c r="L835" s="117"/>
      <c r="M835" s="117"/>
    </row>
    <row r="836" spans="1:13" s="198" customFormat="1" x14ac:dyDescent="0.25">
      <c r="A836" s="429"/>
      <c r="B836" s="117" t="s">
        <v>535</v>
      </c>
      <c r="C836" s="430"/>
      <c r="D836" s="431"/>
      <c r="E836" s="432"/>
      <c r="F836" s="117"/>
      <c r="G836" s="117"/>
      <c r="H836" s="117"/>
      <c r="I836" s="117"/>
      <c r="J836" s="117"/>
      <c r="K836" s="117"/>
      <c r="L836" s="117"/>
      <c r="M836" s="117"/>
    </row>
  </sheetData>
  <mergeCells count="11">
    <mergeCell ref="A1:G1"/>
    <mergeCell ref="H507:H508"/>
    <mergeCell ref="A828:C828"/>
    <mergeCell ref="A831:E831"/>
    <mergeCell ref="A832:E832"/>
    <mergeCell ref="B3:E3"/>
    <mergeCell ref="F6:G6"/>
    <mergeCell ref="A6:A7"/>
    <mergeCell ref="C6:C7"/>
    <mergeCell ref="D6:D7"/>
    <mergeCell ref="E6:E7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K824"/>
  <sheetViews>
    <sheetView view="pageBreakPreview" topLeftCell="A552" zoomScaleNormal="100" zoomScaleSheetLayoutView="100" workbookViewId="0">
      <selection activeCell="B824" sqref="B824"/>
    </sheetView>
  </sheetViews>
  <sheetFormatPr defaultRowHeight="15.75" outlineLevelRow="4" x14ac:dyDescent="0.25"/>
  <cols>
    <col min="1" max="1" width="11.28515625" style="383" bestFit="1" customWidth="1"/>
    <col min="2" max="2" width="21.85546875" style="117" customWidth="1"/>
    <col min="3" max="3" width="54.42578125" style="117" customWidth="1"/>
    <col min="4" max="4" width="19" style="117" customWidth="1"/>
    <col min="5" max="5" width="14.85546875" style="198" customWidth="1"/>
    <col min="6" max="16384" width="9.140625" style="117"/>
  </cols>
  <sheetData>
    <row r="1" spans="1:11" customFormat="1" ht="29.25" customHeight="1" x14ac:dyDescent="0.2">
      <c r="A1" s="622" t="s">
        <v>284</v>
      </c>
      <c r="B1" s="622"/>
      <c r="C1" s="622"/>
      <c r="D1" s="622"/>
      <c r="E1" s="622"/>
      <c r="F1" s="456"/>
      <c r="G1" s="456"/>
      <c r="H1" s="456"/>
    </row>
    <row r="2" spans="1:11" customFormat="1" ht="29.25" customHeight="1" x14ac:dyDescent="0.2">
      <c r="A2" s="337"/>
      <c r="B2" s="337"/>
      <c r="C2" s="337"/>
      <c r="D2" s="113"/>
      <c r="E2" s="337"/>
      <c r="F2" s="113"/>
      <c r="G2" s="337"/>
      <c r="H2" s="337"/>
      <c r="I2" s="337"/>
      <c r="J2" s="337"/>
      <c r="K2" s="337"/>
    </row>
    <row r="3" spans="1:11" customFormat="1" ht="29.25" customHeight="1" x14ac:dyDescent="0.2">
      <c r="A3" s="114" t="s">
        <v>538</v>
      </c>
      <c r="B3" s="623" t="s">
        <v>536</v>
      </c>
      <c r="C3" s="623"/>
      <c r="D3" s="623"/>
      <c r="E3" s="623"/>
      <c r="F3" s="456"/>
      <c r="G3" s="456"/>
      <c r="H3" s="456"/>
    </row>
    <row r="4" spans="1:11" customFormat="1" ht="29.25" hidden="1" customHeight="1" x14ac:dyDescent="0.25">
      <c r="A4" s="115" t="s">
        <v>540</v>
      </c>
      <c r="B4" s="115" t="s">
        <v>541</v>
      </c>
      <c r="C4" s="115"/>
      <c r="D4" s="116"/>
      <c r="E4" s="115"/>
      <c r="F4" s="116"/>
      <c r="G4" s="115"/>
      <c r="H4" s="117"/>
      <c r="I4" s="115"/>
      <c r="J4" s="117"/>
      <c r="K4" s="117"/>
    </row>
    <row r="5" spans="1:11" customFormat="1" ht="29.25" hidden="1" customHeight="1" x14ac:dyDescent="0.25">
      <c r="A5" s="118" t="s">
        <v>542</v>
      </c>
      <c r="B5" s="83"/>
      <c r="C5" s="83"/>
      <c r="D5" s="84"/>
      <c r="E5" s="83"/>
      <c r="F5" s="84"/>
      <c r="G5" s="83"/>
      <c r="H5" s="117"/>
      <c r="I5" s="83"/>
      <c r="J5" s="117"/>
      <c r="K5" s="117"/>
    </row>
    <row r="6" spans="1:11" customFormat="1" ht="29.25" hidden="1" customHeight="1" x14ac:dyDescent="0.2">
      <c r="A6" s="119" t="s">
        <v>543</v>
      </c>
      <c r="B6" s="119"/>
      <c r="C6" s="120"/>
      <c r="D6" s="120"/>
      <c r="E6" s="120"/>
      <c r="F6" s="120"/>
      <c r="G6" s="121"/>
      <c r="H6" s="121"/>
      <c r="I6" s="121"/>
      <c r="J6" s="121"/>
      <c r="K6" s="121"/>
    </row>
    <row r="7" spans="1:11" customFormat="1" ht="29.25" hidden="1" customHeight="1" x14ac:dyDescent="0.2">
      <c r="A7" s="624" t="s">
        <v>2221</v>
      </c>
      <c r="B7" s="624"/>
      <c r="C7" s="624"/>
      <c r="D7" s="624"/>
      <c r="E7" s="624"/>
      <c r="F7" s="624"/>
      <c r="G7" s="624"/>
      <c r="H7" s="624"/>
    </row>
    <row r="8" spans="1:11" customFormat="1" ht="29.25" hidden="1" customHeight="1" x14ac:dyDescent="0.2">
      <c r="A8" s="624" t="s">
        <v>2220</v>
      </c>
      <c r="B8" s="624"/>
      <c r="C8" s="624"/>
      <c r="D8" s="624"/>
      <c r="E8" s="624"/>
      <c r="F8" s="624"/>
      <c r="G8" s="624"/>
      <c r="H8" s="624"/>
    </row>
    <row r="9" spans="1:11" customFormat="1" ht="29.25" customHeight="1" x14ac:dyDescent="0.25">
      <c r="A9" s="83"/>
      <c r="B9" s="83"/>
      <c r="C9" s="83"/>
      <c r="D9" s="84"/>
      <c r="E9" s="83"/>
      <c r="F9" s="105"/>
      <c r="G9" s="83"/>
      <c r="I9" s="83"/>
    </row>
    <row r="10" spans="1:11" ht="184.9" customHeight="1" x14ac:dyDescent="0.25">
      <c r="A10" s="85" t="s">
        <v>1</v>
      </c>
      <c r="B10" s="85" t="s">
        <v>285</v>
      </c>
      <c r="C10" s="86" t="s">
        <v>286</v>
      </c>
      <c r="D10" s="86" t="s">
        <v>287</v>
      </c>
      <c r="E10" s="86" t="s">
        <v>288</v>
      </c>
    </row>
    <row r="11" spans="1:11" x14ac:dyDescent="0.25">
      <c r="A11" s="85">
        <v>1</v>
      </c>
      <c r="B11" s="85">
        <v>2</v>
      </c>
      <c r="C11" s="85">
        <v>3</v>
      </c>
      <c r="D11" s="87">
        <v>4</v>
      </c>
      <c r="E11" s="87">
        <v>5</v>
      </c>
    </row>
    <row r="12" spans="1:11" s="378" customFormat="1" ht="22.15" customHeight="1" x14ac:dyDescent="0.25">
      <c r="A12" s="88">
        <v>1</v>
      </c>
      <c r="B12" s="88"/>
      <c r="C12" s="89" t="s">
        <v>81</v>
      </c>
      <c r="D12" s="125" t="s">
        <v>292</v>
      </c>
      <c r="E12" s="126">
        <v>1</v>
      </c>
    </row>
    <row r="13" spans="1:11" s="380" customFormat="1" ht="34.5" customHeight="1" outlineLevel="1" x14ac:dyDescent="0.25">
      <c r="A13" s="132" t="s">
        <v>293</v>
      </c>
      <c r="B13" s="132" t="s">
        <v>706</v>
      </c>
      <c r="C13" s="133" t="s">
        <v>294</v>
      </c>
      <c r="D13" s="134" t="s">
        <v>292</v>
      </c>
      <c r="E13" s="90">
        <v>1</v>
      </c>
    </row>
    <row r="14" spans="1:11" s="378" customFormat="1" ht="32.450000000000003" customHeight="1" x14ac:dyDescent="0.25">
      <c r="A14" s="92" t="s">
        <v>296</v>
      </c>
      <c r="B14" s="92"/>
      <c r="C14" s="89" t="s">
        <v>297</v>
      </c>
      <c r="D14" s="125" t="s">
        <v>292</v>
      </c>
      <c r="E14" s="126">
        <v>1</v>
      </c>
    </row>
    <row r="15" spans="1:11" s="378" customFormat="1" ht="15.75" customHeight="1" outlineLevel="1" collapsed="1" x14ac:dyDescent="0.25">
      <c r="A15" s="92" t="s">
        <v>298</v>
      </c>
      <c r="B15" s="92"/>
      <c r="C15" s="89" t="s">
        <v>557</v>
      </c>
      <c r="D15" s="125" t="s">
        <v>292</v>
      </c>
      <c r="E15" s="126">
        <v>1</v>
      </c>
    </row>
    <row r="16" spans="1:11" s="383" customFormat="1" ht="33.75" hidden="1" customHeight="1" outlineLevel="2" x14ac:dyDescent="0.25">
      <c r="A16" s="363" t="s">
        <v>558</v>
      </c>
      <c r="B16" s="381" t="s">
        <v>19</v>
      </c>
      <c r="C16" s="202" t="str">
        <f>'Затраты подрядчика'!C29</f>
        <v>Затраты на проведение биологических мероприятий по рекультивации</v>
      </c>
      <c r="D16" s="143" t="s">
        <v>404</v>
      </c>
      <c r="E16" s="144">
        <v>246</v>
      </c>
    </row>
    <row r="17" spans="1:5" s="383" customFormat="1" hidden="1" outlineLevel="2" x14ac:dyDescent="0.25">
      <c r="A17" s="363" t="s">
        <v>299</v>
      </c>
      <c r="B17" s="381" t="s">
        <v>21</v>
      </c>
      <c r="C17" s="381" t="s">
        <v>22</v>
      </c>
      <c r="D17" s="100" t="s">
        <v>404</v>
      </c>
      <c r="E17" s="149">
        <v>492</v>
      </c>
    </row>
    <row r="18" spans="1:5" s="358" customFormat="1" outlineLevel="1" x14ac:dyDescent="0.25">
      <c r="A18" s="179" t="s">
        <v>301</v>
      </c>
      <c r="B18" s="422"/>
      <c r="C18" s="422" t="s">
        <v>531</v>
      </c>
      <c r="D18" s="125" t="s">
        <v>292</v>
      </c>
      <c r="E18" s="126">
        <v>1</v>
      </c>
    </row>
    <row r="19" spans="1:5" s="386" customFormat="1" outlineLevel="2" collapsed="1" x14ac:dyDescent="0.25">
      <c r="A19" s="132" t="s">
        <v>302</v>
      </c>
      <c r="B19" s="320"/>
      <c r="C19" s="384" t="s">
        <v>2359</v>
      </c>
      <c r="D19" s="134" t="s">
        <v>292</v>
      </c>
      <c r="E19" s="90">
        <v>1</v>
      </c>
    </row>
    <row r="20" spans="1:5" s="358" customFormat="1" hidden="1" outlineLevel="3" x14ac:dyDescent="0.25">
      <c r="A20" s="368"/>
      <c r="B20" s="387"/>
      <c r="C20" s="388" t="s">
        <v>2392</v>
      </c>
      <c r="D20" s="239"/>
      <c r="E20" s="240"/>
    </row>
    <row r="21" spans="1:5" s="383" customFormat="1" hidden="1" outlineLevel="3" x14ac:dyDescent="0.25">
      <c r="A21" s="363"/>
      <c r="B21" s="381"/>
      <c r="C21" s="387" t="s">
        <v>367</v>
      </c>
      <c r="D21" s="100"/>
      <c r="E21" s="149"/>
    </row>
    <row r="22" spans="1:5" s="383" customFormat="1" hidden="1" outlineLevel="3" x14ac:dyDescent="0.25">
      <c r="A22" s="363"/>
      <c r="B22" s="381"/>
      <c r="C22" s="390" t="s">
        <v>2393</v>
      </c>
      <c r="D22" s="100"/>
      <c r="E22" s="149"/>
    </row>
    <row r="23" spans="1:5" s="383" customFormat="1" ht="31.5" hidden="1" outlineLevel="3" x14ac:dyDescent="0.25">
      <c r="A23" s="363" t="s">
        <v>303</v>
      </c>
      <c r="B23" s="381" t="s">
        <v>355</v>
      </c>
      <c r="C23" s="381" t="s">
        <v>356</v>
      </c>
      <c r="D23" s="100" t="s">
        <v>300</v>
      </c>
      <c r="E23" s="149">
        <f>'Земляные работы'!H13*443/503</f>
        <v>4784</v>
      </c>
    </row>
    <row r="24" spans="1:5" s="383" customFormat="1" ht="31.5" hidden="1" outlineLevel="3" x14ac:dyDescent="0.25">
      <c r="A24" s="363" t="s">
        <v>306</v>
      </c>
      <c r="B24" s="381" t="s">
        <v>560</v>
      </c>
      <c r="C24" s="381" t="s">
        <v>656</v>
      </c>
      <c r="D24" s="100" t="s">
        <v>300</v>
      </c>
      <c r="E24" s="149">
        <f>'Земляные работы'!H13*443/503</f>
        <v>4784</v>
      </c>
    </row>
    <row r="25" spans="1:5" s="394" customFormat="1" ht="31.5" hidden="1" outlineLevel="3" x14ac:dyDescent="0.25">
      <c r="A25" s="363" t="s">
        <v>308</v>
      </c>
      <c r="B25" s="391" t="s">
        <v>561</v>
      </c>
      <c r="C25" s="391" t="s">
        <v>562</v>
      </c>
      <c r="D25" s="161" t="s">
        <v>300</v>
      </c>
      <c r="E25" s="162">
        <f>'Земляные работы'!K13*443/503</f>
        <v>239.1</v>
      </c>
    </row>
    <row r="26" spans="1:5" s="394" customFormat="1" hidden="1" outlineLevel="3" x14ac:dyDescent="0.25">
      <c r="A26" s="363" t="s">
        <v>310</v>
      </c>
      <c r="B26" s="391" t="s">
        <v>564</v>
      </c>
      <c r="C26" s="391" t="s">
        <v>565</v>
      </c>
      <c r="D26" s="161" t="s">
        <v>300</v>
      </c>
      <c r="E26" s="162">
        <f>'Земляные работы'!L13*443/503</f>
        <v>239.1</v>
      </c>
    </row>
    <row r="27" spans="1:5" s="383" customFormat="1" ht="31.5" hidden="1" outlineLevel="3" x14ac:dyDescent="0.25">
      <c r="A27" s="363" t="s">
        <v>315</v>
      </c>
      <c r="B27" s="381" t="s">
        <v>567</v>
      </c>
      <c r="C27" s="381" t="s">
        <v>750</v>
      </c>
      <c r="D27" s="100" t="s">
        <v>300</v>
      </c>
      <c r="E27" s="168">
        <f>20100.9*'Земляные работы'!M13/'Земляные работы'!$M$19*443/503</f>
        <v>4115</v>
      </c>
    </row>
    <row r="28" spans="1:5" s="383" customFormat="1" hidden="1" outlineLevel="3" x14ac:dyDescent="0.25">
      <c r="A28" s="363" t="s">
        <v>318</v>
      </c>
      <c r="B28" s="381" t="s">
        <v>362</v>
      </c>
      <c r="C28" s="381" t="s">
        <v>573</v>
      </c>
      <c r="D28" s="100" t="s">
        <v>305</v>
      </c>
      <c r="E28" s="149">
        <v>1</v>
      </c>
    </row>
    <row r="29" spans="1:5" s="386" customFormat="1" outlineLevel="2" collapsed="1" x14ac:dyDescent="0.25">
      <c r="A29" s="132" t="s">
        <v>353</v>
      </c>
      <c r="B29" s="320"/>
      <c r="C29" s="395" t="s">
        <v>2360</v>
      </c>
      <c r="D29" s="134" t="s">
        <v>292</v>
      </c>
      <c r="E29" s="90">
        <v>1</v>
      </c>
    </row>
    <row r="30" spans="1:5" s="383" customFormat="1" ht="31.5" hidden="1" outlineLevel="3" x14ac:dyDescent="0.25">
      <c r="A30" s="363" t="s">
        <v>354</v>
      </c>
      <c r="B30" s="381" t="s">
        <v>458</v>
      </c>
      <c r="C30" s="381" t="s">
        <v>1348</v>
      </c>
      <c r="D30" s="100" t="s">
        <v>300</v>
      </c>
      <c r="E30" s="100">
        <v>25</v>
      </c>
    </row>
    <row r="31" spans="1:5" s="383" customFormat="1" hidden="1" outlineLevel="3" x14ac:dyDescent="0.25">
      <c r="A31" s="363" t="s">
        <v>357</v>
      </c>
      <c r="B31" s="381" t="s">
        <v>1350</v>
      </c>
      <c r="C31" s="381" t="s">
        <v>1010</v>
      </c>
      <c r="D31" s="100" t="s">
        <v>300</v>
      </c>
      <c r="E31" s="100">
        <f>151.9</f>
        <v>151.9</v>
      </c>
    </row>
    <row r="32" spans="1:5" s="383" customFormat="1" hidden="1" outlineLevel="3" x14ac:dyDescent="0.25">
      <c r="A32" s="363" t="s">
        <v>358</v>
      </c>
      <c r="B32" s="381" t="s">
        <v>1352</v>
      </c>
      <c r="C32" s="381" t="s">
        <v>1351</v>
      </c>
      <c r="D32" s="100" t="s">
        <v>300</v>
      </c>
      <c r="E32" s="100">
        <f>63.7</f>
        <v>63.7</v>
      </c>
    </row>
    <row r="33" spans="1:5" s="383" customFormat="1" hidden="1" outlineLevel="3" x14ac:dyDescent="0.25">
      <c r="A33" s="363" t="s">
        <v>361</v>
      </c>
      <c r="B33" s="381" t="s">
        <v>1354</v>
      </c>
      <c r="C33" s="381" t="s">
        <v>1353</v>
      </c>
      <c r="D33" s="100" t="s">
        <v>300</v>
      </c>
      <c r="E33" s="100">
        <f>10.3</f>
        <v>10.3</v>
      </c>
    </row>
    <row r="34" spans="1:5" s="383" customFormat="1" hidden="1" outlineLevel="3" x14ac:dyDescent="0.25">
      <c r="A34" s="363" t="s">
        <v>363</v>
      </c>
      <c r="B34" s="381" t="s">
        <v>1356</v>
      </c>
      <c r="C34" s="381" t="s">
        <v>1355</v>
      </c>
      <c r="D34" s="100" t="s">
        <v>300</v>
      </c>
      <c r="E34" s="100">
        <f>39</f>
        <v>39</v>
      </c>
    </row>
    <row r="35" spans="1:5" s="383" customFormat="1" hidden="1" outlineLevel="3" x14ac:dyDescent="0.25">
      <c r="A35" s="363" t="s">
        <v>364</v>
      </c>
      <c r="B35" s="381" t="s">
        <v>1358</v>
      </c>
      <c r="C35" s="381" t="s">
        <v>1357</v>
      </c>
      <c r="D35" s="100" t="s">
        <v>300</v>
      </c>
      <c r="E35" s="100">
        <f>134</f>
        <v>134</v>
      </c>
    </row>
    <row r="36" spans="1:5" s="383" customFormat="1" hidden="1" outlineLevel="3" x14ac:dyDescent="0.25">
      <c r="A36" s="363" t="s">
        <v>365</v>
      </c>
      <c r="B36" s="381" t="s">
        <v>1360</v>
      </c>
      <c r="C36" s="381" t="s">
        <v>1359</v>
      </c>
      <c r="D36" s="100" t="s">
        <v>300</v>
      </c>
      <c r="E36" s="100">
        <v>16.7</v>
      </c>
    </row>
    <row r="37" spans="1:5" s="383" customFormat="1" ht="31.5" hidden="1" outlineLevel="3" x14ac:dyDescent="0.25">
      <c r="A37" s="363" t="s">
        <v>2222</v>
      </c>
      <c r="B37" s="381" t="s">
        <v>1361</v>
      </c>
      <c r="C37" s="381" t="s">
        <v>1019</v>
      </c>
      <c r="D37" s="100" t="s">
        <v>292</v>
      </c>
      <c r="E37" s="100">
        <v>1</v>
      </c>
    </row>
    <row r="38" spans="1:5" s="386" customFormat="1" outlineLevel="2" collapsed="1" x14ac:dyDescent="0.25">
      <c r="A38" s="132" t="s">
        <v>366</v>
      </c>
      <c r="B38" s="320"/>
      <c r="C38" s="395" t="s">
        <v>2361</v>
      </c>
      <c r="D38" s="134" t="s">
        <v>292</v>
      </c>
      <c r="E38" s="90">
        <v>1</v>
      </c>
    </row>
    <row r="39" spans="1:5" s="383" customFormat="1" hidden="1" outlineLevel="3" x14ac:dyDescent="0.25">
      <c r="A39" s="363"/>
      <c r="B39" s="381"/>
      <c r="C39" s="390" t="s">
        <v>332</v>
      </c>
      <c r="D39" s="100"/>
      <c r="E39" s="149"/>
    </row>
    <row r="40" spans="1:5" s="383" customFormat="1" hidden="1" outlineLevel="3" x14ac:dyDescent="0.25">
      <c r="A40" s="363" t="s">
        <v>368</v>
      </c>
      <c r="B40" s="381" t="s">
        <v>337</v>
      </c>
      <c r="C40" s="381" t="s">
        <v>335</v>
      </c>
      <c r="D40" s="100" t="s">
        <v>305</v>
      </c>
      <c r="E40" s="149">
        <v>1</v>
      </c>
    </row>
    <row r="41" spans="1:5" s="383" customFormat="1" ht="56.25" hidden="1" customHeight="1" outlineLevel="3" x14ac:dyDescent="0.25">
      <c r="A41" s="363" t="s">
        <v>370</v>
      </c>
      <c r="B41" s="381" t="s">
        <v>346</v>
      </c>
      <c r="C41" s="381" t="s">
        <v>338</v>
      </c>
      <c r="D41" s="100" t="s">
        <v>305</v>
      </c>
      <c r="E41" s="149">
        <v>1</v>
      </c>
    </row>
    <row r="42" spans="1:5" s="386" customFormat="1" outlineLevel="2" collapsed="1" x14ac:dyDescent="0.25">
      <c r="A42" s="132" t="s">
        <v>387</v>
      </c>
      <c r="B42" s="320"/>
      <c r="C42" s="395" t="s">
        <v>2362</v>
      </c>
      <c r="D42" s="134" t="s">
        <v>292</v>
      </c>
      <c r="E42" s="90">
        <v>1</v>
      </c>
    </row>
    <row r="43" spans="1:5" s="383" customFormat="1" hidden="1" outlineLevel="3" x14ac:dyDescent="0.25">
      <c r="A43" s="363"/>
      <c r="B43" s="381"/>
      <c r="C43" s="381" t="s">
        <v>1026</v>
      </c>
      <c r="D43" s="100"/>
      <c r="E43" s="100"/>
    </row>
    <row r="44" spans="1:5" s="383" customFormat="1" hidden="1" outlineLevel="3" x14ac:dyDescent="0.25">
      <c r="A44" s="363" t="s">
        <v>388</v>
      </c>
      <c r="B44" s="381" t="s">
        <v>1362</v>
      </c>
      <c r="C44" s="381" t="s">
        <v>1027</v>
      </c>
      <c r="D44" s="100" t="s">
        <v>292</v>
      </c>
      <c r="E44" s="100">
        <v>1</v>
      </c>
    </row>
    <row r="45" spans="1:5" s="383" customFormat="1" hidden="1" outlineLevel="3" x14ac:dyDescent="0.25">
      <c r="A45" s="363" t="s">
        <v>389</v>
      </c>
      <c r="B45" s="381" t="s">
        <v>1364</v>
      </c>
      <c r="C45" s="381" t="s">
        <v>1031</v>
      </c>
      <c r="D45" s="100" t="s">
        <v>292</v>
      </c>
      <c r="E45" s="100">
        <v>1</v>
      </c>
    </row>
    <row r="46" spans="1:5" s="383" customFormat="1" hidden="1" outlineLevel="3" x14ac:dyDescent="0.25">
      <c r="A46" s="363" t="s">
        <v>390</v>
      </c>
      <c r="B46" s="381" t="s">
        <v>1365</v>
      </c>
      <c r="C46" s="381" t="s">
        <v>1036</v>
      </c>
      <c r="D46" s="100" t="s">
        <v>637</v>
      </c>
      <c r="E46" s="100">
        <v>1.5</v>
      </c>
    </row>
    <row r="47" spans="1:5" s="383" customFormat="1" hidden="1" outlineLevel="3" x14ac:dyDescent="0.25">
      <c r="A47" s="363"/>
      <c r="B47" s="381"/>
      <c r="C47" s="381" t="s">
        <v>1366</v>
      </c>
      <c r="D47" s="100"/>
      <c r="E47" s="100"/>
    </row>
    <row r="48" spans="1:5" s="383" customFormat="1" ht="31.5" hidden="1" outlineLevel="3" x14ac:dyDescent="0.25">
      <c r="A48" s="363" t="s">
        <v>391</v>
      </c>
      <c r="B48" s="381" t="s">
        <v>1368</v>
      </c>
      <c r="C48" s="381" t="s">
        <v>1367</v>
      </c>
      <c r="D48" s="100" t="s">
        <v>404</v>
      </c>
      <c r="E48" s="100">
        <f>4010</f>
        <v>4010</v>
      </c>
    </row>
    <row r="49" spans="1:5" s="383" customFormat="1" ht="47.25" hidden="1" outlineLevel="3" x14ac:dyDescent="0.25">
      <c r="A49" s="363" t="s">
        <v>392</v>
      </c>
      <c r="B49" s="381" t="s">
        <v>1371</v>
      </c>
      <c r="C49" s="381" t="s">
        <v>1369</v>
      </c>
      <c r="D49" s="100" t="s">
        <v>404</v>
      </c>
      <c r="E49" s="100">
        <f>198</f>
        <v>198</v>
      </c>
    </row>
    <row r="50" spans="1:5" s="383" customFormat="1" outlineLevel="2" collapsed="1" x14ac:dyDescent="0.25">
      <c r="A50" s="132" t="s">
        <v>566</v>
      </c>
      <c r="B50" s="320"/>
      <c r="C50" s="320" t="s">
        <v>2401</v>
      </c>
      <c r="D50" s="134" t="s">
        <v>292</v>
      </c>
      <c r="E50" s="90">
        <v>1</v>
      </c>
    </row>
    <row r="51" spans="1:5" s="383" customFormat="1" ht="31.5" hidden="1" outlineLevel="3" x14ac:dyDescent="0.25">
      <c r="A51" s="225" t="s">
        <v>1817</v>
      </c>
      <c r="B51" s="381" t="s">
        <v>1742</v>
      </c>
      <c r="C51" s="381" t="s">
        <v>1741</v>
      </c>
      <c r="D51" s="100" t="s">
        <v>292</v>
      </c>
      <c r="E51" s="149">
        <v>1</v>
      </c>
    </row>
    <row r="52" spans="1:5" s="383" customFormat="1" ht="31.5" hidden="1" outlineLevel="3" x14ac:dyDescent="0.25">
      <c r="A52" s="225" t="s">
        <v>1818</v>
      </c>
      <c r="B52" s="381" t="s">
        <v>1744</v>
      </c>
      <c r="C52" s="381" t="s">
        <v>1743</v>
      </c>
      <c r="D52" s="100" t="s">
        <v>292</v>
      </c>
      <c r="E52" s="149">
        <v>1</v>
      </c>
    </row>
    <row r="53" spans="1:5" s="386" customFormat="1" outlineLevel="2" collapsed="1" x14ac:dyDescent="0.25">
      <c r="A53" s="132" t="s">
        <v>568</v>
      </c>
      <c r="B53" s="320"/>
      <c r="C53" s="395" t="s">
        <v>2454</v>
      </c>
      <c r="D53" s="134" t="s">
        <v>292</v>
      </c>
      <c r="E53" s="90">
        <v>1</v>
      </c>
    </row>
    <row r="54" spans="1:5" s="358" customFormat="1" ht="47.25" hidden="1" outlineLevel="3" x14ac:dyDescent="0.25">
      <c r="A54" s="368" t="s">
        <v>2253</v>
      </c>
      <c r="B54" s="387" t="s">
        <v>219</v>
      </c>
      <c r="C54" s="387" t="s">
        <v>1372</v>
      </c>
      <c r="D54" s="239" t="s">
        <v>292</v>
      </c>
      <c r="E54" s="240">
        <v>1</v>
      </c>
    </row>
    <row r="55" spans="1:5" s="383" customFormat="1" hidden="1" outlineLevel="4" x14ac:dyDescent="0.25">
      <c r="A55" s="363"/>
      <c r="B55" s="381"/>
      <c r="C55" s="381" t="s">
        <v>1098</v>
      </c>
      <c r="D55" s="100"/>
      <c r="E55" s="149"/>
    </row>
    <row r="56" spans="1:5" s="383" customFormat="1" ht="47.25" hidden="1" outlineLevel="4" x14ac:dyDescent="0.25">
      <c r="A56" s="363" t="s">
        <v>2455</v>
      </c>
      <c r="B56" s="381" t="s">
        <v>1373</v>
      </c>
      <c r="C56" s="381" t="s">
        <v>427</v>
      </c>
      <c r="D56" s="100" t="s">
        <v>408</v>
      </c>
      <c r="E56" s="149">
        <v>1</v>
      </c>
    </row>
    <row r="57" spans="1:5" s="383" customFormat="1" ht="31.5" hidden="1" outlineLevel="4" x14ac:dyDescent="0.25">
      <c r="A57" s="363" t="s">
        <v>2456</v>
      </c>
      <c r="B57" s="381" t="s">
        <v>1374</v>
      </c>
      <c r="C57" s="381" t="s">
        <v>429</v>
      </c>
      <c r="D57" s="100" t="s">
        <v>408</v>
      </c>
      <c r="E57" s="149">
        <v>1</v>
      </c>
    </row>
    <row r="58" spans="1:5" s="383" customFormat="1" hidden="1" outlineLevel="4" x14ac:dyDescent="0.25">
      <c r="A58" s="363" t="s">
        <v>2457</v>
      </c>
      <c r="B58" s="381" t="s">
        <v>1375</v>
      </c>
      <c r="C58" s="381" t="s">
        <v>379</v>
      </c>
      <c r="D58" s="100" t="s">
        <v>292</v>
      </c>
      <c r="E58" s="149">
        <v>1</v>
      </c>
    </row>
    <row r="59" spans="1:5" s="383" customFormat="1" hidden="1" outlineLevel="4" x14ac:dyDescent="0.25">
      <c r="A59" s="363" t="s">
        <v>2458</v>
      </c>
      <c r="B59" s="381" t="s">
        <v>1376</v>
      </c>
      <c r="C59" s="381" t="s">
        <v>1102</v>
      </c>
      <c r="D59" s="100" t="s">
        <v>292</v>
      </c>
      <c r="E59" s="149">
        <v>1</v>
      </c>
    </row>
    <row r="60" spans="1:5" s="383" customFormat="1" ht="31.5" hidden="1" outlineLevel="4" x14ac:dyDescent="0.25">
      <c r="A60" s="363" t="s">
        <v>2459</v>
      </c>
      <c r="B60" s="381" t="s">
        <v>1377</v>
      </c>
      <c r="C60" s="381" t="s">
        <v>1105</v>
      </c>
      <c r="D60" s="100" t="s">
        <v>408</v>
      </c>
      <c r="E60" s="100">
        <v>10</v>
      </c>
    </row>
    <row r="61" spans="1:5" s="358" customFormat="1" hidden="1" outlineLevel="3" x14ac:dyDescent="0.25">
      <c r="A61" s="368" t="s">
        <v>2254</v>
      </c>
      <c r="B61" s="387"/>
      <c r="C61" s="387" t="s">
        <v>650</v>
      </c>
      <c r="D61" s="239" t="s">
        <v>292</v>
      </c>
      <c r="E61" s="240">
        <v>1</v>
      </c>
    </row>
    <row r="62" spans="1:5" s="399" customFormat="1" ht="31.5" hidden="1" outlineLevel="4" x14ac:dyDescent="0.25">
      <c r="A62" s="363" t="s">
        <v>2460</v>
      </c>
      <c r="B62" s="381" t="s">
        <v>783</v>
      </c>
      <c r="C62" s="381" t="s">
        <v>782</v>
      </c>
      <c r="D62" s="143" t="s">
        <v>408</v>
      </c>
      <c r="E62" s="149">
        <v>4</v>
      </c>
    </row>
    <row r="63" spans="1:5" s="399" customFormat="1" ht="31.5" hidden="1" outlineLevel="4" x14ac:dyDescent="0.25">
      <c r="A63" s="363" t="s">
        <v>2461</v>
      </c>
      <c r="B63" s="381" t="s">
        <v>784</v>
      </c>
      <c r="C63" s="381" t="s">
        <v>781</v>
      </c>
      <c r="D63" s="143" t="s">
        <v>408</v>
      </c>
      <c r="E63" s="149">
        <v>4</v>
      </c>
    </row>
    <row r="64" spans="1:5" s="399" customFormat="1" ht="31.5" hidden="1" outlineLevel="4" x14ac:dyDescent="0.25">
      <c r="A64" s="363" t="s">
        <v>2462</v>
      </c>
      <c r="B64" s="381" t="s">
        <v>785</v>
      </c>
      <c r="C64" s="381" t="s">
        <v>780</v>
      </c>
      <c r="D64" s="143" t="s">
        <v>408</v>
      </c>
      <c r="E64" s="149">
        <v>1</v>
      </c>
    </row>
    <row r="65" spans="1:5" s="399" customFormat="1" hidden="1" outlineLevel="4" x14ac:dyDescent="0.25">
      <c r="A65" s="363" t="s">
        <v>2463</v>
      </c>
      <c r="B65" s="381" t="s">
        <v>787</v>
      </c>
      <c r="C65" s="381" t="s">
        <v>482</v>
      </c>
      <c r="D65" s="143" t="s">
        <v>292</v>
      </c>
      <c r="E65" s="149">
        <v>1</v>
      </c>
    </row>
    <row r="66" spans="1:5" s="443" customFormat="1" hidden="1" outlineLevel="3" x14ac:dyDescent="0.25">
      <c r="A66" s="368" t="s">
        <v>2255</v>
      </c>
      <c r="B66" s="387"/>
      <c r="C66" s="387" t="s">
        <v>592</v>
      </c>
      <c r="D66" s="300" t="s">
        <v>292</v>
      </c>
      <c r="E66" s="240">
        <v>1</v>
      </c>
    </row>
    <row r="67" spans="1:5" s="383" customFormat="1" ht="31.5" hidden="1" outlineLevel="4" x14ac:dyDescent="0.25">
      <c r="A67" s="363" t="s">
        <v>2464</v>
      </c>
      <c r="B67" s="381" t="s">
        <v>790</v>
      </c>
      <c r="C67" s="381" t="s">
        <v>1814</v>
      </c>
      <c r="D67" s="100" t="s">
        <v>292</v>
      </c>
      <c r="E67" s="149">
        <v>1</v>
      </c>
    </row>
    <row r="68" spans="1:5" s="383" customFormat="1" hidden="1" outlineLevel="4" x14ac:dyDescent="0.25">
      <c r="A68" s="363" t="s">
        <v>2465</v>
      </c>
      <c r="B68" s="381" t="s">
        <v>791</v>
      </c>
      <c r="C68" s="381" t="s">
        <v>1813</v>
      </c>
      <c r="D68" s="100" t="s">
        <v>292</v>
      </c>
      <c r="E68" s="149">
        <v>1</v>
      </c>
    </row>
    <row r="69" spans="1:5" s="383" customFormat="1" hidden="1" outlineLevel="4" x14ac:dyDescent="0.25">
      <c r="A69" s="363" t="s">
        <v>2466</v>
      </c>
      <c r="B69" s="381" t="s">
        <v>792</v>
      </c>
      <c r="C69" s="381" t="s">
        <v>1812</v>
      </c>
      <c r="D69" s="100" t="s">
        <v>292</v>
      </c>
      <c r="E69" s="149">
        <v>1</v>
      </c>
    </row>
    <row r="70" spans="1:5" s="358" customFormat="1" hidden="1" outlineLevel="3" x14ac:dyDescent="0.25">
      <c r="A70" s="368" t="s">
        <v>2256</v>
      </c>
      <c r="B70" s="387"/>
      <c r="C70" s="387" t="s">
        <v>585</v>
      </c>
      <c r="D70" s="239" t="s">
        <v>292</v>
      </c>
      <c r="E70" s="240">
        <v>1</v>
      </c>
    </row>
    <row r="71" spans="1:5" s="383" customFormat="1" ht="31.5" hidden="1" outlineLevel="4" x14ac:dyDescent="0.25">
      <c r="A71" s="363" t="s">
        <v>2467</v>
      </c>
      <c r="B71" s="381" t="s">
        <v>797</v>
      </c>
      <c r="C71" s="381" t="s">
        <v>1825</v>
      </c>
      <c r="D71" s="100" t="s">
        <v>292</v>
      </c>
      <c r="E71" s="149">
        <v>1</v>
      </c>
    </row>
    <row r="72" spans="1:5" s="383" customFormat="1" ht="31.5" hidden="1" outlineLevel="4" x14ac:dyDescent="0.25">
      <c r="A72" s="363" t="s">
        <v>2468</v>
      </c>
      <c r="B72" s="381" t="s">
        <v>798</v>
      </c>
      <c r="C72" s="381" t="s">
        <v>1826</v>
      </c>
      <c r="D72" s="100" t="s">
        <v>292</v>
      </c>
      <c r="E72" s="149">
        <v>1</v>
      </c>
    </row>
    <row r="73" spans="1:5" s="358" customFormat="1" ht="31.5" outlineLevel="2" collapsed="1" x14ac:dyDescent="0.25">
      <c r="A73" s="132" t="s">
        <v>569</v>
      </c>
      <c r="B73" s="320"/>
      <c r="C73" s="320" t="s">
        <v>216</v>
      </c>
      <c r="D73" s="134" t="s">
        <v>292</v>
      </c>
      <c r="E73" s="90">
        <v>1</v>
      </c>
    </row>
    <row r="74" spans="1:5" s="383" customFormat="1" hidden="1" outlineLevel="4" x14ac:dyDescent="0.25">
      <c r="A74" s="363" t="s">
        <v>1835</v>
      </c>
      <c r="B74" s="381" t="s">
        <v>1338</v>
      </c>
      <c r="C74" s="381" t="s">
        <v>1309</v>
      </c>
      <c r="D74" s="100" t="s">
        <v>292</v>
      </c>
      <c r="E74" s="149">
        <v>1</v>
      </c>
    </row>
    <row r="75" spans="1:5" s="383" customFormat="1" hidden="1" outlineLevel="4" x14ac:dyDescent="0.25">
      <c r="A75" s="363" t="s">
        <v>1836</v>
      </c>
      <c r="B75" s="381" t="s">
        <v>1337</v>
      </c>
      <c r="C75" s="381" t="s">
        <v>1310</v>
      </c>
      <c r="D75" s="100" t="s">
        <v>292</v>
      </c>
      <c r="E75" s="149">
        <v>1</v>
      </c>
    </row>
    <row r="76" spans="1:5" s="383" customFormat="1" hidden="1" outlineLevel="4" x14ac:dyDescent="0.25">
      <c r="A76" s="363"/>
      <c r="B76" s="381"/>
      <c r="C76" s="381" t="s">
        <v>1311</v>
      </c>
      <c r="D76" s="100"/>
      <c r="E76" s="100"/>
    </row>
    <row r="77" spans="1:5" s="383" customFormat="1" ht="31.5" hidden="1" outlineLevel="4" x14ac:dyDescent="0.25">
      <c r="A77" s="363" t="s">
        <v>1837</v>
      </c>
      <c r="B77" s="381" t="s">
        <v>1336</v>
      </c>
      <c r="C77" s="381" t="s">
        <v>1312</v>
      </c>
      <c r="D77" s="100" t="s">
        <v>404</v>
      </c>
      <c r="E77" s="100">
        <f>424.6</f>
        <v>424.6</v>
      </c>
    </row>
    <row r="78" spans="1:5" s="383" customFormat="1" hidden="1" outlineLevel="4" x14ac:dyDescent="0.25">
      <c r="A78" s="363" t="s">
        <v>1838</v>
      </c>
      <c r="B78" s="381" t="s">
        <v>1335</v>
      </c>
      <c r="C78" s="381" t="s">
        <v>1313</v>
      </c>
      <c r="D78" s="100" t="s">
        <v>404</v>
      </c>
      <c r="E78" s="100">
        <f>248.82</f>
        <v>248.82</v>
      </c>
    </row>
    <row r="79" spans="1:5" s="383" customFormat="1" ht="63" hidden="1" outlineLevel="4" x14ac:dyDescent="0.25">
      <c r="A79" s="363" t="s">
        <v>1839</v>
      </c>
      <c r="B79" s="381" t="s">
        <v>1334</v>
      </c>
      <c r="C79" s="400" t="s">
        <v>1315</v>
      </c>
      <c r="D79" s="100" t="s">
        <v>404</v>
      </c>
      <c r="E79" s="100">
        <f>547</f>
        <v>547</v>
      </c>
    </row>
    <row r="80" spans="1:5" s="383" customFormat="1" hidden="1" outlineLevel="4" x14ac:dyDescent="0.25">
      <c r="A80" s="363" t="s">
        <v>1840</v>
      </c>
      <c r="B80" s="381" t="s">
        <v>1333</v>
      </c>
      <c r="C80" s="381" t="s">
        <v>1314</v>
      </c>
      <c r="D80" s="100" t="s">
        <v>404</v>
      </c>
      <c r="E80" s="100">
        <f>116</f>
        <v>116</v>
      </c>
    </row>
    <row r="81" spans="1:5" s="383" customFormat="1" hidden="1" outlineLevel="4" x14ac:dyDescent="0.25">
      <c r="A81" s="363" t="s">
        <v>1841</v>
      </c>
      <c r="B81" s="381" t="s">
        <v>1332</v>
      </c>
      <c r="C81" s="381" t="s">
        <v>1317</v>
      </c>
      <c r="D81" s="100" t="s">
        <v>404</v>
      </c>
      <c r="E81" s="100">
        <f>126.9</f>
        <v>126.9</v>
      </c>
    </row>
    <row r="82" spans="1:5" s="383" customFormat="1" hidden="1" outlineLevel="4" x14ac:dyDescent="0.25">
      <c r="A82" s="363" t="s">
        <v>1842</v>
      </c>
      <c r="B82" s="381" t="s">
        <v>1331</v>
      </c>
      <c r="C82" s="381" t="s">
        <v>1316</v>
      </c>
      <c r="D82" s="100" t="s">
        <v>404</v>
      </c>
      <c r="E82" s="100">
        <f>364.9</f>
        <v>364.9</v>
      </c>
    </row>
    <row r="83" spans="1:5" s="383" customFormat="1" ht="31.5" hidden="1" outlineLevel="4" x14ac:dyDescent="0.25">
      <c r="A83" s="363" t="s">
        <v>1843</v>
      </c>
      <c r="B83" s="381" t="s">
        <v>1330</v>
      </c>
      <c r="C83" s="381" t="s">
        <v>864</v>
      </c>
      <c r="D83" s="100" t="s">
        <v>404</v>
      </c>
      <c r="E83" s="161">
        <v>7640</v>
      </c>
    </row>
    <row r="84" spans="1:5" s="383" customFormat="1" hidden="1" outlineLevel="4" x14ac:dyDescent="0.25">
      <c r="A84" s="363" t="s">
        <v>2469</v>
      </c>
      <c r="B84" s="381" t="s">
        <v>1329</v>
      </c>
      <c r="C84" s="381" t="s">
        <v>1319</v>
      </c>
      <c r="D84" s="100" t="s">
        <v>404</v>
      </c>
      <c r="E84" s="100">
        <f>52.6</f>
        <v>52.6</v>
      </c>
    </row>
    <row r="85" spans="1:5" s="383" customFormat="1" hidden="1" outlineLevel="4" x14ac:dyDescent="0.25">
      <c r="A85" s="363" t="s">
        <v>2470</v>
      </c>
      <c r="B85" s="381" t="s">
        <v>1328</v>
      </c>
      <c r="C85" s="381" t="s">
        <v>1320</v>
      </c>
      <c r="D85" s="100" t="s">
        <v>292</v>
      </c>
      <c r="E85" s="100">
        <v>1</v>
      </c>
    </row>
    <row r="86" spans="1:5" s="383" customFormat="1" hidden="1" outlineLevel="4" x14ac:dyDescent="0.25">
      <c r="A86" s="363" t="s">
        <v>2471</v>
      </c>
      <c r="B86" s="381" t="s">
        <v>1323</v>
      </c>
      <c r="C86" s="381" t="s">
        <v>1321</v>
      </c>
      <c r="D86" s="100" t="s">
        <v>404</v>
      </c>
      <c r="E86" s="100">
        <f>320.8</f>
        <v>320.8</v>
      </c>
    </row>
    <row r="87" spans="1:5" s="383" customFormat="1" hidden="1" outlineLevel="4" x14ac:dyDescent="0.25">
      <c r="A87" s="363" t="s">
        <v>2472</v>
      </c>
      <c r="B87" s="381" t="s">
        <v>1325</v>
      </c>
      <c r="C87" s="381" t="s">
        <v>1324</v>
      </c>
      <c r="D87" s="100" t="s">
        <v>292</v>
      </c>
      <c r="E87" s="100">
        <v>1</v>
      </c>
    </row>
    <row r="88" spans="1:5" s="383" customFormat="1" hidden="1" outlineLevel="4" x14ac:dyDescent="0.25">
      <c r="A88" s="363" t="s">
        <v>2473</v>
      </c>
      <c r="B88" s="381" t="s">
        <v>1327</v>
      </c>
      <c r="C88" s="381" t="s">
        <v>1326</v>
      </c>
      <c r="D88" s="100" t="s">
        <v>377</v>
      </c>
      <c r="E88" s="100">
        <f>30.1+68.1</f>
        <v>98.2</v>
      </c>
    </row>
    <row r="89" spans="1:5" s="383" customFormat="1" ht="31.5" hidden="1" outlineLevel="4" x14ac:dyDescent="0.25">
      <c r="A89" s="363" t="s">
        <v>2474</v>
      </c>
      <c r="B89" s="381" t="s">
        <v>1340</v>
      </c>
      <c r="C89" s="381" t="s">
        <v>1339</v>
      </c>
      <c r="D89" s="100" t="s">
        <v>404</v>
      </c>
      <c r="E89" s="100">
        <f>592.4</f>
        <v>592.4</v>
      </c>
    </row>
    <row r="90" spans="1:5" s="383" customFormat="1" outlineLevel="2" collapsed="1" x14ac:dyDescent="0.25">
      <c r="A90" s="132" t="s">
        <v>570</v>
      </c>
      <c r="B90" s="320"/>
      <c r="C90" s="320" t="s">
        <v>2400</v>
      </c>
      <c r="D90" s="134" t="s">
        <v>292</v>
      </c>
      <c r="E90" s="90">
        <v>1</v>
      </c>
    </row>
    <row r="91" spans="1:5" s="383" customFormat="1" hidden="1" outlineLevel="3" x14ac:dyDescent="0.25">
      <c r="A91" s="374" t="s">
        <v>2257</v>
      </c>
      <c r="B91" s="402" t="s">
        <v>1347</v>
      </c>
      <c r="C91" s="402" t="s">
        <v>1344</v>
      </c>
      <c r="D91" s="272" t="s">
        <v>408</v>
      </c>
      <c r="E91" s="273">
        <v>1</v>
      </c>
    </row>
    <row r="92" spans="1:5" s="383" customFormat="1" outlineLevel="2" collapsed="1" x14ac:dyDescent="0.25">
      <c r="A92" s="370" t="s">
        <v>571</v>
      </c>
      <c r="B92" s="433"/>
      <c r="C92" s="433" t="s">
        <v>1378</v>
      </c>
      <c r="D92" s="371" t="s">
        <v>292</v>
      </c>
      <c r="E92" s="372">
        <v>1</v>
      </c>
    </row>
    <row r="93" spans="1:5" s="383" customFormat="1" hidden="1" outlineLevel="3" x14ac:dyDescent="0.25">
      <c r="A93" s="363" t="s">
        <v>2475</v>
      </c>
      <c r="B93" s="381" t="s">
        <v>1346</v>
      </c>
      <c r="C93" s="381" t="s">
        <v>1343</v>
      </c>
      <c r="D93" s="100" t="s">
        <v>408</v>
      </c>
      <c r="E93" s="149">
        <v>1</v>
      </c>
    </row>
    <row r="94" spans="1:5" s="383" customFormat="1" ht="47.25" hidden="1" outlineLevel="3" x14ac:dyDescent="0.25">
      <c r="A94" s="363" t="s">
        <v>2476</v>
      </c>
      <c r="B94" s="381" t="s">
        <v>1388</v>
      </c>
      <c r="C94" s="381" t="s">
        <v>1379</v>
      </c>
      <c r="D94" s="100" t="s">
        <v>408</v>
      </c>
      <c r="E94" s="149">
        <v>1</v>
      </c>
    </row>
    <row r="95" spans="1:5" s="383" customFormat="1" ht="78.75" hidden="1" outlineLevel="3" x14ac:dyDescent="0.25">
      <c r="A95" s="363" t="s">
        <v>2477</v>
      </c>
      <c r="B95" s="381" t="s">
        <v>1387</v>
      </c>
      <c r="C95" s="381" t="s">
        <v>1380</v>
      </c>
      <c r="D95" s="100" t="s">
        <v>408</v>
      </c>
      <c r="E95" s="149">
        <v>1</v>
      </c>
    </row>
    <row r="96" spans="1:5" s="383" customFormat="1" ht="47.25" hidden="1" outlineLevel="3" x14ac:dyDescent="0.25">
      <c r="A96" s="363" t="s">
        <v>2478</v>
      </c>
      <c r="B96" s="381" t="s">
        <v>1389</v>
      </c>
      <c r="C96" s="381" t="s">
        <v>1381</v>
      </c>
      <c r="D96" s="100" t="s">
        <v>408</v>
      </c>
      <c r="E96" s="149">
        <v>1</v>
      </c>
    </row>
    <row r="97" spans="1:5" s="383" customFormat="1" ht="47.25" hidden="1" outlineLevel="3" x14ac:dyDescent="0.25">
      <c r="A97" s="363" t="s">
        <v>2479</v>
      </c>
      <c r="B97" s="381" t="s">
        <v>1390</v>
      </c>
      <c r="C97" s="381" t="s">
        <v>1382</v>
      </c>
      <c r="D97" s="100" t="s">
        <v>408</v>
      </c>
      <c r="E97" s="149">
        <v>1</v>
      </c>
    </row>
    <row r="98" spans="1:5" s="383" customFormat="1" ht="78.75" hidden="1" outlineLevel="3" x14ac:dyDescent="0.25">
      <c r="A98" s="363" t="s">
        <v>2480</v>
      </c>
      <c r="B98" s="381" t="s">
        <v>1391</v>
      </c>
      <c r="C98" s="381" t="s">
        <v>439</v>
      </c>
      <c r="D98" s="100" t="s">
        <v>408</v>
      </c>
      <c r="E98" s="149">
        <v>1</v>
      </c>
    </row>
    <row r="99" spans="1:5" s="383" customFormat="1" ht="47.25" hidden="1" outlineLevel="3" x14ac:dyDescent="0.25">
      <c r="A99" s="363" t="s">
        <v>2481</v>
      </c>
      <c r="B99" s="381" t="s">
        <v>1392</v>
      </c>
      <c r="C99" s="381" t="s">
        <v>1383</v>
      </c>
      <c r="D99" s="100" t="s">
        <v>408</v>
      </c>
      <c r="E99" s="149">
        <v>1</v>
      </c>
    </row>
    <row r="100" spans="1:5" s="386" customFormat="1" outlineLevel="2" collapsed="1" x14ac:dyDescent="0.25">
      <c r="A100" s="132" t="s">
        <v>2482</v>
      </c>
      <c r="B100" s="320"/>
      <c r="C100" s="395" t="s">
        <v>2364</v>
      </c>
      <c r="D100" s="134" t="s">
        <v>292</v>
      </c>
      <c r="E100" s="90">
        <v>1</v>
      </c>
    </row>
    <row r="101" spans="1:5" s="383" customFormat="1" hidden="1" outlineLevel="3" x14ac:dyDescent="0.25">
      <c r="A101" s="363" t="s">
        <v>2483</v>
      </c>
      <c r="B101" s="381" t="s">
        <v>1345</v>
      </c>
      <c r="C101" s="381" t="s">
        <v>1342</v>
      </c>
      <c r="D101" s="100" t="s">
        <v>408</v>
      </c>
      <c r="E101" s="149">
        <v>1</v>
      </c>
    </row>
    <row r="102" spans="1:5" s="383" customFormat="1" ht="63" hidden="1" outlineLevel="3" x14ac:dyDescent="0.25">
      <c r="A102" s="363" t="s">
        <v>2484</v>
      </c>
      <c r="B102" s="381" t="s">
        <v>1393</v>
      </c>
      <c r="C102" s="381" t="s">
        <v>435</v>
      </c>
      <c r="D102" s="100" t="s">
        <v>408</v>
      </c>
      <c r="E102" s="149">
        <v>1</v>
      </c>
    </row>
    <row r="103" spans="1:5" s="383" customFormat="1" ht="63" hidden="1" outlineLevel="3" x14ac:dyDescent="0.25">
      <c r="A103" s="363" t="s">
        <v>2485</v>
      </c>
      <c r="B103" s="381" t="s">
        <v>1394</v>
      </c>
      <c r="C103" s="381" t="s">
        <v>437</v>
      </c>
      <c r="D103" s="100" t="s">
        <v>408</v>
      </c>
      <c r="E103" s="149">
        <v>1</v>
      </c>
    </row>
    <row r="104" spans="1:5" s="383" customFormat="1" ht="78.75" hidden="1" outlineLevel="3" x14ac:dyDescent="0.25">
      <c r="A104" s="363" t="s">
        <v>2486</v>
      </c>
      <c r="B104" s="381" t="s">
        <v>1395</v>
      </c>
      <c r="C104" s="381" t="s">
        <v>439</v>
      </c>
      <c r="D104" s="100" t="s">
        <v>408</v>
      </c>
      <c r="E104" s="149">
        <v>1</v>
      </c>
    </row>
    <row r="105" spans="1:5" s="386" customFormat="1" outlineLevel="2" collapsed="1" x14ac:dyDescent="0.25">
      <c r="A105" s="132" t="s">
        <v>2487</v>
      </c>
      <c r="B105" s="320"/>
      <c r="C105" s="395" t="s">
        <v>2365</v>
      </c>
      <c r="D105" s="134" t="s">
        <v>292</v>
      </c>
      <c r="E105" s="90">
        <v>1</v>
      </c>
    </row>
    <row r="106" spans="1:5" s="383" customFormat="1" ht="63" hidden="1" outlineLevel="3" x14ac:dyDescent="0.25">
      <c r="A106" s="363" t="s">
        <v>2488</v>
      </c>
      <c r="B106" s="381" t="s">
        <v>1396</v>
      </c>
      <c r="C106" s="381" t="s">
        <v>1385</v>
      </c>
      <c r="D106" s="100" t="s">
        <v>408</v>
      </c>
      <c r="E106" s="149">
        <v>2</v>
      </c>
    </row>
    <row r="107" spans="1:5" s="383" customFormat="1" ht="78.75" hidden="1" outlineLevel="3" x14ac:dyDescent="0.25">
      <c r="A107" s="363" t="s">
        <v>2489</v>
      </c>
      <c r="B107" s="381" t="s">
        <v>1397</v>
      </c>
      <c r="C107" s="381" t="s">
        <v>1380</v>
      </c>
      <c r="D107" s="100" t="s">
        <v>408</v>
      </c>
      <c r="E107" s="149">
        <v>1</v>
      </c>
    </row>
    <row r="108" spans="1:5" s="383" customFormat="1" ht="94.5" hidden="1" outlineLevel="3" x14ac:dyDescent="0.25">
      <c r="A108" s="363" t="s">
        <v>2490</v>
      </c>
      <c r="B108" s="381" t="s">
        <v>1398</v>
      </c>
      <c r="C108" s="381" t="s">
        <v>1386</v>
      </c>
      <c r="D108" s="100" t="s">
        <v>408</v>
      </c>
      <c r="E108" s="149">
        <v>1</v>
      </c>
    </row>
    <row r="109" spans="1:5" s="386" customFormat="1" outlineLevel="2" collapsed="1" x14ac:dyDescent="0.25">
      <c r="A109" s="132" t="s">
        <v>572</v>
      </c>
      <c r="B109" s="320" t="s">
        <v>39</v>
      </c>
      <c r="C109" s="379" t="s">
        <v>2491</v>
      </c>
      <c r="D109" s="134" t="s">
        <v>292</v>
      </c>
      <c r="E109" s="90">
        <v>1</v>
      </c>
    </row>
    <row r="110" spans="1:5" s="358" customFormat="1" ht="31.5" hidden="1" outlineLevel="3" x14ac:dyDescent="0.25">
      <c r="A110" s="368" t="s">
        <v>2492</v>
      </c>
      <c r="B110" s="387" t="s">
        <v>227</v>
      </c>
      <c r="C110" s="387" t="s">
        <v>648</v>
      </c>
      <c r="D110" s="239" t="s">
        <v>292</v>
      </c>
      <c r="E110" s="240">
        <v>1</v>
      </c>
    </row>
    <row r="111" spans="1:5" s="383" customFormat="1" hidden="1" outlineLevel="4" x14ac:dyDescent="0.25">
      <c r="A111" s="363"/>
      <c r="B111" s="381"/>
      <c r="C111" s="381" t="s">
        <v>367</v>
      </c>
      <c r="D111" s="100"/>
      <c r="E111" s="100"/>
    </row>
    <row r="112" spans="1:5" s="383" customFormat="1" ht="31.5" hidden="1" outlineLevel="4" x14ac:dyDescent="0.25">
      <c r="A112" s="363" t="s">
        <v>2494</v>
      </c>
      <c r="B112" s="381" t="s">
        <v>506</v>
      </c>
      <c r="C112" s="381" t="s">
        <v>1492</v>
      </c>
      <c r="D112" s="100" t="s">
        <v>300</v>
      </c>
      <c r="E112" s="100">
        <f>176</f>
        <v>176</v>
      </c>
    </row>
    <row r="113" spans="1:5" s="383" customFormat="1" ht="31.5" hidden="1" outlineLevel="4" x14ac:dyDescent="0.25">
      <c r="A113" s="363" t="s">
        <v>2495</v>
      </c>
      <c r="B113" s="381" t="s">
        <v>1494</v>
      </c>
      <c r="C113" s="381" t="s">
        <v>656</v>
      </c>
      <c r="D113" s="100" t="s">
        <v>300</v>
      </c>
      <c r="E113" s="100">
        <f>76.32</f>
        <v>76.319999999999993</v>
      </c>
    </row>
    <row r="114" spans="1:5" s="383" customFormat="1" hidden="1" outlineLevel="4" x14ac:dyDescent="0.25">
      <c r="A114" s="363" t="s">
        <v>2496</v>
      </c>
      <c r="B114" s="381" t="s">
        <v>1495</v>
      </c>
      <c r="C114" s="381" t="s">
        <v>1493</v>
      </c>
      <c r="D114" s="100" t="s">
        <v>300</v>
      </c>
      <c r="E114" s="100">
        <f>99.68</f>
        <v>99.68</v>
      </c>
    </row>
    <row r="115" spans="1:5" s="383" customFormat="1" ht="31.5" hidden="1" outlineLevel="4" x14ac:dyDescent="0.25">
      <c r="A115" s="363" t="s">
        <v>2497</v>
      </c>
      <c r="B115" s="381" t="s">
        <v>1496</v>
      </c>
      <c r="C115" s="381" t="s">
        <v>750</v>
      </c>
      <c r="D115" s="100" t="s">
        <v>300</v>
      </c>
      <c r="E115" s="100">
        <f>99.68</f>
        <v>99.68</v>
      </c>
    </row>
    <row r="116" spans="1:5" s="383" customFormat="1" hidden="1" outlineLevel="4" x14ac:dyDescent="0.25">
      <c r="A116" s="363" t="s">
        <v>2498</v>
      </c>
      <c r="B116" s="381" t="s">
        <v>1497</v>
      </c>
      <c r="C116" s="381" t="s">
        <v>492</v>
      </c>
      <c r="D116" s="100" t="s">
        <v>300</v>
      </c>
      <c r="E116" s="100">
        <f>9.72</f>
        <v>9.7200000000000006</v>
      </c>
    </row>
    <row r="117" spans="1:5" s="383" customFormat="1" hidden="1" outlineLevel="4" x14ac:dyDescent="0.25">
      <c r="A117" s="363" t="s">
        <v>2499</v>
      </c>
      <c r="B117" s="381" t="s">
        <v>1499</v>
      </c>
      <c r="C117" s="381" t="s">
        <v>1498</v>
      </c>
      <c r="D117" s="100" t="s">
        <v>292</v>
      </c>
      <c r="E117" s="100">
        <v>1</v>
      </c>
    </row>
    <row r="118" spans="1:5" s="383" customFormat="1" hidden="1" outlineLevel="4" x14ac:dyDescent="0.25">
      <c r="A118" s="363" t="s">
        <v>2500</v>
      </c>
      <c r="B118" s="381" t="s">
        <v>1500</v>
      </c>
      <c r="C118" s="381" t="s">
        <v>414</v>
      </c>
      <c r="D118" s="100" t="s">
        <v>404</v>
      </c>
      <c r="E118" s="100">
        <v>28</v>
      </c>
    </row>
    <row r="119" spans="1:5" s="383" customFormat="1" hidden="1" outlineLevel="4" x14ac:dyDescent="0.25">
      <c r="A119" s="363" t="s">
        <v>2501</v>
      </c>
      <c r="B119" s="381" t="s">
        <v>1502</v>
      </c>
      <c r="C119" s="381" t="s">
        <v>1501</v>
      </c>
      <c r="D119" s="100" t="s">
        <v>637</v>
      </c>
      <c r="E119" s="145">
        <f>0.144+0.152</f>
        <v>0.29599999999999999</v>
      </c>
    </row>
    <row r="120" spans="1:5" s="383" customFormat="1" hidden="1" outlineLevel="4" x14ac:dyDescent="0.25">
      <c r="A120" s="363" t="s">
        <v>2502</v>
      </c>
      <c r="B120" s="381" t="s">
        <v>1503</v>
      </c>
      <c r="C120" s="381" t="s">
        <v>493</v>
      </c>
      <c r="D120" s="100" t="s">
        <v>292</v>
      </c>
      <c r="E120" s="100">
        <v>1</v>
      </c>
    </row>
    <row r="121" spans="1:5" s="383" customFormat="1" hidden="1" outlineLevel="4" x14ac:dyDescent="0.25">
      <c r="A121" s="363" t="s">
        <v>2503</v>
      </c>
      <c r="B121" s="381" t="s">
        <v>1504</v>
      </c>
      <c r="C121" s="381" t="s">
        <v>494</v>
      </c>
      <c r="D121" s="100" t="s">
        <v>404</v>
      </c>
      <c r="E121" s="100">
        <f>21.2</f>
        <v>21.2</v>
      </c>
    </row>
    <row r="122" spans="1:5" s="358" customFormat="1" hidden="1" outlineLevel="3" x14ac:dyDescent="0.25">
      <c r="A122" s="368" t="s">
        <v>2493</v>
      </c>
      <c r="B122" s="387" t="s">
        <v>229</v>
      </c>
      <c r="C122" s="387" t="s">
        <v>646</v>
      </c>
      <c r="D122" s="239" t="s">
        <v>292</v>
      </c>
      <c r="E122" s="240">
        <v>1</v>
      </c>
    </row>
    <row r="123" spans="1:5" s="383" customFormat="1" ht="47.25" hidden="1" outlineLevel="4" x14ac:dyDescent="0.25">
      <c r="A123" s="363" t="s">
        <v>2504</v>
      </c>
      <c r="B123" s="381" t="s">
        <v>1505</v>
      </c>
      <c r="C123" s="381" t="s">
        <v>496</v>
      </c>
      <c r="D123" s="100" t="s">
        <v>408</v>
      </c>
      <c r="E123" s="149">
        <v>1</v>
      </c>
    </row>
    <row r="124" spans="1:5" s="538" customFormat="1" outlineLevel="1" x14ac:dyDescent="0.25">
      <c r="A124" s="179" t="s">
        <v>393</v>
      </c>
      <c r="B124" s="422"/>
      <c r="C124" s="435" t="s">
        <v>2505</v>
      </c>
      <c r="D124" s="125" t="s">
        <v>292</v>
      </c>
      <c r="E124" s="126">
        <v>1</v>
      </c>
    </row>
    <row r="125" spans="1:5" s="539" customFormat="1" outlineLevel="2" collapsed="1" x14ac:dyDescent="0.25">
      <c r="A125" s="132" t="s">
        <v>394</v>
      </c>
      <c r="B125" s="320"/>
      <c r="C125" s="320" t="s">
        <v>2381</v>
      </c>
      <c r="D125" s="134" t="s">
        <v>408</v>
      </c>
      <c r="E125" s="90">
        <v>1</v>
      </c>
    </row>
    <row r="126" spans="1:5" s="540" customFormat="1" hidden="1" outlineLevel="3" x14ac:dyDescent="0.25">
      <c r="A126" s="238"/>
      <c r="B126" s="387"/>
      <c r="C126" s="390" t="s">
        <v>2394</v>
      </c>
      <c r="D126" s="239"/>
      <c r="E126" s="240"/>
    </row>
    <row r="127" spans="1:5" s="539" customFormat="1" ht="31.5" hidden="1" outlineLevel="3" x14ac:dyDescent="0.25">
      <c r="A127" s="363" t="s">
        <v>1849</v>
      </c>
      <c r="B127" s="381" t="s">
        <v>355</v>
      </c>
      <c r="C127" s="381" t="s">
        <v>356</v>
      </c>
      <c r="D127" s="100" t="s">
        <v>300</v>
      </c>
      <c r="E127" s="149">
        <f>'Земляные работы'!H13*60/503</f>
        <v>648</v>
      </c>
    </row>
    <row r="128" spans="1:5" s="539" customFormat="1" ht="31.5" hidden="1" outlineLevel="3" x14ac:dyDescent="0.25">
      <c r="A128" s="363" t="s">
        <v>1850</v>
      </c>
      <c r="B128" s="381" t="s">
        <v>560</v>
      </c>
      <c r="C128" s="381" t="s">
        <v>656</v>
      </c>
      <c r="D128" s="100" t="s">
        <v>300</v>
      </c>
      <c r="E128" s="149">
        <f>'Земляные работы'!H13*60/503</f>
        <v>648</v>
      </c>
    </row>
    <row r="129" spans="1:5" s="542" customFormat="1" ht="31.5" hidden="1" outlineLevel="3" x14ac:dyDescent="0.25">
      <c r="A129" s="363" t="s">
        <v>1851</v>
      </c>
      <c r="B129" s="391" t="s">
        <v>561</v>
      </c>
      <c r="C129" s="391" t="s">
        <v>562</v>
      </c>
      <c r="D129" s="161" t="s">
        <v>300</v>
      </c>
      <c r="E129" s="162">
        <f>'Земляные работы'!K13*60/503</f>
        <v>32.4</v>
      </c>
    </row>
    <row r="130" spans="1:5" s="542" customFormat="1" hidden="1" outlineLevel="3" x14ac:dyDescent="0.25">
      <c r="A130" s="363" t="s">
        <v>1852</v>
      </c>
      <c r="B130" s="391" t="s">
        <v>564</v>
      </c>
      <c r="C130" s="391" t="s">
        <v>565</v>
      </c>
      <c r="D130" s="161" t="s">
        <v>300</v>
      </c>
      <c r="E130" s="162">
        <f>'Земляные работы'!L13*60/503</f>
        <v>32.4</v>
      </c>
    </row>
    <row r="131" spans="1:5" s="539" customFormat="1" ht="31.5" hidden="1" outlineLevel="3" x14ac:dyDescent="0.25">
      <c r="A131" s="363" t="s">
        <v>1853</v>
      </c>
      <c r="B131" s="381" t="s">
        <v>567</v>
      </c>
      <c r="C131" s="381" t="s">
        <v>750</v>
      </c>
      <c r="D131" s="100" t="s">
        <v>300</v>
      </c>
      <c r="E131" s="168">
        <f>20100.9*'Земляные работы'!M13/'Земляные работы'!$M$19*60/503</f>
        <v>557.29999999999995</v>
      </c>
    </row>
    <row r="132" spans="1:5" s="539" customFormat="1" hidden="1" outlineLevel="3" x14ac:dyDescent="0.25">
      <c r="A132" s="363" t="s">
        <v>1854</v>
      </c>
      <c r="B132" s="381" t="s">
        <v>754</v>
      </c>
      <c r="C132" s="381" t="s">
        <v>575</v>
      </c>
      <c r="D132" s="100" t="s">
        <v>305</v>
      </c>
      <c r="E132" s="149">
        <v>1</v>
      </c>
    </row>
    <row r="133" spans="1:5" s="539" customFormat="1" outlineLevel="2" collapsed="1" x14ac:dyDescent="0.25">
      <c r="A133" s="132" t="s">
        <v>395</v>
      </c>
      <c r="B133" s="320"/>
      <c r="C133" s="320" t="s">
        <v>2382</v>
      </c>
      <c r="D133" s="134" t="s">
        <v>408</v>
      </c>
      <c r="E133" s="90">
        <v>1</v>
      </c>
    </row>
    <row r="134" spans="1:5" s="539" customFormat="1" hidden="1" outlineLevel="3" x14ac:dyDescent="0.25">
      <c r="A134" s="363"/>
      <c r="B134" s="381"/>
      <c r="C134" s="388" t="s">
        <v>367</v>
      </c>
      <c r="D134" s="100"/>
      <c r="E134" s="149"/>
    </row>
    <row r="135" spans="1:5" s="539" customFormat="1" hidden="1" outlineLevel="3" x14ac:dyDescent="0.25">
      <c r="A135" s="363"/>
      <c r="B135" s="381"/>
      <c r="C135" s="390" t="s">
        <v>576</v>
      </c>
      <c r="D135" s="100"/>
      <c r="E135" s="149"/>
    </row>
    <row r="136" spans="1:5" s="539" customFormat="1" ht="31.5" hidden="1" outlineLevel="3" x14ac:dyDescent="0.25">
      <c r="A136" s="363" t="s">
        <v>396</v>
      </c>
      <c r="B136" s="381" t="s">
        <v>355</v>
      </c>
      <c r="C136" s="381" t="s">
        <v>356</v>
      </c>
      <c r="D136" s="100" t="s">
        <v>300</v>
      </c>
      <c r="E136" s="149">
        <f>'Земляные работы'!H14</f>
        <v>989</v>
      </c>
    </row>
    <row r="137" spans="1:5" s="539" customFormat="1" ht="31.5" hidden="1" outlineLevel="3" x14ac:dyDescent="0.25">
      <c r="A137" s="363" t="s">
        <v>397</v>
      </c>
      <c r="B137" s="381" t="s">
        <v>560</v>
      </c>
      <c r="C137" s="381" t="s">
        <v>656</v>
      </c>
      <c r="D137" s="100" t="s">
        <v>300</v>
      </c>
      <c r="E137" s="149">
        <f>'Земляные работы'!H14</f>
        <v>989</v>
      </c>
    </row>
    <row r="138" spans="1:5" s="542" customFormat="1" ht="31.5" hidden="1" outlineLevel="3" x14ac:dyDescent="0.25">
      <c r="A138" s="363" t="s">
        <v>399</v>
      </c>
      <c r="B138" s="391" t="s">
        <v>561</v>
      </c>
      <c r="C138" s="391" t="s">
        <v>562</v>
      </c>
      <c r="D138" s="161" t="s">
        <v>300</v>
      </c>
      <c r="E138" s="162">
        <f>'Земляные работы'!K14</f>
        <v>49.5</v>
      </c>
    </row>
    <row r="139" spans="1:5" s="542" customFormat="1" hidden="1" outlineLevel="3" x14ac:dyDescent="0.25">
      <c r="A139" s="363" t="s">
        <v>401</v>
      </c>
      <c r="B139" s="391" t="s">
        <v>564</v>
      </c>
      <c r="C139" s="391" t="s">
        <v>565</v>
      </c>
      <c r="D139" s="161" t="s">
        <v>300</v>
      </c>
      <c r="E139" s="162">
        <f>'Земляные работы'!L14</f>
        <v>49.5</v>
      </c>
    </row>
    <row r="140" spans="1:5" s="539" customFormat="1" ht="31.5" hidden="1" outlineLevel="3" x14ac:dyDescent="0.25">
      <c r="A140" s="363" t="s">
        <v>402</v>
      </c>
      <c r="B140" s="381" t="s">
        <v>567</v>
      </c>
      <c r="C140" s="381" t="s">
        <v>750</v>
      </c>
      <c r="D140" s="100" t="s">
        <v>300</v>
      </c>
      <c r="E140" s="168">
        <f>20100.9*'Земляные работы'!M14/'Земляные работы'!$M$19</f>
        <v>863</v>
      </c>
    </row>
    <row r="141" spans="1:5" s="539" customFormat="1" hidden="1" outlineLevel="3" x14ac:dyDescent="0.25">
      <c r="A141" s="363" t="s">
        <v>403</v>
      </c>
      <c r="B141" s="381" t="s">
        <v>756</v>
      </c>
      <c r="C141" s="381" t="s">
        <v>580</v>
      </c>
      <c r="D141" s="100" t="s">
        <v>305</v>
      </c>
      <c r="E141" s="149">
        <v>1</v>
      </c>
    </row>
    <row r="142" spans="1:5" s="539" customFormat="1" outlineLevel="2" collapsed="1" x14ac:dyDescent="0.25">
      <c r="A142" s="132" t="s">
        <v>406</v>
      </c>
      <c r="B142" s="320"/>
      <c r="C142" s="320" t="s">
        <v>2383</v>
      </c>
      <c r="D142" s="134" t="s">
        <v>408</v>
      </c>
      <c r="E142" s="90">
        <v>1</v>
      </c>
    </row>
    <row r="143" spans="1:5" s="539" customFormat="1" hidden="1" outlineLevel="3" x14ac:dyDescent="0.25">
      <c r="A143" s="363"/>
      <c r="B143" s="381"/>
      <c r="C143" s="390" t="s">
        <v>577</v>
      </c>
      <c r="D143" s="100"/>
      <c r="E143" s="149"/>
    </row>
    <row r="144" spans="1:5" s="539" customFormat="1" ht="31.5" hidden="1" outlineLevel="3" x14ac:dyDescent="0.25">
      <c r="A144" s="363" t="s">
        <v>407</v>
      </c>
      <c r="B144" s="381" t="s">
        <v>355</v>
      </c>
      <c r="C144" s="381" t="s">
        <v>356</v>
      </c>
      <c r="D144" s="100" t="s">
        <v>300</v>
      </c>
      <c r="E144" s="149">
        <f>'Земляные работы'!H15</f>
        <v>2476</v>
      </c>
    </row>
    <row r="145" spans="1:5" s="539" customFormat="1" ht="31.5" hidden="1" outlineLevel="3" x14ac:dyDescent="0.25">
      <c r="A145" s="363" t="s">
        <v>409</v>
      </c>
      <c r="B145" s="381" t="s">
        <v>560</v>
      </c>
      <c r="C145" s="381" t="s">
        <v>656</v>
      </c>
      <c r="D145" s="100" t="s">
        <v>300</v>
      </c>
      <c r="E145" s="149">
        <f>'Земляные работы'!H15</f>
        <v>2476</v>
      </c>
    </row>
    <row r="146" spans="1:5" s="542" customFormat="1" ht="31.5" hidden="1" outlineLevel="3" x14ac:dyDescent="0.25">
      <c r="A146" s="363" t="s">
        <v>410</v>
      </c>
      <c r="B146" s="391" t="s">
        <v>561</v>
      </c>
      <c r="C146" s="391" t="s">
        <v>562</v>
      </c>
      <c r="D146" s="161" t="s">
        <v>300</v>
      </c>
      <c r="E146" s="162">
        <f>'Земляные работы'!K15</f>
        <v>123.8</v>
      </c>
    </row>
    <row r="147" spans="1:5" s="542" customFormat="1" hidden="1" outlineLevel="3" x14ac:dyDescent="0.25">
      <c r="A147" s="363" t="s">
        <v>411</v>
      </c>
      <c r="B147" s="391" t="s">
        <v>564</v>
      </c>
      <c r="C147" s="391" t="s">
        <v>565</v>
      </c>
      <c r="D147" s="161" t="s">
        <v>300</v>
      </c>
      <c r="E147" s="162">
        <f>'Земляные работы'!L15</f>
        <v>123.8</v>
      </c>
    </row>
    <row r="148" spans="1:5" s="539" customFormat="1" ht="31.5" hidden="1" outlineLevel="3" x14ac:dyDescent="0.25">
      <c r="A148" s="363" t="s">
        <v>412</v>
      </c>
      <c r="B148" s="381" t="s">
        <v>567</v>
      </c>
      <c r="C148" s="381" t="s">
        <v>750</v>
      </c>
      <c r="D148" s="100" t="s">
        <v>300</v>
      </c>
      <c r="E148" s="168">
        <f>20100.9*'Земляные работы'!M15/'Земляные работы'!$M$19</f>
        <v>2250.9</v>
      </c>
    </row>
    <row r="149" spans="1:5" s="539" customFormat="1" hidden="1" outlineLevel="3" x14ac:dyDescent="0.25">
      <c r="A149" s="363" t="s">
        <v>413</v>
      </c>
      <c r="B149" s="381" t="s">
        <v>758</v>
      </c>
      <c r="C149" s="381" t="s">
        <v>582</v>
      </c>
      <c r="D149" s="100" t="s">
        <v>305</v>
      </c>
      <c r="E149" s="149">
        <v>1</v>
      </c>
    </row>
    <row r="150" spans="1:5" s="539" customFormat="1" outlineLevel="2" collapsed="1" x14ac:dyDescent="0.25">
      <c r="A150" s="132" t="s">
        <v>423</v>
      </c>
      <c r="B150" s="320"/>
      <c r="C150" s="320" t="s">
        <v>2384</v>
      </c>
      <c r="D150" s="134" t="s">
        <v>408</v>
      </c>
      <c r="E150" s="90">
        <v>1</v>
      </c>
    </row>
    <row r="151" spans="1:5" s="539" customFormat="1" hidden="1" outlineLevel="3" x14ac:dyDescent="0.25">
      <c r="A151" s="363"/>
      <c r="B151" s="381"/>
      <c r="C151" s="390" t="s">
        <v>746</v>
      </c>
      <c r="D151" s="100"/>
      <c r="E151" s="149"/>
    </row>
    <row r="152" spans="1:5" s="539" customFormat="1" ht="31.5" hidden="1" outlineLevel="3" x14ac:dyDescent="0.25">
      <c r="A152" s="363" t="s">
        <v>424</v>
      </c>
      <c r="B152" s="381" t="s">
        <v>355</v>
      </c>
      <c r="C152" s="381" t="s">
        <v>356</v>
      </c>
      <c r="D152" s="100" t="s">
        <v>300</v>
      </c>
      <c r="E152" s="149">
        <f>'Земляные работы'!H16</f>
        <v>3310</v>
      </c>
    </row>
    <row r="153" spans="1:5" s="539" customFormat="1" ht="31.5" hidden="1" outlineLevel="3" x14ac:dyDescent="0.25">
      <c r="A153" s="363" t="s">
        <v>1928</v>
      </c>
      <c r="B153" s="381" t="s">
        <v>560</v>
      </c>
      <c r="C153" s="381" t="s">
        <v>656</v>
      </c>
      <c r="D153" s="100" t="s">
        <v>300</v>
      </c>
      <c r="E153" s="149">
        <f>'Земляные работы'!H16</f>
        <v>3310</v>
      </c>
    </row>
    <row r="154" spans="1:5" s="542" customFormat="1" ht="31.5" hidden="1" outlineLevel="3" x14ac:dyDescent="0.25">
      <c r="A154" s="363" t="s">
        <v>1929</v>
      </c>
      <c r="B154" s="391" t="s">
        <v>561</v>
      </c>
      <c r="C154" s="391" t="s">
        <v>562</v>
      </c>
      <c r="D154" s="161" t="s">
        <v>300</v>
      </c>
      <c r="E154" s="162">
        <f>'Земляные работы'!K16</f>
        <v>165.5</v>
      </c>
    </row>
    <row r="155" spans="1:5" s="542" customFormat="1" hidden="1" outlineLevel="3" x14ac:dyDescent="0.25">
      <c r="A155" s="363" t="s">
        <v>1930</v>
      </c>
      <c r="B155" s="391" t="s">
        <v>564</v>
      </c>
      <c r="C155" s="391" t="s">
        <v>565</v>
      </c>
      <c r="D155" s="161" t="s">
        <v>300</v>
      </c>
      <c r="E155" s="162">
        <f>'Земляные работы'!L16</f>
        <v>165.5</v>
      </c>
    </row>
    <row r="156" spans="1:5" s="539" customFormat="1" ht="31.5" hidden="1" outlineLevel="3" x14ac:dyDescent="0.25">
      <c r="A156" s="363" t="s">
        <v>1931</v>
      </c>
      <c r="B156" s="381" t="s">
        <v>567</v>
      </c>
      <c r="C156" s="381" t="s">
        <v>750</v>
      </c>
      <c r="D156" s="100" t="s">
        <v>300</v>
      </c>
      <c r="E156" s="168">
        <f>20100.9*'Земляные работы'!M16/'Земляные работы'!$M$19</f>
        <v>3027.7</v>
      </c>
    </row>
    <row r="157" spans="1:5" s="539" customFormat="1" hidden="1" outlineLevel="3" x14ac:dyDescent="0.25">
      <c r="A157" s="363" t="s">
        <v>1932</v>
      </c>
      <c r="B157" s="381" t="s">
        <v>760</v>
      </c>
      <c r="C157" s="381" t="s">
        <v>583</v>
      </c>
      <c r="D157" s="100" t="s">
        <v>305</v>
      </c>
      <c r="E157" s="149">
        <v>1</v>
      </c>
    </row>
    <row r="158" spans="1:5" s="539" customFormat="1" outlineLevel="2" collapsed="1" x14ac:dyDescent="0.25">
      <c r="A158" s="132" t="s">
        <v>425</v>
      </c>
      <c r="B158" s="320"/>
      <c r="C158" s="320" t="s">
        <v>2385</v>
      </c>
      <c r="D158" s="134" t="s">
        <v>408</v>
      </c>
      <c r="E158" s="90">
        <v>1</v>
      </c>
    </row>
    <row r="159" spans="1:5" s="539" customFormat="1" hidden="1" outlineLevel="3" x14ac:dyDescent="0.25">
      <c r="A159" s="363"/>
      <c r="B159" s="381"/>
      <c r="C159" s="390" t="s">
        <v>747</v>
      </c>
      <c r="D159" s="100"/>
      <c r="E159" s="149"/>
    </row>
    <row r="160" spans="1:5" s="539" customFormat="1" ht="31.5" hidden="1" outlineLevel="3" x14ac:dyDescent="0.25">
      <c r="A160" s="363" t="s">
        <v>426</v>
      </c>
      <c r="B160" s="381" t="s">
        <v>355</v>
      </c>
      <c r="C160" s="381" t="s">
        <v>356</v>
      </c>
      <c r="D160" s="100" t="s">
        <v>300</v>
      </c>
      <c r="E160" s="149">
        <f>'Земляные работы'!H17</f>
        <v>2315</v>
      </c>
    </row>
    <row r="161" spans="1:5" s="539" customFormat="1" ht="31.5" hidden="1" outlineLevel="3" x14ac:dyDescent="0.25">
      <c r="A161" s="363" t="s">
        <v>428</v>
      </c>
      <c r="B161" s="381" t="s">
        <v>560</v>
      </c>
      <c r="C161" s="381" t="s">
        <v>656</v>
      </c>
      <c r="D161" s="100" t="s">
        <v>300</v>
      </c>
      <c r="E161" s="149">
        <f>'Земляные работы'!H17</f>
        <v>2315</v>
      </c>
    </row>
    <row r="162" spans="1:5" s="542" customFormat="1" ht="31.5" hidden="1" outlineLevel="3" x14ac:dyDescent="0.25">
      <c r="A162" s="363" t="s">
        <v>430</v>
      </c>
      <c r="B162" s="391" t="s">
        <v>561</v>
      </c>
      <c r="C162" s="391" t="s">
        <v>562</v>
      </c>
      <c r="D162" s="161" t="s">
        <v>300</v>
      </c>
      <c r="E162" s="162">
        <f>'Земляные работы'!K17</f>
        <v>115.8</v>
      </c>
    </row>
    <row r="163" spans="1:5" s="542" customFormat="1" hidden="1" outlineLevel="3" x14ac:dyDescent="0.25">
      <c r="A163" s="363" t="s">
        <v>431</v>
      </c>
      <c r="B163" s="391" t="s">
        <v>564</v>
      </c>
      <c r="C163" s="391" t="s">
        <v>565</v>
      </c>
      <c r="D163" s="161" t="s">
        <v>300</v>
      </c>
      <c r="E163" s="162">
        <f>'Земляные работы'!L17</f>
        <v>115.8</v>
      </c>
    </row>
    <row r="164" spans="1:5" s="539" customFormat="1" ht="31.5" hidden="1" outlineLevel="3" x14ac:dyDescent="0.25">
      <c r="A164" s="363" t="s">
        <v>432</v>
      </c>
      <c r="B164" s="381" t="s">
        <v>567</v>
      </c>
      <c r="C164" s="381" t="s">
        <v>750</v>
      </c>
      <c r="D164" s="100" t="s">
        <v>300</v>
      </c>
      <c r="E164" s="168">
        <f>20100.9*'Земляные работы'!M17/'Земляные работы'!$M$19</f>
        <v>2087</v>
      </c>
    </row>
    <row r="165" spans="1:5" s="539" customFormat="1" hidden="1" outlineLevel="3" x14ac:dyDescent="0.25">
      <c r="A165" s="363" t="s">
        <v>2506</v>
      </c>
      <c r="B165" s="381" t="s">
        <v>762</v>
      </c>
      <c r="C165" s="381" t="s">
        <v>745</v>
      </c>
      <c r="D165" s="100" t="s">
        <v>305</v>
      </c>
      <c r="E165" s="149">
        <v>1</v>
      </c>
    </row>
    <row r="166" spans="1:5" s="539" customFormat="1" outlineLevel="2" collapsed="1" x14ac:dyDescent="0.25">
      <c r="A166" s="132" t="s">
        <v>433</v>
      </c>
      <c r="B166" s="320"/>
      <c r="C166" s="320" t="s">
        <v>2395</v>
      </c>
      <c r="D166" s="134" t="s">
        <v>408</v>
      </c>
      <c r="E166" s="90">
        <v>1</v>
      </c>
    </row>
    <row r="167" spans="1:5" s="539" customFormat="1" hidden="1" outlineLevel="3" x14ac:dyDescent="0.25">
      <c r="A167" s="363"/>
      <c r="B167" s="381"/>
      <c r="C167" s="390" t="s">
        <v>2399</v>
      </c>
      <c r="D167" s="100"/>
      <c r="E167" s="149"/>
    </row>
    <row r="168" spans="1:5" s="539" customFormat="1" ht="31.5" hidden="1" outlineLevel="3" x14ac:dyDescent="0.25">
      <c r="A168" s="363" t="s">
        <v>434</v>
      </c>
      <c r="B168" s="381" t="s">
        <v>355</v>
      </c>
      <c r="C168" s="381" t="s">
        <v>356</v>
      </c>
      <c r="D168" s="100" t="s">
        <v>300</v>
      </c>
      <c r="E168" s="149">
        <f>'Земляные работы'!$H$18*54/500</f>
        <v>875</v>
      </c>
    </row>
    <row r="169" spans="1:5" s="539" customFormat="1" ht="31.5" hidden="1" outlineLevel="3" x14ac:dyDescent="0.25">
      <c r="A169" s="363" t="s">
        <v>436</v>
      </c>
      <c r="B169" s="381" t="s">
        <v>560</v>
      </c>
      <c r="C169" s="381" t="s">
        <v>656</v>
      </c>
      <c r="D169" s="100" t="s">
        <v>300</v>
      </c>
      <c r="E169" s="149">
        <f>'Земляные работы'!$H$18*54/500</f>
        <v>875</v>
      </c>
    </row>
    <row r="170" spans="1:5" s="542" customFormat="1" ht="31.5" hidden="1" outlineLevel="3" x14ac:dyDescent="0.25">
      <c r="A170" s="363" t="s">
        <v>438</v>
      </c>
      <c r="B170" s="391" t="s">
        <v>561</v>
      </c>
      <c r="C170" s="391" t="s">
        <v>562</v>
      </c>
      <c r="D170" s="161" t="s">
        <v>300</v>
      </c>
      <c r="E170" s="162">
        <f>'Земляные работы'!$K$18*54/500</f>
        <v>43.7</v>
      </c>
    </row>
    <row r="171" spans="1:5" s="542" customFormat="1" hidden="1" outlineLevel="3" x14ac:dyDescent="0.25">
      <c r="A171" s="363" t="s">
        <v>1946</v>
      </c>
      <c r="B171" s="391" t="s">
        <v>564</v>
      </c>
      <c r="C171" s="391" t="s">
        <v>565</v>
      </c>
      <c r="D171" s="161" t="s">
        <v>300</v>
      </c>
      <c r="E171" s="162">
        <f>'Земляные работы'!$L$18*54/500</f>
        <v>43.7</v>
      </c>
    </row>
    <row r="172" spans="1:5" s="539" customFormat="1" ht="31.5" hidden="1" outlineLevel="3" x14ac:dyDescent="0.25">
      <c r="A172" s="363" t="s">
        <v>1947</v>
      </c>
      <c r="B172" s="381" t="s">
        <v>567</v>
      </c>
      <c r="C172" s="381" t="s">
        <v>750</v>
      </c>
      <c r="D172" s="100" t="s">
        <v>300</v>
      </c>
      <c r="E172" s="168">
        <f>(20100.9*'Земляные работы'!$M$18/'Земляные работы'!$M$19+0.1)*54/500</f>
        <v>777.6</v>
      </c>
    </row>
    <row r="173" spans="1:5" s="539" customFormat="1" hidden="1" outlineLevel="3" x14ac:dyDescent="0.25">
      <c r="A173" s="363" t="s">
        <v>2507</v>
      </c>
      <c r="B173" s="381" t="s">
        <v>764</v>
      </c>
      <c r="C173" s="381" t="s">
        <v>748</v>
      </c>
      <c r="D173" s="100" t="s">
        <v>305</v>
      </c>
      <c r="E173" s="149">
        <v>1</v>
      </c>
    </row>
    <row r="174" spans="1:5" s="539" customFormat="1" outlineLevel="2" collapsed="1" x14ac:dyDescent="0.25">
      <c r="A174" s="132" t="s">
        <v>440</v>
      </c>
      <c r="B174" s="320"/>
      <c r="C174" s="320" t="s">
        <v>2386</v>
      </c>
      <c r="D174" s="134" t="s">
        <v>408</v>
      </c>
      <c r="E174" s="90">
        <v>1</v>
      </c>
    </row>
    <row r="175" spans="1:5" s="539" customFormat="1" hidden="1" outlineLevel="3" x14ac:dyDescent="0.25">
      <c r="A175" s="363" t="s">
        <v>441</v>
      </c>
      <c r="B175" s="381" t="s">
        <v>688</v>
      </c>
      <c r="C175" s="381" t="s">
        <v>720</v>
      </c>
      <c r="D175" s="100" t="s">
        <v>305</v>
      </c>
      <c r="E175" s="149">
        <v>1</v>
      </c>
    </row>
    <row r="176" spans="1:5" s="539" customFormat="1" hidden="1" outlineLevel="3" x14ac:dyDescent="0.25">
      <c r="A176" s="363" t="s">
        <v>442</v>
      </c>
      <c r="B176" s="381" t="s">
        <v>341</v>
      </c>
      <c r="C176" s="381" t="s">
        <v>726</v>
      </c>
      <c r="D176" s="100" t="s">
        <v>305</v>
      </c>
      <c r="E176" s="149">
        <v>1</v>
      </c>
    </row>
    <row r="177" spans="1:5" s="539" customFormat="1" hidden="1" outlineLevel="3" x14ac:dyDescent="0.25">
      <c r="A177" s="363" t="s">
        <v>443</v>
      </c>
      <c r="B177" s="381" t="s">
        <v>341</v>
      </c>
      <c r="C177" s="381" t="s">
        <v>350</v>
      </c>
      <c r="D177" s="100" t="s">
        <v>305</v>
      </c>
      <c r="E177" s="149">
        <v>1</v>
      </c>
    </row>
    <row r="178" spans="1:5" s="539" customFormat="1" hidden="1" outlineLevel="3" x14ac:dyDescent="0.25">
      <c r="A178" s="363" t="s">
        <v>1948</v>
      </c>
      <c r="B178" s="381" t="s">
        <v>341</v>
      </c>
      <c r="C178" s="381" t="s">
        <v>352</v>
      </c>
      <c r="D178" s="100" t="s">
        <v>305</v>
      </c>
      <c r="E178" s="149">
        <v>1</v>
      </c>
    </row>
    <row r="179" spans="1:5" s="539" customFormat="1" hidden="1" outlineLevel="3" x14ac:dyDescent="0.25">
      <c r="A179" s="363" t="s">
        <v>1949</v>
      </c>
      <c r="B179" s="381" t="s">
        <v>341</v>
      </c>
      <c r="C179" s="381" t="s">
        <v>347</v>
      </c>
      <c r="D179" s="100" t="s">
        <v>305</v>
      </c>
      <c r="E179" s="149">
        <v>2</v>
      </c>
    </row>
    <row r="180" spans="1:5" s="539" customFormat="1" outlineLevel="2" collapsed="1" x14ac:dyDescent="0.25">
      <c r="A180" s="132" t="s">
        <v>445</v>
      </c>
      <c r="B180" s="320"/>
      <c r="C180" s="320" t="s">
        <v>2387</v>
      </c>
      <c r="D180" s="134" t="s">
        <v>408</v>
      </c>
      <c r="E180" s="90">
        <v>1</v>
      </c>
    </row>
    <row r="181" spans="1:5" s="539" customFormat="1" hidden="1" outlineLevel="3" x14ac:dyDescent="0.25">
      <c r="A181" s="363" t="s">
        <v>446</v>
      </c>
      <c r="B181" s="381" t="s">
        <v>688</v>
      </c>
      <c r="C181" s="381" t="s">
        <v>721</v>
      </c>
      <c r="D181" s="100" t="s">
        <v>305</v>
      </c>
      <c r="E181" s="149">
        <v>1</v>
      </c>
    </row>
    <row r="182" spans="1:5" s="539" customFormat="1" hidden="1" outlineLevel="3" x14ac:dyDescent="0.25">
      <c r="A182" s="363" t="s">
        <v>447</v>
      </c>
      <c r="B182" s="381" t="s">
        <v>341</v>
      </c>
      <c r="C182" s="381" t="s">
        <v>726</v>
      </c>
      <c r="D182" s="100" t="s">
        <v>305</v>
      </c>
      <c r="E182" s="149">
        <v>1</v>
      </c>
    </row>
    <row r="183" spans="1:5" s="539" customFormat="1" hidden="1" outlineLevel="3" x14ac:dyDescent="0.25">
      <c r="A183" s="363" t="s">
        <v>448</v>
      </c>
      <c r="B183" s="381" t="s">
        <v>341</v>
      </c>
      <c r="C183" s="381" t="s">
        <v>350</v>
      </c>
      <c r="D183" s="100" t="s">
        <v>305</v>
      </c>
      <c r="E183" s="149">
        <v>1</v>
      </c>
    </row>
    <row r="184" spans="1:5" s="539" customFormat="1" hidden="1" outlineLevel="3" x14ac:dyDescent="0.25">
      <c r="A184" s="363" t="s">
        <v>1988</v>
      </c>
      <c r="B184" s="381" t="s">
        <v>341</v>
      </c>
      <c r="C184" s="381" t="s">
        <v>352</v>
      </c>
      <c r="D184" s="100" t="s">
        <v>305</v>
      </c>
      <c r="E184" s="149">
        <v>1</v>
      </c>
    </row>
    <row r="185" spans="1:5" s="539" customFormat="1" hidden="1" outlineLevel="3" x14ac:dyDescent="0.25">
      <c r="A185" s="363" t="s">
        <v>2508</v>
      </c>
      <c r="B185" s="381" t="s">
        <v>341</v>
      </c>
      <c r="C185" s="381" t="s">
        <v>347</v>
      </c>
      <c r="D185" s="100" t="s">
        <v>305</v>
      </c>
      <c r="E185" s="149">
        <v>2</v>
      </c>
    </row>
    <row r="186" spans="1:5" s="539" customFormat="1" outlineLevel="2" collapsed="1" x14ac:dyDescent="0.25">
      <c r="A186" s="132" t="s">
        <v>449</v>
      </c>
      <c r="B186" s="320"/>
      <c r="C186" s="320" t="s">
        <v>2388</v>
      </c>
      <c r="D186" s="134" t="s">
        <v>408</v>
      </c>
      <c r="E186" s="90">
        <v>1</v>
      </c>
    </row>
    <row r="187" spans="1:5" s="539" customFormat="1" hidden="1" outlineLevel="3" x14ac:dyDescent="0.25">
      <c r="A187" s="363" t="s">
        <v>450</v>
      </c>
      <c r="B187" s="381" t="s">
        <v>688</v>
      </c>
      <c r="C187" s="381" t="s">
        <v>722</v>
      </c>
      <c r="D187" s="100" t="s">
        <v>305</v>
      </c>
      <c r="E187" s="149">
        <v>1</v>
      </c>
    </row>
    <row r="188" spans="1:5" s="539" customFormat="1" hidden="1" outlineLevel="3" x14ac:dyDescent="0.25">
      <c r="A188" s="363" t="s">
        <v>451</v>
      </c>
      <c r="B188" s="381" t="s">
        <v>341</v>
      </c>
      <c r="C188" s="381" t="s">
        <v>726</v>
      </c>
      <c r="D188" s="100" t="s">
        <v>305</v>
      </c>
      <c r="E188" s="149">
        <v>1</v>
      </c>
    </row>
    <row r="189" spans="1:5" s="539" customFormat="1" hidden="1" outlineLevel="3" x14ac:dyDescent="0.25">
      <c r="A189" s="363" t="s">
        <v>1989</v>
      </c>
      <c r="B189" s="381" t="s">
        <v>341</v>
      </c>
      <c r="C189" s="381" t="s">
        <v>350</v>
      </c>
      <c r="D189" s="100" t="s">
        <v>305</v>
      </c>
      <c r="E189" s="149">
        <v>1</v>
      </c>
    </row>
    <row r="190" spans="1:5" s="539" customFormat="1" hidden="1" outlineLevel="3" x14ac:dyDescent="0.25">
      <c r="A190" s="363" t="s">
        <v>1990</v>
      </c>
      <c r="B190" s="381" t="s">
        <v>341</v>
      </c>
      <c r="C190" s="381" t="s">
        <v>352</v>
      </c>
      <c r="D190" s="100" t="s">
        <v>305</v>
      </c>
      <c r="E190" s="149">
        <v>1</v>
      </c>
    </row>
    <row r="191" spans="1:5" s="539" customFormat="1" hidden="1" outlineLevel="3" x14ac:dyDescent="0.25">
      <c r="A191" s="363" t="s">
        <v>1991</v>
      </c>
      <c r="B191" s="381" t="s">
        <v>341</v>
      </c>
      <c r="C191" s="381" t="s">
        <v>347</v>
      </c>
      <c r="D191" s="100" t="s">
        <v>305</v>
      </c>
      <c r="E191" s="149">
        <v>2</v>
      </c>
    </row>
    <row r="192" spans="1:5" s="539" customFormat="1" outlineLevel="2" collapsed="1" x14ac:dyDescent="0.25">
      <c r="A192" s="132" t="s">
        <v>578</v>
      </c>
      <c r="B192" s="320"/>
      <c r="C192" s="320" t="s">
        <v>2389</v>
      </c>
      <c r="D192" s="134" t="s">
        <v>408</v>
      </c>
      <c r="E192" s="90">
        <v>1</v>
      </c>
    </row>
    <row r="193" spans="1:5" s="539" customFormat="1" hidden="1" outlineLevel="3" x14ac:dyDescent="0.25">
      <c r="A193" s="363" t="s">
        <v>1992</v>
      </c>
      <c r="B193" s="381" t="s">
        <v>719</v>
      </c>
      <c r="C193" s="381" t="s">
        <v>723</v>
      </c>
      <c r="D193" s="100" t="s">
        <v>305</v>
      </c>
      <c r="E193" s="149">
        <v>1</v>
      </c>
    </row>
    <row r="194" spans="1:5" s="539" customFormat="1" hidden="1" outlineLevel="3" x14ac:dyDescent="0.25">
      <c r="A194" s="363" t="s">
        <v>2509</v>
      </c>
      <c r="B194" s="381" t="s">
        <v>341</v>
      </c>
      <c r="C194" s="381" t="s">
        <v>726</v>
      </c>
      <c r="D194" s="100" t="s">
        <v>305</v>
      </c>
      <c r="E194" s="149">
        <v>1</v>
      </c>
    </row>
    <row r="195" spans="1:5" s="539" customFormat="1" hidden="1" outlineLevel="3" x14ac:dyDescent="0.25">
      <c r="A195" s="363" t="s">
        <v>2510</v>
      </c>
      <c r="B195" s="381" t="s">
        <v>341</v>
      </c>
      <c r="C195" s="381" t="s">
        <v>350</v>
      </c>
      <c r="D195" s="100" t="s">
        <v>305</v>
      </c>
      <c r="E195" s="149">
        <v>1</v>
      </c>
    </row>
    <row r="196" spans="1:5" s="539" customFormat="1" hidden="1" outlineLevel="3" x14ac:dyDescent="0.25">
      <c r="A196" s="363" t="s">
        <v>2511</v>
      </c>
      <c r="B196" s="381" t="s">
        <v>341</v>
      </c>
      <c r="C196" s="381" t="s">
        <v>352</v>
      </c>
      <c r="D196" s="100" t="s">
        <v>305</v>
      </c>
      <c r="E196" s="149">
        <v>1</v>
      </c>
    </row>
    <row r="197" spans="1:5" s="539" customFormat="1" hidden="1" outlineLevel="3" x14ac:dyDescent="0.25">
      <c r="A197" s="363" t="s">
        <v>2512</v>
      </c>
      <c r="B197" s="381" t="s">
        <v>341</v>
      </c>
      <c r="C197" s="381" t="s">
        <v>347</v>
      </c>
      <c r="D197" s="100" t="s">
        <v>305</v>
      </c>
      <c r="E197" s="149">
        <v>2</v>
      </c>
    </row>
    <row r="198" spans="1:5" s="539" customFormat="1" outlineLevel="2" collapsed="1" x14ac:dyDescent="0.25">
      <c r="A198" s="132" t="s">
        <v>579</v>
      </c>
      <c r="B198" s="320"/>
      <c r="C198" s="320" t="s">
        <v>2390</v>
      </c>
      <c r="D198" s="134" t="s">
        <v>408</v>
      </c>
      <c r="E198" s="90">
        <v>1</v>
      </c>
    </row>
    <row r="199" spans="1:5" s="539" customFormat="1" hidden="1" outlineLevel="3" x14ac:dyDescent="0.25">
      <c r="A199" s="363" t="s">
        <v>1993</v>
      </c>
      <c r="B199" s="381" t="s">
        <v>688</v>
      </c>
      <c r="C199" s="381" t="s">
        <v>724</v>
      </c>
      <c r="D199" s="100" t="s">
        <v>305</v>
      </c>
      <c r="E199" s="149">
        <v>1</v>
      </c>
    </row>
    <row r="200" spans="1:5" s="539" customFormat="1" hidden="1" outlineLevel="3" x14ac:dyDescent="0.25">
      <c r="A200" s="363" t="s">
        <v>1994</v>
      </c>
      <c r="B200" s="381" t="s">
        <v>341</v>
      </c>
      <c r="C200" s="381" t="s">
        <v>726</v>
      </c>
      <c r="D200" s="100" t="s">
        <v>305</v>
      </c>
      <c r="E200" s="149">
        <v>1</v>
      </c>
    </row>
    <row r="201" spans="1:5" s="539" customFormat="1" hidden="1" outlineLevel="3" x14ac:dyDescent="0.25">
      <c r="A201" s="363" t="s">
        <v>2513</v>
      </c>
      <c r="B201" s="381" t="s">
        <v>341</v>
      </c>
      <c r="C201" s="381" t="s">
        <v>350</v>
      </c>
      <c r="D201" s="100" t="s">
        <v>305</v>
      </c>
      <c r="E201" s="149">
        <v>1</v>
      </c>
    </row>
    <row r="202" spans="1:5" s="539" customFormat="1" hidden="1" outlineLevel="3" x14ac:dyDescent="0.25">
      <c r="A202" s="363" t="s">
        <v>2514</v>
      </c>
      <c r="B202" s="381" t="s">
        <v>341</v>
      </c>
      <c r="C202" s="381" t="s">
        <v>352</v>
      </c>
      <c r="D202" s="100" t="s">
        <v>305</v>
      </c>
      <c r="E202" s="149">
        <v>1</v>
      </c>
    </row>
    <row r="203" spans="1:5" s="539" customFormat="1" hidden="1" outlineLevel="3" x14ac:dyDescent="0.25">
      <c r="A203" s="363" t="s">
        <v>2515</v>
      </c>
      <c r="B203" s="381" t="s">
        <v>341</v>
      </c>
      <c r="C203" s="381" t="s">
        <v>347</v>
      </c>
      <c r="D203" s="100" t="s">
        <v>305</v>
      </c>
      <c r="E203" s="149">
        <v>2</v>
      </c>
    </row>
    <row r="204" spans="1:5" s="539" customFormat="1" outlineLevel="2" collapsed="1" x14ac:dyDescent="0.25">
      <c r="A204" s="132" t="s">
        <v>581</v>
      </c>
      <c r="B204" s="320"/>
      <c r="C204" s="320" t="s">
        <v>2391</v>
      </c>
      <c r="D204" s="134" t="s">
        <v>408</v>
      </c>
      <c r="E204" s="90">
        <v>1</v>
      </c>
    </row>
    <row r="205" spans="1:5" s="539" customFormat="1" hidden="1" outlineLevel="3" x14ac:dyDescent="0.25">
      <c r="A205" s="363" t="s">
        <v>1995</v>
      </c>
      <c r="B205" s="381" t="s">
        <v>688</v>
      </c>
      <c r="C205" s="381" t="s">
        <v>725</v>
      </c>
      <c r="D205" s="100" t="s">
        <v>305</v>
      </c>
      <c r="E205" s="149">
        <v>1</v>
      </c>
    </row>
    <row r="206" spans="1:5" s="539" customFormat="1" hidden="1" outlineLevel="3" x14ac:dyDescent="0.25">
      <c r="A206" s="363" t="s">
        <v>1996</v>
      </c>
      <c r="B206" s="381" t="s">
        <v>341</v>
      </c>
      <c r="C206" s="381" t="s">
        <v>726</v>
      </c>
      <c r="D206" s="100" t="s">
        <v>305</v>
      </c>
      <c r="E206" s="149">
        <v>1</v>
      </c>
    </row>
    <row r="207" spans="1:5" s="539" customFormat="1" hidden="1" outlineLevel="3" x14ac:dyDescent="0.25">
      <c r="A207" s="363" t="s">
        <v>1997</v>
      </c>
      <c r="B207" s="381" t="s">
        <v>341</v>
      </c>
      <c r="C207" s="381" t="s">
        <v>350</v>
      </c>
      <c r="D207" s="100" t="s">
        <v>305</v>
      </c>
      <c r="E207" s="149">
        <v>1</v>
      </c>
    </row>
    <row r="208" spans="1:5" s="539" customFormat="1" hidden="1" outlineLevel="3" x14ac:dyDescent="0.25">
      <c r="A208" s="363" t="s">
        <v>1998</v>
      </c>
      <c r="B208" s="381" t="s">
        <v>341</v>
      </c>
      <c r="C208" s="381" t="s">
        <v>352</v>
      </c>
      <c r="D208" s="100" t="s">
        <v>305</v>
      </c>
      <c r="E208" s="149">
        <v>1</v>
      </c>
    </row>
    <row r="209" spans="1:5" s="539" customFormat="1" hidden="1" outlineLevel="3" x14ac:dyDescent="0.25">
      <c r="A209" s="363" t="s">
        <v>1999</v>
      </c>
      <c r="B209" s="381" t="s">
        <v>341</v>
      </c>
      <c r="C209" s="381" t="s">
        <v>347</v>
      </c>
      <c r="D209" s="100" t="s">
        <v>305</v>
      </c>
      <c r="E209" s="149">
        <v>2</v>
      </c>
    </row>
    <row r="210" spans="1:5" s="544" customFormat="1" ht="31.5" outlineLevel="2" collapsed="1" x14ac:dyDescent="0.25">
      <c r="A210" s="132" t="s">
        <v>2031</v>
      </c>
      <c r="B210" s="320" t="s">
        <v>154</v>
      </c>
      <c r="C210" s="133" t="s">
        <v>2526</v>
      </c>
      <c r="D210" s="134" t="s">
        <v>292</v>
      </c>
      <c r="E210" s="90">
        <v>1</v>
      </c>
    </row>
    <row r="211" spans="1:5" s="545" customFormat="1" hidden="1" outlineLevel="3" x14ac:dyDescent="0.25">
      <c r="A211" s="369"/>
      <c r="B211" s="408"/>
      <c r="C211" s="390" t="s">
        <v>811</v>
      </c>
      <c r="D211" s="150"/>
      <c r="E211" s="151"/>
    </row>
    <row r="212" spans="1:5" s="539" customFormat="1" ht="31.5" hidden="1" outlineLevel="3" x14ac:dyDescent="0.25">
      <c r="A212" s="363" t="s">
        <v>2516</v>
      </c>
      <c r="B212" s="381" t="s">
        <v>818</v>
      </c>
      <c r="C212" s="381" t="s">
        <v>812</v>
      </c>
      <c r="D212" s="100" t="s">
        <v>377</v>
      </c>
      <c r="E212" s="168">
        <v>128.5</v>
      </c>
    </row>
    <row r="213" spans="1:5" s="539" customFormat="1" hidden="1" outlineLevel="3" x14ac:dyDescent="0.25">
      <c r="A213" s="363" t="s">
        <v>2517</v>
      </c>
      <c r="B213" s="381" t="s">
        <v>819</v>
      </c>
      <c r="C213" s="381" t="s">
        <v>813</v>
      </c>
      <c r="D213" s="100" t="s">
        <v>408</v>
      </c>
      <c r="E213" s="149">
        <v>27</v>
      </c>
    </row>
    <row r="214" spans="1:5" s="545" customFormat="1" hidden="1" outlineLevel="3" x14ac:dyDescent="0.25">
      <c r="A214" s="363" t="s">
        <v>2518</v>
      </c>
      <c r="B214" s="381" t="s">
        <v>820</v>
      </c>
      <c r="C214" s="381" t="s">
        <v>814</v>
      </c>
      <c r="D214" s="100" t="s">
        <v>408</v>
      </c>
      <c r="E214" s="149">
        <v>8</v>
      </c>
    </row>
    <row r="215" spans="1:5" s="545" customFormat="1" hidden="1" outlineLevel="3" x14ac:dyDescent="0.25">
      <c r="A215" s="363" t="s">
        <v>2519</v>
      </c>
      <c r="B215" s="381" t="s">
        <v>822</v>
      </c>
      <c r="C215" s="381" t="s">
        <v>815</v>
      </c>
      <c r="D215" s="100" t="s">
        <v>408</v>
      </c>
      <c r="E215" s="99">
        <v>31</v>
      </c>
    </row>
    <row r="216" spans="1:5" s="545" customFormat="1" hidden="1" outlineLevel="3" x14ac:dyDescent="0.25">
      <c r="A216" s="363" t="s">
        <v>2520</v>
      </c>
      <c r="B216" s="381" t="s">
        <v>823</v>
      </c>
      <c r="C216" s="381" t="s">
        <v>816</v>
      </c>
      <c r="D216" s="100" t="s">
        <v>408</v>
      </c>
      <c r="E216" s="149">
        <v>8</v>
      </c>
    </row>
    <row r="217" spans="1:5" s="545" customFormat="1" hidden="1" outlineLevel="3" x14ac:dyDescent="0.25">
      <c r="A217" s="363" t="s">
        <v>2521</v>
      </c>
      <c r="B217" s="381" t="s">
        <v>825</v>
      </c>
      <c r="C217" s="381" t="s">
        <v>817</v>
      </c>
      <c r="D217" s="100" t="s">
        <v>377</v>
      </c>
      <c r="E217" s="149">
        <v>42</v>
      </c>
    </row>
    <row r="218" spans="1:5" s="545" customFormat="1" ht="31.5" hidden="1" outlineLevel="3" x14ac:dyDescent="0.25">
      <c r="A218" s="363" t="s">
        <v>2522</v>
      </c>
      <c r="B218" s="391" t="s">
        <v>826</v>
      </c>
      <c r="C218" s="391" t="s">
        <v>824</v>
      </c>
      <c r="D218" s="161" t="s">
        <v>404</v>
      </c>
      <c r="E218" s="99">
        <v>5740</v>
      </c>
    </row>
    <row r="219" spans="1:5" s="545" customFormat="1" hidden="1" outlineLevel="3" x14ac:dyDescent="0.25">
      <c r="A219" s="369"/>
      <c r="B219" s="408"/>
      <c r="C219" s="390" t="s">
        <v>827</v>
      </c>
      <c r="D219" s="150"/>
      <c r="E219" s="151"/>
    </row>
    <row r="220" spans="1:5" s="539" customFormat="1" ht="31.5" hidden="1" outlineLevel="3" x14ac:dyDescent="0.25">
      <c r="A220" s="363" t="s">
        <v>2523</v>
      </c>
      <c r="B220" s="381" t="s">
        <v>830</v>
      </c>
      <c r="C220" s="381" t="s">
        <v>828</v>
      </c>
      <c r="D220" s="100" t="s">
        <v>377</v>
      </c>
      <c r="E220" s="168">
        <f>41.5</f>
        <v>41.5</v>
      </c>
    </row>
    <row r="221" spans="1:5" s="539" customFormat="1" hidden="1" outlineLevel="3" x14ac:dyDescent="0.25">
      <c r="A221" s="363" t="s">
        <v>2524</v>
      </c>
      <c r="B221" s="381" t="s">
        <v>831</v>
      </c>
      <c r="C221" s="381" t="s">
        <v>829</v>
      </c>
      <c r="D221" s="100" t="s">
        <v>408</v>
      </c>
      <c r="E221" s="149">
        <v>8</v>
      </c>
    </row>
    <row r="222" spans="1:5" s="539" customFormat="1" hidden="1" outlineLevel="3" x14ac:dyDescent="0.25">
      <c r="A222" s="363" t="s">
        <v>2525</v>
      </c>
      <c r="B222" s="381" t="s">
        <v>832</v>
      </c>
      <c r="C222" s="381" t="s">
        <v>814</v>
      </c>
      <c r="D222" s="100" t="s">
        <v>408</v>
      </c>
      <c r="E222" s="149">
        <v>4</v>
      </c>
    </row>
    <row r="223" spans="1:5" s="539" customFormat="1" hidden="1" outlineLevel="3" x14ac:dyDescent="0.25">
      <c r="A223" s="363" t="s">
        <v>2528</v>
      </c>
      <c r="B223" s="381" t="s">
        <v>833</v>
      </c>
      <c r="C223" s="381" t="s">
        <v>815</v>
      </c>
      <c r="D223" s="100" t="s">
        <v>408</v>
      </c>
      <c r="E223" s="149">
        <v>10</v>
      </c>
    </row>
    <row r="224" spans="1:5" s="539" customFormat="1" hidden="1" outlineLevel="3" x14ac:dyDescent="0.25">
      <c r="A224" s="363" t="s">
        <v>2529</v>
      </c>
      <c r="B224" s="381" t="s">
        <v>834</v>
      </c>
      <c r="C224" s="381" t="s">
        <v>816</v>
      </c>
      <c r="D224" s="100" t="s">
        <v>408</v>
      </c>
      <c r="E224" s="149">
        <v>4</v>
      </c>
    </row>
    <row r="225" spans="1:5" s="539" customFormat="1" ht="31.5" hidden="1" outlineLevel="3" x14ac:dyDescent="0.25">
      <c r="A225" s="363" t="s">
        <v>2530</v>
      </c>
      <c r="B225" s="381" t="s">
        <v>835</v>
      </c>
      <c r="C225" s="381" t="s">
        <v>824</v>
      </c>
      <c r="D225" s="100" t="s">
        <v>404</v>
      </c>
      <c r="E225" s="149">
        <v>3760</v>
      </c>
    </row>
    <row r="226" spans="1:5" s="539" customFormat="1" hidden="1" outlineLevel="3" x14ac:dyDescent="0.25">
      <c r="A226" s="363"/>
      <c r="B226" s="381"/>
      <c r="C226" s="390" t="s">
        <v>837</v>
      </c>
      <c r="D226" s="100"/>
      <c r="E226" s="149"/>
    </row>
    <row r="227" spans="1:5" s="539" customFormat="1" hidden="1" outlineLevel="3" x14ac:dyDescent="0.25">
      <c r="A227" s="363"/>
      <c r="B227" s="381"/>
      <c r="C227" s="390" t="s">
        <v>838</v>
      </c>
      <c r="D227" s="100"/>
      <c r="E227" s="149"/>
    </row>
    <row r="228" spans="1:5" s="539" customFormat="1" ht="31.5" hidden="1" outlineLevel="3" x14ac:dyDescent="0.25">
      <c r="A228" s="363" t="s">
        <v>2531</v>
      </c>
      <c r="B228" s="381" t="s">
        <v>842</v>
      </c>
      <c r="C228" s="381" t="s">
        <v>839</v>
      </c>
      <c r="D228" s="100" t="s">
        <v>300</v>
      </c>
      <c r="E228" s="149">
        <v>1115</v>
      </c>
    </row>
    <row r="229" spans="1:5" s="539" customFormat="1" ht="31.5" hidden="1" outlineLevel="3" x14ac:dyDescent="0.25">
      <c r="A229" s="363" t="s">
        <v>2532</v>
      </c>
      <c r="B229" s="381" t="s">
        <v>843</v>
      </c>
      <c r="C229" s="381" t="s">
        <v>840</v>
      </c>
      <c r="D229" s="100" t="s">
        <v>300</v>
      </c>
      <c r="E229" s="149">
        <v>185</v>
      </c>
    </row>
    <row r="230" spans="1:5" s="539" customFormat="1" ht="31.5" hidden="1" outlineLevel="3" x14ac:dyDescent="0.25">
      <c r="A230" s="363" t="s">
        <v>2533</v>
      </c>
      <c r="B230" s="381" t="s">
        <v>844</v>
      </c>
      <c r="C230" s="381" t="s">
        <v>841</v>
      </c>
      <c r="D230" s="100" t="s">
        <v>300</v>
      </c>
      <c r="E230" s="149">
        <v>895</v>
      </c>
    </row>
    <row r="231" spans="1:5" s="464" customFormat="1" ht="47.25" outlineLevel="2" x14ac:dyDescent="0.25">
      <c r="A231" s="132" t="s">
        <v>2032</v>
      </c>
      <c r="B231" s="320" t="s">
        <v>304</v>
      </c>
      <c r="C231" s="320" t="s">
        <v>707</v>
      </c>
      <c r="D231" s="173" t="s">
        <v>408</v>
      </c>
      <c r="E231" s="90">
        <v>1</v>
      </c>
    </row>
    <row r="232" spans="1:5" s="544" customFormat="1" outlineLevel="2" collapsed="1" x14ac:dyDescent="0.25">
      <c r="A232" s="132" t="s">
        <v>2036</v>
      </c>
      <c r="B232" s="320"/>
      <c r="C232" s="133" t="s">
        <v>2527</v>
      </c>
      <c r="D232" s="134" t="s">
        <v>292</v>
      </c>
      <c r="E232" s="90">
        <v>1</v>
      </c>
    </row>
    <row r="233" spans="1:5" s="539" customFormat="1" ht="22.5" hidden="1" customHeight="1" outlineLevel="3" x14ac:dyDescent="0.25">
      <c r="A233" s="363" t="s">
        <v>2037</v>
      </c>
      <c r="B233" s="381" t="s">
        <v>307</v>
      </c>
      <c r="C233" s="381" t="s">
        <v>708</v>
      </c>
      <c r="D233" s="100" t="s">
        <v>305</v>
      </c>
      <c r="E233" s="149">
        <v>28</v>
      </c>
    </row>
    <row r="234" spans="1:5" s="539" customFormat="1" ht="24.75" hidden="1" customHeight="1" outlineLevel="3" x14ac:dyDescent="0.25">
      <c r="A234" s="363" t="s">
        <v>2038</v>
      </c>
      <c r="B234" s="381" t="s">
        <v>311</v>
      </c>
      <c r="C234" s="381" t="s">
        <v>309</v>
      </c>
      <c r="D234" s="100" t="s">
        <v>305</v>
      </c>
      <c r="E234" s="149">
        <v>1</v>
      </c>
    </row>
    <row r="235" spans="1:5" s="540" customFormat="1" ht="31.5" outlineLevel="1" collapsed="1" x14ac:dyDescent="0.25">
      <c r="A235" s="132" t="s">
        <v>452</v>
      </c>
      <c r="B235" s="320" t="s">
        <v>144</v>
      </c>
      <c r="C235" s="320" t="s">
        <v>1786</v>
      </c>
      <c r="D235" s="134" t="s">
        <v>292</v>
      </c>
      <c r="E235" s="90">
        <v>1</v>
      </c>
    </row>
    <row r="236" spans="1:5" s="539" customFormat="1" hidden="1" outlineLevel="2" x14ac:dyDescent="0.25">
      <c r="A236" s="95"/>
      <c r="B236" s="381"/>
      <c r="C236" s="390" t="s">
        <v>367</v>
      </c>
      <c r="D236" s="100"/>
      <c r="E236" s="149"/>
    </row>
    <row r="237" spans="1:5" s="539" customFormat="1" ht="31.5" hidden="1" outlineLevel="2" x14ac:dyDescent="0.25">
      <c r="A237" s="364" t="s">
        <v>453</v>
      </c>
      <c r="B237" s="381" t="s">
        <v>369</v>
      </c>
      <c r="C237" s="381" t="s">
        <v>356</v>
      </c>
      <c r="D237" s="100" t="s">
        <v>300</v>
      </c>
      <c r="E237" s="149">
        <v>332</v>
      </c>
    </row>
    <row r="238" spans="1:5" s="539" customFormat="1" ht="31.5" hidden="1" outlineLevel="2" x14ac:dyDescent="0.25">
      <c r="A238" s="364" t="s">
        <v>456</v>
      </c>
      <c r="B238" s="381" t="s">
        <v>772</v>
      </c>
      <c r="C238" s="381" t="s">
        <v>656</v>
      </c>
      <c r="D238" s="100" t="s">
        <v>300</v>
      </c>
      <c r="E238" s="168">
        <v>232.4</v>
      </c>
    </row>
    <row r="239" spans="1:5" s="539" customFormat="1" hidden="1" outlineLevel="2" x14ac:dyDescent="0.25">
      <c r="A239" s="364" t="s">
        <v>470</v>
      </c>
      <c r="B239" s="381" t="s">
        <v>372</v>
      </c>
      <c r="C239" s="381" t="s">
        <v>460</v>
      </c>
      <c r="D239" s="100" t="s">
        <v>300</v>
      </c>
      <c r="E239" s="168">
        <v>99.6</v>
      </c>
    </row>
    <row r="240" spans="1:5" s="539" customFormat="1" hidden="1" outlineLevel="2" x14ac:dyDescent="0.25">
      <c r="A240" s="364" t="s">
        <v>476</v>
      </c>
      <c r="B240" s="381" t="s">
        <v>375</v>
      </c>
      <c r="C240" s="381" t="s">
        <v>359</v>
      </c>
      <c r="D240" s="100" t="s">
        <v>300</v>
      </c>
      <c r="E240" s="168">
        <v>99.6</v>
      </c>
    </row>
    <row r="241" spans="1:5" s="539" customFormat="1" ht="31.5" hidden="1" outlineLevel="2" x14ac:dyDescent="0.25">
      <c r="A241" s="364" t="s">
        <v>483</v>
      </c>
      <c r="B241" s="381" t="s">
        <v>774</v>
      </c>
      <c r="C241" s="381" t="s">
        <v>773</v>
      </c>
      <c r="D241" s="100" t="s">
        <v>377</v>
      </c>
      <c r="E241" s="149">
        <v>60</v>
      </c>
    </row>
    <row r="242" spans="1:5" s="539" customFormat="1" ht="31.5" hidden="1" outlineLevel="2" x14ac:dyDescent="0.25">
      <c r="A242" s="364" t="s">
        <v>484</v>
      </c>
      <c r="B242" s="381" t="s">
        <v>776</v>
      </c>
      <c r="C242" s="381" t="s">
        <v>775</v>
      </c>
      <c r="D242" s="100" t="s">
        <v>377</v>
      </c>
      <c r="E242" s="149">
        <v>130</v>
      </c>
    </row>
    <row r="243" spans="1:5" s="539" customFormat="1" hidden="1" outlineLevel="2" x14ac:dyDescent="0.25">
      <c r="A243" s="364"/>
      <c r="B243" s="381"/>
      <c r="C243" s="390" t="s">
        <v>379</v>
      </c>
      <c r="D243" s="100"/>
      <c r="E243" s="149"/>
    </row>
    <row r="244" spans="1:5" s="539" customFormat="1" ht="31.5" hidden="1" outlineLevel="2" x14ac:dyDescent="0.25">
      <c r="A244" s="364" t="s">
        <v>485</v>
      </c>
      <c r="B244" s="381" t="s">
        <v>381</v>
      </c>
      <c r="C244" s="381" t="s">
        <v>778</v>
      </c>
      <c r="D244" s="100" t="s">
        <v>377</v>
      </c>
      <c r="E244" s="149">
        <v>120</v>
      </c>
    </row>
    <row r="245" spans="1:5" s="539" customFormat="1" ht="31.5" hidden="1" outlineLevel="2" x14ac:dyDescent="0.25">
      <c r="A245" s="364" t="s">
        <v>2366</v>
      </c>
      <c r="B245" s="381" t="s">
        <v>383</v>
      </c>
      <c r="C245" s="381" t="s">
        <v>777</v>
      </c>
      <c r="D245" s="100" t="s">
        <v>377</v>
      </c>
      <c r="E245" s="149">
        <v>120</v>
      </c>
    </row>
    <row r="246" spans="1:5" s="539" customFormat="1" ht="31.5" hidden="1" outlineLevel="2" x14ac:dyDescent="0.25">
      <c r="A246" s="364" t="s">
        <v>2367</v>
      </c>
      <c r="B246" s="381" t="s">
        <v>385</v>
      </c>
      <c r="C246" s="381" t="s">
        <v>386</v>
      </c>
      <c r="D246" s="100" t="s">
        <v>377</v>
      </c>
      <c r="E246" s="149">
        <v>830</v>
      </c>
    </row>
    <row r="247" spans="1:5" s="544" customFormat="1" outlineLevel="1" collapsed="1" x14ac:dyDescent="0.25">
      <c r="A247" s="132" t="s">
        <v>490</v>
      </c>
      <c r="B247" s="320" t="s">
        <v>152</v>
      </c>
      <c r="C247" s="133" t="s">
        <v>599</v>
      </c>
      <c r="D247" s="134" t="s">
        <v>292</v>
      </c>
      <c r="E247" s="90">
        <v>1</v>
      </c>
    </row>
    <row r="248" spans="1:5" s="539" customFormat="1" hidden="1" outlineLevel="2" x14ac:dyDescent="0.25">
      <c r="A248" s="363" t="s">
        <v>491</v>
      </c>
      <c r="B248" s="381" t="s">
        <v>799</v>
      </c>
      <c r="C248" s="381" t="s">
        <v>1830</v>
      </c>
      <c r="D248" s="100" t="s">
        <v>292</v>
      </c>
      <c r="E248" s="149">
        <v>1</v>
      </c>
    </row>
    <row r="249" spans="1:5" s="539" customFormat="1" hidden="1" outlineLevel="2" x14ac:dyDescent="0.25">
      <c r="A249" s="363" t="s">
        <v>495</v>
      </c>
      <c r="B249" s="381" t="s">
        <v>800</v>
      </c>
      <c r="C249" s="381" t="s">
        <v>1831</v>
      </c>
      <c r="D249" s="100" t="s">
        <v>292</v>
      </c>
      <c r="E249" s="149">
        <v>1</v>
      </c>
    </row>
    <row r="250" spans="1:5" s="539" customFormat="1" hidden="1" outlineLevel="2" x14ac:dyDescent="0.25">
      <c r="A250" s="363" t="s">
        <v>586</v>
      </c>
      <c r="B250" s="381" t="s">
        <v>801</v>
      </c>
      <c r="C250" s="381" t="s">
        <v>1827</v>
      </c>
      <c r="D250" s="100" t="s">
        <v>292</v>
      </c>
      <c r="E250" s="149">
        <v>1</v>
      </c>
    </row>
    <row r="251" spans="1:5" s="539" customFormat="1" hidden="1" outlineLevel="2" x14ac:dyDescent="0.25">
      <c r="A251" s="363" t="s">
        <v>588</v>
      </c>
      <c r="B251" s="381" t="s">
        <v>802</v>
      </c>
      <c r="C251" s="381" t="s">
        <v>1828</v>
      </c>
      <c r="D251" s="100" t="s">
        <v>292</v>
      </c>
      <c r="E251" s="149">
        <v>1</v>
      </c>
    </row>
    <row r="252" spans="1:5" s="539" customFormat="1" ht="31.5" hidden="1" outlineLevel="2" x14ac:dyDescent="0.25">
      <c r="A252" s="363" t="s">
        <v>590</v>
      </c>
      <c r="B252" s="381" t="s">
        <v>804</v>
      </c>
      <c r="C252" s="381" t="s">
        <v>1833</v>
      </c>
      <c r="D252" s="100" t="s">
        <v>292</v>
      </c>
      <c r="E252" s="149">
        <v>1</v>
      </c>
    </row>
    <row r="253" spans="1:5" s="539" customFormat="1" hidden="1" outlineLevel="2" x14ac:dyDescent="0.25">
      <c r="A253" s="363" t="s">
        <v>593</v>
      </c>
      <c r="B253" s="381" t="s">
        <v>805</v>
      </c>
      <c r="C253" s="381" t="s">
        <v>1834</v>
      </c>
      <c r="D253" s="100" t="s">
        <v>292</v>
      </c>
      <c r="E253" s="149">
        <v>1</v>
      </c>
    </row>
    <row r="254" spans="1:5" s="539" customFormat="1" hidden="1" outlineLevel="2" x14ac:dyDescent="0.25">
      <c r="A254" s="363" t="s">
        <v>595</v>
      </c>
      <c r="B254" s="381" t="s">
        <v>807</v>
      </c>
      <c r="C254" s="381" t="s">
        <v>806</v>
      </c>
      <c r="D254" s="100" t="s">
        <v>292</v>
      </c>
      <c r="E254" s="149">
        <v>1</v>
      </c>
    </row>
    <row r="255" spans="1:5" s="539" customFormat="1" hidden="1" outlineLevel="2" x14ac:dyDescent="0.25">
      <c r="A255" s="363" t="s">
        <v>597</v>
      </c>
      <c r="B255" s="381" t="s">
        <v>809</v>
      </c>
      <c r="C255" s="381" t="s">
        <v>1832</v>
      </c>
      <c r="D255" s="100" t="s">
        <v>292</v>
      </c>
      <c r="E255" s="149">
        <v>1</v>
      </c>
    </row>
    <row r="256" spans="1:5" s="539" customFormat="1" hidden="1" outlineLevel="2" x14ac:dyDescent="0.25">
      <c r="A256" s="363" t="s">
        <v>600</v>
      </c>
      <c r="B256" s="381" t="s">
        <v>810</v>
      </c>
      <c r="C256" s="381" t="s">
        <v>1829</v>
      </c>
      <c r="D256" s="100" t="s">
        <v>292</v>
      </c>
      <c r="E256" s="149">
        <v>1</v>
      </c>
    </row>
    <row r="257" spans="1:5" s="539" customFormat="1" ht="31.5" outlineLevel="1" x14ac:dyDescent="0.25">
      <c r="A257" s="132" t="s">
        <v>497</v>
      </c>
      <c r="B257" s="320" t="s">
        <v>156</v>
      </c>
      <c r="C257" s="320" t="s">
        <v>1844</v>
      </c>
      <c r="D257" s="134" t="s">
        <v>292</v>
      </c>
      <c r="E257" s="90">
        <v>1</v>
      </c>
    </row>
    <row r="258" spans="1:5" s="538" customFormat="1" outlineLevel="1" x14ac:dyDescent="0.25">
      <c r="A258" s="179" t="s">
        <v>504</v>
      </c>
      <c r="B258" s="422"/>
      <c r="C258" s="435" t="s">
        <v>2368</v>
      </c>
      <c r="D258" s="125" t="s">
        <v>292</v>
      </c>
      <c r="E258" s="126">
        <v>1</v>
      </c>
    </row>
    <row r="259" spans="1:5" s="544" customFormat="1" outlineLevel="2" collapsed="1" x14ac:dyDescent="0.25">
      <c r="A259" s="132" t="s">
        <v>505</v>
      </c>
      <c r="B259" s="320"/>
      <c r="C259" s="133" t="s">
        <v>2369</v>
      </c>
      <c r="D259" s="134" t="s">
        <v>292</v>
      </c>
      <c r="E259" s="90">
        <v>1</v>
      </c>
    </row>
    <row r="260" spans="1:5" s="539" customFormat="1" ht="47.25" hidden="1" outlineLevel="3" x14ac:dyDescent="0.25">
      <c r="A260" s="363"/>
      <c r="B260" s="381"/>
      <c r="C260" s="381" t="s">
        <v>1650</v>
      </c>
      <c r="D260" s="100"/>
      <c r="E260" s="100"/>
    </row>
    <row r="261" spans="1:5" s="539" customFormat="1" hidden="1" outlineLevel="3" x14ac:dyDescent="0.25">
      <c r="A261" s="363"/>
      <c r="B261" s="381"/>
      <c r="C261" s="381" t="s">
        <v>1651</v>
      </c>
      <c r="D261" s="100"/>
      <c r="E261" s="100"/>
    </row>
    <row r="262" spans="1:5" s="539" customFormat="1" ht="31.5" hidden="1" outlineLevel="3" x14ac:dyDescent="0.25">
      <c r="A262" s="363" t="s">
        <v>2085</v>
      </c>
      <c r="B262" s="381" t="s">
        <v>1652</v>
      </c>
      <c r="C262" s="381" t="s">
        <v>356</v>
      </c>
      <c r="D262" s="100" t="s">
        <v>300</v>
      </c>
      <c r="E262" s="100">
        <f>157</f>
        <v>157</v>
      </c>
    </row>
    <row r="263" spans="1:5" s="539" customFormat="1" hidden="1" outlineLevel="3" x14ac:dyDescent="0.25">
      <c r="A263" s="363" t="s">
        <v>2086</v>
      </c>
      <c r="B263" s="381" t="s">
        <v>1653</v>
      </c>
      <c r="C263" s="381" t="s">
        <v>1625</v>
      </c>
      <c r="D263" s="100" t="s">
        <v>300</v>
      </c>
      <c r="E263" s="100">
        <f>157</f>
        <v>157</v>
      </c>
    </row>
    <row r="264" spans="1:5" s="539" customFormat="1" ht="47.25" hidden="1" outlineLevel="3" x14ac:dyDescent="0.25">
      <c r="A264" s="363" t="s">
        <v>2087</v>
      </c>
      <c r="B264" s="381" t="s">
        <v>1654</v>
      </c>
      <c r="C264" s="381" t="s">
        <v>1627</v>
      </c>
      <c r="D264" s="100" t="s">
        <v>300</v>
      </c>
      <c r="E264" s="100">
        <v>39</v>
      </c>
    </row>
    <row r="265" spans="1:5" s="539" customFormat="1" ht="31.5" hidden="1" outlineLevel="3" x14ac:dyDescent="0.25">
      <c r="A265" s="363" t="s">
        <v>2088</v>
      </c>
      <c r="B265" s="381" t="s">
        <v>1655</v>
      </c>
      <c r="C265" s="381" t="s">
        <v>1051</v>
      </c>
      <c r="D265" s="100" t="s">
        <v>300</v>
      </c>
      <c r="E265" s="100">
        <v>118</v>
      </c>
    </row>
    <row r="266" spans="1:5" s="539" customFormat="1" hidden="1" outlineLevel="3" x14ac:dyDescent="0.25">
      <c r="A266" s="363"/>
      <c r="B266" s="381"/>
      <c r="C266" s="381" t="s">
        <v>1656</v>
      </c>
      <c r="D266" s="100"/>
      <c r="E266" s="100"/>
    </row>
    <row r="267" spans="1:5" s="539" customFormat="1" ht="31.5" hidden="1" outlineLevel="3" x14ac:dyDescent="0.25">
      <c r="A267" s="363" t="s">
        <v>2089</v>
      </c>
      <c r="B267" s="381" t="s">
        <v>1657</v>
      </c>
      <c r="C267" s="381" t="s">
        <v>356</v>
      </c>
      <c r="D267" s="100" t="s">
        <v>300</v>
      </c>
      <c r="E267" s="100">
        <f>18</f>
        <v>18</v>
      </c>
    </row>
    <row r="268" spans="1:5" s="539" customFormat="1" hidden="1" outlineLevel="3" x14ac:dyDescent="0.25">
      <c r="A268" s="363" t="s">
        <v>2090</v>
      </c>
      <c r="B268" s="381" t="s">
        <v>1658</v>
      </c>
      <c r="C268" s="381" t="s">
        <v>1625</v>
      </c>
      <c r="D268" s="100" t="s">
        <v>300</v>
      </c>
      <c r="E268" s="100">
        <v>18</v>
      </c>
    </row>
    <row r="269" spans="1:5" s="539" customFormat="1" ht="47.25" hidden="1" outlineLevel="3" x14ac:dyDescent="0.25">
      <c r="A269" s="363" t="s">
        <v>2091</v>
      </c>
      <c r="B269" s="381" t="s">
        <v>1659</v>
      </c>
      <c r="C269" s="381" t="s">
        <v>1627</v>
      </c>
      <c r="D269" s="100" t="s">
        <v>300</v>
      </c>
      <c r="E269" s="100">
        <v>12</v>
      </c>
    </row>
    <row r="270" spans="1:5" s="539" customFormat="1" ht="31.5" hidden="1" outlineLevel="3" x14ac:dyDescent="0.25">
      <c r="A270" s="363" t="s">
        <v>2092</v>
      </c>
      <c r="B270" s="381" t="s">
        <v>1660</v>
      </c>
      <c r="C270" s="381" t="s">
        <v>1051</v>
      </c>
      <c r="D270" s="100" t="s">
        <v>300</v>
      </c>
      <c r="E270" s="100">
        <v>6</v>
      </c>
    </row>
    <row r="271" spans="1:5" s="539" customFormat="1" hidden="1" outlineLevel="3" x14ac:dyDescent="0.25">
      <c r="A271" s="363" t="s">
        <v>2093</v>
      </c>
      <c r="B271" s="381" t="s">
        <v>1661</v>
      </c>
      <c r="C271" s="381" t="s">
        <v>1630</v>
      </c>
      <c r="D271" s="100" t="s">
        <v>300</v>
      </c>
      <c r="E271" s="100">
        <f>4.8</f>
        <v>4.8</v>
      </c>
    </row>
    <row r="272" spans="1:5" s="539" customFormat="1" hidden="1" outlineLevel="3" x14ac:dyDescent="0.25">
      <c r="A272" s="363" t="s">
        <v>2094</v>
      </c>
      <c r="B272" s="381" t="s">
        <v>1663</v>
      </c>
      <c r="C272" s="381" t="s">
        <v>1662</v>
      </c>
      <c r="D272" s="100" t="s">
        <v>300</v>
      </c>
      <c r="E272" s="100">
        <f>2.7*2</f>
        <v>5.4</v>
      </c>
    </row>
    <row r="273" spans="1:5" s="539" customFormat="1" hidden="1" outlineLevel="3" x14ac:dyDescent="0.25">
      <c r="A273" s="363" t="s">
        <v>2534</v>
      </c>
      <c r="B273" s="381" t="s">
        <v>1665</v>
      </c>
      <c r="C273" s="381" t="s">
        <v>1664</v>
      </c>
      <c r="D273" s="100" t="s">
        <v>408</v>
      </c>
      <c r="E273" s="100">
        <v>1</v>
      </c>
    </row>
    <row r="274" spans="1:5" s="539" customFormat="1" ht="94.5" hidden="1" outlineLevel="3" x14ac:dyDescent="0.25">
      <c r="A274" s="363" t="s">
        <v>2535</v>
      </c>
      <c r="B274" s="381" t="s">
        <v>1620</v>
      </c>
      <c r="C274" s="381" t="s">
        <v>1619</v>
      </c>
      <c r="D274" s="100" t="s">
        <v>408</v>
      </c>
      <c r="E274" s="100">
        <v>1</v>
      </c>
    </row>
    <row r="275" spans="1:5" s="539" customFormat="1" ht="31.5" hidden="1" outlineLevel="3" x14ac:dyDescent="0.25">
      <c r="A275" s="363"/>
      <c r="B275" s="381"/>
      <c r="C275" s="390" t="s">
        <v>1755</v>
      </c>
      <c r="D275" s="100"/>
      <c r="E275" s="100"/>
    </row>
    <row r="276" spans="1:5" s="539" customFormat="1" ht="31.5" hidden="1" outlineLevel="3" x14ac:dyDescent="0.25">
      <c r="A276" s="363" t="s">
        <v>2536</v>
      </c>
      <c r="B276" s="381" t="s">
        <v>1756</v>
      </c>
      <c r="C276" s="381" t="s">
        <v>356</v>
      </c>
      <c r="D276" s="100" t="s">
        <v>300</v>
      </c>
      <c r="E276" s="100">
        <v>58</v>
      </c>
    </row>
    <row r="277" spans="1:5" s="539" customFormat="1" hidden="1" outlineLevel="3" x14ac:dyDescent="0.25">
      <c r="A277" s="363" t="s">
        <v>2537</v>
      </c>
      <c r="B277" s="381" t="s">
        <v>1757</v>
      </c>
      <c r="C277" s="381" t="s">
        <v>1758</v>
      </c>
      <c r="D277" s="100" t="s">
        <v>404</v>
      </c>
      <c r="E277" s="100">
        <v>290</v>
      </c>
    </row>
    <row r="278" spans="1:5" s="539" customFormat="1" ht="31.5" hidden="1" outlineLevel="3" x14ac:dyDescent="0.25">
      <c r="A278" s="363" t="s">
        <v>2538</v>
      </c>
      <c r="B278" s="381" t="s">
        <v>1760</v>
      </c>
      <c r="C278" s="390" t="s">
        <v>1759</v>
      </c>
      <c r="D278" s="100" t="s">
        <v>292</v>
      </c>
      <c r="E278" s="100">
        <v>1</v>
      </c>
    </row>
    <row r="279" spans="1:5" s="539" customFormat="1" hidden="1" outlineLevel="3" x14ac:dyDescent="0.25">
      <c r="A279" s="363" t="s">
        <v>2539</v>
      </c>
      <c r="B279" s="381" t="s">
        <v>793</v>
      </c>
      <c r="C279" s="381" t="s">
        <v>2451</v>
      </c>
      <c r="D279" s="100" t="s">
        <v>292</v>
      </c>
      <c r="E279" s="149">
        <v>1</v>
      </c>
    </row>
    <row r="280" spans="1:5" s="539" customFormat="1" hidden="1" outlineLevel="3" collapsed="1" x14ac:dyDescent="0.25">
      <c r="A280" s="363" t="s">
        <v>2563</v>
      </c>
      <c r="B280" s="381" t="s">
        <v>188</v>
      </c>
      <c r="C280" s="381" t="s">
        <v>585</v>
      </c>
      <c r="D280" s="100" t="s">
        <v>292</v>
      </c>
      <c r="E280" s="149">
        <v>1</v>
      </c>
    </row>
    <row r="281" spans="1:5" s="539" customFormat="1" ht="31.5" hidden="1" outlineLevel="4" x14ac:dyDescent="0.25">
      <c r="A281" s="363" t="s">
        <v>2564</v>
      </c>
      <c r="B281" s="381" t="s">
        <v>1306</v>
      </c>
      <c r="C281" s="381" t="s">
        <v>1305</v>
      </c>
      <c r="D281" s="100" t="s">
        <v>292</v>
      </c>
      <c r="E281" s="149">
        <v>1</v>
      </c>
    </row>
    <row r="282" spans="1:5" s="544" customFormat="1" outlineLevel="2" collapsed="1" x14ac:dyDescent="0.25">
      <c r="A282" s="132" t="s">
        <v>507</v>
      </c>
      <c r="B282" s="320"/>
      <c r="C282" s="133" t="s">
        <v>2370</v>
      </c>
      <c r="D282" s="134" t="s">
        <v>292</v>
      </c>
      <c r="E282" s="90">
        <v>1</v>
      </c>
    </row>
    <row r="283" spans="1:5" s="539" customFormat="1" hidden="1" outlineLevel="3" x14ac:dyDescent="0.25">
      <c r="A283" s="95"/>
      <c r="B283" s="381"/>
      <c r="C283" s="390" t="s">
        <v>1632</v>
      </c>
      <c r="D283" s="100"/>
      <c r="E283" s="100"/>
    </row>
    <row r="284" spans="1:5" s="539" customFormat="1" hidden="1" outlineLevel="3" x14ac:dyDescent="0.25">
      <c r="A284" s="95"/>
      <c r="B284" s="381"/>
      <c r="C284" s="381" t="s">
        <v>367</v>
      </c>
      <c r="D284" s="100"/>
      <c r="E284" s="100"/>
    </row>
    <row r="285" spans="1:5" s="539" customFormat="1" ht="31.5" hidden="1" outlineLevel="3" x14ac:dyDescent="0.25">
      <c r="A285" s="363" t="s">
        <v>2095</v>
      </c>
      <c r="B285" s="381" t="s">
        <v>1633</v>
      </c>
      <c r="C285" s="381" t="s">
        <v>356</v>
      </c>
      <c r="D285" s="100" t="s">
        <v>300</v>
      </c>
      <c r="E285" s="100">
        <f>486.4</f>
        <v>486.4</v>
      </c>
    </row>
    <row r="286" spans="1:5" s="539" customFormat="1" hidden="1" outlineLevel="3" x14ac:dyDescent="0.25">
      <c r="A286" s="363" t="s">
        <v>2540</v>
      </c>
      <c r="B286" s="381" t="s">
        <v>1634</v>
      </c>
      <c r="C286" s="381" t="s">
        <v>1625</v>
      </c>
      <c r="D286" s="100" t="s">
        <v>300</v>
      </c>
      <c r="E286" s="100">
        <f>324.9</f>
        <v>324.89999999999998</v>
      </c>
    </row>
    <row r="287" spans="1:5" s="539" customFormat="1" ht="47.25" hidden="1" outlineLevel="3" x14ac:dyDescent="0.25">
      <c r="A287" s="363" t="s">
        <v>2541</v>
      </c>
      <c r="B287" s="381" t="s">
        <v>1635</v>
      </c>
      <c r="C287" s="381" t="s">
        <v>1627</v>
      </c>
      <c r="D287" s="100" t="s">
        <v>300</v>
      </c>
      <c r="E287" s="100">
        <f>161.5</f>
        <v>161.5</v>
      </c>
    </row>
    <row r="288" spans="1:5" s="539" customFormat="1" ht="31.5" hidden="1" outlineLevel="3" x14ac:dyDescent="0.25">
      <c r="A288" s="363" t="s">
        <v>2542</v>
      </c>
      <c r="B288" s="381" t="s">
        <v>1636</v>
      </c>
      <c r="C288" s="381" t="s">
        <v>1051</v>
      </c>
      <c r="D288" s="100" t="s">
        <v>300</v>
      </c>
      <c r="E288" s="100">
        <f>324.9</f>
        <v>324.89999999999998</v>
      </c>
    </row>
    <row r="289" spans="1:5" s="539" customFormat="1" hidden="1" outlineLevel="3" x14ac:dyDescent="0.25">
      <c r="A289" s="363" t="s">
        <v>2543</v>
      </c>
      <c r="B289" s="381" t="s">
        <v>1638</v>
      </c>
      <c r="C289" s="381" t="s">
        <v>1637</v>
      </c>
      <c r="D289" s="100" t="s">
        <v>300</v>
      </c>
      <c r="E289" s="100">
        <f>62.2</f>
        <v>62.2</v>
      </c>
    </row>
    <row r="290" spans="1:5" s="539" customFormat="1" hidden="1" outlineLevel="3" x14ac:dyDescent="0.25">
      <c r="A290" s="363" t="s">
        <v>2544</v>
      </c>
      <c r="B290" s="381" t="s">
        <v>1640</v>
      </c>
      <c r="C290" s="381" t="s">
        <v>1639</v>
      </c>
      <c r="D290" s="100" t="s">
        <v>292</v>
      </c>
      <c r="E290" s="149">
        <v>1</v>
      </c>
    </row>
    <row r="291" spans="1:5" s="539" customFormat="1" ht="63" hidden="1" outlineLevel="3" x14ac:dyDescent="0.25">
      <c r="A291" s="363" t="s">
        <v>2545</v>
      </c>
      <c r="B291" s="381" t="s">
        <v>1622</v>
      </c>
      <c r="C291" s="381" t="s">
        <v>1621</v>
      </c>
      <c r="D291" s="100" t="s">
        <v>408</v>
      </c>
      <c r="E291" s="149">
        <v>1</v>
      </c>
    </row>
    <row r="292" spans="1:5" s="539" customFormat="1" ht="31.5" hidden="1" outlineLevel="3" x14ac:dyDescent="0.25">
      <c r="A292" s="363"/>
      <c r="B292" s="381"/>
      <c r="C292" s="390" t="s">
        <v>1761</v>
      </c>
      <c r="D292" s="100"/>
      <c r="E292" s="100"/>
    </row>
    <row r="293" spans="1:5" s="539" customFormat="1" ht="31.5" hidden="1" outlineLevel="3" x14ac:dyDescent="0.25">
      <c r="A293" s="363" t="s">
        <v>2546</v>
      </c>
      <c r="B293" s="381" t="s">
        <v>1762</v>
      </c>
      <c r="C293" s="381" t="s">
        <v>356</v>
      </c>
      <c r="D293" s="100" t="s">
        <v>300</v>
      </c>
      <c r="E293" s="100">
        <v>219</v>
      </c>
    </row>
    <row r="294" spans="1:5" s="539" customFormat="1" hidden="1" outlineLevel="3" x14ac:dyDescent="0.25">
      <c r="A294" s="363" t="s">
        <v>2547</v>
      </c>
      <c r="B294" s="381" t="s">
        <v>1763</v>
      </c>
      <c r="C294" s="381" t="s">
        <v>1493</v>
      </c>
      <c r="D294" s="100" t="s">
        <v>300</v>
      </c>
      <c r="E294" s="100">
        <v>62</v>
      </c>
    </row>
    <row r="295" spans="1:5" s="539" customFormat="1" ht="47.25" hidden="1" outlineLevel="3" x14ac:dyDescent="0.25">
      <c r="A295" s="363" t="s">
        <v>2548</v>
      </c>
      <c r="B295" s="381" t="s">
        <v>1764</v>
      </c>
      <c r="C295" s="381" t="s">
        <v>1765</v>
      </c>
      <c r="D295" s="100" t="s">
        <v>300</v>
      </c>
      <c r="E295" s="100">
        <v>187</v>
      </c>
    </row>
    <row r="296" spans="1:5" s="539" customFormat="1" hidden="1" outlineLevel="3" x14ac:dyDescent="0.25">
      <c r="A296" s="363" t="s">
        <v>2549</v>
      </c>
      <c r="B296" s="381" t="s">
        <v>1766</v>
      </c>
      <c r="C296" s="381" t="s">
        <v>1749</v>
      </c>
      <c r="D296" s="100" t="s">
        <v>300</v>
      </c>
      <c r="E296" s="100">
        <v>62</v>
      </c>
    </row>
    <row r="297" spans="1:5" s="539" customFormat="1" hidden="1" outlineLevel="3" x14ac:dyDescent="0.25">
      <c r="A297" s="363" t="s">
        <v>2550</v>
      </c>
      <c r="B297" s="381" t="s">
        <v>1767</v>
      </c>
      <c r="C297" s="381" t="s">
        <v>1753</v>
      </c>
      <c r="D297" s="100" t="s">
        <v>404</v>
      </c>
      <c r="E297" s="100">
        <v>1016</v>
      </c>
    </row>
    <row r="298" spans="1:5" s="539" customFormat="1" ht="31.5" hidden="1" outlineLevel="3" x14ac:dyDescent="0.25">
      <c r="A298" s="363" t="s">
        <v>2551</v>
      </c>
      <c r="B298" s="381" t="s">
        <v>1769</v>
      </c>
      <c r="C298" s="390" t="s">
        <v>1768</v>
      </c>
      <c r="D298" s="100" t="s">
        <v>292</v>
      </c>
      <c r="E298" s="149">
        <v>1</v>
      </c>
    </row>
    <row r="299" spans="1:5" s="539" customFormat="1" hidden="1" outlineLevel="3" x14ac:dyDescent="0.25">
      <c r="A299" s="363" t="s">
        <v>2552</v>
      </c>
      <c r="B299" s="381" t="s">
        <v>793</v>
      </c>
      <c r="C299" s="381" t="s">
        <v>2452</v>
      </c>
      <c r="D299" s="100" t="s">
        <v>292</v>
      </c>
      <c r="E299" s="149">
        <v>1</v>
      </c>
    </row>
    <row r="300" spans="1:5" s="539" customFormat="1" hidden="1" outlineLevel="3" collapsed="1" x14ac:dyDescent="0.25">
      <c r="A300" s="363" t="s">
        <v>2565</v>
      </c>
      <c r="B300" s="381" t="s">
        <v>188</v>
      </c>
      <c r="C300" s="381" t="s">
        <v>585</v>
      </c>
      <c r="D300" s="100" t="s">
        <v>292</v>
      </c>
      <c r="E300" s="149">
        <v>1</v>
      </c>
    </row>
    <row r="301" spans="1:5" s="539" customFormat="1" ht="31.5" hidden="1" outlineLevel="4" x14ac:dyDescent="0.25">
      <c r="A301" s="363" t="s">
        <v>2566</v>
      </c>
      <c r="B301" s="381" t="s">
        <v>1306</v>
      </c>
      <c r="C301" s="381" t="s">
        <v>1305</v>
      </c>
      <c r="D301" s="100" t="s">
        <v>292</v>
      </c>
      <c r="E301" s="149">
        <v>1</v>
      </c>
    </row>
    <row r="302" spans="1:5" s="539" customFormat="1" ht="31.5" hidden="1" outlineLevel="4" x14ac:dyDescent="0.25">
      <c r="A302" s="363" t="s">
        <v>2567</v>
      </c>
      <c r="B302" s="381" t="s">
        <v>1308</v>
      </c>
      <c r="C302" s="381" t="s">
        <v>1307</v>
      </c>
      <c r="D302" s="100" t="s">
        <v>292</v>
      </c>
      <c r="E302" s="149">
        <v>1</v>
      </c>
    </row>
    <row r="303" spans="1:5" s="544" customFormat="1" ht="31.5" outlineLevel="2" collapsed="1" x14ac:dyDescent="0.25">
      <c r="A303" s="132" t="s">
        <v>2553</v>
      </c>
      <c r="B303" s="320"/>
      <c r="C303" s="133" t="s">
        <v>2371</v>
      </c>
      <c r="D303" s="134" t="s">
        <v>292</v>
      </c>
      <c r="E303" s="90">
        <v>1</v>
      </c>
    </row>
    <row r="304" spans="1:5" s="539" customFormat="1" ht="31.5" hidden="1" outlineLevel="3" x14ac:dyDescent="0.25">
      <c r="A304" s="363"/>
      <c r="B304" s="381"/>
      <c r="C304" s="390" t="s">
        <v>1641</v>
      </c>
      <c r="D304" s="100"/>
      <c r="E304" s="100"/>
    </row>
    <row r="305" spans="1:5" s="539" customFormat="1" hidden="1" outlineLevel="3" x14ac:dyDescent="0.25">
      <c r="A305" s="363"/>
      <c r="B305" s="381"/>
      <c r="C305" s="381" t="s">
        <v>367</v>
      </c>
      <c r="D305" s="100"/>
      <c r="E305" s="100"/>
    </row>
    <row r="306" spans="1:5" s="539" customFormat="1" ht="31.5" hidden="1" outlineLevel="3" x14ac:dyDescent="0.25">
      <c r="A306" s="363" t="s">
        <v>2554</v>
      </c>
      <c r="B306" s="381" t="s">
        <v>1642</v>
      </c>
      <c r="C306" s="381" t="s">
        <v>356</v>
      </c>
      <c r="D306" s="100" t="s">
        <v>300</v>
      </c>
      <c r="E306" s="100">
        <f>320+66.2</f>
        <v>386.2</v>
      </c>
    </row>
    <row r="307" spans="1:5" s="539" customFormat="1" hidden="1" outlineLevel="3" x14ac:dyDescent="0.25">
      <c r="A307" s="363" t="s">
        <v>2555</v>
      </c>
      <c r="B307" s="381" t="s">
        <v>1643</v>
      </c>
      <c r="C307" s="381" t="s">
        <v>1625</v>
      </c>
      <c r="D307" s="100" t="s">
        <v>300</v>
      </c>
      <c r="E307" s="100">
        <f>320+66.2</f>
        <v>386.2</v>
      </c>
    </row>
    <row r="308" spans="1:5" s="539" customFormat="1" ht="47.25" hidden="1" outlineLevel="3" x14ac:dyDescent="0.25">
      <c r="A308" s="363" t="s">
        <v>2556</v>
      </c>
      <c r="B308" s="381" t="s">
        <v>1644</v>
      </c>
      <c r="C308" s="381" t="s">
        <v>1627</v>
      </c>
      <c r="D308" s="100" t="s">
        <v>300</v>
      </c>
      <c r="E308" s="100">
        <f>65.8</f>
        <v>65.8</v>
      </c>
    </row>
    <row r="309" spans="1:5" s="539" customFormat="1" ht="31.5" hidden="1" outlineLevel="3" x14ac:dyDescent="0.25">
      <c r="A309" s="363" t="s">
        <v>2557</v>
      </c>
      <c r="B309" s="381" t="s">
        <v>1646</v>
      </c>
      <c r="C309" s="381" t="s">
        <v>1051</v>
      </c>
      <c r="D309" s="100" t="s">
        <v>300</v>
      </c>
      <c r="E309" s="100">
        <f>320.4</f>
        <v>320.39999999999998</v>
      </c>
    </row>
    <row r="310" spans="1:5" s="539" customFormat="1" hidden="1" outlineLevel="3" x14ac:dyDescent="0.25">
      <c r="A310" s="363" t="s">
        <v>2558</v>
      </c>
      <c r="B310" s="381" t="s">
        <v>1647</v>
      </c>
      <c r="C310" s="381" t="s">
        <v>1630</v>
      </c>
      <c r="D310" s="100" t="s">
        <v>300</v>
      </c>
      <c r="E310" s="100">
        <f>53.04</f>
        <v>53.04</v>
      </c>
    </row>
    <row r="311" spans="1:5" s="539" customFormat="1" hidden="1" outlineLevel="3" x14ac:dyDescent="0.25">
      <c r="A311" s="363" t="s">
        <v>2559</v>
      </c>
      <c r="B311" s="381" t="s">
        <v>1649</v>
      </c>
      <c r="C311" s="381" t="s">
        <v>1648</v>
      </c>
      <c r="D311" s="100" t="s">
        <v>300</v>
      </c>
      <c r="E311" s="100">
        <f>5.76</f>
        <v>5.76</v>
      </c>
    </row>
    <row r="312" spans="1:5" s="539" customFormat="1" hidden="1" outlineLevel="3" x14ac:dyDescent="0.25">
      <c r="A312" s="363"/>
      <c r="B312" s="381"/>
      <c r="C312" s="381" t="s">
        <v>1614</v>
      </c>
      <c r="D312" s="100"/>
      <c r="E312" s="100"/>
    </row>
    <row r="313" spans="1:5" s="539" customFormat="1" ht="63" hidden="1" outlineLevel="3" x14ac:dyDescent="0.25">
      <c r="A313" s="363" t="s">
        <v>2560</v>
      </c>
      <c r="B313" s="381" t="s">
        <v>1616</v>
      </c>
      <c r="C313" s="381" t="s">
        <v>1615</v>
      </c>
      <c r="D313" s="100" t="s">
        <v>408</v>
      </c>
      <c r="E313" s="149">
        <v>2</v>
      </c>
    </row>
    <row r="314" spans="1:5" s="539" customFormat="1" ht="110.25" hidden="1" outlineLevel="3" x14ac:dyDescent="0.25">
      <c r="A314" s="363" t="s">
        <v>2561</v>
      </c>
      <c r="B314" s="381" t="s">
        <v>1618</v>
      </c>
      <c r="C314" s="381" t="s">
        <v>1617</v>
      </c>
      <c r="D314" s="100" t="s">
        <v>408</v>
      </c>
      <c r="E314" s="149">
        <v>1</v>
      </c>
    </row>
    <row r="315" spans="1:5" s="539" customFormat="1" hidden="1" outlineLevel="3" x14ac:dyDescent="0.25">
      <c r="A315" s="363" t="s">
        <v>2562</v>
      </c>
      <c r="B315" s="381" t="s">
        <v>793</v>
      </c>
      <c r="C315" s="381" t="s">
        <v>2453</v>
      </c>
      <c r="D315" s="100" t="s">
        <v>292</v>
      </c>
      <c r="E315" s="149">
        <v>1</v>
      </c>
    </row>
    <row r="316" spans="1:5" s="539" customFormat="1" ht="31.5" hidden="1" outlineLevel="3" collapsed="1" x14ac:dyDescent="0.25">
      <c r="A316" s="363" t="s">
        <v>2568</v>
      </c>
      <c r="B316" s="381" t="s">
        <v>188</v>
      </c>
      <c r="C316" s="381" t="s">
        <v>189</v>
      </c>
      <c r="D316" s="100" t="s">
        <v>292</v>
      </c>
      <c r="E316" s="149">
        <v>1</v>
      </c>
    </row>
    <row r="317" spans="1:5" s="539" customFormat="1" ht="31.5" hidden="1" outlineLevel="4" x14ac:dyDescent="0.25">
      <c r="A317" s="363" t="s">
        <v>2569</v>
      </c>
      <c r="B317" s="381" t="s">
        <v>1306</v>
      </c>
      <c r="C317" s="381" t="s">
        <v>1305</v>
      </c>
      <c r="D317" s="100" t="s">
        <v>292</v>
      </c>
      <c r="E317" s="149">
        <v>1</v>
      </c>
    </row>
    <row r="318" spans="1:5" s="539" customFormat="1" ht="31.5" hidden="1" outlineLevel="4" x14ac:dyDescent="0.25">
      <c r="A318" s="363" t="s">
        <v>2570</v>
      </c>
      <c r="B318" s="381" t="s">
        <v>1308</v>
      </c>
      <c r="C318" s="381" t="s">
        <v>1307</v>
      </c>
      <c r="D318" s="100" t="s">
        <v>292</v>
      </c>
      <c r="E318" s="149">
        <v>1</v>
      </c>
    </row>
    <row r="319" spans="1:5" s="544" customFormat="1" outlineLevel="2" collapsed="1" x14ac:dyDescent="0.25">
      <c r="A319" s="132" t="s">
        <v>2571</v>
      </c>
      <c r="B319" s="320"/>
      <c r="C319" s="133" t="s">
        <v>2372</v>
      </c>
      <c r="D319" s="134" t="s">
        <v>292</v>
      </c>
      <c r="E319" s="90">
        <v>1</v>
      </c>
    </row>
    <row r="320" spans="1:5" s="539" customFormat="1" ht="31.5" hidden="1" outlineLevel="3" x14ac:dyDescent="0.25">
      <c r="A320" s="363"/>
      <c r="B320" s="381"/>
      <c r="C320" s="390" t="s">
        <v>1623</v>
      </c>
      <c r="D320" s="100"/>
      <c r="E320" s="100"/>
    </row>
    <row r="321" spans="1:5" s="539" customFormat="1" hidden="1" outlineLevel="3" x14ac:dyDescent="0.25">
      <c r="A321" s="363"/>
      <c r="B321" s="381"/>
      <c r="C321" s="381" t="s">
        <v>367</v>
      </c>
      <c r="D321" s="100"/>
      <c r="E321" s="100"/>
    </row>
    <row r="322" spans="1:5" s="539" customFormat="1" ht="31.5" hidden="1" outlineLevel="3" x14ac:dyDescent="0.25">
      <c r="A322" s="363" t="s">
        <v>2572</v>
      </c>
      <c r="B322" s="381" t="s">
        <v>1624</v>
      </c>
      <c r="C322" s="381" t="s">
        <v>356</v>
      </c>
      <c r="D322" s="100" t="s">
        <v>300</v>
      </c>
      <c r="E322" s="100">
        <f>122.5</f>
        <v>122.5</v>
      </c>
    </row>
    <row r="323" spans="1:5" s="539" customFormat="1" hidden="1" outlineLevel="3" x14ac:dyDescent="0.25">
      <c r="A323" s="363" t="s">
        <v>2573</v>
      </c>
      <c r="B323" s="381" t="s">
        <v>1626</v>
      </c>
      <c r="C323" s="381" t="s">
        <v>1625</v>
      </c>
      <c r="D323" s="100" t="s">
        <v>300</v>
      </c>
      <c r="E323" s="100">
        <f>85.6</f>
        <v>85.6</v>
      </c>
    </row>
    <row r="324" spans="1:5" s="539" customFormat="1" ht="47.25" hidden="1" outlineLevel="3" x14ac:dyDescent="0.25">
      <c r="A324" s="363" t="s">
        <v>2574</v>
      </c>
      <c r="B324" s="381" t="s">
        <v>1628</v>
      </c>
      <c r="C324" s="381" t="s">
        <v>1627</v>
      </c>
      <c r="D324" s="100" t="s">
        <v>300</v>
      </c>
      <c r="E324" s="100">
        <f>36.9</f>
        <v>36.9</v>
      </c>
    </row>
    <row r="325" spans="1:5" s="539" customFormat="1" ht="31.5" hidden="1" outlineLevel="3" x14ac:dyDescent="0.25">
      <c r="A325" s="363" t="s">
        <v>2575</v>
      </c>
      <c r="B325" s="381" t="s">
        <v>1629</v>
      </c>
      <c r="C325" s="381" t="s">
        <v>1051</v>
      </c>
      <c r="D325" s="100" t="s">
        <v>300</v>
      </c>
      <c r="E325" s="100">
        <f>85.6</f>
        <v>85.6</v>
      </c>
    </row>
    <row r="326" spans="1:5" s="539" customFormat="1" hidden="1" outlineLevel="3" x14ac:dyDescent="0.25">
      <c r="A326" s="363" t="s">
        <v>2576</v>
      </c>
      <c r="B326" s="381" t="s">
        <v>1631</v>
      </c>
      <c r="C326" s="381" t="s">
        <v>1630</v>
      </c>
      <c r="D326" s="100" t="s">
        <v>300</v>
      </c>
      <c r="E326" s="100">
        <f>17.51</f>
        <v>17.510000000000002</v>
      </c>
    </row>
    <row r="327" spans="1:5" s="539" customFormat="1" ht="220.5" hidden="1" outlineLevel="3" x14ac:dyDescent="0.25">
      <c r="A327" s="363" t="s">
        <v>2577</v>
      </c>
      <c r="B327" s="381" t="s">
        <v>1723</v>
      </c>
      <c r="C327" s="381" t="s">
        <v>1722</v>
      </c>
      <c r="D327" s="100" t="s">
        <v>408</v>
      </c>
      <c r="E327" s="100">
        <v>2</v>
      </c>
    </row>
    <row r="328" spans="1:5" s="539" customFormat="1" ht="126" hidden="1" outlineLevel="3" x14ac:dyDescent="0.25">
      <c r="A328" s="363" t="s">
        <v>2578</v>
      </c>
      <c r="B328" s="381" t="s">
        <v>1724</v>
      </c>
      <c r="C328" s="381" t="s">
        <v>1725</v>
      </c>
      <c r="D328" s="100" t="s">
        <v>408</v>
      </c>
      <c r="E328" s="100">
        <v>1</v>
      </c>
    </row>
    <row r="329" spans="1:5" s="539" customFormat="1" ht="47.25" hidden="1" outlineLevel="3" x14ac:dyDescent="0.25">
      <c r="A329" s="363" t="s">
        <v>2579</v>
      </c>
      <c r="B329" s="381" t="s">
        <v>1726</v>
      </c>
      <c r="C329" s="381" t="s">
        <v>1727</v>
      </c>
      <c r="D329" s="100" t="s">
        <v>408</v>
      </c>
      <c r="E329" s="100">
        <v>1</v>
      </c>
    </row>
    <row r="330" spans="1:5" s="539" customFormat="1" hidden="1" outlineLevel="3" x14ac:dyDescent="0.25">
      <c r="A330" s="363" t="s">
        <v>2580</v>
      </c>
      <c r="B330" s="381" t="s">
        <v>1728</v>
      </c>
      <c r="C330" s="381" t="s">
        <v>1729</v>
      </c>
      <c r="D330" s="100" t="s">
        <v>408</v>
      </c>
      <c r="E330" s="100">
        <v>2</v>
      </c>
    </row>
    <row r="331" spans="1:5" s="539" customFormat="1" hidden="1" outlineLevel="3" x14ac:dyDescent="0.25">
      <c r="A331" s="363" t="s">
        <v>2581</v>
      </c>
      <c r="B331" s="381" t="s">
        <v>1731</v>
      </c>
      <c r="C331" s="381" t="s">
        <v>1730</v>
      </c>
      <c r="D331" s="100" t="s">
        <v>408</v>
      </c>
      <c r="E331" s="100">
        <v>2</v>
      </c>
    </row>
    <row r="332" spans="1:5" s="539" customFormat="1" ht="31.5" hidden="1" outlineLevel="3" x14ac:dyDescent="0.25">
      <c r="A332" s="363" t="s">
        <v>2582</v>
      </c>
      <c r="B332" s="381" t="s">
        <v>1733</v>
      </c>
      <c r="C332" s="381" t="s">
        <v>1732</v>
      </c>
      <c r="D332" s="100" t="s">
        <v>408</v>
      </c>
      <c r="E332" s="100">
        <v>4</v>
      </c>
    </row>
    <row r="333" spans="1:5" s="539" customFormat="1" ht="31.5" hidden="1" outlineLevel="3" x14ac:dyDescent="0.25">
      <c r="A333" s="363" t="s">
        <v>2583</v>
      </c>
      <c r="B333" s="381" t="s">
        <v>1735</v>
      </c>
      <c r="C333" s="381" t="s">
        <v>1734</v>
      </c>
      <c r="D333" s="100" t="s">
        <v>408</v>
      </c>
      <c r="E333" s="100">
        <v>1</v>
      </c>
    </row>
    <row r="334" spans="1:5" s="539" customFormat="1" hidden="1" outlineLevel="3" x14ac:dyDescent="0.25">
      <c r="A334" s="363" t="s">
        <v>2584</v>
      </c>
      <c r="B334" s="381" t="s">
        <v>1737</v>
      </c>
      <c r="C334" s="381" t="s">
        <v>1736</v>
      </c>
      <c r="D334" s="100" t="s">
        <v>408</v>
      </c>
      <c r="E334" s="100">
        <v>5</v>
      </c>
    </row>
    <row r="335" spans="1:5" s="539" customFormat="1" hidden="1" outlineLevel="3" x14ac:dyDescent="0.25">
      <c r="A335" s="363" t="s">
        <v>2585</v>
      </c>
      <c r="B335" s="381" t="s">
        <v>1739</v>
      </c>
      <c r="C335" s="381" t="s">
        <v>1738</v>
      </c>
      <c r="D335" s="100" t="s">
        <v>408</v>
      </c>
      <c r="E335" s="100">
        <v>1</v>
      </c>
    </row>
    <row r="336" spans="1:5" s="540" customFormat="1" ht="31.5" outlineLevel="2" collapsed="1" x14ac:dyDescent="0.25">
      <c r="A336" s="132" t="s">
        <v>2586</v>
      </c>
      <c r="B336" s="320" t="s">
        <v>37</v>
      </c>
      <c r="C336" s="320" t="s">
        <v>38</v>
      </c>
      <c r="D336" s="134" t="s">
        <v>292</v>
      </c>
      <c r="E336" s="90">
        <v>1</v>
      </c>
    </row>
    <row r="337" spans="1:5" s="539" customFormat="1" hidden="1" outlineLevel="3" x14ac:dyDescent="0.25">
      <c r="A337" s="363"/>
      <c r="B337" s="381"/>
      <c r="C337" s="381" t="s">
        <v>367</v>
      </c>
      <c r="D337" s="100"/>
      <c r="E337" s="100"/>
    </row>
    <row r="338" spans="1:5" s="539" customFormat="1" ht="31.5" hidden="1" outlineLevel="3" x14ac:dyDescent="0.25">
      <c r="A338" s="363" t="s">
        <v>2587</v>
      </c>
      <c r="B338" s="381" t="s">
        <v>499</v>
      </c>
      <c r="C338" s="381" t="s">
        <v>356</v>
      </c>
      <c r="D338" s="100" t="s">
        <v>300</v>
      </c>
      <c r="E338" s="100">
        <f>844.67</f>
        <v>844.67</v>
      </c>
    </row>
    <row r="339" spans="1:5" s="539" customFormat="1" hidden="1" outlineLevel="3" x14ac:dyDescent="0.25">
      <c r="A339" s="363" t="s">
        <v>2588</v>
      </c>
      <c r="B339" s="381" t="s">
        <v>1422</v>
      </c>
      <c r="C339" s="381" t="s">
        <v>398</v>
      </c>
      <c r="D339" s="100" t="s">
        <v>300</v>
      </c>
      <c r="E339" s="100">
        <f>312.69</f>
        <v>312.69</v>
      </c>
    </row>
    <row r="340" spans="1:5" s="539" customFormat="1" ht="47.25" hidden="1" outlineLevel="3" x14ac:dyDescent="0.25">
      <c r="A340" s="363" t="s">
        <v>2589</v>
      </c>
      <c r="B340" s="381" t="s">
        <v>1423</v>
      </c>
      <c r="C340" s="381" t="s">
        <v>1402</v>
      </c>
      <c r="D340" s="100" t="s">
        <v>300</v>
      </c>
      <c r="E340" s="100">
        <f>278.58</f>
        <v>278.58</v>
      </c>
    </row>
    <row r="341" spans="1:5" s="539" customFormat="1" ht="31.5" hidden="1" outlineLevel="3" x14ac:dyDescent="0.25">
      <c r="A341" s="363" t="s">
        <v>2590</v>
      </c>
      <c r="B341" s="381" t="s">
        <v>1424</v>
      </c>
      <c r="C341" s="381" t="s">
        <v>1405</v>
      </c>
      <c r="D341" s="100" t="s">
        <v>300</v>
      </c>
      <c r="E341" s="100">
        <f>168.93</f>
        <v>168.93</v>
      </c>
    </row>
    <row r="342" spans="1:5" s="539" customFormat="1" hidden="1" outlineLevel="3" x14ac:dyDescent="0.25">
      <c r="A342" s="363" t="s">
        <v>2591</v>
      </c>
      <c r="B342" s="381" t="s">
        <v>1425</v>
      </c>
      <c r="C342" s="381" t="s">
        <v>1406</v>
      </c>
      <c r="D342" s="100" t="s">
        <v>300</v>
      </c>
      <c r="E342" s="100">
        <f>84.47</f>
        <v>84.47</v>
      </c>
    </row>
    <row r="343" spans="1:5" s="539" customFormat="1" ht="31.5" hidden="1" outlineLevel="3" x14ac:dyDescent="0.25">
      <c r="A343" s="363" t="s">
        <v>2592</v>
      </c>
      <c r="B343" s="381" t="s">
        <v>1426</v>
      </c>
      <c r="C343" s="381" t="s">
        <v>750</v>
      </c>
      <c r="D343" s="100" t="s">
        <v>300</v>
      </c>
      <c r="E343" s="100">
        <f>566.09</f>
        <v>566.09</v>
      </c>
    </row>
    <row r="344" spans="1:5" s="539" customFormat="1" ht="31.5" hidden="1" outlineLevel="3" x14ac:dyDescent="0.25">
      <c r="A344" s="363" t="s">
        <v>2593</v>
      </c>
      <c r="B344" s="381" t="s">
        <v>1428</v>
      </c>
      <c r="C344" s="381" t="s">
        <v>1427</v>
      </c>
      <c r="D344" s="100" t="s">
        <v>377</v>
      </c>
      <c r="E344" s="100">
        <v>2396</v>
      </c>
    </row>
    <row r="345" spans="1:5" s="539" customFormat="1" hidden="1" outlineLevel="3" x14ac:dyDescent="0.25">
      <c r="A345" s="363"/>
      <c r="B345" s="381"/>
      <c r="C345" s="381" t="s">
        <v>379</v>
      </c>
      <c r="D345" s="100"/>
      <c r="E345" s="100"/>
    </row>
    <row r="346" spans="1:5" s="539" customFormat="1" hidden="1" outlineLevel="3" x14ac:dyDescent="0.25">
      <c r="A346" s="363" t="s">
        <v>2594</v>
      </c>
      <c r="B346" s="381" t="s">
        <v>1430</v>
      </c>
      <c r="C346" s="381" t="s">
        <v>1429</v>
      </c>
      <c r="D346" s="100" t="s">
        <v>377</v>
      </c>
      <c r="E346" s="100">
        <v>10</v>
      </c>
    </row>
    <row r="347" spans="1:5" s="539" customFormat="1" ht="47.25" hidden="1" outlineLevel="3" x14ac:dyDescent="0.25">
      <c r="A347" s="363" t="s">
        <v>2595</v>
      </c>
      <c r="B347" s="381" t="s">
        <v>1432</v>
      </c>
      <c r="C347" s="381" t="s">
        <v>1431</v>
      </c>
      <c r="D347" s="100" t="s">
        <v>377</v>
      </c>
      <c r="E347" s="100">
        <v>180</v>
      </c>
    </row>
    <row r="348" spans="1:5" s="539" customFormat="1" hidden="1" outlineLevel="3" x14ac:dyDescent="0.25">
      <c r="A348" s="363" t="s">
        <v>2596</v>
      </c>
      <c r="B348" s="381" t="s">
        <v>1435</v>
      </c>
      <c r="C348" s="381" t="s">
        <v>1433</v>
      </c>
      <c r="D348" s="100" t="s">
        <v>377</v>
      </c>
      <c r="E348" s="100">
        <v>7</v>
      </c>
    </row>
    <row r="349" spans="1:5" s="539" customFormat="1" hidden="1" outlineLevel="3" x14ac:dyDescent="0.25">
      <c r="A349" s="363" t="s">
        <v>2597</v>
      </c>
      <c r="B349" s="381" t="s">
        <v>1436</v>
      </c>
      <c r="C349" s="381" t="s">
        <v>1434</v>
      </c>
      <c r="D349" s="100" t="s">
        <v>377</v>
      </c>
      <c r="E349" s="100">
        <v>1955</v>
      </c>
    </row>
    <row r="350" spans="1:5" s="539" customFormat="1" hidden="1" outlineLevel="3" x14ac:dyDescent="0.25">
      <c r="A350" s="363" t="s">
        <v>2598</v>
      </c>
      <c r="B350" s="381" t="s">
        <v>1437</v>
      </c>
      <c r="C350" s="381" t="s">
        <v>1438</v>
      </c>
      <c r="D350" s="100" t="s">
        <v>377</v>
      </c>
      <c r="E350" s="100">
        <v>412</v>
      </c>
    </row>
    <row r="351" spans="1:5" s="539" customFormat="1" ht="31.5" hidden="1" outlineLevel="3" x14ac:dyDescent="0.25">
      <c r="A351" s="363" t="s">
        <v>2599</v>
      </c>
      <c r="B351" s="381" t="s">
        <v>1439</v>
      </c>
      <c r="C351" s="381" t="s">
        <v>1440</v>
      </c>
      <c r="D351" s="100" t="s">
        <v>377</v>
      </c>
      <c r="E351" s="100">
        <v>7</v>
      </c>
    </row>
    <row r="352" spans="1:5" s="539" customFormat="1" ht="31.5" hidden="1" outlineLevel="3" x14ac:dyDescent="0.25">
      <c r="A352" s="363" t="s">
        <v>2600</v>
      </c>
      <c r="B352" s="381" t="s">
        <v>1442</v>
      </c>
      <c r="C352" s="381" t="s">
        <v>1441</v>
      </c>
      <c r="D352" s="100" t="s">
        <v>377</v>
      </c>
      <c r="E352" s="100">
        <f>50</f>
        <v>50</v>
      </c>
    </row>
    <row r="353" spans="1:5" s="539" customFormat="1" ht="31.5" hidden="1" outlineLevel="3" x14ac:dyDescent="0.25">
      <c r="A353" s="363" t="s">
        <v>2601</v>
      </c>
      <c r="B353" s="381" t="s">
        <v>1444</v>
      </c>
      <c r="C353" s="381" t="s">
        <v>1443</v>
      </c>
      <c r="D353" s="100" t="s">
        <v>377</v>
      </c>
      <c r="E353" s="100">
        <v>100</v>
      </c>
    </row>
    <row r="354" spans="1:5" s="539" customFormat="1" ht="47.25" hidden="1" outlineLevel="3" x14ac:dyDescent="0.25">
      <c r="A354" s="363" t="s">
        <v>2602</v>
      </c>
      <c r="B354" s="381" t="s">
        <v>1446</v>
      </c>
      <c r="C354" s="381" t="s">
        <v>1445</v>
      </c>
      <c r="D354" s="100" t="s">
        <v>377</v>
      </c>
      <c r="E354" s="100">
        <v>100</v>
      </c>
    </row>
    <row r="355" spans="1:5" s="539" customFormat="1" ht="47.25" hidden="1" outlineLevel="3" x14ac:dyDescent="0.25">
      <c r="A355" s="363" t="s">
        <v>2603</v>
      </c>
      <c r="B355" s="381" t="s">
        <v>1447</v>
      </c>
      <c r="C355" s="381" t="s">
        <v>1449</v>
      </c>
      <c r="D355" s="100" t="s">
        <v>377</v>
      </c>
      <c r="E355" s="100">
        <v>12</v>
      </c>
    </row>
    <row r="356" spans="1:5" s="539" customFormat="1" ht="47.25" hidden="1" outlineLevel="3" x14ac:dyDescent="0.25">
      <c r="A356" s="363" t="s">
        <v>2604</v>
      </c>
      <c r="B356" s="381" t="s">
        <v>1448</v>
      </c>
      <c r="C356" s="381" t="s">
        <v>1450</v>
      </c>
      <c r="D356" s="100" t="s">
        <v>377</v>
      </c>
      <c r="E356" s="100">
        <v>40</v>
      </c>
    </row>
    <row r="357" spans="1:5" s="539" customFormat="1" ht="47.25" hidden="1" outlineLevel="3" x14ac:dyDescent="0.25">
      <c r="A357" s="363" t="s">
        <v>2605</v>
      </c>
      <c r="B357" s="381" t="s">
        <v>1451</v>
      </c>
      <c r="C357" s="381" t="s">
        <v>1453</v>
      </c>
      <c r="D357" s="100" t="s">
        <v>377</v>
      </c>
      <c r="E357" s="100">
        <v>62</v>
      </c>
    </row>
    <row r="358" spans="1:5" s="539" customFormat="1" ht="47.25" hidden="1" outlineLevel="3" x14ac:dyDescent="0.25">
      <c r="A358" s="363" t="s">
        <v>2606</v>
      </c>
      <c r="B358" s="381" t="s">
        <v>1452</v>
      </c>
      <c r="C358" s="381" t="s">
        <v>1454</v>
      </c>
      <c r="D358" s="100" t="s">
        <v>377</v>
      </c>
      <c r="E358" s="100">
        <v>120</v>
      </c>
    </row>
    <row r="359" spans="1:5" s="539" customFormat="1" hidden="1" outlineLevel="3" x14ac:dyDescent="0.25">
      <c r="A359" s="363" t="s">
        <v>2607</v>
      </c>
      <c r="B359" s="381" t="s">
        <v>1456</v>
      </c>
      <c r="C359" s="381" t="s">
        <v>1455</v>
      </c>
      <c r="D359" s="100" t="s">
        <v>300</v>
      </c>
      <c r="E359" s="100">
        <v>7.2</v>
      </c>
    </row>
    <row r="360" spans="1:5" s="539" customFormat="1" hidden="1" outlineLevel="3" x14ac:dyDescent="0.25">
      <c r="A360" s="363" t="s">
        <v>2608</v>
      </c>
      <c r="B360" s="381" t="s">
        <v>1463</v>
      </c>
      <c r="C360" s="381" t="s">
        <v>1457</v>
      </c>
      <c r="D360" s="100" t="s">
        <v>377</v>
      </c>
      <c r="E360" s="100">
        <v>33</v>
      </c>
    </row>
    <row r="361" spans="1:5" s="539" customFormat="1" hidden="1" outlineLevel="3" x14ac:dyDescent="0.25">
      <c r="A361" s="363" t="s">
        <v>2609</v>
      </c>
      <c r="B361" s="381" t="s">
        <v>1462</v>
      </c>
      <c r="C361" s="381" t="s">
        <v>1461</v>
      </c>
      <c r="D361" s="100" t="s">
        <v>377</v>
      </c>
      <c r="E361" s="100">
        <v>120</v>
      </c>
    </row>
    <row r="362" spans="1:5" s="539" customFormat="1" ht="31.5" hidden="1" outlineLevel="3" x14ac:dyDescent="0.25">
      <c r="A362" s="363" t="s">
        <v>2610</v>
      </c>
      <c r="B362" s="381" t="s">
        <v>1468</v>
      </c>
      <c r="C362" s="381" t="s">
        <v>1464</v>
      </c>
      <c r="D362" s="100" t="s">
        <v>408</v>
      </c>
      <c r="E362" s="100">
        <v>80</v>
      </c>
    </row>
    <row r="363" spans="1:5" s="539" customFormat="1" ht="31.5" hidden="1" outlineLevel="3" x14ac:dyDescent="0.25">
      <c r="A363" s="363" t="s">
        <v>2611</v>
      </c>
      <c r="B363" s="381" t="s">
        <v>1469</v>
      </c>
      <c r="C363" s="381" t="s">
        <v>1465</v>
      </c>
      <c r="D363" s="100" t="s">
        <v>408</v>
      </c>
      <c r="E363" s="100">
        <v>80</v>
      </c>
    </row>
    <row r="364" spans="1:5" s="539" customFormat="1" ht="31.5" hidden="1" outlineLevel="3" x14ac:dyDescent="0.25">
      <c r="A364" s="363" t="s">
        <v>2612</v>
      </c>
      <c r="B364" s="381" t="s">
        <v>1470</v>
      </c>
      <c r="C364" s="381" t="s">
        <v>1466</v>
      </c>
      <c r="D364" s="100" t="s">
        <v>408</v>
      </c>
      <c r="E364" s="100">
        <v>88</v>
      </c>
    </row>
    <row r="365" spans="1:5" s="539" customFormat="1" ht="31.5" hidden="1" outlineLevel="3" x14ac:dyDescent="0.25">
      <c r="A365" s="363" t="s">
        <v>2613</v>
      </c>
      <c r="B365" s="381" t="s">
        <v>1471</v>
      </c>
      <c r="C365" s="381" t="s">
        <v>1467</v>
      </c>
      <c r="D365" s="100" t="s">
        <v>408</v>
      </c>
      <c r="E365" s="100">
        <v>96</v>
      </c>
    </row>
    <row r="366" spans="1:5" s="539" customFormat="1" hidden="1" outlineLevel="3" x14ac:dyDescent="0.25">
      <c r="A366" s="363" t="s">
        <v>2614</v>
      </c>
      <c r="B366" s="381" t="s">
        <v>1474</v>
      </c>
      <c r="C366" s="381" t="s">
        <v>1472</v>
      </c>
      <c r="D366" s="100" t="s">
        <v>408</v>
      </c>
      <c r="E366" s="100">
        <v>16</v>
      </c>
    </row>
    <row r="367" spans="1:5" s="539" customFormat="1" hidden="1" outlineLevel="3" x14ac:dyDescent="0.25">
      <c r="A367" s="363" t="s">
        <v>2615</v>
      </c>
      <c r="B367" s="381" t="s">
        <v>1475</v>
      </c>
      <c r="C367" s="381" t="s">
        <v>1473</v>
      </c>
      <c r="D367" s="100" t="s">
        <v>408</v>
      </c>
      <c r="E367" s="100">
        <v>8</v>
      </c>
    </row>
    <row r="368" spans="1:5" s="539" customFormat="1" hidden="1" outlineLevel="3" x14ac:dyDescent="0.25">
      <c r="A368" s="363" t="s">
        <v>2616</v>
      </c>
      <c r="B368" s="381" t="s">
        <v>1478</v>
      </c>
      <c r="C368" s="381" t="s">
        <v>1476</v>
      </c>
      <c r="D368" s="100" t="s">
        <v>408</v>
      </c>
      <c r="E368" s="100">
        <v>4</v>
      </c>
    </row>
    <row r="369" spans="1:5" s="539" customFormat="1" hidden="1" outlineLevel="3" x14ac:dyDescent="0.25">
      <c r="A369" s="363" t="s">
        <v>2617</v>
      </c>
      <c r="B369" s="381" t="s">
        <v>1479</v>
      </c>
      <c r="C369" s="381" t="s">
        <v>1477</v>
      </c>
      <c r="D369" s="100" t="s">
        <v>408</v>
      </c>
      <c r="E369" s="100">
        <v>16</v>
      </c>
    </row>
    <row r="370" spans="1:5" s="539" customFormat="1" ht="31.5" hidden="1" outlineLevel="3" x14ac:dyDescent="0.25">
      <c r="A370" s="363" t="s">
        <v>2618</v>
      </c>
      <c r="B370" s="381" t="s">
        <v>1481</v>
      </c>
      <c r="C370" s="381" t="s">
        <v>1480</v>
      </c>
      <c r="D370" s="100" t="s">
        <v>408</v>
      </c>
      <c r="E370" s="100">
        <v>8</v>
      </c>
    </row>
    <row r="371" spans="1:5" s="539" customFormat="1" hidden="1" outlineLevel="3" x14ac:dyDescent="0.25">
      <c r="A371" s="363" t="s">
        <v>2619</v>
      </c>
      <c r="B371" s="381" t="s">
        <v>1483</v>
      </c>
      <c r="C371" s="381" t="s">
        <v>1482</v>
      </c>
      <c r="D371" s="100" t="s">
        <v>408</v>
      </c>
      <c r="E371" s="100">
        <v>4</v>
      </c>
    </row>
    <row r="372" spans="1:5" s="539" customFormat="1" ht="31.5" hidden="1" outlineLevel="3" x14ac:dyDescent="0.25">
      <c r="A372" s="363" t="s">
        <v>2620</v>
      </c>
      <c r="B372" s="381" t="s">
        <v>1485</v>
      </c>
      <c r="C372" s="381" t="s">
        <v>1484</v>
      </c>
      <c r="D372" s="100" t="s">
        <v>408</v>
      </c>
      <c r="E372" s="100">
        <v>2</v>
      </c>
    </row>
    <row r="373" spans="1:5" s="539" customFormat="1" ht="31.5" hidden="1" outlineLevel="3" x14ac:dyDescent="0.25">
      <c r="A373" s="363" t="s">
        <v>2621</v>
      </c>
      <c r="B373" s="381" t="s">
        <v>1486</v>
      </c>
      <c r="C373" s="381" t="s">
        <v>1487</v>
      </c>
      <c r="D373" s="100" t="s">
        <v>408</v>
      </c>
      <c r="E373" s="100">
        <v>6</v>
      </c>
    </row>
    <row r="374" spans="1:5" s="539" customFormat="1" ht="47.25" hidden="1" outlineLevel="3" x14ac:dyDescent="0.25">
      <c r="A374" s="363" t="s">
        <v>2622</v>
      </c>
      <c r="B374" s="381" t="s">
        <v>1488</v>
      </c>
      <c r="C374" s="381" t="s">
        <v>1489</v>
      </c>
      <c r="D374" s="100" t="s">
        <v>408</v>
      </c>
      <c r="E374" s="100">
        <v>2</v>
      </c>
    </row>
    <row r="375" spans="1:5" s="539" customFormat="1" ht="31.5" hidden="1" outlineLevel="3" x14ac:dyDescent="0.25">
      <c r="A375" s="363" t="s">
        <v>2623</v>
      </c>
      <c r="B375" s="381" t="s">
        <v>1491</v>
      </c>
      <c r="C375" s="381" t="s">
        <v>1490</v>
      </c>
      <c r="D375" s="100" t="s">
        <v>404</v>
      </c>
      <c r="E375" s="100">
        <f>111.2</f>
        <v>111.2</v>
      </c>
    </row>
    <row r="376" spans="1:5" s="539" customFormat="1" outlineLevel="2" collapsed="1" x14ac:dyDescent="0.25">
      <c r="A376" s="132" t="s">
        <v>2624</v>
      </c>
      <c r="B376" s="320" t="s">
        <v>239</v>
      </c>
      <c r="C376" s="320" t="s">
        <v>240</v>
      </c>
      <c r="D376" s="134" t="s">
        <v>292</v>
      </c>
      <c r="E376" s="90">
        <v>1</v>
      </c>
    </row>
    <row r="377" spans="1:5" s="539" customFormat="1" hidden="1" outlineLevel="3" x14ac:dyDescent="0.25">
      <c r="A377" s="363"/>
      <c r="B377" s="381"/>
      <c r="C377" s="381" t="s">
        <v>367</v>
      </c>
      <c r="D377" s="100"/>
      <c r="E377" s="100"/>
    </row>
    <row r="378" spans="1:5" s="539" customFormat="1" ht="31.5" hidden="1" outlineLevel="3" x14ac:dyDescent="0.25">
      <c r="A378" s="363" t="s">
        <v>2625</v>
      </c>
      <c r="B378" s="381" t="s">
        <v>1520</v>
      </c>
      <c r="C378" s="381" t="s">
        <v>510</v>
      </c>
      <c r="D378" s="100" t="s">
        <v>300</v>
      </c>
      <c r="E378" s="100">
        <f>22435</f>
        <v>22435</v>
      </c>
    </row>
    <row r="379" spans="1:5" s="539" customFormat="1" ht="63" hidden="1" outlineLevel="3" x14ac:dyDescent="0.25">
      <c r="A379" s="363" t="s">
        <v>2626</v>
      </c>
      <c r="B379" s="381" t="s">
        <v>1523</v>
      </c>
      <c r="C379" s="381" t="s">
        <v>1521</v>
      </c>
      <c r="D379" s="100" t="s">
        <v>300</v>
      </c>
      <c r="E379" s="100">
        <f>20191.5</f>
        <v>20191.5</v>
      </c>
    </row>
    <row r="380" spans="1:5" s="539" customFormat="1" ht="31.5" hidden="1" outlineLevel="3" x14ac:dyDescent="0.25">
      <c r="A380" s="363" t="s">
        <v>2627</v>
      </c>
      <c r="B380" s="381" t="s">
        <v>1524</v>
      </c>
      <c r="C380" s="381" t="s">
        <v>1522</v>
      </c>
      <c r="D380" s="100" t="s">
        <v>300</v>
      </c>
      <c r="E380" s="100">
        <f>2243.5</f>
        <v>2243.5</v>
      </c>
    </row>
    <row r="381" spans="1:5" s="539" customFormat="1" hidden="1" outlineLevel="3" x14ac:dyDescent="0.25">
      <c r="A381" s="363" t="s">
        <v>2628</v>
      </c>
      <c r="B381" s="381" t="s">
        <v>1526</v>
      </c>
      <c r="C381" s="381" t="s">
        <v>1525</v>
      </c>
      <c r="D381" s="100" t="s">
        <v>300</v>
      </c>
      <c r="E381" s="100">
        <f>572.5</f>
        <v>572.5</v>
      </c>
    </row>
    <row r="382" spans="1:5" s="539" customFormat="1" ht="31.5" hidden="1" outlineLevel="3" x14ac:dyDescent="0.25">
      <c r="A382" s="363" t="s">
        <v>2629</v>
      </c>
      <c r="B382" s="381" t="s">
        <v>1528</v>
      </c>
      <c r="C382" s="381" t="s">
        <v>1529</v>
      </c>
      <c r="D382" s="100" t="s">
        <v>300</v>
      </c>
      <c r="E382" s="100">
        <f>2863.6</f>
        <v>2863.6</v>
      </c>
    </row>
    <row r="383" spans="1:5" s="539" customFormat="1" ht="31.5" hidden="1" outlineLevel="3" x14ac:dyDescent="0.25">
      <c r="A383" s="363" t="s">
        <v>2630</v>
      </c>
      <c r="B383" s="381" t="s">
        <v>1531</v>
      </c>
      <c r="C383" s="381" t="s">
        <v>1530</v>
      </c>
      <c r="D383" s="100" t="s">
        <v>300</v>
      </c>
      <c r="E383" s="100">
        <f>18444.7</f>
        <v>18444.7</v>
      </c>
    </row>
    <row r="384" spans="1:5" s="539" customFormat="1" hidden="1" outlineLevel="3" x14ac:dyDescent="0.25">
      <c r="A384" s="363" t="s">
        <v>2631</v>
      </c>
      <c r="B384" s="381" t="s">
        <v>1533</v>
      </c>
      <c r="C384" s="381" t="s">
        <v>1532</v>
      </c>
      <c r="D384" s="100" t="s">
        <v>300</v>
      </c>
      <c r="E384" s="100">
        <f>3990.3</f>
        <v>3990.3</v>
      </c>
    </row>
    <row r="385" spans="1:5" s="539" customFormat="1" ht="31.5" hidden="1" outlineLevel="3" x14ac:dyDescent="0.25">
      <c r="A385" s="363" t="s">
        <v>2632</v>
      </c>
      <c r="B385" s="381" t="s">
        <v>1534</v>
      </c>
      <c r="C385" s="381" t="s">
        <v>1535</v>
      </c>
      <c r="D385" s="100" t="s">
        <v>404</v>
      </c>
      <c r="E385" s="100">
        <v>5370</v>
      </c>
    </row>
    <row r="386" spans="1:5" s="539" customFormat="1" ht="31.5" hidden="1" outlineLevel="3" x14ac:dyDescent="0.25">
      <c r="A386" s="363" t="s">
        <v>2633</v>
      </c>
      <c r="B386" s="381" t="s">
        <v>1537</v>
      </c>
      <c r="C386" s="381" t="s">
        <v>1536</v>
      </c>
      <c r="D386" s="100" t="s">
        <v>404</v>
      </c>
      <c r="E386" s="100">
        <f>3*2*20</f>
        <v>120</v>
      </c>
    </row>
    <row r="387" spans="1:5" s="539" customFormat="1" ht="31.5" hidden="1" outlineLevel="3" x14ac:dyDescent="0.25">
      <c r="A387" s="363" t="s">
        <v>2634</v>
      </c>
      <c r="B387" s="381" t="s">
        <v>1539</v>
      </c>
      <c r="C387" s="381" t="s">
        <v>1538</v>
      </c>
      <c r="D387" s="100" t="s">
        <v>377</v>
      </c>
      <c r="E387" s="100">
        <f>105</f>
        <v>105</v>
      </c>
    </row>
    <row r="388" spans="1:5" s="539" customFormat="1" ht="31.5" hidden="1" outlineLevel="3" x14ac:dyDescent="0.25">
      <c r="A388" s="363" t="s">
        <v>2635</v>
      </c>
      <c r="B388" s="381" t="s">
        <v>1541</v>
      </c>
      <c r="C388" s="381" t="s">
        <v>1540</v>
      </c>
      <c r="D388" s="100" t="s">
        <v>377</v>
      </c>
      <c r="E388" s="100">
        <f>135</f>
        <v>135</v>
      </c>
    </row>
    <row r="389" spans="1:5" s="539" customFormat="1" ht="31.5" hidden="1" outlineLevel="3" x14ac:dyDescent="0.25">
      <c r="A389" s="363" t="s">
        <v>2636</v>
      </c>
      <c r="B389" s="381" t="s">
        <v>1543</v>
      </c>
      <c r="C389" s="381" t="s">
        <v>1542</v>
      </c>
      <c r="D389" s="100" t="s">
        <v>377</v>
      </c>
      <c r="E389" s="100">
        <f>55</f>
        <v>55</v>
      </c>
    </row>
    <row r="390" spans="1:5" s="539" customFormat="1" ht="31.5" hidden="1" outlineLevel="3" x14ac:dyDescent="0.25">
      <c r="A390" s="363" t="s">
        <v>2637</v>
      </c>
      <c r="B390" s="381" t="s">
        <v>1546</v>
      </c>
      <c r="C390" s="381" t="s">
        <v>1544</v>
      </c>
      <c r="D390" s="100" t="s">
        <v>377</v>
      </c>
      <c r="E390" s="100">
        <v>25</v>
      </c>
    </row>
    <row r="391" spans="1:5" s="539" customFormat="1" ht="31.5" hidden="1" outlineLevel="3" x14ac:dyDescent="0.25">
      <c r="A391" s="363" t="s">
        <v>2638</v>
      </c>
      <c r="B391" s="381" t="s">
        <v>1547</v>
      </c>
      <c r="C391" s="381" t="s">
        <v>1545</v>
      </c>
      <c r="D391" s="100" t="s">
        <v>377</v>
      </c>
      <c r="E391" s="100">
        <v>20</v>
      </c>
    </row>
    <row r="392" spans="1:5" s="539" customFormat="1" ht="47.25" hidden="1" outlineLevel="3" x14ac:dyDescent="0.25">
      <c r="A392" s="363" t="s">
        <v>2639</v>
      </c>
      <c r="B392" s="381" t="s">
        <v>1548</v>
      </c>
      <c r="C392" s="381" t="s">
        <v>1549</v>
      </c>
      <c r="D392" s="100" t="s">
        <v>377</v>
      </c>
      <c r="E392" s="100">
        <v>13</v>
      </c>
    </row>
    <row r="393" spans="1:5" s="539" customFormat="1" ht="47.25" hidden="1" outlineLevel="3" x14ac:dyDescent="0.25">
      <c r="A393" s="363" t="s">
        <v>2640</v>
      </c>
      <c r="B393" s="381" t="s">
        <v>1551</v>
      </c>
      <c r="C393" s="381" t="s">
        <v>1550</v>
      </c>
      <c r="D393" s="100" t="s">
        <v>377</v>
      </c>
      <c r="E393" s="100">
        <f>1895</f>
        <v>1895</v>
      </c>
    </row>
    <row r="394" spans="1:5" s="539" customFormat="1" ht="47.25" hidden="1" outlineLevel="3" x14ac:dyDescent="0.25">
      <c r="A394" s="363" t="s">
        <v>2641</v>
      </c>
      <c r="B394" s="381" t="s">
        <v>1551</v>
      </c>
      <c r="C394" s="381" t="s">
        <v>1552</v>
      </c>
      <c r="D394" s="100" t="s">
        <v>377</v>
      </c>
      <c r="E394" s="100">
        <v>3441</v>
      </c>
    </row>
    <row r="395" spans="1:5" s="539" customFormat="1" ht="31.5" hidden="1" outlineLevel="3" x14ac:dyDescent="0.25">
      <c r="A395" s="363" t="s">
        <v>2642</v>
      </c>
      <c r="B395" s="381" t="s">
        <v>1554</v>
      </c>
      <c r="C395" s="381" t="s">
        <v>1553</v>
      </c>
      <c r="D395" s="100" t="s">
        <v>377</v>
      </c>
      <c r="E395" s="100">
        <v>65</v>
      </c>
    </row>
    <row r="396" spans="1:5" s="539" customFormat="1" ht="31.5" hidden="1" outlineLevel="3" x14ac:dyDescent="0.25">
      <c r="A396" s="363" t="s">
        <v>2643</v>
      </c>
      <c r="B396" s="381" t="s">
        <v>1555</v>
      </c>
      <c r="C396" s="381" t="s">
        <v>1556</v>
      </c>
      <c r="D396" s="100" t="s">
        <v>377</v>
      </c>
      <c r="E396" s="100">
        <f>15</f>
        <v>15</v>
      </c>
    </row>
    <row r="397" spans="1:5" s="539" customFormat="1" ht="31.5" hidden="1" outlineLevel="3" x14ac:dyDescent="0.25">
      <c r="A397" s="363" t="s">
        <v>2644</v>
      </c>
      <c r="B397" s="381" t="s">
        <v>1558</v>
      </c>
      <c r="C397" s="381" t="s">
        <v>1557</v>
      </c>
      <c r="D397" s="100" t="s">
        <v>377</v>
      </c>
      <c r="E397" s="100">
        <f>25</f>
        <v>25</v>
      </c>
    </row>
    <row r="398" spans="1:5" s="539" customFormat="1" hidden="1" outlineLevel="3" x14ac:dyDescent="0.25">
      <c r="A398" s="363" t="s">
        <v>2645</v>
      </c>
      <c r="B398" s="381" t="s">
        <v>1560</v>
      </c>
      <c r="C398" s="381" t="s">
        <v>1559</v>
      </c>
      <c r="D398" s="100" t="s">
        <v>377</v>
      </c>
      <c r="E398" s="100">
        <v>24</v>
      </c>
    </row>
    <row r="399" spans="1:5" s="539" customFormat="1" hidden="1" outlineLevel="3" x14ac:dyDescent="0.25">
      <c r="A399" s="363" t="s">
        <v>2646</v>
      </c>
      <c r="B399" s="381" t="s">
        <v>1562</v>
      </c>
      <c r="C399" s="381" t="s">
        <v>1561</v>
      </c>
      <c r="D399" s="100" t="s">
        <v>377</v>
      </c>
      <c r="E399" s="100">
        <v>13</v>
      </c>
    </row>
    <row r="400" spans="1:5" s="539" customFormat="1" hidden="1" outlineLevel="3" x14ac:dyDescent="0.25">
      <c r="A400" s="363" t="s">
        <v>2647</v>
      </c>
      <c r="B400" s="381" t="s">
        <v>1563</v>
      </c>
      <c r="C400" s="381" t="s">
        <v>1564</v>
      </c>
      <c r="D400" s="100" t="s">
        <v>377</v>
      </c>
      <c r="E400" s="100">
        <v>18</v>
      </c>
    </row>
    <row r="401" spans="1:5" s="539" customFormat="1" hidden="1" outlineLevel="3" x14ac:dyDescent="0.25">
      <c r="A401" s="363" t="s">
        <v>2648</v>
      </c>
      <c r="B401" s="381" t="s">
        <v>1566</v>
      </c>
      <c r="C401" s="381" t="s">
        <v>1565</v>
      </c>
      <c r="D401" s="100" t="s">
        <v>300</v>
      </c>
      <c r="E401" s="100">
        <v>410</v>
      </c>
    </row>
    <row r="402" spans="1:5" s="539" customFormat="1" hidden="1" outlineLevel="3" x14ac:dyDescent="0.25">
      <c r="A402" s="363"/>
      <c r="B402" s="381"/>
      <c r="C402" s="381" t="s">
        <v>1567</v>
      </c>
      <c r="D402" s="100"/>
      <c r="E402" s="100"/>
    </row>
    <row r="403" spans="1:5" s="539" customFormat="1" hidden="1" outlineLevel="3" x14ac:dyDescent="0.25">
      <c r="A403" s="363" t="s">
        <v>2649</v>
      </c>
      <c r="B403" s="381" t="s">
        <v>1569</v>
      </c>
      <c r="C403" s="381" t="s">
        <v>1568</v>
      </c>
      <c r="D403" s="100" t="s">
        <v>408</v>
      </c>
      <c r="E403" s="100">
        <v>2</v>
      </c>
    </row>
    <row r="404" spans="1:5" s="539" customFormat="1" ht="31.5" hidden="1" outlineLevel="3" x14ac:dyDescent="0.25">
      <c r="A404" s="363" t="s">
        <v>2650</v>
      </c>
      <c r="B404" s="381" t="s">
        <v>1571</v>
      </c>
      <c r="C404" s="381" t="s">
        <v>1570</v>
      </c>
      <c r="D404" s="100" t="s">
        <v>408</v>
      </c>
      <c r="E404" s="100">
        <v>5</v>
      </c>
    </row>
    <row r="405" spans="1:5" s="539" customFormat="1" ht="31.5" hidden="1" outlineLevel="3" x14ac:dyDescent="0.25">
      <c r="A405" s="363" t="s">
        <v>2651</v>
      </c>
      <c r="B405" s="381" t="s">
        <v>1573</v>
      </c>
      <c r="C405" s="381" t="s">
        <v>1574</v>
      </c>
      <c r="D405" s="100" t="s">
        <v>408</v>
      </c>
      <c r="E405" s="100">
        <v>2</v>
      </c>
    </row>
    <row r="406" spans="1:5" s="539" customFormat="1" hidden="1" outlineLevel="3" x14ac:dyDescent="0.25">
      <c r="A406" s="363" t="s">
        <v>2652</v>
      </c>
      <c r="B406" s="381" t="s">
        <v>1576</v>
      </c>
      <c r="C406" s="381" t="s">
        <v>1575</v>
      </c>
      <c r="D406" s="100" t="s">
        <v>408</v>
      </c>
      <c r="E406" s="100">
        <v>2</v>
      </c>
    </row>
    <row r="407" spans="1:5" s="539" customFormat="1" hidden="1" outlineLevel="3" x14ac:dyDescent="0.25">
      <c r="A407" s="363" t="s">
        <v>2653</v>
      </c>
      <c r="B407" s="381" t="s">
        <v>1578</v>
      </c>
      <c r="C407" s="381" t="s">
        <v>1577</v>
      </c>
      <c r="D407" s="100" t="s">
        <v>408</v>
      </c>
      <c r="E407" s="100">
        <v>1</v>
      </c>
    </row>
    <row r="408" spans="1:5" s="539" customFormat="1" hidden="1" outlineLevel="3" x14ac:dyDescent="0.25">
      <c r="A408" s="363" t="s">
        <v>2654</v>
      </c>
      <c r="B408" s="381" t="s">
        <v>1581</v>
      </c>
      <c r="C408" s="381" t="s">
        <v>1579</v>
      </c>
      <c r="D408" s="100" t="s">
        <v>408</v>
      </c>
      <c r="E408" s="100">
        <v>1</v>
      </c>
    </row>
    <row r="409" spans="1:5" s="539" customFormat="1" hidden="1" outlineLevel="3" x14ac:dyDescent="0.25">
      <c r="A409" s="363" t="s">
        <v>2655</v>
      </c>
      <c r="B409" s="381" t="s">
        <v>1582</v>
      </c>
      <c r="C409" s="381" t="s">
        <v>1580</v>
      </c>
      <c r="D409" s="100" t="s">
        <v>408</v>
      </c>
      <c r="E409" s="100">
        <v>1</v>
      </c>
    </row>
    <row r="410" spans="1:5" s="539" customFormat="1" ht="31.5" hidden="1" outlineLevel="3" x14ac:dyDescent="0.25">
      <c r="A410" s="363" t="s">
        <v>2656</v>
      </c>
      <c r="B410" s="381" t="s">
        <v>1584</v>
      </c>
      <c r="C410" s="381" t="s">
        <v>1583</v>
      </c>
      <c r="D410" s="100" t="s">
        <v>408</v>
      </c>
      <c r="E410" s="100">
        <v>2</v>
      </c>
    </row>
    <row r="411" spans="1:5" s="539" customFormat="1" ht="31.5" hidden="1" outlineLevel="3" x14ac:dyDescent="0.25">
      <c r="A411" s="363" t="s">
        <v>2657</v>
      </c>
      <c r="B411" s="381" t="s">
        <v>1586</v>
      </c>
      <c r="C411" s="381" t="s">
        <v>1585</v>
      </c>
      <c r="D411" s="100" t="s">
        <v>408</v>
      </c>
      <c r="E411" s="100">
        <v>2</v>
      </c>
    </row>
    <row r="412" spans="1:5" s="539" customFormat="1" hidden="1" outlineLevel="3" x14ac:dyDescent="0.25">
      <c r="A412" s="363"/>
      <c r="B412" s="381"/>
      <c r="C412" s="381" t="s">
        <v>1587</v>
      </c>
      <c r="D412" s="100"/>
      <c r="E412" s="100"/>
    </row>
    <row r="413" spans="1:5" s="539" customFormat="1" ht="63" hidden="1" outlineLevel="3" x14ac:dyDescent="0.25">
      <c r="A413" s="363" t="s">
        <v>2658</v>
      </c>
      <c r="B413" s="381" t="s">
        <v>1598</v>
      </c>
      <c r="C413" s="381" t="s">
        <v>1588</v>
      </c>
      <c r="D413" s="100" t="s">
        <v>408</v>
      </c>
      <c r="E413" s="100">
        <v>1</v>
      </c>
    </row>
    <row r="414" spans="1:5" s="539" customFormat="1" ht="47.25" hidden="1" outlineLevel="3" x14ac:dyDescent="0.25">
      <c r="A414" s="363" t="s">
        <v>2659</v>
      </c>
      <c r="B414" s="381" t="s">
        <v>1599</v>
      </c>
      <c r="C414" s="381" t="s">
        <v>1589</v>
      </c>
      <c r="D414" s="100" t="s">
        <v>408</v>
      </c>
      <c r="E414" s="100">
        <v>1</v>
      </c>
    </row>
    <row r="415" spans="1:5" s="539" customFormat="1" ht="47.25" hidden="1" outlineLevel="3" x14ac:dyDescent="0.25">
      <c r="A415" s="363" t="s">
        <v>2660</v>
      </c>
      <c r="B415" s="381" t="s">
        <v>1600</v>
      </c>
      <c r="C415" s="381" t="s">
        <v>1590</v>
      </c>
      <c r="D415" s="100" t="s">
        <v>408</v>
      </c>
      <c r="E415" s="100">
        <v>1</v>
      </c>
    </row>
    <row r="416" spans="1:5" s="539" customFormat="1" ht="78.75" hidden="1" outlineLevel="3" x14ac:dyDescent="0.25">
      <c r="A416" s="363" t="s">
        <v>2661</v>
      </c>
      <c r="B416" s="381" t="s">
        <v>1601</v>
      </c>
      <c r="C416" s="381" t="s">
        <v>1591</v>
      </c>
      <c r="D416" s="100" t="s">
        <v>408</v>
      </c>
      <c r="E416" s="100">
        <v>1</v>
      </c>
    </row>
    <row r="417" spans="1:5" s="539" customFormat="1" ht="47.25" hidden="1" outlineLevel="3" x14ac:dyDescent="0.25">
      <c r="A417" s="363" t="s">
        <v>2662</v>
      </c>
      <c r="B417" s="381" t="s">
        <v>1602</v>
      </c>
      <c r="C417" s="381" t="s">
        <v>1592</v>
      </c>
      <c r="D417" s="100" t="s">
        <v>408</v>
      </c>
      <c r="E417" s="100">
        <v>2</v>
      </c>
    </row>
    <row r="418" spans="1:5" s="539" customFormat="1" ht="47.25" hidden="1" outlineLevel="3" x14ac:dyDescent="0.25">
      <c r="A418" s="363" t="s">
        <v>2663</v>
      </c>
      <c r="B418" s="381" t="s">
        <v>1603</v>
      </c>
      <c r="C418" s="381" t="s">
        <v>1593</v>
      </c>
      <c r="D418" s="100" t="s">
        <v>408</v>
      </c>
      <c r="E418" s="100">
        <v>1</v>
      </c>
    </row>
    <row r="419" spans="1:5" s="539" customFormat="1" ht="47.25" hidden="1" outlineLevel="3" x14ac:dyDescent="0.25">
      <c r="A419" s="363" t="s">
        <v>2664</v>
      </c>
      <c r="B419" s="381" t="s">
        <v>1604</v>
      </c>
      <c r="C419" s="381" t="s">
        <v>1594</v>
      </c>
      <c r="D419" s="100" t="s">
        <v>408</v>
      </c>
      <c r="E419" s="100">
        <v>1</v>
      </c>
    </row>
    <row r="420" spans="1:5" s="539" customFormat="1" ht="47.25" hidden="1" outlineLevel="3" x14ac:dyDescent="0.25">
      <c r="A420" s="363" t="s">
        <v>2665</v>
      </c>
      <c r="B420" s="381" t="s">
        <v>1605</v>
      </c>
      <c r="C420" s="381" t="s">
        <v>1595</v>
      </c>
      <c r="D420" s="100" t="s">
        <v>408</v>
      </c>
      <c r="E420" s="100">
        <v>1</v>
      </c>
    </row>
    <row r="421" spans="1:5" s="539" customFormat="1" ht="47.25" hidden="1" outlineLevel="3" x14ac:dyDescent="0.25">
      <c r="A421" s="363" t="s">
        <v>2666</v>
      </c>
      <c r="B421" s="381" t="s">
        <v>1606</v>
      </c>
      <c r="C421" s="381" t="s">
        <v>1596</v>
      </c>
      <c r="D421" s="100" t="s">
        <v>408</v>
      </c>
      <c r="E421" s="100">
        <v>1</v>
      </c>
    </row>
    <row r="422" spans="1:5" s="539" customFormat="1" ht="78.75" hidden="1" outlineLevel="3" x14ac:dyDescent="0.25">
      <c r="A422" s="363" t="s">
        <v>2667</v>
      </c>
      <c r="B422" s="381" t="s">
        <v>1607</v>
      </c>
      <c r="C422" s="381" t="s">
        <v>1597</v>
      </c>
      <c r="D422" s="100" t="s">
        <v>408</v>
      </c>
      <c r="E422" s="100">
        <v>1</v>
      </c>
    </row>
    <row r="423" spans="1:5" s="539" customFormat="1" hidden="1" outlineLevel="3" x14ac:dyDescent="0.25">
      <c r="A423" s="363" t="s">
        <v>2668</v>
      </c>
      <c r="B423" s="381" t="s">
        <v>1608</v>
      </c>
      <c r="C423" s="381" t="s">
        <v>1559</v>
      </c>
      <c r="D423" s="100" t="s">
        <v>377</v>
      </c>
      <c r="E423" s="100">
        <v>7.2</v>
      </c>
    </row>
    <row r="424" spans="1:5" s="539" customFormat="1" ht="31.5" hidden="1" outlineLevel="3" x14ac:dyDescent="0.25">
      <c r="A424" s="363" t="s">
        <v>2669</v>
      </c>
      <c r="B424" s="381" t="s">
        <v>1610</v>
      </c>
      <c r="C424" s="381" t="s">
        <v>1609</v>
      </c>
      <c r="D424" s="100" t="s">
        <v>300</v>
      </c>
      <c r="E424" s="100">
        <v>12.6</v>
      </c>
    </row>
    <row r="425" spans="1:5" s="539" customFormat="1" hidden="1" outlineLevel="3" x14ac:dyDescent="0.25">
      <c r="A425" s="363"/>
      <c r="B425" s="381"/>
      <c r="C425" s="381" t="s">
        <v>1612</v>
      </c>
      <c r="D425" s="100"/>
      <c r="E425" s="100"/>
    </row>
    <row r="426" spans="1:5" s="539" customFormat="1" ht="31.5" hidden="1" outlineLevel="3" x14ac:dyDescent="0.25">
      <c r="A426" s="363" t="s">
        <v>2670</v>
      </c>
      <c r="B426" s="381" t="s">
        <v>1613</v>
      </c>
      <c r="C426" s="381" t="s">
        <v>1611</v>
      </c>
      <c r="D426" s="100" t="s">
        <v>377</v>
      </c>
      <c r="E426" s="100">
        <v>3547</v>
      </c>
    </row>
    <row r="427" spans="1:5" s="546" customFormat="1" outlineLevel="2" collapsed="1" x14ac:dyDescent="0.25">
      <c r="A427" s="132" t="s">
        <v>2671</v>
      </c>
      <c r="B427" s="320" t="s">
        <v>51</v>
      </c>
      <c r="C427" s="320" t="s">
        <v>138</v>
      </c>
      <c r="D427" s="134" t="s">
        <v>292</v>
      </c>
      <c r="E427" s="90">
        <v>1</v>
      </c>
    </row>
    <row r="428" spans="1:5" s="539" customFormat="1" hidden="1" outlineLevel="3" x14ac:dyDescent="0.25">
      <c r="A428" s="225"/>
      <c r="B428" s="381"/>
      <c r="C428" s="381" t="s">
        <v>367</v>
      </c>
      <c r="D428" s="100"/>
      <c r="E428" s="100"/>
    </row>
    <row r="429" spans="1:5" s="539" customFormat="1" ht="31.5" hidden="1" outlineLevel="3" x14ac:dyDescent="0.25">
      <c r="A429" s="225" t="s">
        <v>2672</v>
      </c>
      <c r="B429" s="381" t="s">
        <v>1666</v>
      </c>
      <c r="C429" s="381" t="s">
        <v>510</v>
      </c>
      <c r="D429" s="100" t="s">
        <v>300</v>
      </c>
      <c r="E429" s="100">
        <f>18918</f>
        <v>18918</v>
      </c>
    </row>
    <row r="430" spans="1:5" s="539" customFormat="1" ht="47.25" hidden="1" outlineLevel="3" x14ac:dyDescent="0.25">
      <c r="A430" s="225" t="s">
        <v>2673</v>
      </c>
      <c r="B430" s="381" t="s">
        <v>1668</v>
      </c>
      <c r="C430" s="381" t="s">
        <v>1667</v>
      </c>
      <c r="D430" s="100" t="s">
        <v>300</v>
      </c>
      <c r="E430" s="100">
        <f>18918*0.9</f>
        <v>17026.2</v>
      </c>
    </row>
    <row r="431" spans="1:5" s="539" customFormat="1" hidden="1" outlineLevel="3" x14ac:dyDescent="0.25">
      <c r="A431" s="225" t="s">
        <v>2674</v>
      </c>
      <c r="B431" s="381" t="s">
        <v>1670</v>
      </c>
      <c r="C431" s="381" t="s">
        <v>1671</v>
      </c>
      <c r="D431" s="100" t="s">
        <v>300</v>
      </c>
      <c r="E431" s="100">
        <f>18918*0.1</f>
        <v>1891.8</v>
      </c>
    </row>
    <row r="432" spans="1:5" s="539" customFormat="1" hidden="1" outlineLevel="3" x14ac:dyDescent="0.25">
      <c r="A432" s="225" t="s">
        <v>2675</v>
      </c>
      <c r="B432" s="381" t="s">
        <v>1672</v>
      </c>
      <c r="C432" s="381" t="s">
        <v>1525</v>
      </c>
      <c r="D432" s="100" t="s">
        <v>300</v>
      </c>
      <c r="E432" s="100">
        <f>461.5</f>
        <v>461.5</v>
      </c>
    </row>
    <row r="433" spans="1:5" s="539" customFormat="1" hidden="1" outlineLevel="3" x14ac:dyDescent="0.25">
      <c r="A433" s="225" t="s">
        <v>2676</v>
      </c>
      <c r="B433" s="381" t="s">
        <v>1673</v>
      </c>
      <c r="C433" s="381" t="s">
        <v>1527</v>
      </c>
      <c r="D433" s="100" t="s">
        <v>300</v>
      </c>
      <c r="E433" s="100">
        <f>2742</f>
        <v>2742</v>
      </c>
    </row>
    <row r="434" spans="1:5" s="539" customFormat="1" ht="31.5" hidden="1" outlineLevel="3" x14ac:dyDescent="0.25">
      <c r="A434" s="225" t="s">
        <v>2677</v>
      </c>
      <c r="B434" s="381" t="s">
        <v>1675</v>
      </c>
      <c r="C434" s="381" t="s">
        <v>1674</v>
      </c>
      <c r="D434" s="100" t="s">
        <v>300</v>
      </c>
      <c r="E434" s="100">
        <f>15571.1</f>
        <v>15571.1</v>
      </c>
    </row>
    <row r="435" spans="1:5" s="539" customFormat="1" hidden="1" outlineLevel="3" x14ac:dyDescent="0.25">
      <c r="A435" s="225" t="s">
        <v>2678</v>
      </c>
      <c r="B435" s="381" t="s">
        <v>1677</v>
      </c>
      <c r="C435" s="381" t="s">
        <v>1676</v>
      </c>
      <c r="D435" s="100" t="s">
        <v>404</v>
      </c>
      <c r="E435" s="100">
        <v>28</v>
      </c>
    </row>
    <row r="436" spans="1:5" s="539" customFormat="1" hidden="1" outlineLevel="3" x14ac:dyDescent="0.25">
      <c r="A436" s="225" t="s">
        <v>2679</v>
      </c>
      <c r="B436" s="381" t="s">
        <v>1679</v>
      </c>
      <c r="C436" s="381" t="s">
        <v>1678</v>
      </c>
      <c r="D436" s="100" t="s">
        <v>404</v>
      </c>
      <c r="E436" s="100">
        <v>5370</v>
      </c>
    </row>
    <row r="437" spans="1:5" s="539" customFormat="1" ht="31.5" hidden="1" outlineLevel="3" x14ac:dyDescent="0.25">
      <c r="A437" s="225" t="s">
        <v>2680</v>
      </c>
      <c r="B437" s="381" t="s">
        <v>1680</v>
      </c>
      <c r="C437" s="381" t="s">
        <v>1681</v>
      </c>
      <c r="D437" s="100" t="s">
        <v>300</v>
      </c>
      <c r="E437" s="100">
        <v>1.8</v>
      </c>
    </row>
    <row r="438" spans="1:5" s="539" customFormat="1" ht="31.5" hidden="1" outlineLevel="3" x14ac:dyDescent="0.25">
      <c r="A438" s="363" t="s">
        <v>2681</v>
      </c>
      <c r="B438" s="381" t="s">
        <v>1683</v>
      </c>
      <c r="C438" s="381" t="s">
        <v>1682</v>
      </c>
      <c r="D438" s="100" t="s">
        <v>377</v>
      </c>
      <c r="E438" s="100">
        <v>1850</v>
      </c>
    </row>
    <row r="439" spans="1:5" s="539" customFormat="1" ht="31.5" hidden="1" outlineLevel="3" x14ac:dyDescent="0.25">
      <c r="A439" s="363" t="s">
        <v>2682</v>
      </c>
      <c r="B439" s="381" t="s">
        <v>1684</v>
      </c>
      <c r="C439" s="381" t="s">
        <v>1691</v>
      </c>
      <c r="D439" s="100" t="s">
        <v>377</v>
      </c>
      <c r="E439" s="100">
        <f>1416</f>
        <v>1416</v>
      </c>
    </row>
    <row r="440" spans="1:5" s="539" customFormat="1" ht="31.5" hidden="1" outlineLevel="3" x14ac:dyDescent="0.25">
      <c r="A440" s="363" t="s">
        <v>2683</v>
      </c>
      <c r="B440" s="381" t="s">
        <v>1685</v>
      </c>
      <c r="C440" s="381" t="s">
        <v>1692</v>
      </c>
      <c r="D440" s="100" t="s">
        <v>377</v>
      </c>
      <c r="E440" s="100">
        <v>1460</v>
      </c>
    </row>
    <row r="441" spans="1:5" s="539" customFormat="1" ht="31.5" hidden="1" outlineLevel="3" x14ac:dyDescent="0.25">
      <c r="A441" s="363" t="s">
        <v>2684</v>
      </c>
      <c r="B441" s="381" t="s">
        <v>1686</v>
      </c>
      <c r="C441" s="381" t="s">
        <v>1693</v>
      </c>
      <c r="D441" s="100" t="s">
        <v>377</v>
      </c>
      <c r="E441" s="100">
        <v>210</v>
      </c>
    </row>
    <row r="442" spans="1:5" s="539" customFormat="1" ht="31.5" hidden="1" outlineLevel="3" x14ac:dyDescent="0.25">
      <c r="A442" s="363" t="s">
        <v>2685</v>
      </c>
      <c r="B442" s="381" t="s">
        <v>1687</v>
      </c>
      <c r="C442" s="381" t="s">
        <v>1694</v>
      </c>
      <c r="D442" s="100" t="s">
        <v>377</v>
      </c>
      <c r="E442" s="100">
        <v>360</v>
      </c>
    </row>
    <row r="443" spans="1:5" s="539" customFormat="1" hidden="1" outlineLevel="3" x14ac:dyDescent="0.25">
      <c r="A443" s="363" t="s">
        <v>2686</v>
      </c>
      <c r="B443" s="381" t="s">
        <v>1688</v>
      </c>
      <c r="C443" s="381" t="s">
        <v>1695</v>
      </c>
      <c r="D443" s="100" t="s">
        <v>377</v>
      </c>
      <c r="E443" s="100">
        <v>12</v>
      </c>
    </row>
    <row r="444" spans="1:5" s="539" customFormat="1" ht="31.5" hidden="1" outlineLevel="3" x14ac:dyDescent="0.25">
      <c r="A444" s="363" t="s">
        <v>2687</v>
      </c>
      <c r="B444" s="381" t="s">
        <v>1689</v>
      </c>
      <c r="C444" s="381" t="s">
        <v>1696</v>
      </c>
      <c r="D444" s="100" t="s">
        <v>377</v>
      </c>
      <c r="E444" s="100">
        <v>12</v>
      </c>
    </row>
    <row r="445" spans="1:5" s="539" customFormat="1" hidden="1" outlineLevel="3" x14ac:dyDescent="0.25">
      <c r="A445" s="363" t="s">
        <v>2688</v>
      </c>
      <c r="B445" s="381" t="s">
        <v>1690</v>
      </c>
      <c r="C445" s="381" t="s">
        <v>1697</v>
      </c>
      <c r="D445" s="100" t="s">
        <v>377</v>
      </c>
      <c r="E445" s="100">
        <v>24</v>
      </c>
    </row>
    <row r="446" spans="1:5" s="539" customFormat="1" hidden="1" outlineLevel="3" x14ac:dyDescent="0.25">
      <c r="A446" s="363" t="s">
        <v>2689</v>
      </c>
      <c r="B446" s="381" t="s">
        <v>1699</v>
      </c>
      <c r="C446" s="381" t="s">
        <v>1698</v>
      </c>
      <c r="D446" s="100" t="s">
        <v>408</v>
      </c>
      <c r="E446" s="100">
        <v>2</v>
      </c>
    </row>
    <row r="447" spans="1:5" s="539" customFormat="1" hidden="1" outlineLevel="3" x14ac:dyDescent="0.25">
      <c r="A447" s="363"/>
      <c r="B447" s="381"/>
      <c r="C447" s="381" t="s">
        <v>1587</v>
      </c>
      <c r="D447" s="100"/>
      <c r="E447" s="100"/>
    </row>
    <row r="448" spans="1:5" s="539" customFormat="1" hidden="1" outlineLevel="3" x14ac:dyDescent="0.25">
      <c r="A448" s="363"/>
      <c r="B448" s="381"/>
      <c r="C448" s="381" t="s">
        <v>1700</v>
      </c>
      <c r="D448" s="100"/>
      <c r="E448" s="100"/>
    </row>
    <row r="449" spans="1:5" s="539" customFormat="1" ht="126" hidden="1" outlineLevel="3" x14ac:dyDescent="0.25">
      <c r="A449" s="363" t="s">
        <v>2690</v>
      </c>
      <c r="B449" s="381" t="s">
        <v>1702</v>
      </c>
      <c r="C449" s="381" t="s">
        <v>1701</v>
      </c>
      <c r="D449" s="100" t="s">
        <v>408</v>
      </c>
      <c r="E449" s="100">
        <v>1</v>
      </c>
    </row>
    <row r="450" spans="1:5" s="539" customFormat="1" ht="141.75" hidden="1" outlineLevel="3" x14ac:dyDescent="0.25">
      <c r="A450" s="363" t="s">
        <v>2691</v>
      </c>
      <c r="B450" s="381" t="s">
        <v>1704</v>
      </c>
      <c r="C450" s="381" t="s">
        <v>1703</v>
      </c>
      <c r="D450" s="100" t="s">
        <v>408</v>
      </c>
      <c r="E450" s="100">
        <v>1</v>
      </c>
    </row>
    <row r="451" spans="1:5" s="539" customFormat="1" ht="94.5" hidden="1" outlineLevel="3" x14ac:dyDescent="0.25">
      <c r="A451" s="363" t="s">
        <v>2692</v>
      </c>
      <c r="B451" s="381" t="s">
        <v>1706</v>
      </c>
      <c r="C451" s="381" t="s">
        <v>1705</v>
      </c>
      <c r="D451" s="100" t="s">
        <v>408</v>
      </c>
      <c r="E451" s="100">
        <v>1</v>
      </c>
    </row>
    <row r="452" spans="1:5" s="539" customFormat="1" ht="94.5" hidden="1" outlineLevel="3" x14ac:dyDescent="0.25">
      <c r="A452" s="363" t="s">
        <v>2693</v>
      </c>
      <c r="B452" s="381" t="s">
        <v>1707</v>
      </c>
      <c r="C452" s="381" t="s">
        <v>1710</v>
      </c>
      <c r="D452" s="100" t="s">
        <v>408</v>
      </c>
      <c r="E452" s="100">
        <v>2</v>
      </c>
    </row>
    <row r="453" spans="1:5" s="539" customFormat="1" ht="94.5" hidden="1" outlineLevel="3" x14ac:dyDescent="0.25">
      <c r="A453" s="363" t="s">
        <v>2694</v>
      </c>
      <c r="B453" s="381" t="s">
        <v>1708</v>
      </c>
      <c r="C453" s="381" t="s">
        <v>1711</v>
      </c>
      <c r="D453" s="100" t="s">
        <v>408</v>
      </c>
      <c r="E453" s="100">
        <v>14</v>
      </c>
    </row>
    <row r="454" spans="1:5" s="539" customFormat="1" ht="31.5" hidden="1" outlineLevel="3" x14ac:dyDescent="0.25">
      <c r="A454" s="363" t="s">
        <v>2695</v>
      </c>
      <c r="B454" s="381" t="s">
        <v>1709</v>
      </c>
      <c r="C454" s="381" t="s">
        <v>1712</v>
      </c>
      <c r="D454" s="100" t="s">
        <v>408</v>
      </c>
      <c r="E454" s="100">
        <v>19</v>
      </c>
    </row>
    <row r="455" spans="1:5" s="539" customFormat="1" ht="31.5" hidden="1" outlineLevel="3" x14ac:dyDescent="0.25">
      <c r="A455" s="363" t="s">
        <v>2696</v>
      </c>
      <c r="B455" s="381" t="s">
        <v>1714</v>
      </c>
      <c r="C455" s="381" t="s">
        <v>1713</v>
      </c>
      <c r="D455" s="100" t="s">
        <v>300</v>
      </c>
      <c r="E455" s="100">
        <v>4.5999999999999996</v>
      </c>
    </row>
    <row r="456" spans="1:5" s="539" customFormat="1" ht="31.5" hidden="1" outlineLevel="3" x14ac:dyDescent="0.25">
      <c r="A456" s="363" t="s">
        <v>2697</v>
      </c>
      <c r="B456" s="381" t="s">
        <v>1716</v>
      </c>
      <c r="C456" s="381" t="s">
        <v>1712</v>
      </c>
      <c r="D456" s="100" t="s">
        <v>408</v>
      </c>
      <c r="E456" s="100">
        <v>23</v>
      </c>
    </row>
    <row r="457" spans="1:5" s="539" customFormat="1" ht="31.5" hidden="1" outlineLevel="3" x14ac:dyDescent="0.25">
      <c r="A457" s="363" t="s">
        <v>2698</v>
      </c>
      <c r="B457" s="381" t="s">
        <v>1717</v>
      </c>
      <c r="C457" s="381" t="s">
        <v>1715</v>
      </c>
      <c r="D457" s="100" t="s">
        <v>408</v>
      </c>
      <c r="E457" s="100">
        <v>2</v>
      </c>
    </row>
    <row r="458" spans="1:5" s="539" customFormat="1" hidden="1" outlineLevel="3" x14ac:dyDescent="0.25">
      <c r="A458" s="363" t="s">
        <v>2699</v>
      </c>
      <c r="B458" s="381" t="s">
        <v>1719</v>
      </c>
      <c r="C458" s="381" t="s">
        <v>1718</v>
      </c>
      <c r="D458" s="100" t="s">
        <v>300</v>
      </c>
      <c r="E458" s="100">
        <v>20</v>
      </c>
    </row>
    <row r="459" spans="1:5" s="539" customFormat="1" hidden="1" outlineLevel="3" x14ac:dyDescent="0.25">
      <c r="A459" s="363"/>
      <c r="B459" s="381"/>
      <c r="C459" s="381" t="s">
        <v>1612</v>
      </c>
      <c r="D459" s="100"/>
      <c r="E459" s="100"/>
    </row>
    <row r="460" spans="1:5" s="539" customFormat="1" ht="31.5" hidden="1" outlineLevel="3" x14ac:dyDescent="0.25">
      <c r="A460" s="363" t="s">
        <v>2700</v>
      </c>
      <c r="B460" s="381" t="s">
        <v>1721</v>
      </c>
      <c r="C460" s="381" t="s">
        <v>1720</v>
      </c>
      <c r="D460" s="100" t="s">
        <v>377</v>
      </c>
      <c r="E460" s="100">
        <v>3650</v>
      </c>
    </row>
    <row r="461" spans="1:5" s="539" customFormat="1" outlineLevel="2" x14ac:dyDescent="0.25">
      <c r="A461" s="132" t="s">
        <v>2701</v>
      </c>
      <c r="B461" s="320" t="s">
        <v>45</v>
      </c>
      <c r="C461" s="320" t="s">
        <v>46</v>
      </c>
      <c r="D461" s="134" t="s">
        <v>292</v>
      </c>
      <c r="E461" s="90">
        <v>1</v>
      </c>
    </row>
    <row r="462" spans="1:5" s="539" customFormat="1" ht="31.5" outlineLevel="2" collapsed="1" x14ac:dyDescent="0.25">
      <c r="A462" s="132" t="s">
        <v>2702</v>
      </c>
      <c r="B462" s="320" t="s">
        <v>35</v>
      </c>
      <c r="C462" s="320" t="s">
        <v>36</v>
      </c>
      <c r="D462" s="134" t="s">
        <v>292</v>
      </c>
      <c r="E462" s="90">
        <v>1</v>
      </c>
    </row>
    <row r="463" spans="1:5" s="539" customFormat="1" hidden="1" outlineLevel="3" x14ac:dyDescent="0.25">
      <c r="A463" s="363"/>
      <c r="B463" s="381"/>
      <c r="C463" s="381" t="s">
        <v>367</v>
      </c>
      <c r="D463" s="100"/>
      <c r="E463" s="100"/>
    </row>
    <row r="464" spans="1:5" s="539" customFormat="1" ht="31.5" hidden="1" outlineLevel="3" x14ac:dyDescent="0.25">
      <c r="A464" s="363" t="s">
        <v>2703</v>
      </c>
      <c r="B464" s="381" t="s">
        <v>1400</v>
      </c>
      <c r="C464" s="381" t="s">
        <v>356</v>
      </c>
      <c r="D464" s="100" t="s">
        <v>300</v>
      </c>
      <c r="E464" s="100">
        <f>773.01</f>
        <v>773.01</v>
      </c>
    </row>
    <row r="465" spans="1:5" s="539" customFormat="1" hidden="1" outlineLevel="3" x14ac:dyDescent="0.25">
      <c r="A465" s="363" t="s">
        <v>2704</v>
      </c>
      <c r="B465" s="381" t="s">
        <v>1401</v>
      </c>
      <c r="C465" s="381" t="s">
        <v>398</v>
      </c>
      <c r="D465" s="100" t="s">
        <v>300</v>
      </c>
      <c r="E465" s="100">
        <f>287.91</f>
        <v>287.91000000000003</v>
      </c>
    </row>
    <row r="466" spans="1:5" s="539" customFormat="1" ht="47.25" hidden="1" outlineLevel="3" x14ac:dyDescent="0.25">
      <c r="A466" s="363" t="s">
        <v>2705</v>
      </c>
      <c r="B466" s="381" t="s">
        <v>1403</v>
      </c>
      <c r="C466" s="381" t="s">
        <v>1402</v>
      </c>
      <c r="D466" s="100" t="s">
        <v>300</v>
      </c>
      <c r="E466" s="100">
        <f>253.2</f>
        <v>253.2</v>
      </c>
    </row>
    <row r="467" spans="1:5" s="539" customFormat="1" ht="31.5" hidden="1" outlineLevel="3" x14ac:dyDescent="0.25">
      <c r="A467" s="363" t="s">
        <v>2706</v>
      </c>
      <c r="B467" s="381" t="s">
        <v>1404</v>
      </c>
      <c r="C467" s="381" t="s">
        <v>1405</v>
      </c>
      <c r="D467" s="100" t="s">
        <v>300</v>
      </c>
      <c r="E467" s="100">
        <f>154.6</f>
        <v>154.6</v>
      </c>
    </row>
    <row r="468" spans="1:5" s="539" customFormat="1" hidden="1" outlineLevel="3" x14ac:dyDescent="0.25">
      <c r="A468" s="363" t="s">
        <v>2707</v>
      </c>
      <c r="B468" s="381" t="s">
        <v>1407</v>
      </c>
      <c r="C468" s="381" t="s">
        <v>1406</v>
      </c>
      <c r="D468" s="100" t="s">
        <v>300</v>
      </c>
      <c r="E468" s="100">
        <f>77.3</f>
        <v>77.3</v>
      </c>
    </row>
    <row r="469" spans="1:5" s="539" customFormat="1" ht="31.5" hidden="1" outlineLevel="3" x14ac:dyDescent="0.25">
      <c r="A469" s="363" t="s">
        <v>2708</v>
      </c>
      <c r="B469" s="381" t="s">
        <v>1408</v>
      </c>
      <c r="C469" s="381" t="s">
        <v>750</v>
      </c>
      <c r="D469" s="100" t="s">
        <v>300</v>
      </c>
      <c r="E469" s="100">
        <f>519.81</f>
        <v>519.80999999999995</v>
      </c>
    </row>
    <row r="470" spans="1:5" s="539" customFormat="1" ht="31.5" hidden="1" outlineLevel="3" x14ac:dyDescent="0.25">
      <c r="A470" s="363" t="s">
        <v>2709</v>
      </c>
      <c r="B470" s="381" t="s">
        <v>1410</v>
      </c>
      <c r="C470" s="381" t="s">
        <v>1409</v>
      </c>
      <c r="D470" s="100" t="s">
        <v>377</v>
      </c>
      <c r="E470" s="100">
        <v>2110</v>
      </c>
    </row>
    <row r="471" spans="1:5" s="539" customFormat="1" hidden="1" outlineLevel="3" x14ac:dyDescent="0.25">
      <c r="A471" s="363"/>
      <c r="B471" s="381"/>
      <c r="C471" s="381" t="s">
        <v>379</v>
      </c>
      <c r="D471" s="100"/>
      <c r="E471" s="100"/>
    </row>
    <row r="472" spans="1:5" s="539" customFormat="1" ht="47.25" hidden="1" outlineLevel="3" x14ac:dyDescent="0.25">
      <c r="A472" s="363" t="s">
        <v>2710</v>
      </c>
      <c r="B472" s="381" t="s">
        <v>1413</v>
      </c>
      <c r="C472" s="381" t="s">
        <v>1412</v>
      </c>
      <c r="D472" s="100" t="s">
        <v>377</v>
      </c>
      <c r="E472" s="100">
        <f>6330</f>
        <v>6330</v>
      </c>
    </row>
    <row r="473" spans="1:5" s="539" customFormat="1" ht="63" hidden="1" outlineLevel="3" x14ac:dyDescent="0.25">
      <c r="A473" s="363" t="s">
        <v>2711</v>
      </c>
      <c r="B473" s="381" t="s">
        <v>1415</v>
      </c>
      <c r="C473" s="381" t="s">
        <v>1414</v>
      </c>
      <c r="D473" s="100" t="s">
        <v>377</v>
      </c>
      <c r="E473" s="100">
        <v>240</v>
      </c>
    </row>
    <row r="474" spans="1:5" s="539" customFormat="1" ht="31.5" hidden="1" outlineLevel="3" x14ac:dyDescent="0.25">
      <c r="A474" s="363" t="s">
        <v>2712</v>
      </c>
      <c r="B474" s="381" t="s">
        <v>1417</v>
      </c>
      <c r="C474" s="381" t="s">
        <v>1416</v>
      </c>
      <c r="D474" s="100" t="s">
        <v>408</v>
      </c>
      <c r="E474" s="100">
        <v>8</v>
      </c>
    </row>
    <row r="475" spans="1:5" s="539" customFormat="1" ht="31.5" hidden="1" outlineLevel="3" x14ac:dyDescent="0.25">
      <c r="A475" s="363" t="s">
        <v>2713</v>
      </c>
      <c r="B475" s="381" t="s">
        <v>1419</v>
      </c>
      <c r="C475" s="381" t="s">
        <v>1418</v>
      </c>
      <c r="D475" s="100" t="s">
        <v>408</v>
      </c>
      <c r="E475" s="100">
        <v>8</v>
      </c>
    </row>
    <row r="476" spans="1:5" s="539" customFormat="1" ht="31.5" hidden="1" outlineLevel="3" x14ac:dyDescent="0.25">
      <c r="A476" s="363" t="s">
        <v>2714</v>
      </c>
      <c r="B476" s="381" t="s">
        <v>1421</v>
      </c>
      <c r="C476" s="381" t="s">
        <v>1420</v>
      </c>
      <c r="D476" s="100" t="s">
        <v>404</v>
      </c>
      <c r="E476" s="100">
        <f>28.64</f>
        <v>28.64</v>
      </c>
    </row>
    <row r="477" spans="1:5" s="539" customFormat="1" ht="31.5" outlineLevel="1" collapsed="1" x14ac:dyDescent="0.25">
      <c r="A477" s="132" t="s">
        <v>508</v>
      </c>
      <c r="B477" s="320"/>
      <c r="C477" s="320" t="s">
        <v>1745</v>
      </c>
      <c r="D477" s="134" t="s">
        <v>292</v>
      </c>
      <c r="E477" s="90">
        <v>1</v>
      </c>
    </row>
    <row r="478" spans="1:5" s="539" customFormat="1" ht="31.5" hidden="1" outlineLevel="2" x14ac:dyDescent="0.25">
      <c r="A478" s="225" t="s">
        <v>634</v>
      </c>
      <c r="B478" s="381" t="s">
        <v>1748</v>
      </c>
      <c r="C478" s="381" t="s">
        <v>356</v>
      </c>
      <c r="D478" s="100" t="s">
        <v>300</v>
      </c>
      <c r="E478" s="100">
        <v>792</v>
      </c>
    </row>
    <row r="479" spans="1:5" s="539" customFormat="1" hidden="1" outlineLevel="2" x14ac:dyDescent="0.25">
      <c r="A479" s="225" t="s">
        <v>647</v>
      </c>
      <c r="B479" s="381" t="s">
        <v>1752</v>
      </c>
      <c r="C479" s="381" t="s">
        <v>1493</v>
      </c>
      <c r="D479" s="100" t="s">
        <v>300</v>
      </c>
      <c r="E479" s="100">
        <v>792</v>
      </c>
    </row>
    <row r="480" spans="1:5" s="539" customFormat="1" hidden="1" outlineLevel="2" x14ac:dyDescent="0.25">
      <c r="A480" s="225" t="s">
        <v>2715</v>
      </c>
      <c r="B480" s="381" t="s">
        <v>1751</v>
      </c>
      <c r="C480" s="381" t="s">
        <v>1750</v>
      </c>
      <c r="D480" s="100" t="s">
        <v>300</v>
      </c>
      <c r="E480" s="100">
        <v>847</v>
      </c>
    </row>
    <row r="481" spans="1:5" s="539" customFormat="1" hidden="1" outlineLevel="2" x14ac:dyDescent="0.25">
      <c r="A481" s="225" t="s">
        <v>2716</v>
      </c>
      <c r="B481" s="381" t="s">
        <v>1754</v>
      </c>
      <c r="C481" s="381" t="s">
        <v>1753</v>
      </c>
      <c r="D481" s="100" t="s">
        <v>404</v>
      </c>
      <c r="E481" s="100">
        <f>5619</f>
        <v>5619</v>
      </c>
    </row>
    <row r="482" spans="1:5" s="539" customFormat="1" ht="31.5" hidden="1" outlineLevel="2" x14ac:dyDescent="0.25">
      <c r="A482" s="225" t="s">
        <v>2717</v>
      </c>
      <c r="B482" s="381" t="s">
        <v>1747</v>
      </c>
      <c r="C482" s="381" t="s">
        <v>1746</v>
      </c>
      <c r="D482" s="100" t="s">
        <v>292</v>
      </c>
      <c r="E482" s="100">
        <v>1</v>
      </c>
    </row>
    <row r="483" spans="1:5" s="538" customFormat="1" outlineLevel="1" x14ac:dyDescent="0.25">
      <c r="A483" s="179" t="s">
        <v>509</v>
      </c>
      <c r="B483" s="422"/>
      <c r="C483" s="435" t="s">
        <v>2373</v>
      </c>
      <c r="D483" s="125" t="s">
        <v>292</v>
      </c>
      <c r="E483" s="126">
        <v>1</v>
      </c>
    </row>
    <row r="484" spans="1:5" s="544" customFormat="1" outlineLevel="2" collapsed="1" x14ac:dyDescent="0.25">
      <c r="A484" s="132" t="s">
        <v>2718</v>
      </c>
      <c r="B484" s="320"/>
      <c r="C484" s="133" t="s">
        <v>2359</v>
      </c>
      <c r="D484" s="134" t="s">
        <v>292</v>
      </c>
      <c r="E484" s="90">
        <v>1</v>
      </c>
    </row>
    <row r="485" spans="1:5" s="547" customFormat="1" hidden="1" outlineLevel="3" x14ac:dyDescent="0.25">
      <c r="A485" s="368"/>
      <c r="B485" s="406"/>
      <c r="C485" s="406" t="s">
        <v>2396</v>
      </c>
      <c r="D485" s="246"/>
      <c r="E485" s="247"/>
    </row>
    <row r="486" spans="1:5" s="539" customFormat="1" hidden="1" outlineLevel="3" x14ac:dyDescent="0.25">
      <c r="A486" s="363"/>
      <c r="B486" s="381"/>
      <c r="C486" s="390" t="s">
        <v>2397</v>
      </c>
      <c r="D486" s="100"/>
      <c r="E486" s="149"/>
    </row>
    <row r="487" spans="1:5" s="539" customFormat="1" ht="31.5" hidden="1" outlineLevel="3" x14ac:dyDescent="0.25">
      <c r="A487" s="363" t="s">
        <v>2719</v>
      </c>
      <c r="B487" s="381" t="s">
        <v>355</v>
      </c>
      <c r="C487" s="381" t="s">
        <v>356</v>
      </c>
      <c r="D487" s="100" t="s">
        <v>300</v>
      </c>
      <c r="E487" s="149">
        <f>'Земляные работы'!$H$18*446/500</f>
        <v>7225</v>
      </c>
    </row>
    <row r="488" spans="1:5" s="539" customFormat="1" ht="31.5" hidden="1" outlineLevel="3" x14ac:dyDescent="0.25">
      <c r="A488" s="363" t="s">
        <v>2720</v>
      </c>
      <c r="B488" s="381" t="s">
        <v>560</v>
      </c>
      <c r="C488" s="381" t="s">
        <v>656</v>
      </c>
      <c r="D488" s="100" t="s">
        <v>300</v>
      </c>
      <c r="E488" s="149">
        <f>'Земляные работы'!$H$18*446/500</f>
        <v>7225</v>
      </c>
    </row>
    <row r="489" spans="1:5" s="542" customFormat="1" ht="31.5" hidden="1" outlineLevel="3" x14ac:dyDescent="0.25">
      <c r="A489" s="363" t="s">
        <v>2721</v>
      </c>
      <c r="B489" s="391" t="s">
        <v>561</v>
      </c>
      <c r="C489" s="391" t="s">
        <v>562</v>
      </c>
      <c r="D489" s="161" t="s">
        <v>300</v>
      </c>
      <c r="E489" s="162">
        <f>'Земляные работы'!$K$18*446/500</f>
        <v>361.3</v>
      </c>
    </row>
    <row r="490" spans="1:5" s="542" customFormat="1" hidden="1" outlineLevel="3" x14ac:dyDescent="0.25">
      <c r="A490" s="363" t="s">
        <v>2722</v>
      </c>
      <c r="B490" s="391" t="s">
        <v>564</v>
      </c>
      <c r="C490" s="391" t="s">
        <v>565</v>
      </c>
      <c r="D490" s="161" t="s">
        <v>300</v>
      </c>
      <c r="E490" s="162">
        <f>'Земляные работы'!$L$18*446/500</f>
        <v>361.3</v>
      </c>
    </row>
    <row r="491" spans="1:5" s="539" customFormat="1" ht="31.5" hidden="1" outlineLevel="3" x14ac:dyDescent="0.25">
      <c r="A491" s="363" t="s">
        <v>2723</v>
      </c>
      <c r="B491" s="381" t="s">
        <v>567</v>
      </c>
      <c r="C491" s="381" t="s">
        <v>750</v>
      </c>
      <c r="D491" s="100" t="s">
        <v>300</v>
      </c>
      <c r="E491" s="168">
        <f>(20100.9*'Земляные работы'!$M$18/'Земляные работы'!$M$19+0.1)*446/500</f>
        <v>6422.4</v>
      </c>
    </row>
    <row r="492" spans="1:5" s="539" customFormat="1" hidden="1" outlineLevel="3" x14ac:dyDescent="0.25">
      <c r="A492" s="363" t="s">
        <v>2724</v>
      </c>
      <c r="B492" s="381" t="s">
        <v>766</v>
      </c>
      <c r="C492" s="381" t="s">
        <v>749</v>
      </c>
      <c r="D492" s="100" t="s">
        <v>408</v>
      </c>
      <c r="E492" s="149">
        <v>1</v>
      </c>
    </row>
    <row r="493" spans="1:5" s="544" customFormat="1" outlineLevel="2" collapsed="1" x14ac:dyDescent="0.25">
      <c r="A493" s="132" t="s">
        <v>2725</v>
      </c>
      <c r="B493" s="320"/>
      <c r="C493" s="133" t="s">
        <v>2360</v>
      </c>
      <c r="D493" s="134" t="s">
        <v>292</v>
      </c>
      <c r="E493" s="90">
        <v>1</v>
      </c>
    </row>
    <row r="494" spans="1:5" s="539" customFormat="1" hidden="1" outlineLevel="3" x14ac:dyDescent="0.25">
      <c r="A494" s="363"/>
      <c r="B494" s="381"/>
      <c r="C494" s="390" t="s">
        <v>367</v>
      </c>
      <c r="D494" s="100"/>
      <c r="E494" s="100"/>
    </row>
    <row r="495" spans="1:5" s="539" customFormat="1" hidden="1" outlineLevel="3" x14ac:dyDescent="0.25">
      <c r="A495" s="363" t="s">
        <v>2726</v>
      </c>
      <c r="B495" s="381" t="s">
        <v>1007</v>
      </c>
      <c r="C495" s="381" t="s">
        <v>1006</v>
      </c>
      <c r="D495" s="100" t="s">
        <v>300</v>
      </c>
      <c r="E495" s="100">
        <v>110</v>
      </c>
    </row>
    <row r="496" spans="1:5" s="539" customFormat="1" ht="31.5" hidden="1" outlineLevel="3" x14ac:dyDescent="0.25">
      <c r="A496" s="363" t="s">
        <v>2727</v>
      </c>
      <c r="B496" s="381" t="s">
        <v>1009</v>
      </c>
      <c r="C496" s="381" t="s">
        <v>750</v>
      </c>
      <c r="D496" s="100" t="s">
        <v>300</v>
      </c>
      <c r="E496" s="100">
        <v>420</v>
      </c>
    </row>
    <row r="497" spans="1:5" s="539" customFormat="1" hidden="1" outlineLevel="3" x14ac:dyDescent="0.25">
      <c r="A497" s="363"/>
      <c r="B497" s="381"/>
      <c r="C497" s="390" t="s">
        <v>1020</v>
      </c>
      <c r="D497" s="100"/>
      <c r="E497" s="100"/>
    </row>
    <row r="498" spans="1:5" s="539" customFormat="1" hidden="1" outlineLevel="3" x14ac:dyDescent="0.25">
      <c r="A498" s="363" t="s">
        <v>2728</v>
      </c>
      <c r="B498" s="381" t="s">
        <v>1011</v>
      </c>
      <c r="C498" s="381" t="s">
        <v>1021</v>
      </c>
      <c r="D498" s="100" t="s">
        <v>300</v>
      </c>
      <c r="E498" s="168">
        <f>237.9</f>
        <v>237.9</v>
      </c>
    </row>
    <row r="499" spans="1:5" s="539" customFormat="1" hidden="1" outlineLevel="3" x14ac:dyDescent="0.25">
      <c r="A499" s="363" t="s">
        <v>2729</v>
      </c>
      <c r="B499" s="381" t="s">
        <v>1013</v>
      </c>
      <c r="C499" s="381" t="s">
        <v>1022</v>
      </c>
      <c r="D499" s="100" t="s">
        <v>300</v>
      </c>
      <c r="E499" s="100">
        <f>52.1</f>
        <v>52.1</v>
      </c>
    </row>
    <row r="500" spans="1:5" s="539" customFormat="1" hidden="1" outlineLevel="3" x14ac:dyDescent="0.25">
      <c r="A500" s="363" t="s">
        <v>2730</v>
      </c>
      <c r="B500" s="381" t="s">
        <v>1014</v>
      </c>
      <c r="C500" s="381" t="s">
        <v>1012</v>
      </c>
      <c r="D500" s="100" t="s">
        <v>300</v>
      </c>
      <c r="E500" s="100">
        <f>45.6</f>
        <v>45.6</v>
      </c>
    </row>
    <row r="501" spans="1:5" s="539" customFormat="1" hidden="1" outlineLevel="3" x14ac:dyDescent="0.25">
      <c r="A501" s="363" t="s">
        <v>2731</v>
      </c>
      <c r="B501" s="381" t="s">
        <v>1015</v>
      </c>
      <c r="C501" s="381" t="s">
        <v>1023</v>
      </c>
      <c r="D501" s="100" t="s">
        <v>300</v>
      </c>
      <c r="E501" s="100">
        <f>27.6</f>
        <v>27.6</v>
      </c>
    </row>
    <row r="502" spans="1:5" s="539" customFormat="1" hidden="1" outlineLevel="3" x14ac:dyDescent="0.25">
      <c r="A502" s="363" t="s">
        <v>2732</v>
      </c>
      <c r="B502" s="381" t="s">
        <v>1017</v>
      </c>
      <c r="C502" s="381" t="s">
        <v>1016</v>
      </c>
      <c r="D502" s="100" t="s">
        <v>300</v>
      </c>
      <c r="E502" s="100">
        <f>116</f>
        <v>116</v>
      </c>
    </row>
    <row r="503" spans="1:5" s="539" customFormat="1" hidden="1" outlineLevel="3" x14ac:dyDescent="0.25">
      <c r="A503" s="363" t="s">
        <v>2733</v>
      </c>
      <c r="B503" s="381" t="s">
        <v>1018</v>
      </c>
      <c r="C503" s="381" t="s">
        <v>1024</v>
      </c>
      <c r="D503" s="100" t="s">
        <v>300</v>
      </c>
      <c r="E503" s="100">
        <f>28.3</f>
        <v>28.3</v>
      </c>
    </row>
    <row r="504" spans="1:5" s="539" customFormat="1" ht="31.5" hidden="1" outlineLevel="3" x14ac:dyDescent="0.25">
      <c r="A504" s="363" t="s">
        <v>2734</v>
      </c>
      <c r="B504" s="381" t="s">
        <v>1025</v>
      </c>
      <c r="C504" s="381" t="s">
        <v>1019</v>
      </c>
      <c r="D504" s="100" t="s">
        <v>292</v>
      </c>
      <c r="E504" s="100">
        <v>1</v>
      </c>
    </row>
    <row r="505" spans="1:5" s="544" customFormat="1" outlineLevel="2" collapsed="1" x14ac:dyDescent="0.25">
      <c r="A505" s="132" t="s">
        <v>2735</v>
      </c>
      <c r="B505" s="320"/>
      <c r="C505" s="133" t="s">
        <v>2361</v>
      </c>
      <c r="D505" s="134" t="s">
        <v>292</v>
      </c>
      <c r="E505" s="90">
        <v>1</v>
      </c>
    </row>
    <row r="506" spans="1:5" s="540" customFormat="1" hidden="1" outlineLevel="3" x14ac:dyDescent="0.25">
      <c r="A506" s="368"/>
      <c r="B506" s="387"/>
      <c r="C506" s="390" t="s">
        <v>614</v>
      </c>
      <c r="D506" s="239"/>
      <c r="E506" s="240"/>
    </row>
    <row r="507" spans="1:5" s="539" customFormat="1" ht="102" hidden="1" customHeight="1" outlineLevel="3" x14ac:dyDescent="0.25">
      <c r="A507" s="363" t="s">
        <v>2736</v>
      </c>
      <c r="B507" s="381" t="s">
        <v>316</v>
      </c>
      <c r="C507" s="381" t="s">
        <v>312</v>
      </c>
      <c r="D507" s="100" t="s">
        <v>305</v>
      </c>
      <c r="E507" s="149">
        <v>1</v>
      </c>
    </row>
    <row r="508" spans="1:5" s="539" customFormat="1" ht="31.5" hidden="1" outlineLevel="3" x14ac:dyDescent="0.25">
      <c r="A508" s="363"/>
      <c r="B508" s="381"/>
      <c r="C508" s="381" t="s">
        <v>313</v>
      </c>
      <c r="D508" s="100"/>
      <c r="E508" s="149"/>
    </row>
    <row r="509" spans="1:5" s="539" customFormat="1" ht="30.75" hidden="1" customHeight="1" outlineLevel="3" x14ac:dyDescent="0.25">
      <c r="A509" s="363" t="s">
        <v>2737</v>
      </c>
      <c r="B509" s="381" t="s">
        <v>326</v>
      </c>
      <c r="C509" s="381" t="s">
        <v>317</v>
      </c>
      <c r="D509" s="100" t="s">
        <v>305</v>
      </c>
      <c r="E509" s="149">
        <v>1</v>
      </c>
    </row>
    <row r="510" spans="1:5" s="539" customFormat="1" ht="48.75" hidden="1" customHeight="1" outlineLevel="3" x14ac:dyDescent="0.25">
      <c r="A510" s="363" t="s">
        <v>2738</v>
      </c>
      <c r="B510" s="381" t="s">
        <v>326</v>
      </c>
      <c r="C510" s="381" t="s">
        <v>319</v>
      </c>
      <c r="D510" s="100" t="s">
        <v>305</v>
      </c>
      <c r="E510" s="149">
        <v>1</v>
      </c>
    </row>
    <row r="511" spans="1:5" s="539" customFormat="1" hidden="1" outlineLevel="3" x14ac:dyDescent="0.25">
      <c r="A511" s="363" t="s">
        <v>2739</v>
      </c>
      <c r="B511" s="381" t="s">
        <v>326</v>
      </c>
      <c r="C511" s="381" t="s">
        <v>321</v>
      </c>
      <c r="D511" s="100" t="s">
        <v>305</v>
      </c>
      <c r="E511" s="149">
        <v>1</v>
      </c>
    </row>
    <row r="512" spans="1:5" s="539" customFormat="1" hidden="1" outlineLevel="3" x14ac:dyDescent="0.25">
      <c r="A512" s="363" t="s">
        <v>2740</v>
      </c>
      <c r="B512" s="381" t="s">
        <v>326</v>
      </c>
      <c r="C512" s="381" t="s">
        <v>323</v>
      </c>
      <c r="D512" s="100" t="s">
        <v>305</v>
      </c>
      <c r="E512" s="149">
        <v>1</v>
      </c>
    </row>
    <row r="513" spans="1:5" s="539" customFormat="1" hidden="1" outlineLevel="3" x14ac:dyDescent="0.25">
      <c r="A513" s="363"/>
      <c r="B513" s="381"/>
      <c r="C513" s="381" t="s">
        <v>324</v>
      </c>
      <c r="D513" s="100"/>
      <c r="E513" s="149"/>
    </row>
    <row r="514" spans="1:5" s="539" customFormat="1" hidden="1" outlineLevel="3" x14ac:dyDescent="0.25">
      <c r="A514" s="363" t="s">
        <v>2741</v>
      </c>
      <c r="B514" s="381" t="s">
        <v>334</v>
      </c>
      <c r="C514" s="381" t="s">
        <v>327</v>
      </c>
      <c r="D514" s="100" t="s">
        <v>305</v>
      </c>
      <c r="E514" s="149">
        <v>2</v>
      </c>
    </row>
    <row r="515" spans="1:5" s="539" customFormat="1" hidden="1" outlineLevel="3" x14ac:dyDescent="0.25">
      <c r="A515" s="363" t="s">
        <v>2742</v>
      </c>
      <c r="B515" s="381" t="s">
        <v>334</v>
      </c>
      <c r="C515" s="381" t="s">
        <v>329</v>
      </c>
      <c r="D515" s="100" t="s">
        <v>305</v>
      </c>
      <c r="E515" s="149">
        <v>1</v>
      </c>
    </row>
    <row r="516" spans="1:5" s="539" customFormat="1" hidden="1" outlineLevel="3" x14ac:dyDescent="0.25">
      <c r="A516" s="363" t="s">
        <v>2743</v>
      </c>
      <c r="B516" s="381" t="s">
        <v>334</v>
      </c>
      <c r="C516" s="381" t="s">
        <v>331</v>
      </c>
      <c r="D516" s="100" t="s">
        <v>305</v>
      </c>
      <c r="E516" s="149">
        <v>1</v>
      </c>
    </row>
    <row r="517" spans="1:5" s="544" customFormat="1" outlineLevel="2" collapsed="1" x14ac:dyDescent="0.25">
      <c r="A517" s="132" t="s">
        <v>2744</v>
      </c>
      <c r="B517" s="320"/>
      <c r="C517" s="133" t="s">
        <v>2362</v>
      </c>
      <c r="D517" s="134" t="s">
        <v>292</v>
      </c>
      <c r="E517" s="90">
        <v>1</v>
      </c>
    </row>
    <row r="518" spans="1:5" s="539" customFormat="1" hidden="1" outlineLevel="3" x14ac:dyDescent="0.25">
      <c r="A518" s="363"/>
      <c r="B518" s="381"/>
      <c r="C518" s="390" t="s">
        <v>1026</v>
      </c>
      <c r="D518" s="100"/>
      <c r="E518" s="100"/>
    </row>
    <row r="519" spans="1:5" s="539" customFormat="1" ht="31.5" hidden="1" outlineLevel="3" x14ac:dyDescent="0.25">
      <c r="A519" s="363" t="s">
        <v>2745</v>
      </c>
      <c r="B519" s="381" t="s">
        <v>1029</v>
      </c>
      <c r="C519" s="381" t="s">
        <v>1027</v>
      </c>
      <c r="D519" s="100" t="s">
        <v>292</v>
      </c>
      <c r="E519" s="100">
        <v>1</v>
      </c>
    </row>
    <row r="520" spans="1:5" s="539" customFormat="1" hidden="1" outlineLevel="3" x14ac:dyDescent="0.25">
      <c r="A520" s="363" t="s">
        <v>2746</v>
      </c>
      <c r="B520" s="391" t="s">
        <v>1030</v>
      </c>
      <c r="C520" s="391" t="s">
        <v>1028</v>
      </c>
      <c r="D520" s="161" t="s">
        <v>408</v>
      </c>
      <c r="E520" s="161">
        <v>918</v>
      </c>
    </row>
    <row r="521" spans="1:5" s="539" customFormat="1" ht="31.5" hidden="1" outlineLevel="3" x14ac:dyDescent="0.25">
      <c r="A521" s="363" t="s">
        <v>2747</v>
      </c>
      <c r="B521" s="381" t="s">
        <v>1032</v>
      </c>
      <c r="C521" s="381" t="s">
        <v>1031</v>
      </c>
      <c r="D521" s="100" t="s">
        <v>292</v>
      </c>
      <c r="E521" s="100">
        <v>1</v>
      </c>
    </row>
    <row r="522" spans="1:5" s="539" customFormat="1" hidden="1" outlineLevel="3" x14ac:dyDescent="0.25">
      <c r="A522" s="363" t="s">
        <v>2748</v>
      </c>
      <c r="B522" s="391" t="s">
        <v>1033</v>
      </c>
      <c r="C522" s="391" t="s">
        <v>1028</v>
      </c>
      <c r="D522" s="161" t="s">
        <v>408</v>
      </c>
      <c r="E522" s="161">
        <v>1200</v>
      </c>
    </row>
    <row r="523" spans="1:5" s="539" customFormat="1" hidden="1" outlineLevel="3" x14ac:dyDescent="0.25">
      <c r="A523" s="363" t="s">
        <v>2749</v>
      </c>
      <c r="B523" s="381" t="s">
        <v>1035</v>
      </c>
      <c r="C523" s="381" t="s">
        <v>1034</v>
      </c>
      <c r="D523" s="100" t="s">
        <v>292</v>
      </c>
      <c r="E523" s="100">
        <v>1</v>
      </c>
    </row>
    <row r="524" spans="1:5" s="539" customFormat="1" hidden="1" outlineLevel="3" x14ac:dyDescent="0.25">
      <c r="A524" s="363" t="s">
        <v>2750</v>
      </c>
      <c r="B524" s="381" t="s">
        <v>1037</v>
      </c>
      <c r="C524" s="381" t="s">
        <v>1036</v>
      </c>
      <c r="D524" s="100" t="s">
        <v>637</v>
      </c>
      <c r="E524" s="100">
        <v>1.5</v>
      </c>
    </row>
    <row r="525" spans="1:5" s="539" customFormat="1" ht="47.25" hidden="1" outlineLevel="3" x14ac:dyDescent="0.25">
      <c r="A525" s="363" t="s">
        <v>2751</v>
      </c>
      <c r="B525" s="415" t="s">
        <v>1042</v>
      </c>
      <c r="C525" s="415" t="s">
        <v>1041</v>
      </c>
      <c r="D525" s="227" t="s">
        <v>404</v>
      </c>
      <c r="E525" s="227">
        <f>3951</f>
        <v>3951</v>
      </c>
    </row>
    <row r="526" spans="1:5" s="539" customFormat="1" ht="63" hidden="1" outlineLevel="3" x14ac:dyDescent="0.25">
      <c r="A526" s="363" t="s">
        <v>2752</v>
      </c>
      <c r="B526" s="415" t="s">
        <v>1046</v>
      </c>
      <c r="C526" s="415" t="s">
        <v>1044</v>
      </c>
      <c r="D526" s="227" t="s">
        <v>404</v>
      </c>
      <c r="E526" s="227">
        <f>198</f>
        <v>198</v>
      </c>
    </row>
    <row r="527" spans="1:5" s="548" customFormat="1" outlineLevel="2" collapsed="1" x14ac:dyDescent="0.25">
      <c r="A527" s="132" t="s">
        <v>2753</v>
      </c>
      <c r="B527" s="320"/>
      <c r="C527" s="320" t="s">
        <v>1773</v>
      </c>
      <c r="D527" s="134" t="s">
        <v>292</v>
      </c>
      <c r="E527" s="90">
        <v>1</v>
      </c>
    </row>
    <row r="528" spans="1:5" s="539" customFormat="1" hidden="1" outlineLevel="3" x14ac:dyDescent="0.25">
      <c r="A528" s="363" t="s">
        <v>2754</v>
      </c>
      <c r="B528" s="381" t="s">
        <v>846</v>
      </c>
      <c r="C528" s="381" t="s">
        <v>414</v>
      </c>
      <c r="D528" s="100" t="s">
        <v>292</v>
      </c>
      <c r="E528" s="149">
        <v>1</v>
      </c>
    </row>
    <row r="529" spans="1:5" s="539" customFormat="1" hidden="1" outlineLevel="3" x14ac:dyDescent="0.25">
      <c r="A529" s="363" t="s">
        <v>2755</v>
      </c>
      <c r="B529" s="381" t="s">
        <v>848</v>
      </c>
      <c r="C529" s="381" t="s">
        <v>1772</v>
      </c>
      <c r="D529" s="100" t="s">
        <v>292</v>
      </c>
      <c r="E529" s="149">
        <v>1</v>
      </c>
    </row>
    <row r="530" spans="1:5" s="539" customFormat="1" hidden="1" outlineLevel="3" x14ac:dyDescent="0.25">
      <c r="A530" s="363" t="s">
        <v>2756</v>
      </c>
      <c r="B530" s="381" t="s">
        <v>849</v>
      </c>
      <c r="C530" s="381" t="s">
        <v>1773</v>
      </c>
      <c r="D530" s="100" t="s">
        <v>292</v>
      </c>
      <c r="E530" s="149">
        <v>1</v>
      </c>
    </row>
    <row r="531" spans="1:5" s="548" customFormat="1" outlineLevel="2" collapsed="1" x14ac:dyDescent="0.25">
      <c r="A531" s="132" t="s">
        <v>2757</v>
      </c>
      <c r="B531" s="320"/>
      <c r="C531" s="320" t="s">
        <v>2379</v>
      </c>
      <c r="D531" s="134" t="s">
        <v>292</v>
      </c>
      <c r="E531" s="90">
        <v>1</v>
      </c>
    </row>
    <row r="532" spans="1:5" s="539" customFormat="1" hidden="1" outlineLevel="3" x14ac:dyDescent="0.25">
      <c r="A532" s="363" t="s">
        <v>2758</v>
      </c>
      <c r="B532" s="381" t="s">
        <v>851</v>
      </c>
      <c r="C532" s="381" t="s">
        <v>850</v>
      </c>
      <c r="D532" s="100" t="s">
        <v>404</v>
      </c>
      <c r="E532" s="149">
        <v>72</v>
      </c>
    </row>
    <row r="533" spans="1:5" s="539" customFormat="1" hidden="1" outlineLevel="3" x14ac:dyDescent="0.25">
      <c r="A533" s="363" t="s">
        <v>2759</v>
      </c>
      <c r="B533" s="381" t="s">
        <v>854</v>
      </c>
      <c r="C533" s="381" t="s">
        <v>852</v>
      </c>
      <c r="D533" s="100" t="s">
        <v>292</v>
      </c>
      <c r="E533" s="149">
        <v>1</v>
      </c>
    </row>
    <row r="534" spans="1:5" s="539" customFormat="1" hidden="1" outlineLevel="3" x14ac:dyDescent="0.25">
      <c r="A534" s="363" t="s">
        <v>2760</v>
      </c>
      <c r="B534" s="381" t="s">
        <v>856</v>
      </c>
      <c r="C534" s="381" t="s">
        <v>855</v>
      </c>
      <c r="D534" s="100" t="s">
        <v>377</v>
      </c>
      <c r="E534" s="149">
        <v>25</v>
      </c>
    </row>
    <row r="535" spans="1:5" s="545" customFormat="1" ht="31.5" hidden="1" outlineLevel="3" x14ac:dyDescent="0.25">
      <c r="A535" s="363" t="s">
        <v>2761</v>
      </c>
      <c r="B535" s="381" t="s">
        <v>863</v>
      </c>
      <c r="C535" s="381" t="s">
        <v>864</v>
      </c>
      <c r="D535" s="143" t="s">
        <v>404</v>
      </c>
      <c r="E535" s="168">
        <v>55</v>
      </c>
    </row>
    <row r="536" spans="1:5" s="539" customFormat="1" hidden="1" outlineLevel="3" x14ac:dyDescent="0.25">
      <c r="A536" s="363" t="s">
        <v>2762</v>
      </c>
      <c r="B536" s="381" t="s">
        <v>858</v>
      </c>
      <c r="C536" s="381" t="s">
        <v>857</v>
      </c>
      <c r="D536" s="100" t="s">
        <v>404</v>
      </c>
      <c r="E536" s="168">
        <f>548.2</f>
        <v>548.20000000000005</v>
      </c>
    </row>
    <row r="537" spans="1:5" s="544" customFormat="1" outlineLevel="2" collapsed="1" x14ac:dyDescent="0.25">
      <c r="A537" s="132" t="s">
        <v>2763</v>
      </c>
      <c r="B537" s="320"/>
      <c r="C537" s="133" t="s">
        <v>2363</v>
      </c>
      <c r="D537" s="134" t="s">
        <v>292</v>
      </c>
      <c r="E537" s="90">
        <v>1</v>
      </c>
    </row>
    <row r="538" spans="1:5" s="539" customFormat="1" ht="31.5" hidden="1" outlineLevel="3" collapsed="1" x14ac:dyDescent="0.25">
      <c r="A538" s="368" t="s">
        <v>2764</v>
      </c>
      <c r="B538" s="387" t="s">
        <v>168</v>
      </c>
      <c r="C538" s="387" t="s">
        <v>1846</v>
      </c>
      <c r="D538" s="239" t="s">
        <v>292</v>
      </c>
      <c r="E538" s="240">
        <v>1</v>
      </c>
    </row>
    <row r="539" spans="1:5" s="539" customFormat="1" hidden="1" outlineLevel="4" x14ac:dyDescent="0.25">
      <c r="A539" s="363"/>
      <c r="B539" s="381"/>
      <c r="C539" s="390" t="s">
        <v>1098</v>
      </c>
      <c r="D539" s="100"/>
      <c r="E539" s="145"/>
    </row>
    <row r="540" spans="1:5" s="539" customFormat="1" ht="47.25" hidden="1" outlineLevel="4" x14ac:dyDescent="0.25">
      <c r="A540" s="363" t="s">
        <v>2766</v>
      </c>
      <c r="B540" s="381" t="s">
        <v>1099</v>
      </c>
      <c r="C540" s="381" t="s">
        <v>427</v>
      </c>
      <c r="D540" s="100" t="s">
        <v>408</v>
      </c>
      <c r="E540" s="149">
        <v>1</v>
      </c>
    </row>
    <row r="541" spans="1:5" s="539" customFormat="1" ht="31.5" hidden="1" outlineLevel="4" x14ac:dyDescent="0.25">
      <c r="A541" s="363" t="s">
        <v>2767</v>
      </c>
      <c r="B541" s="381" t="s">
        <v>1100</v>
      </c>
      <c r="C541" s="381" t="s">
        <v>429</v>
      </c>
      <c r="D541" s="100" t="s">
        <v>408</v>
      </c>
      <c r="E541" s="149">
        <v>1</v>
      </c>
    </row>
    <row r="542" spans="1:5" s="539" customFormat="1" hidden="1" outlineLevel="4" x14ac:dyDescent="0.25">
      <c r="A542" s="363" t="s">
        <v>2768</v>
      </c>
      <c r="B542" s="381" t="s">
        <v>1101</v>
      </c>
      <c r="C542" s="381" t="s">
        <v>379</v>
      </c>
      <c r="D542" s="100" t="s">
        <v>292</v>
      </c>
      <c r="E542" s="149">
        <v>1</v>
      </c>
    </row>
    <row r="543" spans="1:5" s="539" customFormat="1" hidden="1" outlineLevel="4" x14ac:dyDescent="0.25">
      <c r="A543" s="363" t="s">
        <v>2769</v>
      </c>
      <c r="B543" s="381" t="s">
        <v>1103</v>
      </c>
      <c r="C543" s="381" t="s">
        <v>1102</v>
      </c>
      <c r="D543" s="100" t="s">
        <v>292</v>
      </c>
      <c r="E543" s="149">
        <v>1</v>
      </c>
    </row>
    <row r="544" spans="1:5" s="539" customFormat="1" ht="31.5" hidden="1" outlineLevel="4" x14ac:dyDescent="0.25">
      <c r="A544" s="363" t="s">
        <v>2770</v>
      </c>
      <c r="B544" s="381" t="s">
        <v>1104</v>
      </c>
      <c r="C544" s="381" t="s">
        <v>1105</v>
      </c>
      <c r="D544" s="100" t="s">
        <v>408</v>
      </c>
      <c r="E544" s="149">
        <v>5</v>
      </c>
    </row>
    <row r="545" spans="1:5" s="539" customFormat="1" hidden="1" outlineLevel="3" x14ac:dyDescent="0.25">
      <c r="A545" s="363" t="s">
        <v>2771</v>
      </c>
      <c r="B545" s="381" t="s">
        <v>789</v>
      </c>
      <c r="C545" s="381" t="s">
        <v>1815</v>
      </c>
      <c r="D545" s="100" t="s">
        <v>292</v>
      </c>
      <c r="E545" s="149">
        <v>1</v>
      </c>
    </row>
    <row r="546" spans="1:5" s="544" customFormat="1" outlineLevel="2" collapsed="1" x14ac:dyDescent="0.25">
      <c r="A546" s="132" t="s">
        <v>2772</v>
      </c>
      <c r="B546" s="320"/>
      <c r="C546" s="133" t="s">
        <v>1292</v>
      </c>
      <c r="D546" s="134" t="s">
        <v>292</v>
      </c>
      <c r="E546" s="90">
        <v>1</v>
      </c>
    </row>
    <row r="547" spans="1:5" s="545" customFormat="1" hidden="1" outlineLevel="3" x14ac:dyDescent="0.25">
      <c r="A547" s="363" t="s">
        <v>2773</v>
      </c>
      <c r="B547" s="381" t="s">
        <v>861</v>
      </c>
      <c r="C547" s="381" t="s">
        <v>859</v>
      </c>
      <c r="D547" s="143" t="s">
        <v>305</v>
      </c>
      <c r="E547" s="149">
        <v>1</v>
      </c>
    </row>
    <row r="548" spans="1:5" s="539" customFormat="1" ht="31.5" hidden="1" outlineLevel="3" x14ac:dyDescent="0.25">
      <c r="A548" s="363" t="s">
        <v>2774</v>
      </c>
      <c r="B548" s="381" t="s">
        <v>786</v>
      </c>
      <c r="C548" s="381" t="s">
        <v>779</v>
      </c>
      <c r="D548" s="143" t="s">
        <v>408</v>
      </c>
      <c r="E548" s="149">
        <v>3</v>
      </c>
    </row>
    <row r="549" spans="1:5" s="539" customFormat="1" ht="63" hidden="1" outlineLevel="3" x14ac:dyDescent="0.25">
      <c r="A549" s="363" t="s">
        <v>2775</v>
      </c>
      <c r="B549" s="381" t="s">
        <v>1293</v>
      </c>
      <c r="C549" s="381" t="s">
        <v>435</v>
      </c>
      <c r="D549" s="100" t="s">
        <v>408</v>
      </c>
      <c r="E549" s="149">
        <v>1</v>
      </c>
    </row>
    <row r="550" spans="1:5" s="539" customFormat="1" ht="63" hidden="1" outlineLevel="3" x14ac:dyDescent="0.25">
      <c r="A550" s="363" t="s">
        <v>2776</v>
      </c>
      <c r="B550" s="381" t="s">
        <v>1294</v>
      </c>
      <c r="C550" s="381" t="s">
        <v>437</v>
      </c>
      <c r="D550" s="100" t="s">
        <v>408</v>
      </c>
      <c r="E550" s="149">
        <v>1</v>
      </c>
    </row>
    <row r="551" spans="1:5" s="539" customFormat="1" ht="78.75" hidden="1" outlineLevel="3" x14ac:dyDescent="0.25">
      <c r="A551" s="363" t="s">
        <v>2777</v>
      </c>
      <c r="B551" s="381" t="s">
        <v>1295</v>
      </c>
      <c r="C551" s="381" t="s">
        <v>439</v>
      </c>
      <c r="D551" s="100" t="s">
        <v>408</v>
      </c>
      <c r="E551" s="149">
        <v>1</v>
      </c>
    </row>
    <row r="552" spans="1:5" s="539" customFormat="1" outlineLevel="2" collapsed="1" x14ac:dyDescent="0.25">
      <c r="A552" s="132" t="s">
        <v>2778</v>
      </c>
      <c r="B552" s="320"/>
      <c r="C552" s="320" t="s">
        <v>2400</v>
      </c>
      <c r="D552" s="134" t="s">
        <v>408</v>
      </c>
      <c r="E552" s="90">
        <v>1</v>
      </c>
    </row>
    <row r="553" spans="1:5" s="545" customFormat="1" hidden="1" outlineLevel="3" x14ac:dyDescent="0.25">
      <c r="A553" s="363" t="s">
        <v>2779</v>
      </c>
      <c r="B553" s="381" t="s">
        <v>862</v>
      </c>
      <c r="C553" s="381" t="s">
        <v>860</v>
      </c>
      <c r="D553" s="143" t="s">
        <v>408</v>
      </c>
      <c r="E553" s="149">
        <v>1</v>
      </c>
    </row>
    <row r="554" spans="1:5" s="546" customFormat="1" outlineLevel="2" collapsed="1" x14ac:dyDescent="0.25">
      <c r="A554" s="132" t="s">
        <v>511</v>
      </c>
      <c r="B554" s="320" t="s">
        <v>41</v>
      </c>
      <c r="C554" s="320" t="s">
        <v>2096</v>
      </c>
      <c r="D554" s="134" t="s">
        <v>408</v>
      </c>
      <c r="E554" s="90">
        <v>1</v>
      </c>
    </row>
    <row r="555" spans="1:5" s="540" customFormat="1" ht="31.5" hidden="1" outlineLevel="3" collapsed="1" x14ac:dyDescent="0.25">
      <c r="A555" s="363" t="s">
        <v>2780</v>
      </c>
      <c r="B555" s="381" t="s">
        <v>233</v>
      </c>
      <c r="C555" s="381" t="s">
        <v>648</v>
      </c>
      <c r="D555" s="100" t="s">
        <v>292</v>
      </c>
      <c r="E555" s="149">
        <v>1</v>
      </c>
    </row>
    <row r="556" spans="1:5" s="539" customFormat="1" hidden="1" outlineLevel="4" x14ac:dyDescent="0.25">
      <c r="A556" s="363"/>
      <c r="B556" s="381"/>
      <c r="C556" s="381" t="s">
        <v>367</v>
      </c>
      <c r="D556" s="100"/>
      <c r="E556" s="100"/>
    </row>
    <row r="557" spans="1:5" s="539" customFormat="1" ht="31.5" hidden="1" outlineLevel="4" x14ac:dyDescent="0.25">
      <c r="A557" s="363" t="s">
        <v>2781</v>
      </c>
      <c r="B557" s="381" t="s">
        <v>1507</v>
      </c>
      <c r="C557" s="381" t="s">
        <v>1506</v>
      </c>
      <c r="D557" s="100" t="s">
        <v>300</v>
      </c>
      <c r="E557" s="100">
        <f>176</f>
        <v>176</v>
      </c>
    </row>
    <row r="558" spans="1:5" s="539" customFormat="1" ht="31.5" hidden="1" outlineLevel="4" x14ac:dyDescent="0.25">
      <c r="A558" s="363" t="s">
        <v>2782</v>
      </c>
      <c r="B558" s="381" t="s">
        <v>1508</v>
      </c>
      <c r="C558" s="381" t="s">
        <v>656</v>
      </c>
      <c r="D558" s="100" t="s">
        <v>300</v>
      </c>
      <c r="E558" s="100">
        <f>76.32</f>
        <v>76.319999999999993</v>
      </c>
    </row>
    <row r="559" spans="1:5" s="539" customFormat="1" hidden="1" outlineLevel="4" x14ac:dyDescent="0.25">
      <c r="A559" s="363" t="s">
        <v>2783</v>
      </c>
      <c r="B559" s="381" t="s">
        <v>1509</v>
      </c>
      <c r="C559" s="381" t="s">
        <v>1493</v>
      </c>
      <c r="D559" s="100" t="s">
        <v>300</v>
      </c>
      <c r="E559" s="100">
        <f>99.68</f>
        <v>99.68</v>
      </c>
    </row>
    <row r="560" spans="1:5" s="539" customFormat="1" hidden="1" outlineLevel="4" x14ac:dyDescent="0.25">
      <c r="A560" s="363" t="s">
        <v>2784</v>
      </c>
      <c r="B560" s="381" t="s">
        <v>1510</v>
      </c>
      <c r="C560" s="381" t="s">
        <v>492</v>
      </c>
      <c r="D560" s="100" t="s">
        <v>300</v>
      </c>
      <c r="E560" s="100">
        <f>9.72</f>
        <v>9.7200000000000006</v>
      </c>
    </row>
    <row r="561" spans="1:5" s="539" customFormat="1" hidden="1" outlineLevel="4" x14ac:dyDescent="0.25">
      <c r="A561" s="363" t="s">
        <v>2785</v>
      </c>
      <c r="B561" s="381" t="s">
        <v>1511</v>
      </c>
      <c r="C561" s="381" t="s">
        <v>1498</v>
      </c>
      <c r="D561" s="100" t="s">
        <v>292</v>
      </c>
      <c r="E561" s="100">
        <v>1</v>
      </c>
    </row>
    <row r="562" spans="1:5" s="539" customFormat="1" hidden="1" outlineLevel="4" x14ac:dyDescent="0.25">
      <c r="A562" s="363" t="s">
        <v>2786</v>
      </c>
      <c r="B562" s="381" t="s">
        <v>1512</v>
      </c>
      <c r="C562" s="381" t="s">
        <v>414</v>
      </c>
      <c r="D562" s="100" t="s">
        <v>404</v>
      </c>
      <c r="E562" s="100">
        <v>28</v>
      </c>
    </row>
    <row r="563" spans="1:5" s="539" customFormat="1" hidden="1" outlineLevel="4" x14ac:dyDescent="0.25">
      <c r="A563" s="363" t="s">
        <v>2787</v>
      </c>
      <c r="B563" s="381" t="s">
        <v>1513</v>
      </c>
      <c r="C563" s="381" t="s">
        <v>1514</v>
      </c>
      <c r="D563" s="100" t="s">
        <v>637</v>
      </c>
      <c r="E563" s="145">
        <f>0.144+0.152</f>
        <v>0.29599999999999999</v>
      </c>
    </row>
    <row r="564" spans="1:5" s="539" customFormat="1" hidden="1" outlineLevel="4" x14ac:dyDescent="0.25">
      <c r="A564" s="363" t="s">
        <v>2788</v>
      </c>
      <c r="B564" s="381" t="s">
        <v>1515</v>
      </c>
      <c r="C564" s="381" t="s">
        <v>493</v>
      </c>
      <c r="D564" s="100" t="s">
        <v>292</v>
      </c>
      <c r="E564" s="149">
        <v>1</v>
      </c>
    </row>
    <row r="565" spans="1:5" s="539" customFormat="1" hidden="1" outlineLevel="4" x14ac:dyDescent="0.25">
      <c r="A565" s="363" t="s">
        <v>2789</v>
      </c>
      <c r="B565" s="381" t="s">
        <v>1516</v>
      </c>
      <c r="C565" s="381" t="s">
        <v>494</v>
      </c>
      <c r="D565" s="100" t="s">
        <v>404</v>
      </c>
      <c r="E565" s="100">
        <f>21.2</f>
        <v>21.2</v>
      </c>
    </row>
    <row r="566" spans="1:5" s="540" customFormat="1" hidden="1" outlineLevel="3" collapsed="1" x14ac:dyDescent="0.25">
      <c r="A566" s="363" t="s">
        <v>2790</v>
      </c>
      <c r="B566" s="381" t="s">
        <v>235</v>
      </c>
      <c r="C566" s="381" t="s">
        <v>646</v>
      </c>
      <c r="D566" s="100" t="s">
        <v>292</v>
      </c>
      <c r="E566" s="149">
        <v>1</v>
      </c>
    </row>
    <row r="567" spans="1:5" s="539" customFormat="1" ht="47.25" hidden="1" outlineLevel="4" x14ac:dyDescent="0.25">
      <c r="A567" s="363" t="s">
        <v>2791</v>
      </c>
      <c r="B567" s="381" t="s">
        <v>1517</v>
      </c>
      <c r="C567" s="381" t="s">
        <v>1518</v>
      </c>
      <c r="D567" s="100" t="s">
        <v>408</v>
      </c>
      <c r="E567" s="149">
        <v>1</v>
      </c>
    </row>
    <row r="568" spans="1:5" s="538" customFormat="1" outlineLevel="1" x14ac:dyDescent="0.25">
      <c r="A568" s="179" t="s">
        <v>512</v>
      </c>
      <c r="B568" s="422"/>
      <c r="C568" s="435" t="s">
        <v>2374</v>
      </c>
      <c r="D568" s="125" t="s">
        <v>292</v>
      </c>
      <c r="E568" s="126">
        <v>1</v>
      </c>
    </row>
    <row r="569" spans="1:5" s="544" customFormat="1" outlineLevel="1" collapsed="1" x14ac:dyDescent="0.25">
      <c r="A569" s="132" t="s">
        <v>513</v>
      </c>
      <c r="B569" s="320"/>
      <c r="C569" s="133" t="s">
        <v>2375</v>
      </c>
      <c r="D569" s="134" t="s">
        <v>292</v>
      </c>
      <c r="E569" s="90">
        <v>1</v>
      </c>
    </row>
    <row r="570" spans="1:5" s="539" customFormat="1" hidden="1" outlineLevel="2" x14ac:dyDescent="0.25">
      <c r="A570" s="363"/>
      <c r="B570" s="381"/>
      <c r="C570" s="390" t="s">
        <v>367</v>
      </c>
      <c r="D570" s="100"/>
      <c r="E570" s="100"/>
    </row>
    <row r="571" spans="1:5" s="539" customFormat="1" ht="31.5" hidden="1" outlineLevel="2" x14ac:dyDescent="0.25">
      <c r="A571" s="363" t="s">
        <v>2097</v>
      </c>
      <c r="B571" s="381" t="s">
        <v>1047</v>
      </c>
      <c r="C571" s="381" t="s">
        <v>356</v>
      </c>
      <c r="D571" s="100" t="s">
        <v>300</v>
      </c>
      <c r="E571" s="100">
        <f>4472.5</f>
        <v>4472.5</v>
      </c>
    </row>
    <row r="572" spans="1:5" s="539" customFormat="1" hidden="1" outlineLevel="2" x14ac:dyDescent="0.25">
      <c r="A572" s="363" t="s">
        <v>2098</v>
      </c>
      <c r="B572" s="381" t="s">
        <v>1053</v>
      </c>
      <c r="C572" s="381" t="s">
        <v>1048</v>
      </c>
      <c r="D572" s="100" t="s">
        <v>300</v>
      </c>
      <c r="E572" s="100">
        <f>3261.5</f>
        <v>3261.5</v>
      </c>
    </row>
    <row r="573" spans="1:5" s="539" customFormat="1" ht="31.5" hidden="1" outlineLevel="2" x14ac:dyDescent="0.25">
      <c r="A573" s="363" t="s">
        <v>2099</v>
      </c>
      <c r="B573" s="381" t="s">
        <v>1054</v>
      </c>
      <c r="C573" s="381" t="s">
        <v>1049</v>
      </c>
      <c r="D573" s="100" t="s">
        <v>300</v>
      </c>
      <c r="E573" s="100">
        <f>1211</f>
        <v>1211</v>
      </c>
    </row>
    <row r="574" spans="1:5" s="539" customFormat="1" ht="31.5" hidden="1" outlineLevel="2" x14ac:dyDescent="0.25">
      <c r="A574" s="363" t="s">
        <v>2100</v>
      </c>
      <c r="B574" s="381" t="s">
        <v>1055</v>
      </c>
      <c r="C574" s="381" t="s">
        <v>1052</v>
      </c>
      <c r="D574" s="100" t="s">
        <v>300</v>
      </c>
      <c r="E574" s="100">
        <f>3261.5</f>
        <v>3261.5</v>
      </c>
    </row>
    <row r="575" spans="1:5" s="539" customFormat="1" hidden="1" outlineLevel="2" x14ac:dyDescent="0.25">
      <c r="A575" s="363" t="s">
        <v>2101</v>
      </c>
      <c r="B575" s="381" t="s">
        <v>1057</v>
      </c>
      <c r="C575" s="381" t="s">
        <v>1056</v>
      </c>
      <c r="D575" s="100" t="s">
        <v>300</v>
      </c>
      <c r="E575" s="100">
        <f>860.9</f>
        <v>860.9</v>
      </c>
    </row>
    <row r="576" spans="1:5" s="539" customFormat="1" ht="31.5" hidden="1" outlineLevel="2" x14ac:dyDescent="0.25">
      <c r="A576" s="363" t="s">
        <v>2102</v>
      </c>
      <c r="B576" s="381" t="s">
        <v>1075</v>
      </c>
      <c r="C576" s="381" t="s">
        <v>1019</v>
      </c>
      <c r="D576" s="100" t="s">
        <v>292</v>
      </c>
      <c r="E576" s="100">
        <v>1</v>
      </c>
    </row>
    <row r="577" spans="1:5" s="540" customFormat="1" ht="31.5" outlineLevel="1" collapsed="1" x14ac:dyDescent="0.25">
      <c r="A577" s="132" t="s">
        <v>514</v>
      </c>
      <c r="B577" s="320" t="s">
        <v>164</v>
      </c>
      <c r="C577" s="320" t="s">
        <v>1919</v>
      </c>
      <c r="D577" s="134" t="s">
        <v>292</v>
      </c>
      <c r="E577" s="90">
        <v>1</v>
      </c>
    </row>
    <row r="578" spans="1:5" s="539" customFormat="1" hidden="1" outlineLevel="2" x14ac:dyDescent="0.25">
      <c r="A578" s="363" t="s">
        <v>2143</v>
      </c>
      <c r="B578" s="381" t="s">
        <v>1060</v>
      </c>
      <c r="C578" s="381" t="s">
        <v>1059</v>
      </c>
      <c r="D578" s="100" t="s">
        <v>300</v>
      </c>
      <c r="E578" s="100">
        <v>378</v>
      </c>
    </row>
    <row r="579" spans="1:5" s="539" customFormat="1" hidden="1" outlineLevel="2" x14ac:dyDescent="0.25">
      <c r="A579" s="363" t="s">
        <v>2144</v>
      </c>
      <c r="B579" s="381" t="s">
        <v>1063</v>
      </c>
      <c r="C579" s="381" t="s">
        <v>1062</v>
      </c>
      <c r="D579" s="100" t="s">
        <v>300</v>
      </c>
      <c r="E579" s="100">
        <f>175.7</f>
        <v>175.7</v>
      </c>
    </row>
    <row r="580" spans="1:5" s="539" customFormat="1" hidden="1" outlineLevel="2" x14ac:dyDescent="0.25">
      <c r="A580" s="363" t="s">
        <v>2145</v>
      </c>
      <c r="B580" s="381" t="s">
        <v>1066</v>
      </c>
      <c r="C580" s="381" t="s">
        <v>1065</v>
      </c>
      <c r="D580" s="100" t="s">
        <v>300</v>
      </c>
      <c r="E580" s="100">
        <f>165.6</f>
        <v>165.6</v>
      </c>
    </row>
    <row r="581" spans="1:5" s="539" customFormat="1" hidden="1" outlineLevel="2" x14ac:dyDescent="0.25">
      <c r="A581" s="363"/>
      <c r="B581" s="381"/>
      <c r="C581" s="390" t="s">
        <v>1068</v>
      </c>
      <c r="D581" s="100"/>
      <c r="E581" s="100"/>
    </row>
    <row r="582" spans="1:5" s="539" customFormat="1" hidden="1" outlineLevel="2" x14ac:dyDescent="0.25">
      <c r="A582" s="225" t="s">
        <v>2146</v>
      </c>
      <c r="B582" s="381" t="s">
        <v>1070</v>
      </c>
      <c r="C582" s="381" t="s">
        <v>1069</v>
      </c>
      <c r="D582" s="100" t="s">
        <v>300</v>
      </c>
      <c r="E582" s="100">
        <v>605</v>
      </c>
    </row>
    <row r="583" spans="1:5" s="539" customFormat="1" hidden="1" outlineLevel="2" x14ac:dyDescent="0.25">
      <c r="A583" s="363" t="s">
        <v>2792</v>
      </c>
      <c r="B583" s="381" t="s">
        <v>1072</v>
      </c>
      <c r="C583" s="381" t="s">
        <v>1071</v>
      </c>
      <c r="D583" s="100" t="s">
        <v>300</v>
      </c>
      <c r="E583" s="100">
        <f>480.7+623</f>
        <v>1103.7</v>
      </c>
    </row>
    <row r="584" spans="1:5" s="539" customFormat="1" hidden="1" outlineLevel="2" x14ac:dyDescent="0.25">
      <c r="A584" s="363" t="s">
        <v>2793</v>
      </c>
      <c r="B584" s="381" t="s">
        <v>1073</v>
      </c>
      <c r="C584" s="381" t="s">
        <v>1074</v>
      </c>
      <c r="D584" s="100" t="s">
        <v>300</v>
      </c>
      <c r="E584" s="100">
        <v>15</v>
      </c>
    </row>
    <row r="585" spans="1:5" s="539" customFormat="1" hidden="1" outlineLevel="2" x14ac:dyDescent="0.25">
      <c r="A585" s="363"/>
      <c r="B585" s="381"/>
      <c r="C585" s="390" t="s">
        <v>1026</v>
      </c>
      <c r="D585" s="100"/>
      <c r="E585" s="100"/>
    </row>
    <row r="586" spans="1:5" s="539" customFormat="1" hidden="1" outlineLevel="2" x14ac:dyDescent="0.25">
      <c r="A586" s="363" t="s">
        <v>2794</v>
      </c>
      <c r="B586" s="381" t="s">
        <v>1077</v>
      </c>
      <c r="C586" s="381" t="s">
        <v>1076</v>
      </c>
      <c r="D586" s="100" t="s">
        <v>637</v>
      </c>
      <c r="E586" s="100">
        <v>70.47</v>
      </c>
    </row>
    <row r="587" spans="1:5" s="539" customFormat="1" hidden="1" outlineLevel="2" x14ac:dyDescent="0.25">
      <c r="A587" s="363"/>
      <c r="B587" s="381"/>
      <c r="C587" s="390" t="s">
        <v>1078</v>
      </c>
      <c r="D587" s="100"/>
      <c r="E587" s="100"/>
    </row>
    <row r="588" spans="1:5" s="539" customFormat="1" hidden="1" outlineLevel="2" x14ac:dyDescent="0.25">
      <c r="A588" s="363" t="s">
        <v>2795</v>
      </c>
      <c r="B588" s="381" t="s">
        <v>1080</v>
      </c>
      <c r="C588" s="381" t="s">
        <v>1079</v>
      </c>
      <c r="D588" s="100" t="s">
        <v>637</v>
      </c>
      <c r="E588" s="145">
        <f>7.149+0.678</f>
        <v>7.827</v>
      </c>
    </row>
    <row r="589" spans="1:5" s="539" customFormat="1" hidden="1" outlineLevel="2" x14ac:dyDescent="0.25">
      <c r="A589" s="363" t="s">
        <v>2796</v>
      </c>
      <c r="B589" s="381" t="s">
        <v>1082</v>
      </c>
      <c r="C589" s="381" t="s">
        <v>1081</v>
      </c>
      <c r="D589" s="100" t="s">
        <v>637</v>
      </c>
      <c r="E589" s="100">
        <v>2.1</v>
      </c>
    </row>
    <row r="590" spans="1:5" s="539" customFormat="1" hidden="1" outlineLevel="2" x14ac:dyDescent="0.25">
      <c r="A590" s="363" t="s">
        <v>2797</v>
      </c>
      <c r="B590" s="381" t="s">
        <v>1084</v>
      </c>
      <c r="C590" s="381" t="s">
        <v>1083</v>
      </c>
      <c r="D590" s="100" t="s">
        <v>637</v>
      </c>
      <c r="E590" s="145">
        <f>65.191</f>
        <v>65.191000000000003</v>
      </c>
    </row>
    <row r="591" spans="1:5" s="539" customFormat="1" hidden="1" outlineLevel="2" x14ac:dyDescent="0.25">
      <c r="A591" s="363" t="s">
        <v>2798</v>
      </c>
      <c r="B591" s="381" t="s">
        <v>1086</v>
      </c>
      <c r="C591" s="381" t="s">
        <v>1085</v>
      </c>
      <c r="D591" s="100" t="s">
        <v>637</v>
      </c>
      <c r="E591" s="145">
        <f>21.534</f>
        <v>21.533999999999999</v>
      </c>
    </row>
    <row r="592" spans="1:5" s="539" customFormat="1" hidden="1" outlineLevel="2" x14ac:dyDescent="0.25">
      <c r="A592" s="363" t="s">
        <v>2799</v>
      </c>
      <c r="B592" s="381" t="s">
        <v>1088</v>
      </c>
      <c r="C592" s="381" t="s">
        <v>1087</v>
      </c>
      <c r="D592" s="100" t="s">
        <v>637</v>
      </c>
      <c r="E592" s="145">
        <f>2.929</f>
        <v>2.9289999999999998</v>
      </c>
    </row>
    <row r="593" spans="1:5" s="539" customFormat="1" ht="31.5" hidden="1" outlineLevel="2" x14ac:dyDescent="0.25">
      <c r="A593" s="363" t="s">
        <v>2800</v>
      </c>
      <c r="B593" s="381" t="s">
        <v>1090</v>
      </c>
      <c r="C593" s="381" t="s">
        <v>1089</v>
      </c>
      <c r="D593" s="100" t="s">
        <v>404</v>
      </c>
      <c r="E593" s="149">
        <f>136</f>
        <v>136</v>
      </c>
    </row>
    <row r="594" spans="1:5" s="544" customFormat="1" outlineLevel="1" collapsed="1" x14ac:dyDescent="0.25">
      <c r="A594" s="132" t="s">
        <v>515</v>
      </c>
      <c r="B594" s="320"/>
      <c r="C594" s="133" t="s">
        <v>2454</v>
      </c>
      <c r="D594" s="134" t="s">
        <v>292</v>
      </c>
      <c r="E594" s="90">
        <v>1</v>
      </c>
    </row>
    <row r="595" spans="1:5" s="539" customFormat="1" ht="31.5" hidden="1" outlineLevel="2" x14ac:dyDescent="0.25">
      <c r="A595" s="363" t="s">
        <v>2147</v>
      </c>
      <c r="B595" s="381" t="s">
        <v>788</v>
      </c>
      <c r="C595" s="381" t="s">
        <v>1816</v>
      </c>
      <c r="D595" s="100" t="s">
        <v>292</v>
      </c>
      <c r="E595" s="149">
        <v>1</v>
      </c>
    </row>
    <row r="596" spans="1:5" s="539" customFormat="1" ht="31.5" hidden="1" outlineLevel="2" collapsed="1" x14ac:dyDescent="0.25">
      <c r="A596" s="95" t="s">
        <v>2148</v>
      </c>
      <c r="B596" s="381" t="s">
        <v>166</v>
      </c>
      <c r="C596" s="381" t="s">
        <v>1920</v>
      </c>
      <c r="D596" s="100" t="s">
        <v>292</v>
      </c>
      <c r="E596" s="149">
        <v>1</v>
      </c>
    </row>
    <row r="597" spans="1:5" s="539" customFormat="1" hidden="1" outlineLevel="3" x14ac:dyDescent="0.25">
      <c r="A597" s="363" t="s">
        <v>2801</v>
      </c>
      <c r="B597" s="381" t="s">
        <v>1091</v>
      </c>
      <c r="C597" s="381" t="s">
        <v>601</v>
      </c>
      <c r="D597" s="100" t="s">
        <v>292</v>
      </c>
      <c r="E597" s="149">
        <v>1</v>
      </c>
    </row>
    <row r="598" spans="1:5" s="539" customFormat="1" hidden="1" outlineLevel="3" x14ac:dyDescent="0.25">
      <c r="A598" s="363" t="s">
        <v>2802</v>
      </c>
      <c r="B598" s="381" t="s">
        <v>1092</v>
      </c>
      <c r="C598" s="381" t="s">
        <v>603</v>
      </c>
      <c r="D598" s="100" t="s">
        <v>292</v>
      </c>
      <c r="E598" s="149">
        <v>1</v>
      </c>
    </row>
    <row r="599" spans="1:5" s="539" customFormat="1" hidden="1" outlineLevel="3" x14ac:dyDescent="0.25">
      <c r="A599" s="363" t="s">
        <v>2803</v>
      </c>
      <c r="B599" s="381" t="s">
        <v>1093</v>
      </c>
      <c r="C599" s="381" t="s">
        <v>808</v>
      </c>
      <c r="D599" s="100" t="s">
        <v>292</v>
      </c>
      <c r="E599" s="149">
        <v>1</v>
      </c>
    </row>
    <row r="600" spans="1:5" s="539" customFormat="1" hidden="1" outlineLevel="3" x14ac:dyDescent="0.25">
      <c r="A600" s="363" t="s">
        <v>2804</v>
      </c>
      <c r="B600" s="381" t="s">
        <v>1095</v>
      </c>
      <c r="C600" s="381" t="s">
        <v>1094</v>
      </c>
      <c r="D600" s="100" t="s">
        <v>292</v>
      </c>
      <c r="E600" s="149">
        <v>1</v>
      </c>
    </row>
    <row r="601" spans="1:5" s="539" customFormat="1" hidden="1" outlineLevel="3" x14ac:dyDescent="0.25">
      <c r="A601" s="363" t="s">
        <v>2805</v>
      </c>
      <c r="B601" s="381" t="s">
        <v>1097</v>
      </c>
      <c r="C601" s="381" t="s">
        <v>1096</v>
      </c>
      <c r="D601" s="100" t="s">
        <v>292</v>
      </c>
      <c r="E601" s="149">
        <v>1</v>
      </c>
    </row>
    <row r="602" spans="1:5" s="549" customFormat="1" ht="31.5" hidden="1" outlineLevel="2" collapsed="1" x14ac:dyDescent="0.25">
      <c r="A602" s="95" t="s">
        <v>2149</v>
      </c>
      <c r="B602" s="381" t="s">
        <v>170</v>
      </c>
      <c r="C602" s="381" t="s">
        <v>2380</v>
      </c>
      <c r="D602" s="100" t="s">
        <v>292</v>
      </c>
      <c r="E602" s="149">
        <v>1</v>
      </c>
    </row>
    <row r="603" spans="1:5" s="539" customFormat="1" hidden="1" outlineLevel="3" x14ac:dyDescent="0.25">
      <c r="A603" s="363"/>
      <c r="B603" s="381"/>
      <c r="C603" s="381" t="s">
        <v>379</v>
      </c>
      <c r="D603" s="100"/>
      <c r="E603" s="145"/>
    </row>
    <row r="604" spans="1:5" s="539" customFormat="1" hidden="1" outlineLevel="3" x14ac:dyDescent="0.25">
      <c r="A604" s="363"/>
      <c r="B604" s="381"/>
      <c r="C604" s="390" t="s">
        <v>1098</v>
      </c>
      <c r="D604" s="100"/>
      <c r="E604" s="145"/>
    </row>
    <row r="605" spans="1:5" s="539" customFormat="1" hidden="1" outlineLevel="3" x14ac:dyDescent="0.25">
      <c r="A605" s="363" t="s">
        <v>441</v>
      </c>
      <c r="B605" s="381" t="s">
        <v>1154</v>
      </c>
      <c r="C605" s="381" t="s">
        <v>1106</v>
      </c>
      <c r="D605" s="100" t="s">
        <v>408</v>
      </c>
      <c r="E605" s="149">
        <v>1</v>
      </c>
    </row>
    <row r="606" spans="1:5" s="539" customFormat="1" hidden="1" outlineLevel="3" x14ac:dyDescent="0.25">
      <c r="A606" s="363" t="s">
        <v>442</v>
      </c>
      <c r="B606" s="381" t="s">
        <v>1155</v>
      </c>
      <c r="C606" s="381" t="s">
        <v>1107</v>
      </c>
      <c r="D606" s="100" t="s">
        <v>408</v>
      </c>
      <c r="E606" s="149">
        <v>1</v>
      </c>
    </row>
    <row r="607" spans="1:5" s="539" customFormat="1" hidden="1" outlineLevel="3" x14ac:dyDescent="0.25">
      <c r="A607" s="363" t="s">
        <v>443</v>
      </c>
      <c r="B607" s="381" t="s">
        <v>1156</v>
      </c>
      <c r="C607" s="381" t="s">
        <v>1108</v>
      </c>
      <c r="D607" s="100" t="s">
        <v>408</v>
      </c>
      <c r="E607" s="149">
        <v>1</v>
      </c>
    </row>
    <row r="608" spans="1:5" s="539" customFormat="1" hidden="1" outlineLevel="3" x14ac:dyDescent="0.25">
      <c r="A608" s="363" t="s">
        <v>1948</v>
      </c>
      <c r="B608" s="381" t="s">
        <v>1157</v>
      </c>
      <c r="C608" s="381" t="s">
        <v>1109</v>
      </c>
      <c r="D608" s="100" t="s">
        <v>408</v>
      </c>
      <c r="E608" s="149">
        <v>1</v>
      </c>
    </row>
    <row r="609" spans="1:5" s="539" customFormat="1" hidden="1" outlineLevel="3" x14ac:dyDescent="0.25">
      <c r="A609" s="363" t="s">
        <v>1949</v>
      </c>
      <c r="B609" s="381" t="s">
        <v>1158</v>
      </c>
      <c r="C609" s="381" t="s">
        <v>1110</v>
      </c>
      <c r="D609" s="100" t="s">
        <v>408</v>
      </c>
      <c r="E609" s="149">
        <v>1</v>
      </c>
    </row>
    <row r="610" spans="1:5" s="539" customFormat="1" hidden="1" outlineLevel="3" x14ac:dyDescent="0.25">
      <c r="A610" s="363" t="s">
        <v>1950</v>
      </c>
      <c r="B610" s="381" t="s">
        <v>1159</v>
      </c>
      <c r="C610" s="381" t="s">
        <v>1111</v>
      </c>
      <c r="D610" s="100" t="s">
        <v>408</v>
      </c>
      <c r="E610" s="149">
        <v>1</v>
      </c>
    </row>
    <row r="611" spans="1:5" s="539" customFormat="1" hidden="1" outlineLevel="3" x14ac:dyDescent="0.25">
      <c r="A611" s="363" t="s">
        <v>1951</v>
      </c>
      <c r="B611" s="381" t="s">
        <v>1160</v>
      </c>
      <c r="C611" s="381" t="s">
        <v>1112</v>
      </c>
      <c r="D611" s="100" t="s">
        <v>408</v>
      </c>
      <c r="E611" s="149">
        <v>1</v>
      </c>
    </row>
    <row r="612" spans="1:5" s="539" customFormat="1" hidden="1" outlineLevel="3" x14ac:dyDescent="0.25">
      <c r="A612" s="363" t="s">
        <v>1952</v>
      </c>
      <c r="B612" s="381" t="s">
        <v>1161</v>
      </c>
      <c r="C612" s="381" t="s">
        <v>1113</v>
      </c>
      <c r="D612" s="100" t="s">
        <v>408</v>
      </c>
      <c r="E612" s="149">
        <v>1</v>
      </c>
    </row>
    <row r="613" spans="1:5" s="539" customFormat="1" hidden="1" outlineLevel="3" x14ac:dyDescent="0.25">
      <c r="A613" s="363" t="s">
        <v>1953</v>
      </c>
      <c r="B613" s="381" t="s">
        <v>1162</v>
      </c>
      <c r="C613" s="381" t="s">
        <v>1114</v>
      </c>
      <c r="D613" s="100" t="s">
        <v>408</v>
      </c>
      <c r="E613" s="149">
        <v>1</v>
      </c>
    </row>
    <row r="614" spans="1:5" s="539" customFormat="1" hidden="1" outlineLevel="3" x14ac:dyDescent="0.25">
      <c r="A614" s="363" t="s">
        <v>1954</v>
      </c>
      <c r="B614" s="381" t="s">
        <v>1163</v>
      </c>
      <c r="C614" s="381" t="s">
        <v>1115</v>
      </c>
      <c r="D614" s="100" t="s">
        <v>408</v>
      </c>
      <c r="E614" s="149">
        <v>1</v>
      </c>
    </row>
    <row r="615" spans="1:5" s="539" customFormat="1" hidden="1" outlineLevel="3" x14ac:dyDescent="0.25">
      <c r="A615" s="363" t="s">
        <v>1955</v>
      </c>
      <c r="B615" s="381" t="s">
        <v>1164</v>
      </c>
      <c r="C615" s="381" t="s">
        <v>1116</v>
      </c>
      <c r="D615" s="100" t="s">
        <v>408</v>
      </c>
      <c r="E615" s="149">
        <v>1</v>
      </c>
    </row>
    <row r="616" spans="1:5" s="539" customFormat="1" hidden="1" outlineLevel="3" x14ac:dyDescent="0.25">
      <c r="A616" s="363" t="s">
        <v>1956</v>
      </c>
      <c r="B616" s="381" t="s">
        <v>1165</v>
      </c>
      <c r="C616" s="381" t="s">
        <v>1117</v>
      </c>
      <c r="D616" s="100" t="s">
        <v>408</v>
      </c>
      <c r="E616" s="149">
        <v>1</v>
      </c>
    </row>
    <row r="617" spans="1:5" s="539" customFormat="1" hidden="1" outlineLevel="3" x14ac:dyDescent="0.25">
      <c r="A617" s="363" t="s">
        <v>1957</v>
      </c>
      <c r="B617" s="381" t="s">
        <v>1166</v>
      </c>
      <c r="C617" s="381" t="s">
        <v>1118</v>
      </c>
      <c r="D617" s="100" t="s">
        <v>408</v>
      </c>
      <c r="E617" s="149">
        <v>1</v>
      </c>
    </row>
    <row r="618" spans="1:5" s="539" customFormat="1" hidden="1" outlineLevel="3" x14ac:dyDescent="0.25">
      <c r="A618" s="363" t="s">
        <v>1958</v>
      </c>
      <c r="B618" s="381" t="s">
        <v>1167</v>
      </c>
      <c r="C618" s="381" t="s">
        <v>1119</v>
      </c>
      <c r="D618" s="100" t="s">
        <v>408</v>
      </c>
      <c r="E618" s="149">
        <v>1</v>
      </c>
    </row>
    <row r="619" spans="1:5" s="539" customFormat="1" hidden="1" outlineLevel="3" x14ac:dyDescent="0.25">
      <c r="A619" s="363"/>
      <c r="B619" s="381"/>
      <c r="C619" s="390" t="s">
        <v>1120</v>
      </c>
      <c r="D619" s="100"/>
      <c r="E619" s="145"/>
    </row>
    <row r="620" spans="1:5" s="539" customFormat="1" hidden="1" outlineLevel="3" x14ac:dyDescent="0.25">
      <c r="A620" s="363" t="s">
        <v>1959</v>
      </c>
      <c r="B620" s="381" t="s">
        <v>1168</v>
      </c>
      <c r="C620" s="381" t="s">
        <v>1122</v>
      </c>
      <c r="D620" s="100" t="s">
        <v>408</v>
      </c>
      <c r="E620" s="149">
        <v>363</v>
      </c>
    </row>
    <row r="621" spans="1:5" s="539" customFormat="1" hidden="1" outlineLevel="3" x14ac:dyDescent="0.25">
      <c r="A621" s="363" t="s">
        <v>1960</v>
      </c>
      <c r="B621" s="381" t="s">
        <v>1169</v>
      </c>
      <c r="C621" s="381" t="s">
        <v>1121</v>
      </c>
      <c r="D621" s="100" t="s">
        <v>408</v>
      </c>
      <c r="E621" s="149">
        <v>87</v>
      </c>
    </row>
    <row r="622" spans="1:5" s="539" customFormat="1" hidden="1" outlineLevel="3" x14ac:dyDescent="0.25">
      <c r="A622" s="363" t="s">
        <v>1961</v>
      </c>
      <c r="B622" s="381" t="s">
        <v>1170</v>
      </c>
      <c r="C622" s="381" t="s">
        <v>1123</v>
      </c>
      <c r="D622" s="100" t="s">
        <v>408</v>
      </c>
      <c r="E622" s="149">
        <v>611</v>
      </c>
    </row>
    <row r="623" spans="1:5" s="539" customFormat="1" hidden="1" outlineLevel="3" x14ac:dyDescent="0.25">
      <c r="A623" s="363" t="s">
        <v>1962</v>
      </c>
      <c r="B623" s="381" t="s">
        <v>1171</v>
      </c>
      <c r="C623" s="381" t="s">
        <v>1124</v>
      </c>
      <c r="D623" s="100" t="s">
        <v>408</v>
      </c>
      <c r="E623" s="149">
        <v>9</v>
      </c>
    </row>
    <row r="624" spans="1:5" s="539" customFormat="1" hidden="1" outlineLevel="3" x14ac:dyDescent="0.25">
      <c r="A624" s="363" t="s">
        <v>1963</v>
      </c>
      <c r="B624" s="381" t="s">
        <v>1172</v>
      </c>
      <c r="C624" s="381" t="s">
        <v>1125</v>
      </c>
      <c r="D624" s="100" t="s">
        <v>408</v>
      </c>
      <c r="E624" s="149">
        <v>38</v>
      </c>
    </row>
    <row r="625" spans="1:5" s="539" customFormat="1" hidden="1" outlineLevel="3" x14ac:dyDescent="0.25">
      <c r="A625" s="363" t="s">
        <v>1964</v>
      </c>
      <c r="B625" s="381" t="s">
        <v>1173</v>
      </c>
      <c r="C625" s="381" t="s">
        <v>1126</v>
      </c>
      <c r="D625" s="100" t="s">
        <v>408</v>
      </c>
      <c r="E625" s="149">
        <v>40</v>
      </c>
    </row>
    <row r="626" spans="1:5" s="539" customFormat="1" hidden="1" outlineLevel="3" x14ac:dyDescent="0.25">
      <c r="A626" s="363" t="s">
        <v>1965</v>
      </c>
      <c r="B626" s="381" t="s">
        <v>1174</v>
      </c>
      <c r="C626" s="381" t="s">
        <v>1127</v>
      </c>
      <c r="D626" s="100" t="s">
        <v>408</v>
      </c>
      <c r="E626" s="149">
        <v>10</v>
      </c>
    </row>
    <row r="627" spans="1:5" s="539" customFormat="1" hidden="1" outlineLevel="3" x14ac:dyDescent="0.25">
      <c r="A627" s="363"/>
      <c r="B627" s="381"/>
      <c r="C627" s="390" t="s">
        <v>1128</v>
      </c>
      <c r="D627" s="100"/>
      <c r="E627" s="149"/>
    </row>
    <row r="628" spans="1:5" s="539" customFormat="1" ht="283.5" hidden="1" outlineLevel="3" x14ac:dyDescent="0.25">
      <c r="A628" s="363" t="s">
        <v>1966</v>
      </c>
      <c r="B628" s="381" t="s">
        <v>1175</v>
      </c>
      <c r="C628" s="381" t="s">
        <v>1129</v>
      </c>
      <c r="D628" s="100" t="s">
        <v>408</v>
      </c>
      <c r="E628" s="149">
        <v>1</v>
      </c>
    </row>
    <row r="629" spans="1:5" s="539" customFormat="1" ht="157.5" hidden="1" outlineLevel="3" x14ac:dyDescent="0.25">
      <c r="A629" s="363" t="s">
        <v>1967</v>
      </c>
      <c r="B629" s="381" t="s">
        <v>1176</v>
      </c>
      <c r="C629" s="381" t="s">
        <v>1130</v>
      </c>
      <c r="D629" s="100" t="s">
        <v>408</v>
      </c>
      <c r="E629" s="149">
        <v>1</v>
      </c>
    </row>
    <row r="630" spans="1:5" s="539" customFormat="1" hidden="1" outlineLevel="3" x14ac:dyDescent="0.25">
      <c r="A630" s="363"/>
      <c r="B630" s="381"/>
      <c r="C630" s="390" t="s">
        <v>1131</v>
      </c>
      <c r="D630" s="100"/>
      <c r="E630" s="149"/>
    </row>
    <row r="631" spans="1:5" s="539" customFormat="1" ht="31.5" hidden="1" outlineLevel="3" x14ac:dyDescent="0.25">
      <c r="A631" s="363" t="s">
        <v>1968</v>
      </c>
      <c r="B631" s="381" t="s">
        <v>1177</v>
      </c>
      <c r="C631" s="381" t="s">
        <v>1132</v>
      </c>
      <c r="D631" s="100" t="s">
        <v>408</v>
      </c>
      <c r="E631" s="149">
        <v>176</v>
      </c>
    </row>
    <row r="632" spans="1:5" s="539" customFormat="1" ht="31.5" hidden="1" outlineLevel="3" x14ac:dyDescent="0.25">
      <c r="A632" s="363" t="s">
        <v>1969</v>
      </c>
      <c r="B632" s="381" t="s">
        <v>1178</v>
      </c>
      <c r="C632" s="381" t="s">
        <v>1133</v>
      </c>
      <c r="D632" s="100" t="s">
        <v>408</v>
      </c>
      <c r="E632" s="149">
        <v>87</v>
      </c>
    </row>
    <row r="633" spans="1:5" s="539" customFormat="1" ht="31.5" hidden="1" outlineLevel="3" x14ac:dyDescent="0.25">
      <c r="A633" s="363" t="s">
        <v>1970</v>
      </c>
      <c r="B633" s="381" t="s">
        <v>1179</v>
      </c>
      <c r="C633" s="381" t="s">
        <v>1134</v>
      </c>
      <c r="D633" s="100" t="s">
        <v>408</v>
      </c>
      <c r="E633" s="149">
        <v>8</v>
      </c>
    </row>
    <row r="634" spans="1:5" s="539" customFormat="1" hidden="1" outlineLevel="3" x14ac:dyDescent="0.25">
      <c r="A634" s="363" t="s">
        <v>1971</v>
      </c>
      <c r="B634" s="381" t="s">
        <v>1180</v>
      </c>
      <c r="C634" s="381" t="s">
        <v>1135</v>
      </c>
      <c r="D634" s="100" t="s">
        <v>408</v>
      </c>
      <c r="E634" s="149">
        <v>11</v>
      </c>
    </row>
    <row r="635" spans="1:5" s="539" customFormat="1" hidden="1" outlineLevel="3" x14ac:dyDescent="0.25">
      <c r="A635" s="363" t="s">
        <v>1972</v>
      </c>
      <c r="B635" s="381" t="s">
        <v>1181</v>
      </c>
      <c r="C635" s="381" t="s">
        <v>1136</v>
      </c>
      <c r="D635" s="100" t="s">
        <v>408</v>
      </c>
      <c r="E635" s="149">
        <v>11</v>
      </c>
    </row>
    <row r="636" spans="1:5" s="539" customFormat="1" hidden="1" outlineLevel="3" x14ac:dyDescent="0.25">
      <c r="A636" s="363" t="s">
        <v>1973</v>
      </c>
      <c r="B636" s="381" t="s">
        <v>1182</v>
      </c>
      <c r="C636" s="381" t="s">
        <v>1137</v>
      </c>
      <c r="D636" s="100" t="s">
        <v>408</v>
      </c>
      <c r="E636" s="149">
        <v>13</v>
      </c>
    </row>
    <row r="637" spans="1:5" s="539" customFormat="1" hidden="1" outlineLevel="3" x14ac:dyDescent="0.25">
      <c r="A637" s="363" t="s">
        <v>1974</v>
      </c>
      <c r="B637" s="381" t="s">
        <v>1183</v>
      </c>
      <c r="C637" s="381" t="s">
        <v>1138</v>
      </c>
      <c r="D637" s="100" t="s">
        <v>408</v>
      </c>
      <c r="E637" s="149">
        <v>3</v>
      </c>
    </row>
    <row r="638" spans="1:5" s="539" customFormat="1" hidden="1" outlineLevel="3" x14ac:dyDescent="0.25">
      <c r="A638" s="363" t="s">
        <v>1975</v>
      </c>
      <c r="B638" s="381" t="s">
        <v>1184</v>
      </c>
      <c r="C638" s="381" t="s">
        <v>1139</v>
      </c>
      <c r="D638" s="100" t="s">
        <v>408</v>
      </c>
      <c r="E638" s="149">
        <v>76</v>
      </c>
    </row>
    <row r="639" spans="1:5" s="539" customFormat="1" ht="31.5" hidden="1" outlineLevel="3" x14ac:dyDescent="0.25">
      <c r="A639" s="363" t="s">
        <v>1976</v>
      </c>
      <c r="B639" s="381" t="s">
        <v>1185</v>
      </c>
      <c r="C639" s="381" t="s">
        <v>1140</v>
      </c>
      <c r="D639" s="100" t="s">
        <v>408</v>
      </c>
      <c r="E639" s="149">
        <v>125</v>
      </c>
    </row>
    <row r="640" spans="1:5" s="539" customFormat="1" hidden="1" outlineLevel="3" x14ac:dyDescent="0.25">
      <c r="A640" s="363" t="s">
        <v>1977</v>
      </c>
      <c r="B640" s="381" t="s">
        <v>1186</v>
      </c>
      <c r="C640" s="381" t="s">
        <v>1141</v>
      </c>
      <c r="D640" s="100" t="s">
        <v>408</v>
      </c>
      <c r="E640" s="149">
        <v>27</v>
      </c>
    </row>
    <row r="641" spans="1:5" s="539" customFormat="1" ht="31.5" hidden="1" outlineLevel="3" x14ac:dyDescent="0.25">
      <c r="A641" s="363" t="s">
        <v>1978</v>
      </c>
      <c r="B641" s="381" t="s">
        <v>1187</v>
      </c>
      <c r="C641" s="381" t="s">
        <v>1142</v>
      </c>
      <c r="D641" s="100" t="s">
        <v>408</v>
      </c>
      <c r="E641" s="149">
        <v>8</v>
      </c>
    </row>
    <row r="642" spans="1:5" s="539" customFormat="1" hidden="1" outlineLevel="3" x14ac:dyDescent="0.25">
      <c r="A642" s="363"/>
      <c r="B642" s="381"/>
      <c r="C642" s="390" t="s">
        <v>1143</v>
      </c>
      <c r="D642" s="100"/>
      <c r="E642" s="149"/>
    </row>
    <row r="643" spans="1:5" s="539" customFormat="1" hidden="1" outlineLevel="3" x14ac:dyDescent="0.25">
      <c r="A643" s="363" t="s">
        <v>1979</v>
      </c>
      <c r="B643" s="381" t="s">
        <v>1188</v>
      </c>
      <c r="C643" s="381" t="s">
        <v>1144</v>
      </c>
      <c r="D643" s="100" t="s">
        <v>377</v>
      </c>
      <c r="E643" s="149">
        <v>155</v>
      </c>
    </row>
    <row r="644" spans="1:5" s="539" customFormat="1" hidden="1" outlineLevel="3" x14ac:dyDescent="0.25">
      <c r="A644" s="363" t="s">
        <v>1980</v>
      </c>
      <c r="B644" s="381" t="s">
        <v>1189</v>
      </c>
      <c r="C644" s="381" t="s">
        <v>1146</v>
      </c>
      <c r="D644" s="100" t="s">
        <v>377</v>
      </c>
      <c r="E644" s="100">
        <f>3862.1/1.08</f>
        <v>3576.02</v>
      </c>
    </row>
    <row r="645" spans="1:5" s="539" customFormat="1" hidden="1" outlineLevel="3" x14ac:dyDescent="0.25">
      <c r="A645" s="363" t="s">
        <v>1981</v>
      </c>
      <c r="B645" s="381" t="s">
        <v>1190</v>
      </c>
      <c r="C645" s="381" t="s">
        <v>1145</v>
      </c>
      <c r="D645" s="100" t="s">
        <v>377</v>
      </c>
      <c r="E645" s="100">
        <f>428.8/1.08</f>
        <v>397.04</v>
      </c>
    </row>
    <row r="646" spans="1:5" s="539" customFormat="1" hidden="1" outlineLevel="3" x14ac:dyDescent="0.25">
      <c r="A646" s="363" t="s">
        <v>1982</v>
      </c>
      <c r="B646" s="381" t="s">
        <v>1191</v>
      </c>
      <c r="C646" s="381" t="s">
        <v>1147</v>
      </c>
      <c r="D646" s="100" t="s">
        <v>377</v>
      </c>
      <c r="E646" s="100">
        <f>3160.1/1.08-0.01</f>
        <v>2926.01</v>
      </c>
    </row>
    <row r="647" spans="1:5" s="539" customFormat="1" hidden="1" outlineLevel="3" x14ac:dyDescent="0.25">
      <c r="A647" s="363" t="s">
        <v>1983</v>
      </c>
      <c r="B647" s="381" t="s">
        <v>1192</v>
      </c>
      <c r="C647" s="381" t="s">
        <v>1148</v>
      </c>
      <c r="D647" s="100" t="s">
        <v>377</v>
      </c>
      <c r="E647" s="100">
        <f>351/1.08</f>
        <v>325</v>
      </c>
    </row>
    <row r="648" spans="1:5" s="539" customFormat="1" hidden="1" outlineLevel="3" x14ac:dyDescent="0.25">
      <c r="A648" s="363" t="s">
        <v>1984</v>
      </c>
      <c r="B648" s="381" t="s">
        <v>1193</v>
      </c>
      <c r="C648" s="381" t="s">
        <v>1149</v>
      </c>
      <c r="D648" s="100" t="s">
        <v>377</v>
      </c>
      <c r="E648" s="100">
        <f>216/1.08</f>
        <v>200</v>
      </c>
    </row>
    <row r="649" spans="1:5" s="539" customFormat="1" hidden="1" outlineLevel="3" x14ac:dyDescent="0.25">
      <c r="A649" s="363" t="s">
        <v>1985</v>
      </c>
      <c r="B649" s="381" t="s">
        <v>1194</v>
      </c>
      <c r="C649" s="381" t="s">
        <v>1151</v>
      </c>
      <c r="D649" s="100" t="s">
        <v>377</v>
      </c>
      <c r="E649" s="100">
        <v>200</v>
      </c>
    </row>
    <row r="650" spans="1:5" s="539" customFormat="1" ht="31.5" hidden="1" outlineLevel="3" x14ac:dyDescent="0.25">
      <c r="A650" s="363" t="s">
        <v>1986</v>
      </c>
      <c r="B650" s="381" t="s">
        <v>1195</v>
      </c>
      <c r="C650" s="381" t="s">
        <v>1152</v>
      </c>
      <c r="D650" s="100" t="s">
        <v>377</v>
      </c>
      <c r="E650" s="100">
        <f>540/1.08</f>
        <v>500</v>
      </c>
    </row>
    <row r="651" spans="1:5" s="539" customFormat="1" ht="31.5" hidden="1" outlineLevel="3" x14ac:dyDescent="0.25">
      <c r="A651" s="363" t="s">
        <v>1987</v>
      </c>
      <c r="B651" s="381" t="s">
        <v>1196</v>
      </c>
      <c r="C651" s="381" t="s">
        <v>1153</v>
      </c>
      <c r="D651" s="100" t="s">
        <v>377</v>
      </c>
      <c r="E651" s="100">
        <f>54/1.08</f>
        <v>50</v>
      </c>
    </row>
    <row r="652" spans="1:5" s="539" customFormat="1" hidden="1" outlineLevel="2" collapsed="1" x14ac:dyDescent="0.25">
      <c r="A652" s="363" t="s">
        <v>2150</v>
      </c>
      <c r="B652" s="381" t="s">
        <v>174</v>
      </c>
      <c r="C652" s="381" t="s">
        <v>1922</v>
      </c>
      <c r="D652" s="100" t="s">
        <v>292</v>
      </c>
      <c r="E652" s="149">
        <v>1</v>
      </c>
    </row>
    <row r="653" spans="1:5" s="539" customFormat="1" ht="31.5" hidden="1" outlineLevel="3" x14ac:dyDescent="0.25">
      <c r="A653" s="363" t="s">
        <v>2806</v>
      </c>
      <c r="B653" s="381" t="s">
        <v>1205</v>
      </c>
      <c r="C653" s="381" t="s">
        <v>1204</v>
      </c>
      <c r="D653" s="100" t="s">
        <v>408</v>
      </c>
      <c r="E653" s="149">
        <v>1</v>
      </c>
    </row>
    <row r="654" spans="1:5" s="539" customFormat="1" ht="31.5" hidden="1" outlineLevel="3" x14ac:dyDescent="0.25">
      <c r="A654" s="363" t="s">
        <v>2807</v>
      </c>
      <c r="B654" s="381" t="s">
        <v>1207</v>
      </c>
      <c r="C654" s="381" t="s">
        <v>1206</v>
      </c>
      <c r="D654" s="100" t="s">
        <v>408</v>
      </c>
      <c r="E654" s="149">
        <v>1</v>
      </c>
    </row>
    <row r="655" spans="1:5" s="539" customFormat="1" hidden="1" outlineLevel="3" x14ac:dyDescent="0.25">
      <c r="A655" s="363" t="s">
        <v>2808</v>
      </c>
      <c r="B655" s="381" t="s">
        <v>1209</v>
      </c>
      <c r="C655" s="381" t="s">
        <v>1208</v>
      </c>
      <c r="D655" s="100" t="s">
        <v>292</v>
      </c>
      <c r="E655" s="149">
        <v>1</v>
      </c>
    </row>
    <row r="656" spans="1:5" s="539" customFormat="1" hidden="1" outlineLevel="3" x14ac:dyDescent="0.25">
      <c r="A656" s="363" t="s">
        <v>2809</v>
      </c>
      <c r="B656" s="381" t="s">
        <v>1211</v>
      </c>
      <c r="C656" s="381" t="s">
        <v>1210</v>
      </c>
      <c r="D656" s="100" t="s">
        <v>292</v>
      </c>
      <c r="E656" s="149">
        <v>1</v>
      </c>
    </row>
    <row r="657" spans="1:5" s="539" customFormat="1" hidden="1" outlineLevel="3" x14ac:dyDescent="0.25">
      <c r="A657" s="363" t="s">
        <v>2810</v>
      </c>
      <c r="B657" s="381" t="s">
        <v>1213</v>
      </c>
      <c r="C657" s="381" t="s">
        <v>1212</v>
      </c>
      <c r="D657" s="100" t="s">
        <v>292</v>
      </c>
      <c r="E657" s="149">
        <v>1</v>
      </c>
    </row>
    <row r="658" spans="1:5" s="539" customFormat="1" hidden="1" outlineLevel="2" collapsed="1" x14ac:dyDescent="0.25">
      <c r="A658" s="363" t="s">
        <v>2151</v>
      </c>
      <c r="B658" s="381" t="s">
        <v>176</v>
      </c>
      <c r="C658" s="381" t="s">
        <v>1923</v>
      </c>
      <c r="D658" s="100" t="s">
        <v>292</v>
      </c>
      <c r="E658" s="149">
        <v>1</v>
      </c>
    </row>
    <row r="659" spans="1:5" s="539" customFormat="1" hidden="1" outlineLevel="3" x14ac:dyDescent="0.25">
      <c r="A659" s="363" t="s">
        <v>2811</v>
      </c>
      <c r="B659" s="381" t="s">
        <v>1215</v>
      </c>
      <c r="C659" s="381" t="s">
        <v>1214</v>
      </c>
      <c r="D659" s="100" t="s">
        <v>292</v>
      </c>
      <c r="E659" s="149">
        <v>1</v>
      </c>
    </row>
    <row r="660" spans="1:5" s="539" customFormat="1" hidden="1" outlineLevel="2" collapsed="1" x14ac:dyDescent="0.25">
      <c r="A660" s="363" t="s">
        <v>2152</v>
      </c>
      <c r="B660" s="381" t="s">
        <v>178</v>
      </c>
      <c r="C660" s="381" t="s">
        <v>1924</v>
      </c>
      <c r="D660" s="100" t="s">
        <v>292</v>
      </c>
      <c r="E660" s="149">
        <v>1</v>
      </c>
    </row>
    <row r="661" spans="1:5" s="539" customFormat="1" hidden="1" outlineLevel="3" x14ac:dyDescent="0.25">
      <c r="A661" s="363" t="s">
        <v>2812</v>
      </c>
      <c r="B661" s="381" t="s">
        <v>1217</v>
      </c>
      <c r="C661" s="381" t="s">
        <v>1216</v>
      </c>
      <c r="D661" s="100" t="s">
        <v>292</v>
      </c>
      <c r="E661" s="149">
        <v>1</v>
      </c>
    </row>
    <row r="662" spans="1:5" s="539" customFormat="1" hidden="1" outlineLevel="3" x14ac:dyDescent="0.25">
      <c r="A662" s="363" t="s">
        <v>2813</v>
      </c>
      <c r="B662" s="381" t="s">
        <v>1219</v>
      </c>
      <c r="C662" s="381" t="s">
        <v>1218</v>
      </c>
      <c r="D662" s="100" t="s">
        <v>292</v>
      </c>
      <c r="E662" s="149">
        <v>1</v>
      </c>
    </row>
    <row r="663" spans="1:5" s="539" customFormat="1" ht="31.5" hidden="1" outlineLevel="2" collapsed="1" x14ac:dyDescent="0.25">
      <c r="A663" s="363" t="s">
        <v>2153</v>
      </c>
      <c r="B663" s="381" t="s">
        <v>180</v>
      </c>
      <c r="C663" s="381" t="s">
        <v>1925</v>
      </c>
      <c r="D663" s="100" t="s">
        <v>292</v>
      </c>
      <c r="E663" s="149">
        <v>1</v>
      </c>
    </row>
    <row r="664" spans="1:5" s="539" customFormat="1" hidden="1" outlineLevel="3" x14ac:dyDescent="0.25">
      <c r="A664" s="363" t="s">
        <v>2814</v>
      </c>
      <c r="B664" s="381" t="s">
        <v>1221</v>
      </c>
      <c r="C664" s="381" t="s">
        <v>1220</v>
      </c>
      <c r="D664" s="100" t="s">
        <v>292</v>
      </c>
      <c r="E664" s="100">
        <v>1</v>
      </c>
    </row>
    <row r="665" spans="1:5" s="539" customFormat="1" hidden="1" outlineLevel="3" x14ac:dyDescent="0.25">
      <c r="A665" s="363" t="s">
        <v>2815</v>
      </c>
      <c r="B665" s="381" t="s">
        <v>1223</v>
      </c>
      <c r="C665" s="381" t="s">
        <v>1222</v>
      </c>
      <c r="D665" s="100" t="s">
        <v>292</v>
      </c>
      <c r="E665" s="100">
        <v>1</v>
      </c>
    </row>
    <row r="666" spans="1:5" s="539" customFormat="1" hidden="1" outlineLevel="3" x14ac:dyDescent="0.25">
      <c r="A666" s="363" t="s">
        <v>2816</v>
      </c>
      <c r="B666" s="381" t="s">
        <v>1224</v>
      </c>
      <c r="C666" s="381" t="s">
        <v>1225</v>
      </c>
      <c r="D666" s="100" t="s">
        <v>292</v>
      </c>
      <c r="E666" s="100">
        <v>1</v>
      </c>
    </row>
    <row r="667" spans="1:5" s="539" customFormat="1" hidden="1" outlineLevel="3" x14ac:dyDescent="0.25">
      <c r="A667" s="363" t="s">
        <v>2817</v>
      </c>
      <c r="B667" s="381" t="s">
        <v>1227</v>
      </c>
      <c r="C667" s="381" t="s">
        <v>1226</v>
      </c>
      <c r="D667" s="100" t="s">
        <v>292</v>
      </c>
      <c r="E667" s="100">
        <v>1</v>
      </c>
    </row>
    <row r="668" spans="1:5" s="539" customFormat="1" hidden="1" outlineLevel="3" x14ac:dyDescent="0.25">
      <c r="A668" s="363" t="s">
        <v>2818</v>
      </c>
      <c r="B668" s="381" t="s">
        <v>1229</v>
      </c>
      <c r="C668" s="381" t="s">
        <v>1228</v>
      </c>
      <c r="D668" s="100" t="s">
        <v>292</v>
      </c>
      <c r="E668" s="100">
        <v>1</v>
      </c>
    </row>
    <row r="669" spans="1:5" s="539" customFormat="1" hidden="1" outlineLevel="3" x14ac:dyDescent="0.25">
      <c r="A669" s="363" t="s">
        <v>2819</v>
      </c>
      <c r="B669" s="381" t="s">
        <v>1231</v>
      </c>
      <c r="C669" s="381" t="s">
        <v>1230</v>
      </c>
      <c r="D669" s="100" t="s">
        <v>292</v>
      </c>
      <c r="E669" s="100">
        <v>1</v>
      </c>
    </row>
    <row r="670" spans="1:5" s="539" customFormat="1" hidden="1" outlineLevel="3" x14ac:dyDescent="0.25">
      <c r="A670" s="363" t="s">
        <v>2820</v>
      </c>
      <c r="B670" s="381" t="s">
        <v>1233</v>
      </c>
      <c r="C670" s="381" t="s">
        <v>1232</v>
      </c>
      <c r="D670" s="100" t="s">
        <v>292</v>
      </c>
      <c r="E670" s="100">
        <v>1</v>
      </c>
    </row>
    <row r="671" spans="1:5" s="539" customFormat="1" hidden="1" outlineLevel="3" x14ac:dyDescent="0.25">
      <c r="A671" s="363" t="s">
        <v>2821</v>
      </c>
      <c r="B671" s="381" t="s">
        <v>1235</v>
      </c>
      <c r="C671" s="381" t="s">
        <v>1234</v>
      </c>
      <c r="D671" s="100" t="s">
        <v>292</v>
      </c>
      <c r="E671" s="100">
        <v>1</v>
      </c>
    </row>
    <row r="672" spans="1:5" s="539" customFormat="1" hidden="1" outlineLevel="3" x14ac:dyDescent="0.25">
      <c r="A672" s="363" t="s">
        <v>2822</v>
      </c>
      <c r="B672" s="381" t="s">
        <v>1237</v>
      </c>
      <c r="C672" s="381" t="s">
        <v>1236</v>
      </c>
      <c r="D672" s="100" t="s">
        <v>292</v>
      </c>
      <c r="E672" s="100">
        <v>1</v>
      </c>
    </row>
    <row r="673" spans="1:5" s="539" customFormat="1" hidden="1" outlineLevel="3" x14ac:dyDescent="0.25">
      <c r="A673" s="363" t="s">
        <v>2823</v>
      </c>
      <c r="B673" s="381" t="s">
        <v>1239</v>
      </c>
      <c r="C673" s="381" t="s">
        <v>1238</v>
      </c>
      <c r="D673" s="100" t="s">
        <v>292</v>
      </c>
      <c r="E673" s="100">
        <v>1</v>
      </c>
    </row>
    <row r="674" spans="1:5" s="539" customFormat="1" hidden="1" outlineLevel="3" x14ac:dyDescent="0.25">
      <c r="A674" s="363" t="s">
        <v>2824</v>
      </c>
      <c r="B674" s="381" t="s">
        <v>1241</v>
      </c>
      <c r="C674" s="381" t="s">
        <v>1240</v>
      </c>
      <c r="D674" s="100" t="s">
        <v>292</v>
      </c>
      <c r="E674" s="100">
        <v>1</v>
      </c>
    </row>
    <row r="675" spans="1:5" s="539" customFormat="1" hidden="1" outlineLevel="3" x14ac:dyDescent="0.25">
      <c r="A675" s="363" t="s">
        <v>2825</v>
      </c>
      <c r="B675" s="381" t="s">
        <v>1243</v>
      </c>
      <c r="C675" s="381" t="s">
        <v>1242</v>
      </c>
      <c r="D675" s="100" t="s">
        <v>292</v>
      </c>
      <c r="E675" s="100">
        <v>1</v>
      </c>
    </row>
    <row r="676" spans="1:5" s="539" customFormat="1" hidden="1" outlineLevel="3" x14ac:dyDescent="0.25">
      <c r="A676" s="363" t="s">
        <v>2826</v>
      </c>
      <c r="B676" s="381" t="s">
        <v>1245</v>
      </c>
      <c r="C676" s="381" t="s">
        <v>1244</v>
      </c>
      <c r="D676" s="100" t="s">
        <v>292</v>
      </c>
      <c r="E676" s="100">
        <v>1</v>
      </c>
    </row>
    <row r="677" spans="1:5" s="539" customFormat="1" hidden="1" outlineLevel="3" x14ac:dyDescent="0.25">
      <c r="A677" s="363" t="s">
        <v>2827</v>
      </c>
      <c r="B677" s="381" t="s">
        <v>1247</v>
      </c>
      <c r="C677" s="381" t="s">
        <v>1246</v>
      </c>
      <c r="D677" s="100" t="s">
        <v>292</v>
      </c>
      <c r="E677" s="100">
        <v>1</v>
      </c>
    </row>
    <row r="678" spans="1:5" s="539" customFormat="1" hidden="1" outlineLevel="3" x14ac:dyDescent="0.25">
      <c r="A678" s="363" t="s">
        <v>2828</v>
      </c>
      <c r="B678" s="381" t="s">
        <v>1249</v>
      </c>
      <c r="C678" s="381" t="s">
        <v>1248</v>
      </c>
      <c r="D678" s="100" t="s">
        <v>292</v>
      </c>
      <c r="E678" s="100">
        <v>1</v>
      </c>
    </row>
    <row r="679" spans="1:5" s="539" customFormat="1" hidden="1" outlineLevel="3" x14ac:dyDescent="0.25">
      <c r="A679" s="363" t="s">
        <v>2829</v>
      </c>
      <c r="B679" s="381" t="s">
        <v>1251</v>
      </c>
      <c r="C679" s="381" t="s">
        <v>1250</v>
      </c>
      <c r="D679" s="100" t="s">
        <v>292</v>
      </c>
      <c r="E679" s="100">
        <v>1</v>
      </c>
    </row>
    <row r="680" spans="1:5" s="539" customFormat="1" hidden="1" outlineLevel="3" x14ac:dyDescent="0.25">
      <c r="A680" s="363" t="s">
        <v>2830</v>
      </c>
      <c r="B680" s="381" t="s">
        <v>1253</v>
      </c>
      <c r="C680" s="381" t="s">
        <v>1252</v>
      </c>
      <c r="D680" s="100" t="s">
        <v>292</v>
      </c>
      <c r="E680" s="100">
        <v>1</v>
      </c>
    </row>
    <row r="681" spans="1:5" s="539" customFormat="1" hidden="1" outlineLevel="3" x14ac:dyDescent="0.25">
      <c r="A681" s="363" t="s">
        <v>2831</v>
      </c>
      <c r="B681" s="381" t="s">
        <v>1255</v>
      </c>
      <c r="C681" s="381" t="s">
        <v>1254</v>
      </c>
      <c r="D681" s="100" t="s">
        <v>292</v>
      </c>
      <c r="E681" s="100">
        <v>1</v>
      </c>
    </row>
    <row r="682" spans="1:5" s="539" customFormat="1" hidden="1" outlineLevel="3" x14ac:dyDescent="0.25">
      <c r="A682" s="363" t="s">
        <v>2832</v>
      </c>
      <c r="B682" s="381" t="s">
        <v>1257</v>
      </c>
      <c r="C682" s="381" t="s">
        <v>1256</v>
      </c>
      <c r="D682" s="100" t="s">
        <v>292</v>
      </c>
      <c r="E682" s="100">
        <v>1</v>
      </c>
    </row>
    <row r="683" spans="1:5" s="539" customFormat="1" hidden="1" outlineLevel="3" x14ac:dyDescent="0.25">
      <c r="A683" s="363" t="s">
        <v>2833</v>
      </c>
      <c r="B683" s="381" t="s">
        <v>1259</v>
      </c>
      <c r="C683" s="381" t="s">
        <v>1258</v>
      </c>
      <c r="D683" s="100" t="s">
        <v>292</v>
      </c>
      <c r="E683" s="100">
        <v>1</v>
      </c>
    </row>
    <row r="684" spans="1:5" s="539" customFormat="1" hidden="1" outlineLevel="3" x14ac:dyDescent="0.25">
      <c r="A684" s="363" t="s">
        <v>2834</v>
      </c>
      <c r="B684" s="381" t="s">
        <v>1261</v>
      </c>
      <c r="C684" s="381" t="s">
        <v>1260</v>
      </c>
      <c r="D684" s="100" t="s">
        <v>292</v>
      </c>
      <c r="E684" s="100">
        <v>1</v>
      </c>
    </row>
    <row r="685" spans="1:5" s="539" customFormat="1" hidden="1" outlineLevel="3" x14ac:dyDescent="0.25">
      <c r="A685" s="363" t="s">
        <v>2835</v>
      </c>
      <c r="B685" s="381" t="s">
        <v>1263</v>
      </c>
      <c r="C685" s="381" t="s">
        <v>1262</v>
      </c>
      <c r="D685" s="100" t="s">
        <v>292</v>
      </c>
      <c r="E685" s="100">
        <v>1</v>
      </c>
    </row>
    <row r="686" spans="1:5" s="539" customFormat="1" hidden="1" outlineLevel="3" x14ac:dyDescent="0.25">
      <c r="A686" s="363" t="s">
        <v>2836</v>
      </c>
      <c r="B686" s="381" t="s">
        <v>1265</v>
      </c>
      <c r="C686" s="381" t="s">
        <v>1264</v>
      </c>
      <c r="D686" s="100" t="s">
        <v>292</v>
      </c>
      <c r="E686" s="100">
        <v>1</v>
      </c>
    </row>
    <row r="687" spans="1:5" s="539" customFormat="1" hidden="1" outlineLevel="3" x14ac:dyDescent="0.25">
      <c r="A687" s="363" t="s">
        <v>2837</v>
      </c>
      <c r="B687" s="381" t="s">
        <v>1267</v>
      </c>
      <c r="C687" s="381" t="s">
        <v>1266</v>
      </c>
      <c r="D687" s="100" t="s">
        <v>292</v>
      </c>
      <c r="E687" s="100">
        <v>1</v>
      </c>
    </row>
    <row r="688" spans="1:5" s="539" customFormat="1" hidden="1" outlineLevel="3" x14ac:dyDescent="0.25">
      <c r="A688" s="363" t="s">
        <v>2838</v>
      </c>
      <c r="B688" s="381" t="s">
        <v>1269</v>
      </c>
      <c r="C688" s="381" t="s">
        <v>1268</v>
      </c>
      <c r="D688" s="100" t="s">
        <v>292</v>
      </c>
      <c r="E688" s="100">
        <v>1</v>
      </c>
    </row>
    <row r="689" spans="1:5" s="539" customFormat="1" hidden="1" outlineLevel="3" x14ac:dyDescent="0.25">
      <c r="A689" s="363" t="s">
        <v>2839</v>
      </c>
      <c r="B689" s="381" t="s">
        <v>1271</v>
      </c>
      <c r="C689" s="381" t="s">
        <v>1270</v>
      </c>
      <c r="D689" s="100" t="s">
        <v>292</v>
      </c>
      <c r="E689" s="100">
        <v>1</v>
      </c>
    </row>
    <row r="690" spans="1:5" s="539" customFormat="1" hidden="1" outlineLevel="3" x14ac:dyDescent="0.25">
      <c r="A690" s="363" t="s">
        <v>2840</v>
      </c>
      <c r="B690" s="381" t="s">
        <v>1273</v>
      </c>
      <c r="C690" s="381" t="s">
        <v>1272</v>
      </c>
      <c r="D690" s="100" t="s">
        <v>292</v>
      </c>
      <c r="E690" s="100">
        <v>1</v>
      </c>
    </row>
    <row r="691" spans="1:5" s="539" customFormat="1" hidden="1" outlineLevel="3" x14ac:dyDescent="0.25">
      <c r="A691" s="363" t="s">
        <v>2841</v>
      </c>
      <c r="B691" s="381" t="s">
        <v>1275</v>
      </c>
      <c r="C691" s="381" t="s">
        <v>1274</v>
      </c>
      <c r="D691" s="100" t="s">
        <v>292</v>
      </c>
      <c r="E691" s="100">
        <v>1</v>
      </c>
    </row>
    <row r="692" spans="1:5" s="539" customFormat="1" hidden="1" outlineLevel="3" x14ac:dyDescent="0.25">
      <c r="A692" s="363" t="s">
        <v>2842</v>
      </c>
      <c r="B692" s="381" t="s">
        <v>1277</v>
      </c>
      <c r="C692" s="381" t="s">
        <v>1276</v>
      </c>
      <c r="D692" s="100" t="s">
        <v>292</v>
      </c>
      <c r="E692" s="100">
        <v>1</v>
      </c>
    </row>
    <row r="693" spans="1:5" s="539" customFormat="1" hidden="1" outlineLevel="3" x14ac:dyDescent="0.25">
      <c r="A693" s="363" t="s">
        <v>2843</v>
      </c>
      <c r="B693" s="381" t="s">
        <v>1279</v>
      </c>
      <c r="C693" s="381" t="s">
        <v>1278</v>
      </c>
      <c r="D693" s="100" t="s">
        <v>292</v>
      </c>
      <c r="E693" s="100">
        <v>1</v>
      </c>
    </row>
    <row r="694" spans="1:5" s="539" customFormat="1" hidden="1" outlineLevel="3" x14ac:dyDescent="0.25">
      <c r="A694" s="363" t="s">
        <v>2844</v>
      </c>
      <c r="B694" s="381" t="s">
        <v>1281</v>
      </c>
      <c r="C694" s="381" t="s">
        <v>1280</v>
      </c>
      <c r="D694" s="100" t="s">
        <v>292</v>
      </c>
      <c r="E694" s="100">
        <v>1</v>
      </c>
    </row>
    <row r="695" spans="1:5" s="539" customFormat="1" hidden="1" outlineLevel="3" x14ac:dyDescent="0.25">
      <c r="A695" s="363" t="s">
        <v>2845</v>
      </c>
      <c r="B695" s="381" t="s">
        <v>1283</v>
      </c>
      <c r="C695" s="381" t="s">
        <v>1282</v>
      </c>
      <c r="D695" s="100" t="s">
        <v>292</v>
      </c>
      <c r="E695" s="100">
        <v>1</v>
      </c>
    </row>
    <row r="696" spans="1:5" s="539" customFormat="1" hidden="1" outlineLevel="3" x14ac:dyDescent="0.25">
      <c r="A696" s="363" t="s">
        <v>2846</v>
      </c>
      <c r="B696" s="381" t="s">
        <v>1285</v>
      </c>
      <c r="C696" s="381" t="s">
        <v>1284</v>
      </c>
      <c r="D696" s="100" t="s">
        <v>292</v>
      </c>
      <c r="E696" s="100">
        <v>1</v>
      </c>
    </row>
    <row r="697" spans="1:5" s="539" customFormat="1" hidden="1" outlineLevel="3" x14ac:dyDescent="0.25">
      <c r="A697" s="363" t="s">
        <v>2847</v>
      </c>
      <c r="B697" s="381" t="s">
        <v>1287</v>
      </c>
      <c r="C697" s="381" t="s">
        <v>1286</v>
      </c>
      <c r="D697" s="100" t="s">
        <v>292</v>
      </c>
      <c r="E697" s="100">
        <v>1</v>
      </c>
    </row>
    <row r="698" spans="1:5" s="539" customFormat="1" hidden="1" outlineLevel="3" x14ac:dyDescent="0.25">
      <c r="A698" s="363" t="s">
        <v>2848</v>
      </c>
      <c r="B698" s="381" t="s">
        <v>1289</v>
      </c>
      <c r="C698" s="381" t="s">
        <v>1288</v>
      </c>
      <c r="D698" s="100" t="s">
        <v>292</v>
      </c>
      <c r="E698" s="100">
        <v>1</v>
      </c>
    </row>
    <row r="699" spans="1:5" s="539" customFormat="1" hidden="1" outlineLevel="3" x14ac:dyDescent="0.25">
      <c r="A699" s="363" t="s">
        <v>2849</v>
      </c>
      <c r="B699" s="381" t="s">
        <v>1291</v>
      </c>
      <c r="C699" s="381" t="s">
        <v>1290</v>
      </c>
      <c r="D699" s="100" t="s">
        <v>292</v>
      </c>
      <c r="E699" s="100">
        <v>1</v>
      </c>
    </row>
    <row r="700" spans="1:5" s="539" customFormat="1" hidden="1" outlineLevel="2" x14ac:dyDescent="0.25">
      <c r="A700" s="363" t="s">
        <v>2154</v>
      </c>
      <c r="B700" s="381" t="s">
        <v>182</v>
      </c>
      <c r="C700" s="381" t="s">
        <v>1926</v>
      </c>
      <c r="D700" s="100" t="s">
        <v>292</v>
      </c>
      <c r="E700" s="149">
        <v>1</v>
      </c>
    </row>
    <row r="701" spans="1:5" s="539" customFormat="1" ht="31.5" hidden="1" outlineLevel="2" collapsed="1" x14ac:dyDescent="0.25">
      <c r="A701" s="363" t="s">
        <v>2155</v>
      </c>
      <c r="B701" s="381" t="s">
        <v>186</v>
      </c>
      <c r="C701" s="381" t="s">
        <v>1927</v>
      </c>
      <c r="D701" s="100" t="s">
        <v>292</v>
      </c>
      <c r="E701" s="149">
        <v>1</v>
      </c>
    </row>
    <row r="702" spans="1:5" s="539" customFormat="1" hidden="1" outlineLevel="3" x14ac:dyDescent="0.25">
      <c r="A702" s="363" t="s">
        <v>2850</v>
      </c>
      <c r="B702" s="381" t="s">
        <v>1298</v>
      </c>
      <c r="C702" s="381" t="s">
        <v>1297</v>
      </c>
      <c r="D702" s="100" t="s">
        <v>292</v>
      </c>
      <c r="E702" s="149">
        <v>1</v>
      </c>
    </row>
    <row r="703" spans="1:5" s="539" customFormat="1" hidden="1" outlineLevel="3" x14ac:dyDescent="0.25">
      <c r="A703" s="363" t="s">
        <v>2851</v>
      </c>
      <c r="B703" s="381" t="s">
        <v>1300</v>
      </c>
      <c r="C703" s="381" t="s">
        <v>1299</v>
      </c>
      <c r="D703" s="100" t="s">
        <v>292</v>
      </c>
      <c r="E703" s="149">
        <v>1</v>
      </c>
    </row>
    <row r="704" spans="1:5" s="539" customFormat="1" hidden="1" outlineLevel="3" x14ac:dyDescent="0.25">
      <c r="A704" s="363" t="s">
        <v>2852</v>
      </c>
      <c r="B704" s="381" t="s">
        <v>1302</v>
      </c>
      <c r="C704" s="381" t="s">
        <v>1301</v>
      </c>
      <c r="D704" s="100" t="s">
        <v>292</v>
      </c>
      <c r="E704" s="149">
        <v>1</v>
      </c>
    </row>
    <row r="705" spans="1:5" s="539" customFormat="1" hidden="1" outlineLevel="3" x14ac:dyDescent="0.25">
      <c r="A705" s="363" t="s">
        <v>2853</v>
      </c>
      <c r="B705" s="381" t="s">
        <v>1304</v>
      </c>
      <c r="C705" s="381" t="s">
        <v>1303</v>
      </c>
      <c r="D705" s="100" t="s">
        <v>292</v>
      </c>
      <c r="E705" s="149">
        <v>1</v>
      </c>
    </row>
    <row r="706" spans="1:5" s="544" customFormat="1" outlineLevel="1" collapsed="1" x14ac:dyDescent="0.25">
      <c r="A706" s="132" t="s">
        <v>2854</v>
      </c>
      <c r="B706" s="320"/>
      <c r="C706" s="133" t="s">
        <v>2376</v>
      </c>
      <c r="D706" s="134" t="s">
        <v>292</v>
      </c>
      <c r="E706" s="90">
        <v>1</v>
      </c>
    </row>
    <row r="707" spans="1:5" s="539" customFormat="1" hidden="1" outlineLevel="2" x14ac:dyDescent="0.25">
      <c r="A707" s="363"/>
      <c r="B707" s="381"/>
      <c r="C707" s="381" t="s">
        <v>866</v>
      </c>
      <c r="D707" s="100"/>
      <c r="E707" s="168"/>
    </row>
    <row r="708" spans="1:5" s="539" customFormat="1" hidden="1" outlineLevel="2" x14ac:dyDescent="0.25">
      <c r="A708" s="363"/>
      <c r="B708" s="381"/>
      <c r="C708" s="390" t="s">
        <v>870</v>
      </c>
      <c r="D708" s="100"/>
      <c r="E708" s="168"/>
    </row>
    <row r="709" spans="1:5" s="539" customFormat="1" ht="31.5" hidden="1" outlineLevel="2" x14ac:dyDescent="0.25">
      <c r="A709" s="363" t="s">
        <v>2855</v>
      </c>
      <c r="B709" s="381" t="s">
        <v>867</v>
      </c>
      <c r="C709" s="381" t="s">
        <v>865</v>
      </c>
      <c r="D709" s="100" t="s">
        <v>377</v>
      </c>
      <c r="E709" s="168">
        <f>147.8</f>
        <v>147.80000000000001</v>
      </c>
    </row>
    <row r="710" spans="1:5" s="539" customFormat="1" ht="31.5" hidden="1" outlineLevel="2" x14ac:dyDescent="0.25">
      <c r="A710" s="363" t="s">
        <v>2856</v>
      </c>
      <c r="B710" s="381" t="s">
        <v>400</v>
      </c>
      <c r="C710" s="381" t="s">
        <v>868</v>
      </c>
      <c r="D710" s="100" t="s">
        <v>404</v>
      </c>
      <c r="E710" s="168">
        <v>1360</v>
      </c>
    </row>
    <row r="711" spans="1:5" s="539" customFormat="1" ht="94.5" hidden="1" outlineLevel="2" x14ac:dyDescent="0.25">
      <c r="A711" s="363" t="s">
        <v>2857</v>
      </c>
      <c r="B711" s="381" t="s">
        <v>869</v>
      </c>
      <c r="C711" s="381" t="s">
        <v>871</v>
      </c>
      <c r="D711" s="100" t="s">
        <v>404</v>
      </c>
      <c r="E711" s="168">
        <v>57.1</v>
      </c>
    </row>
    <row r="712" spans="1:5" s="539" customFormat="1" hidden="1" outlineLevel="2" x14ac:dyDescent="0.25">
      <c r="A712" s="363"/>
      <c r="B712" s="381"/>
      <c r="C712" s="390" t="s">
        <v>872</v>
      </c>
      <c r="D712" s="100"/>
      <c r="E712" s="168"/>
    </row>
    <row r="713" spans="1:5" s="539" customFormat="1" hidden="1" outlineLevel="2" x14ac:dyDescent="0.25">
      <c r="A713" s="363" t="s">
        <v>2858</v>
      </c>
      <c r="B713" s="381" t="s">
        <v>874</v>
      </c>
      <c r="C713" s="381" t="s">
        <v>873</v>
      </c>
      <c r="D713" s="100" t="s">
        <v>404</v>
      </c>
      <c r="E713" s="168">
        <v>1034.3</v>
      </c>
    </row>
    <row r="714" spans="1:5" s="539" customFormat="1" ht="63" hidden="1" outlineLevel="2" x14ac:dyDescent="0.25">
      <c r="A714" s="363" t="s">
        <v>2859</v>
      </c>
      <c r="B714" s="381" t="s">
        <v>876</v>
      </c>
      <c r="C714" s="381" t="s">
        <v>875</v>
      </c>
      <c r="D714" s="100" t="s">
        <v>404</v>
      </c>
      <c r="E714" s="168">
        <v>957.9</v>
      </c>
    </row>
    <row r="715" spans="1:5" s="539" customFormat="1" ht="63" hidden="1" outlineLevel="2" x14ac:dyDescent="0.25">
      <c r="A715" s="363" t="s">
        <v>2860</v>
      </c>
      <c r="B715" s="381" t="s">
        <v>878</v>
      </c>
      <c r="C715" s="381" t="s">
        <v>877</v>
      </c>
      <c r="D715" s="100" t="s">
        <v>404</v>
      </c>
      <c r="E715" s="168">
        <v>24.5</v>
      </c>
    </row>
    <row r="716" spans="1:5" s="539" customFormat="1" ht="31.5" hidden="1" outlineLevel="2" x14ac:dyDescent="0.25">
      <c r="A716" s="363" t="s">
        <v>2861</v>
      </c>
      <c r="B716" s="381" t="s">
        <v>880</v>
      </c>
      <c r="C716" s="381" t="s">
        <v>879</v>
      </c>
      <c r="D716" s="100" t="s">
        <v>404</v>
      </c>
      <c r="E716" s="100">
        <f>18.51</f>
        <v>18.510000000000002</v>
      </c>
    </row>
    <row r="717" spans="1:5" s="539" customFormat="1" ht="47.25" hidden="1" outlineLevel="2" x14ac:dyDescent="0.25">
      <c r="A717" s="363" t="s">
        <v>2862</v>
      </c>
      <c r="B717" s="381" t="s">
        <v>882</v>
      </c>
      <c r="C717" s="381" t="s">
        <v>881</v>
      </c>
      <c r="D717" s="100" t="s">
        <v>404</v>
      </c>
      <c r="E717" s="100">
        <f>2.56</f>
        <v>2.56</v>
      </c>
    </row>
    <row r="718" spans="1:5" s="539" customFormat="1" hidden="1" outlineLevel="2" x14ac:dyDescent="0.25">
      <c r="A718" s="363" t="s">
        <v>2863</v>
      </c>
      <c r="B718" s="381" t="s">
        <v>884</v>
      </c>
      <c r="C718" s="381" t="s">
        <v>883</v>
      </c>
      <c r="D718" s="100" t="s">
        <v>404</v>
      </c>
      <c r="E718" s="100">
        <f>116.13</f>
        <v>116.13</v>
      </c>
    </row>
    <row r="719" spans="1:5" s="539" customFormat="1" hidden="1" outlineLevel="2" x14ac:dyDescent="0.25">
      <c r="A719" s="363"/>
      <c r="B719" s="381"/>
      <c r="C719" s="390" t="s">
        <v>885</v>
      </c>
      <c r="D719" s="100"/>
      <c r="E719" s="168"/>
    </row>
    <row r="720" spans="1:5" s="539" customFormat="1" hidden="1" outlineLevel="2" x14ac:dyDescent="0.25">
      <c r="A720" s="363"/>
      <c r="B720" s="381"/>
      <c r="C720" s="381" t="s">
        <v>886</v>
      </c>
      <c r="D720" s="100"/>
      <c r="E720" s="168"/>
    </row>
    <row r="721" spans="1:5" s="539" customFormat="1" hidden="1" outlineLevel="2" x14ac:dyDescent="0.25">
      <c r="A721" s="363" t="s">
        <v>2864</v>
      </c>
      <c r="B721" s="381" t="s">
        <v>888</v>
      </c>
      <c r="C721" s="381" t="s">
        <v>887</v>
      </c>
      <c r="D721" s="100" t="s">
        <v>404</v>
      </c>
      <c r="E721" s="168">
        <f>196.4</f>
        <v>196.4</v>
      </c>
    </row>
    <row r="722" spans="1:5" s="539" customFormat="1" hidden="1" outlineLevel="2" x14ac:dyDescent="0.25">
      <c r="A722" s="363" t="s">
        <v>2865</v>
      </c>
      <c r="B722" s="381" t="s">
        <v>889</v>
      </c>
      <c r="C722" s="381" t="s">
        <v>890</v>
      </c>
      <c r="D722" s="100" t="s">
        <v>377</v>
      </c>
      <c r="E722" s="168">
        <f>91.2</f>
        <v>91.2</v>
      </c>
    </row>
    <row r="723" spans="1:5" s="539" customFormat="1" ht="47.25" hidden="1" outlineLevel="2" x14ac:dyDescent="0.25">
      <c r="A723" s="363" t="s">
        <v>2866</v>
      </c>
      <c r="B723" s="381" t="s">
        <v>892</v>
      </c>
      <c r="C723" s="381" t="s">
        <v>891</v>
      </c>
      <c r="D723" s="100" t="s">
        <v>404</v>
      </c>
      <c r="E723" s="168">
        <f>57.4</f>
        <v>57.4</v>
      </c>
    </row>
    <row r="724" spans="1:5" s="539" customFormat="1" hidden="1" outlineLevel="2" x14ac:dyDescent="0.25">
      <c r="A724" s="363"/>
      <c r="B724" s="381"/>
      <c r="C724" s="390" t="s">
        <v>465</v>
      </c>
      <c r="D724" s="100"/>
      <c r="E724" s="168"/>
    </row>
    <row r="725" spans="1:5" s="539" customFormat="1" hidden="1" outlineLevel="2" x14ac:dyDescent="0.25">
      <c r="A725" s="363" t="s">
        <v>2867</v>
      </c>
      <c r="B725" s="381" t="s">
        <v>894</v>
      </c>
      <c r="C725" s="381" t="s">
        <v>893</v>
      </c>
      <c r="D725" s="100" t="s">
        <v>300</v>
      </c>
      <c r="E725" s="100">
        <f>938.53</f>
        <v>938.53</v>
      </c>
    </row>
    <row r="726" spans="1:5" s="539" customFormat="1" hidden="1" outlineLevel="2" x14ac:dyDescent="0.25">
      <c r="A726" s="363" t="s">
        <v>2868</v>
      </c>
      <c r="B726" s="381" t="s">
        <v>896</v>
      </c>
      <c r="C726" s="381" t="s">
        <v>895</v>
      </c>
      <c r="D726" s="100" t="s">
        <v>404</v>
      </c>
      <c r="E726" s="145">
        <f>107.894</f>
        <v>107.89400000000001</v>
      </c>
    </row>
    <row r="727" spans="1:5" s="539" customFormat="1" hidden="1" outlineLevel="2" x14ac:dyDescent="0.25">
      <c r="A727" s="363" t="s">
        <v>2869</v>
      </c>
      <c r="B727" s="381" t="s">
        <v>898</v>
      </c>
      <c r="C727" s="381" t="s">
        <v>897</v>
      </c>
      <c r="D727" s="100" t="s">
        <v>300</v>
      </c>
      <c r="E727" s="168">
        <f>11.7</f>
        <v>11.7</v>
      </c>
    </row>
    <row r="728" spans="1:5" s="539" customFormat="1" hidden="1" outlineLevel="2" x14ac:dyDescent="0.25">
      <c r="A728" s="363"/>
      <c r="B728" s="381"/>
      <c r="C728" s="390" t="s">
        <v>414</v>
      </c>
      <c r="D728" s="100"/>
      <c r="E728" s="168"/>
    </row>
    <row r="729" spans="1:5" s="539" customFormat="1" ht="126" hidden="1" outlineLevel="2" x14ac:dyDescent="0.25">
      <c r="A729" s="363" t="s">
        <v>2870</v>
      </c>
      <c r="B729" s="381" t="s">
        <v>899</v>
      </c>
      <c r="C729" s="381" t="s">
        <v>2411</v>
      </c>
      <c r="D729" s="100" t="s">
        <v>404</v>
      </c>
      <c r="E729" s="168">
        <v>428</v>
      </c>
    </row>
    <row r="730" spans="1:5" s="539" customFormat="1" ht="94.5" hidden="1" outlineLevel="2" x14ac:dyDescent="0.25">
      <c r="A730" s="363" t="s">
        <v>2871</v>
      </c>
      <c r="B730" s="381" t="s">
        <v>902</v>
      </c>
      <c r="C730" s="381" t="s">
        <v>2412</v>
      </c>
      <c r="D730" s="100" t="s">
        <v>404</v>
      </c>
      <c r="E730" s="168">
        <f>988.1</f>
        <v>988.1</v>
      </c>
    </row>
    <row r="731" spans="1:5" s="539" customFormat="1" ht="63" hidden="1" outlineLevel="2" x14ac:dyDescent="0.25">
      <c r="A731" s="363" t="s">
        <v>2872</v>
      </c>
      <c r="B731" s="381" t="s">
        <v>903</v>
      </c>
      <c r="C731" s="381" t="s">
        <v>2413</v>
      </c>
      <c r="D731" s="100" t="s">
        <v>404</v>
      </c>
      <c r="E731" s="168">
        <f>33.2</f>
        <v>33.200000000000003</v>
      </c>
    </row>
    <row r="732" spans="1:5" s="539" customFormat="1" hidden="1" outlineLevel="2" x14ac:dyDescent="0.25">
      <c r="A732" s="363" t="s">
        <v>2873</v>
      </c>
      <c r="B732" s="381" t="s">
        <v>906</v>
      </c>
      <c r="C732" s="381" t="s">
        <v>905</v>
      </c>
      <c r="D732" s="100" t="s">
        <v>377</v>
      </c>
      <c r="E732" s="168">
        <f>147</f>
        <v>147</v>
      </c>
    </row>
    <row r="733" spans="1:5" s="539" customFormat="1" ht="31.5" hidden="1" outlineLevel="2" x14ac:dyDescent="0.25">
      <c r="A733" s="363" t="s">
        <v>2874</v>
      </c>
      <c r="B733" s="381" t="s">
        <v>907</v>
      </c>
      <c r="C733" s="381" t="s">
        <v>908</v>
      </c>
      <c r="D733" s="100" t="s">
        <v>408</v>
      </c>
      <c r="E733" s="168">
        <v>1</v>
      </c>
    </row>
    <row r="734" spans="1:5" s="539" customFormat="1" hidden="1" outlineLevel="2" x14ac:dyDescent="0.25">
      <c r="A734" s="363" t="s">
        <v>2875</v>
      </c>
      <c r="B734" s="381" t="s">
        <v>910</v>
      </c>
      <c r="C734" s="381" t="s">
        <v>909</v>
      </c>
      <c r="D734" s="100" t="s">
        <v>292</v>
      </c>
      <c r="E734" s="168">
        <v>1</v>
      </c>
    </row>
    <row r="735" spans="1:5" s="539" customFormat="1" ht="47.25" hidden="1" outlineLevel="2" x14ac:dyDescent="0.25">
      <c r="A735" s="363" t="s">
        <v>2876</v>
      </c>
      <c r="B735" s="381" t="s">
        <v>912</v>
      </c>
      <c r="C735" s="381" t="s">
        <v>911</v>
      </c>
      <c r="D735" s="100" t="s">
        <v>292</v>
      </c>
      <c r="E735" s="168">
        <v>1</v>
      </c>
    </row>
    <row r="736" spans="1:5" s="539" customFormat="1" hidden="1" outlineLevel="2" x14ac:dyDescent="0.25">
      <c r="A736" s="363"/>
      <c r="B736" s="381"/>
      <c r="C736" s="390" t="s">
        <v>913</v>
      </c>
      <c r="D736" s="100"/>
      <c r="E736" s="168"/>
    </row>
    <row r="737" spans="1:5" s="539" customFormat="1" hidden="1" outlineLevel="2" x14ac:dyDescent="0.25">
      <c r="A737" s="363" t="s">
        <v>2877</v>
      </c>
      <c r="B737" s="381" t="s">
        <v>915</v>
      </c>
      <c r="C737" s="381" t="s">
        <v>914</v>
      </c>
      <c r="D737" s="100" t="s">
        <v>404</v>
      </c>
      <c r="E737" s="168">
        <f>378.1</f>
        <v>378.1</v>
      </c>
    </row>
    <row r="738" spans="1:5" s="539" customFormat="1" hidden="1" outlineLevel="2" x14ac:dyDescent="0.25">
      <c r="A738" s="363" t="s">
        <v>2878</v>
      </c>
      <c r="B738" s="381" t="s">
        <v>918</v>
      </c>
      <c r="C738" s="381" t="s">
        <v>917</v>
      </c>
      <c r="D738" s="100" t="s">
        <v>404</v>
      </c>
      <c r="E738" s="100">
        <f>60.22+16.28+20.72</f>
        <v>97.22</v>
      </c>
    </row>
    <row r="739" spans="1:5" s="539" customFormat="1" hidden="1" outlineLevel="2" x14ac:dyDescent="0.25">
      <c r="A739" s="363" t="s">
        <v>2879</v>
      </c>
      <c r="B739" s="381" t="s">
        <v>922</v>
      </c>
      <c r="C739" s="381" t="s">
        <v>921</v>
      </c>
      <c r="D739" s="100" t="s">
        <v>404</v>
      </c>
      <c r="E739" s="100">
        <f>37.66</f>
        <v>37.659999999999997</v>
      </c>
    </row>
    <row r="740" spans="1:5" s="544" customFormat="1" outlineLevel="1" collapsed="1" x14ac:dyDescent="0.25">
      <c r="A740" s="132" t="s">
        <v>2880</v>
      </c>
      <c r="B740" s="320"/>
      <c r="C740" s="133" t="s">
        <v>2377</v>
      </c>
      <c r="D740" s="134" t="s">
        <v>292</v>
      </c>
      <c r="E740" s="90">
        <v>1</v>
      </c>
    </row>
    <row r="741" spans="1:5" s="383" customFormat="1" hidden="1" outlineLevel="2" x14ac:dyDescent="0.25">
      <c r="A741" s="363"/>
      <c r="B741" s="381"/>
      <c r="C741" s="390" t="s">
        <v>913</v>
      </c>
      <c r="D741" s="100"/>
      <c r="E741" s="168"/>
    </row>
    <row r="742" spans="1:5" s="383" customFormat="1" hidden="1" outlineLevel="2" x14ac:dyDescent="0.25">
      <c r="A742" s="363" t="s">
        <v>2881</v>
      </c>
      <c r="B742" s="381" t="s">
        <v>920</v>
      </c>
      <c r="C742" s="381" t="s">
        <v>919</v>
      </c>
      <c r="D742" s="100" t="s">
        <v>377</v>
      </c>
      <c r="E742" s="168">
        <f>24.8</f>
        <v>24.8</v>
      </c>
    </row>
    <row r="743" spans="1:5" s="383" customFormat="1" hidden="1" outlineLevel="2" x14ac:dyDescent="0.25">
      <c r="A743" s="363" t="s">
        <v>2882</v>
      </c>
      <c r="B743" s="381" t="s">
        <v>924</v>
      </c>
      <c r="C743" s="381" t="s">
        <v>923</v>
      </c>
      <c r="D743" s="100" t="s">
        <v>404</v>
      </c>
      <c r="E743" s="100">
        <f>64.14+29.88+38.96+55.09</f>
        <v>188.07</v>
      </c>
    </row>
    <row r="744" spans="1:5" s="383" customFormat="1" hidden="1" outlineLevel="2" x14ac:dyDescent="0.25">
      <c r="A744" s="363"/>
      <c r="B744" s="381"/>
      <c r="C744" s="390" t="s">
        <v>925</v>
      </c>
      <c r="D744" s="100"/>
      <c r="E744" s="168"/>
    </row>
    <row r="745" spans="1:5" s="383" customFormat="1" hidden="1" outlineLevel="2" x14ac:dyDescent="0.25">
      <c r="A745" s="363"/>
      <c r="B745" s="381"/>
      <c r="C745" s="381" t="s">
        <v>926</v>
      </c>
      <c r="D745" s="100"/>
      <c r="E745" s="168"/>
    </row>
    <row r="746" spans="1:5" s="383" customFormat="1" ht="94.5" hidden="1" outlineLevel="2" x14ac:dyDescent="0.25">
      <c r="A746" s="363" t="s">
        <v>2883</v>
      </c>
      <c r="B746" s="381" t="s">
        <v>928</v>
      </c>
      <c r="C746" s="381" t="s">
        <v>2414</v>
      </c>
      <c r="D746" s="100" t="s">
        <v>404</v>
      </c>
      <c r="E746" s="100">
        <f>86.64</f>
        <v>86.64</v>
      </c>
    </row>
    <row r="747" spans="1:5" s="383" customFormat="1" ht="141.75" hidden="1" outlineLevel="2" x14ac:dyDescent="0.25">
      <c r="A747" s="363" t="s">
        <v>2884</v>
      </c>
      <c r="B747" s="381" t="s">
        <v>930</v>
      </c>
      <c r="C747" s="381" t="s">
        <v>2415</v>
      </c>
      <c r="D747" s="100" t="s">
        <v>404</v>
      </c>
      <c r="E747" s="100">
        <f>254.58</f>
        <v>254.58</v>
      </c>
    </row>
    <row r="748" spans="1:5" s="383" customFormat="1" ht="157.5" hidden="1" outlineLevel="2" x14ac:dyDescent="0.25">
      <c r="A748" s="363" t="s">
        <v>2885</v>
      </c>
      <c r="B748" s="381" t="s">
        <v>931</v>
      </c>
      <c r="C748" s="381" t="s">
        <v>2416</v>
      </c>
      <c r="D748" s="100" t="s">
        <v>404</v>
      </c>
      <c r="E748" s="168">
        <f>25</f>
        <v>25</v>
      </c>
    </row>
    <row r="749" spans="1:5" s="383" customFormat="1" ht="141.75" hidden="1" outlineLevel="2" x14ac:dyDescent="0.25">
      <c r="A749" s="363" t="s">
        <v>2886</v>
      </c>
      <c r="B749" s="381" t="s">
        <v>934</v>
      </c>
      <c r="C749" s="381" t="s">
        <v>2417</v>
      </c>
      <c r="D749" s="100" t="s">
        <v>404</v>
      </c>
      <c r="E749" s="100">
        <f>252.25</f>
        <v>252.25</v>
      </c>
    </row>
    <row r="750" spans="1:5" s="383" customFormat="1" ht="110.25" hidden="1" outlineLevel="2" x14ac:dyDescent="0.25">
      <c r="A750" s="363" t="s">
        <v>2887</v>
      </c>
      <c r="B750" s="381" t="s">
        <v>936</v>
      </c>
      <c r="C750" s="381" t="s">
        <v>2418</v>
      </c>
      <c r="D750" s="100" t="s">
        <v>404</v>
      </c>
      <c r="E750" s="100">
        <f>65.52</f>
        <v>65.52</v>
      </c>
    </row>
    <row r="751" spans="1:5" s="383" customFormat="1" ht="126" hidden="1" outlineLevel="2" x14ac:dyDescent="0.25">
      <c r="A751" s="363" t="s">
        <v>2888</v>
      </c>
      <c r="B751" s="381" t="s">
        <v>938</v>
      </c>
      <c r="C751" s="381" t="s">
        <v>2419</v>
      </c>
      <c r="D751" s="100" t="s">
        <v>404</v>
      </c>
      <c r="E751" s="100">
        <f>80.27</f>
        <v>80.27</v>
      </c>
    </row>
    <row r="752" spans="1:5" s="383" customFormat="1" ht="141.75" hidden="1" outlineLevel="2" x14ac:dyDescent="0.25">
      <c r="A752" s="363" t="s">
        <v>2889</v>
      </c>
      <c r="B752" s="381" t="s">
        <v>940</v>
      </c>
      <c r="C752" s="381" t="s">
        <v>2420</v>
      </c>
      <c r="D752" s="100" t="s">
        <v>404</v>
      </c>
      <c r="E752" s="100">
        <f>85.07</f>
        <v>85.07</v>
      </c>
    </row>
    <row r="753" spans="1:5" s="383" customFormat="1" ht="157.5" hidden="1" outlineLevel="2" x14ac:dyDescent="0.25">
      <c r="A753" s="363" t="s">
        <v>2890</v>
      </c>
      <c r="B753" s="381" t="s">
        <v>942</v>
      </c>
      <c r="C753" s="381" t="s">
        <v>2421</v>
      </c>
      <c r="D753" s="100" t="s">
        <v>404</v>
      </c>
      <c r="E753" s="100">
        <f>122.32</f>
        <v>122.32</v>
      </c>
    </row>
    <row r="754" spans="1:5" s="383" customFormat="1" ht="157.5" hidden="1" outlineLevel="2" x14ac:dyDescent="0.25">
      <c r="A754" s="363" t="s">
        <v>2891</v>
      </c>
      <c r="B754" s="381" t="s">
        <v>944</v>
      </c>
      <c r="C754" s="381" t="s">
        <v>2422</v>
      </c>
      <c r="D754" s="100" t="s">
        <v>404</v>
      </c>
      <c r="E754" s="168">
        <f>109.6</f>
        <v>109.6</v>
      </c>
    </row>
    <row r="755" spans="1:5" s="383" customFormat="1" ht="157.5" hidden="1" outlineLevel="2" x14ac:dyDescent="0.25">
      <c r="A755" s="363" t="s">
        <v>2892</v>
      </c>
      <c r="B755" s="381" t="s">
        <v>946</v>
      </c>
      <c r="C755" s="381" t="s">
        <v>2423</v>
      </c>
      <c r="D755" s="100" t="s">
        <v>404</v>
      </c>
      <c r="E755" s="100">
        <f>50.92</f>
        <v>50.92</v>
      </c>
    </row>
    <row r="756" spans="1:5" s="383" customFormat="1" ht="126" hidden="1" outlineLevel="2" x14ac:dyDescent="0.25">
      <c r="A756" s="363" t="s">
        <v>2893</v>
      </c>
      <c r="B756" s="381" t="s">
        <v>948</v>
      </c>
      <c r="C756" s="381" t="s">
        <v>2424</v>
      </c>
      <c r="D756" s="100" t="s">
        <v>404</v>
      </c>
      <c r="E756" s="100">
        <f>51.75</f>
        <v>51.75</v>
      </c>
    </row>
    <row r="757" spans="1:5" s="383" customFormat="1" hidden="1" outlineLevel="2" x14ac:dyDescent="0.25">
      <c r="A757" s="363"/>
      <c r="B757" s="381"/>
      <c r="C757" s="381" t="s">
        <v>949</v>
      </c>
      <c r="D757" s="100"/>
      <c r="E757" s="168"/>
    </row>
    <row r="758" spans="1:5" s="383" customFormat="1" ht="157.5" hidden="1" outlineLevel="2" x14ac:dyDescent="0.25">
      <c r="A758" s="363" t="s">
        <v>2894</v>
      </c>
      <c r="B758" s="381" t="s">
        <v>951</v>
      </c>
      <c r="C758" s="381" t="s">
        <v>2425</v>
      </c>
      <c r="D758" s="100" t="s">
        <v>404</v>
      </c>
      <c r="E758" s="168">
        <f>318.7</f>
        <v>318.7</v>
      </c>
    </row>
    <row r="759" spans="1:5" s="383" customFormat="1" ht="157.5" hidden="1" outlineLevel="2" x14ac:dyDescent="0.25">
      <c r="A759" s="363" t="s">
        <v>2895</v>
      </c>
      <c r="B759" s="381" t="s">
        <v>953</v>
      </c>
      <c r="C759" s="381" t="s">
        <v>2426</v>
      </c>
      <c r="D759" s="100" t="s">
        <v>404</v>
      </c>
      <c r="E759" s="168">
        <f>34.8</f>
        <v>34.799999999999997</v>
      </c>
    </row>
    <row r="760" spans="1:5" s="383" customFormat="1" ht="157.5" hidden="1" outlineLevel="2" x14ac:dyDescent="0.25">
      <c r="A760" s="363" t="s">
        <v>2896</v>
      </c>
      <c r="B760" s="381" t="s">
        <v>955</v>
      </c>
      <c r="C760" s="381" t="s">
        <v>2427</v>
      </c>
      <c r="D760" s="100" t="s">
        <v>404</v>
      </c>
      <c r="E760" s="100">
        <f>258.83</f>
        <v>258.83</v>
      </c>
    </row>
    <row r="761" spans="1:5" s="383" customFormat="1" ht="157.5" hidden="1" outlineLevel="2" x14ac:dyDescent="0.25">
      <c r="A761" s="363" t="s">
        <v>2897</v>
      </c>
      <c r="B761" s="381" t="s">
        <v>957</v>
      </c>
      <c r="C761" s="381" t="s">
        <v>2428</v>
      </c>
      <c r="D761" s="100" t="s">
        <v>404</v>
      </c>
      <c r="E761" s="100">
        <f>69.84</f>
        <v>69.84</v>
      </c>
    </row>
    <row r="762" spans="1:5" s="383" customFormat="1" ht="173.25" hidden="1" outlineLevel="2" x14ac:dyDescent="0.25">
      <c r="A762" s="363" t="s">
        <v>2898</v>
      </c>
      <c r="B762" s="381" t="s">
        <v>959</v>
      </c>
      <c r="C762" s="381" t="s">
        <v>2429</v>
      </c>
      <c r="D762" s="100" t="s">
        <v>404</v>
      </c>
      <c r="E762" s="100">
        <f>99.64</f>
        <v>99.64</v>
      </c>
    </row>
    <row r="763" spans="1:5" s="383" customFormat="1" ht="63" hidden="1" outlineLevel="2" x14ac:dyDescent="0.25">
      <c r="A763" s="363" t="s">
        <v>2899</v>
      </c>
      <c r="B763" s="381" t="s">
        <v>960</v>
      </c>
      <c r="C763" s="381" t="s">
        <v>2430</v>
      </c>
      <c r="D763" s="100" t="s">
        <v>404</v>
      </c>
      <c r="E763" s="168">
        <f>688</f>
        <v>688</v>
      </c>
    </row>
    <row r="764" spans="1:5" s="383" customFormat="1" hidden="1" outlineLevel="2" x14ac:dyDescent="0.25">
      <c r="A764" s="363"/>
      <c r="B764" s="381"/>
      <c r="C764" s="390" t="s">
        <v>963</v>
      </c>
      <c r="D764" s="100"/>
      <c r="E764" s="168"/>
    </row>
    <row r="765" spans="1:5" s="383" customFormat="1" ht="31.5" hidden="1" outlineLevel="2" x14ac:dyDescent="0.25">
      <c r="A765" s="363" t="s">
        <v>2900</v>
      </c>
      <c r="B765" s="381" t="s">
        <v>964</v>
      </c>
      <c r="C765" s="381" t="s">
        <v>2431</v>
      </c>
      <c r="D765" s="100" t="s">
        <v>404</v>
      </c>
      <c r="E765" s="100">
        <f>432.57</f>
        <v>432.57</v>
      </c>
    </row>
    <row r="766" spans="1:5" s="383" customFormat="1" ht="110.25" hidden="1" outlineLevel="2" x14ac:dyDescent="0.25">
      <c r="A766" s="363" t="s">
        <v>2901</v>
      </c>
      <c r="B766" s="381" t="s">
        <v>966</v>
      </c>
      <c r="C766" s="381" t="s">
        <v>2432</v>
      </c>
      <c r="D766" s="100" t="s">
        <v>404</v>
      </c>
      <c r="E766" s="100">
        <f>2224.93</f>
        <v>2224.9299999999998</v>
      </c>
    </row>
    <row r="767" spans="1:5" s="383" customFormat="1" ht="31.5" hidden="1" outlineLevel="2" x14ac:dyDescent="0.25">
      <c r="A767" s="363" t="s">
        <v>2902</v>
      </c>
      <c r="B767" s="381" t="s">
        <v>968</v>
      </c>
      <c r="C767" s="381" t="s">
        <v>2433</v>
      </c>
      <c r="D767" s="100" t="s">
        <v>404</v>
      </c>
      <c r="E767" s="145">
        <f>204.491</f>
        <v>204.49100000000001</v>
      </c>
    </row>
    <row r="768" spans="1:5" s="383" customFormat="1" ht="110.25" hidden="1" outlineLevel="2" x14ac:dyDescent="0.25">
      <c r="A768" s="363" t="s">
        <v>2903</v>
      </c>
      <c r="B768" s="381" t="s">
        <v>969</v>
      </c>
      <c r="C768" s="381" t="s">
        <v>2434</v>
      </c>
      <c r="D768" s="100" t="s">
        <v>404</v>
      </c>
      <c r="E768" s="100">
        <f>154.71</f>
        <v>154.71</v>
      </c>
    </row>
    <row r="769" spans="1:5" s="383" customFormat="1" ht="31.5" hidden="1" outlineLevel="2" x14ac:dyDescent="0.25">
      <c r="A769" s="363" t="s">
        <v>2904</v>
      </c>
      <c r="B769" s="381" t="s">
        <v>972</v>
      </c>
      <c r="C769" s="381" t="s">
        <v>2435</v>
      </c>
      <c r="D769" s="100" t="s">
        <v>404</v>
      </c>
      <c r="E769" s="145">
        <f>580.553</f>
        <v>580.553</v>
      </c>
    </row>
    <row r="770" spans="1:5" s="383" customFormat="1" ht="110.25" hidden="1" outlineLevel="2" x14ac:dyDescent="0.25">
      <c r="A770" s="363" t="s">
        <v>2905</v>
      </c>
      <c r="B770" s="381" t="s">
        <v>974</v>
      </c>
      <c r="C770" s="381" t="s">
        <v>2436</v>
      </c>
      <c r="D770" s="100" t="s">
        <v>404</v>
      </c>
      <c r="E770" s="100">
        <f>403.71</f>
        <v>403.71</v>
      </c>
    </row>
    <row r="771" spans="1:5" s="383" customFormat="1" ht="31.5" hidden="1" outlineLevel="2" x14ac:dyDescent="0.25">
      <c r="A771" s="363" t="s">
        <v>2906</v>
      </c>
      <c r="B771" s="381" t="s">
        <v>976</v>
      </c>
      <c r="C771" s="381" t="s">
        <v>2437</v>
      </c>
      <c r="D771" s="100" t="s">
        <v>404</v>
      </c>
      <c r="E771" s="100">
        <f>487.169*0.12</f>
        <v>58.46</v>
      </c>
    </row>
    <row r="772" spans="1:5" s="383" customFormat="1" ht="63" hidden="1" outlineLevel="2" x14ac:dyDescent="0.25">
      <c r="A772" s="363" t="s">
        <v>2907</v>
      </c>
      <c r="B772" s="381" t="s">
        <v>978</v>
      </c>
      <c r="C772" s="381" t="s">
        <v>2438</v>
      </c>
      <c r="D772" s="100" t="s">
        <v>404</v>
      </c>
      <c r="E772" s="100">
        <f>174.99</f>
        <v>174.99</v>
      </c>
    </row>
    <row r="773" spans="1:5" s="383" customFormat="1" ht="110.25" hidden="1" outlineLevel="2" x14ac:dyDescent="0.25">
      <c r="A773" s="363" t="s">
        <v>2908</v>
      </c>
      <c r="B773" s="381" t="s">
        <v>980</v>
      </c>
      <c r="C773" s="381" t="s">
        <v>2439</v>
      </c>
      <c r="D773" s="100" t="s">
        <v>404</v>
      </c>
      <c r="E773" s="145">
        <f>392.145</f>
        <v>392.14499999999998</v>
      </c>
    </row>
    <row r="774" spans="1:5" s="383" customFormat="1" ht="47.25" hidden="1" outlineLevel="2" x14ac:dyDescent="0.25">
      <c r="A774" s="363" t="s">
        <v>2909</v>
      </c>
      <c r="B774" s="381" t="s">
        <v>982</v>
      </c>
      <c r="C774" s="381" t="s">
        <v>2440</v>
      </c>
      <c r="D774" s="100" t="s">
        <v>404</v>
      </c>
      <c r="E774" s="145">
        <f>448.285</f>
        <v>448.28500000000003</v>
      </c>
    </row>
    <row r="775" spans="1:5" s="383" customFormat="1" ht="31.5" hidden="1" outlineLevel="2" x14ac:dyDescent="0.25">
      <c r="A775" s="363" t="s">
        <v>2910</v>
      </c>
      <c r="B775" s="381" t="s">
        <v>984</v>
      </c>
      <c r="C775" s="381" t="s">
        <v>2441</v>
      </c>
      <c r="D775" s="100" t="s">
        <v>404</v>
      </c>
      <c r="E775" s="100">
        <f>195.32</f>
        <v>195.32</v>
      </c>
    </row>
    <row r="776" spans="1:5" s="383" customFormat="1" ht="94.5" hidden="1" outlineLevel="2" x14ac:dyDescent="0.25">
      <c r="A776" s="363" t="s">
        <v>2911</v>
      </c>
      <c r="B776" s="381" t="s">
        <v>986</v>
      </c>
      <c r="C776" s="381" t="s">
        <v>2442</v>
      </c>
      <c r="D776" s="100" t="s">
        <v>404</v>
      </c>
      <c r="E776" s="100">
        <f>93.14</f>
        <v>93.14</v>
      </c>
    </row>
    <row r="777" spans="1:5" s="383" customFormat="1" ht="78.75" hidden="1" outlineLevel="2" x14ac:dyDescent="0.25">
      <c r="A777" s="363" t="s">
        <v>2912</v>
      </c>
      <c r="B777" s="381" t="s">
        <v>987</v>
      </c>
      <c r="C777" s="381" t="s">
        <v>2443</v>
      </c>
      <c r="D777" s="100" t="s">
        <v>404</v>
      </c>
      <c r="E777" s="100">
        <f>171.75</f>
        <v>171.75</v>
      </c>
    </row>
    <row r="778" spans="1:5" s="383" customFormat="1" hidden="1" outlineLevel="2" x14ac:dyDescent="0.25">
      <c r="A778" s="363"/>
      <c r="B778" s="381"/>
      <c r="C778" s="390" t="s">
        <v>989</v>
      </c>
      <c r="D778" s="100"/>
      <c r="E778" s="168"/>
    </row>
    <row r="779" spans="1:5" s="383" customFormat="1" ht="78.75" hidden="1" outlineLevel="2" x14ac:dyDescent="0.25">
      <c r="A779" s="363" t="s">
        <v>2913</v>
      </c>
      <c r="B779" s="381" t="s">
        <v>991</v>
      </c>
      <c r="C779" s="381" t="s">
        <v>2444</v>
      </c>
      <c r="D779" s="100" t="s">
        <v>404</v>
      </c>
      <c r="E779" s="100">
        <f>706.52</f>
        <v>706.52</v>
      </c>
    </row>
    <row r="780" spans="1:5" s="383" customFormat="1" ht="31.5" hidden="1" outlineLevel="2" x14ac:dyDescent="0.25">
      <c r="A780" s="363" t="s">
        <v>2914</v>
      </c>
      <c r="B780" s="381" t="s">
        <v>993</v>
      </c>
      <c r="C780" s="381" t="s">
        <v>2445</v>
      </c>
      <c r="D780" s="100" t="s">
        <v>404</v>
      </c>
      <c r="E780" s="168">
        <f>150.5</f>
        <v>150.5</v>
      </c>
    </row>
    <row r="781" spans="1:5" s="383" customFormat="1" ht="47.25" hidden="1" outlineLevel="2" x14ac:dyDescent="0.25">
      <c r="A781" s="363" t="s">
        <v>2915</v>
      </c>
      <c r="B781" s="381" t="s">
        <v>996</v>
      </c>
      <c r="C781" s="381" t="s">
        <v>2446</v>
      </c>
      <c r="D781" s="100" t="s">
        <v>404</v>
      </c>
      <c r="E781" s="100">
        <f>108.05</f>
        <v>108.05</v>
      </c>
    </row>
    <row r="782" spans="1:5" s="383" customFormat="1" ht="47.25" hidden="1" outlineLevel="2" x14ac:dyDescent="0.25">
      <c r="A782" s="363" t="s">
        <v>2916</v>
      </c>
      <c r="B782" s="381" t="s">
        <v>998</v>
      </c>
      <c r="C782" s="381" t="s">
        <v>2447</v>
      </c>
      <c r="D782" s="100" t="s">
        <v>404</v>
      </c>
      <c r="E782" s="100">
        <f>387.56</f>
        <v>387.56</v>
      </c>
    </row>
    <row r="783" spans="1:5" s="383" customFormat="1" ht="47.25" hidden="1" outlineLevel="2" x14ac:dyDescent="0.25">
      <c r="A783" s="363" t="s">
        <v>2917</v>
      </c>
      <c r="B783" s="381" t="s">
        <v>1001</v>
      </c>
      <c r="C783" s="381" t="s">
        <v>2448</v>
      </c>
      <c r="D783" s="100" t="s">
        <v>404</v>
      </c>
      <c r="E783" s="100">
        <f>102.03</f>
        <v>102.03</v>
      </c>
    </row>
    <row r="784" spans="1:5" s="383" customFormat="1" ht="63" hidden="1" outlineLevel="2" x14ac:dyDescent="0.25">
      <c r="A784" s="363" t="s">
        <v>2918</v>
      </c>
      <c r="B784" s="381" t="s">
        <v>1003</v>
      </c>
      <c r="C784" s="381" t="s">
        <v>2449</v>
      </c>
      <c r="D784" s="100" t="s">
        <v>404</v>
      </c>
      <c r="E784" s="100">
        <f>145.22</f>
        <v>145.22</v>
      </c>
    </row>
    <row r="785" spans="1:5" s="383" customFormat="1" ht="31.5" hidden="1" outlineLevel="2" x14ac:dyDescent="0.25">
      <c r="A785" s="363" t="s">
        <v>2919</v>
      </c>
      <c r="B785" s="381" t="s">
        <v>1004</v>
      </c>
      <c r="C785" s="381" t="s">
        <v>2450</v>
      </c>
      <c r="D785" s="100" t="s">
        <v>404</v>
      </c>
      <c r="E785" s="100">
        <f>371.74</f>
        <v>371.74</v>
      </c>
    </row>
    <row r="786" spans="1:5" s="358" customFormat="1" outlineLevel="1" collapsed="1" x14ac:dyDescent="0.25">
      <c r="A786" s="132" t="s">
        <v>2920</v>
      </c>
      <c r="B786" s="320" t="s">
        <v>172</v>
      </c>
      <c r="C786" s="320" t="s">
        <v>1921</v>
      </c>
      <c r="D786" s="134" t="s">
        <v>292</v>
      </c>
      <c r="E786" s="90">
        <v>1</v>
      </c>
    </row>
    <row r="787" spans="1:5" s="383" customFormat="1" hidden="1" outlineLevel="2" x14ac:dyDescent="0.25">
      <c r="A787" s="95"/>
      <c r="B787" s="381"/>
      <c r="C787" s="390" t="s">
        <v>367</v>
      </c>
      <c r="D787" s="100"/>
      <c r="E787" s="100"/>
    </row>
    <row r="788" spans="1:5" s="383" customFormat="1" ht="31.5" hidden="1" outlineLevel="2" x14ac:dyDescent="0.25">
      <c r="A788" s="363" t="s">
        <v>446</v>
      </c>
      <c r="B788" s="381" t="s">
        <v>1200</v>
      </c>
      <c r="C788" s="381" t="s">
        <v>356</v>
      </c>
      <c r="D788" s="100" t="s">
        <v>300</v>
      </c>
      <c r="E788" s="100">
        <f>225.74</f>
        <v>225.74</v>
      </c>
    </row>
    <row r="789" spans="1:5" s="383" customFormat="1" hidden="1" outlineLevel="2" x14ac:dyDescent="0.25">
      <c r="A789" s="363" t="s">
        <v>447</v>
      </c>
      <c r="B789" s="381" t="s">
        <v>1201</v>
      </c>
      <c r="C789" s="381" t="s">
        <v>373</v>
      </c>
      <c r="D789" s="100" t="s">
        <v>300</v>
      </c>
      <c r="E789" s="100">
        <f>225.74</f>
        <v>225.74</v>
      </c>
    </row>
    <row r="790" spans="1:5" s="383" customFormat="1" ht="31.5" hidden="1" outlineLevel="2" x14ac:dyDescent="0.25">
      <c r="A790" s="363" t="s">
        <v>448</v>
      </c>
      <c r="B790" s="381" t="s">
        <v>1202</v>
      </c>
      <c r="C790" s="381" t="s">
        <v>750</v>
      </c>
      <c r="D790" s="100" t="s">
        <v>300</v>
      </c>
      <c r="E790" s="100">
        <f>225.74</f>
        <v>225.74</v>
      </c>
    </row>
    <row r="791" spans="1:5" s="383" customFormat="1" hidden="1" outlineLevel="2" x14ac:dyDescent="0.25">
      <c r="A791" s="363" t="s">
        <v>1988</v>
      </c>
      <c r="B791" s="381" t="s">
        <v>1203</v>
      </c>
      <c r="C791" s="381" t="s">
        <v>379</v>
      </c>
      <c r="D791" s="100" t="s">
        <v>292</v>
      </c>
      <c r="E791" s="100">
        <v>1</v>
      </c>
    </row>
    <row r="792" spans="1:5" s="383" customFormat="1" outlineLevel="1" collapsed="1" x14ac:dyDescent="0.25">
      <c r="A792" s="132" t="s">
        <v>516</v>
      </c>
      <c r="B792" s="320" t="s">
        <v>150</v>
      </c>
      <c r="C792" s="320" t="s">
        <v>2765</v>
      </c>
      <c r="D792" s="134" t="s">
        <v>292</v>
      </c>
      <c r="E792" s="90">
        <v>1</v>
      </c>
    </row>
    <row r="793" spans="1:5" s="383" customFormat="1" ht="31.5" hidden="1" outlineLevel="2" x14ac:dyDescent="0.25">
      <c r="A793" s="225" t="s">
        <v>2253</v>
      </c>
      <c r="B793" s="381" t="s">
        <v>795</v>
      </c>
      <c r="C793" s="381" t="s">
        <v>1823</v>
      </c>
      <c r="D793" s="100" t="s">
        <v>292</v>
      </c>
      <c r="E793" s="149">
        <v>1</v>
      </c>
    </row>
    <row r="794" spans="1:5" s="383" customFormat="1" ht="31.5" hidden="1" outlineLevel="2" x14ac:dyDescent="0.25">
      <c r="A794" s="225" t="s">
        <v>2254</v>
      </c>
      <c r="B794" s="381" t="s">
        <v>796</v>
      </c>
      <c r="C794" s="381" t="s">
        <v>1824</v>
      </c>
      <c r="D794" s="100" t="s">
        <v>292</v>
      </c>
      <c r="E794" s="149">
        <v>1</v>
      </c>
    </row>
    <row r="795" spans="1:5" s="385" customFormat="1" hidden="1" outlineLevel="1" x14ac:dyDescent="0.25">
      <c r="A795" s="364" t="s">
        <v>615</v>
      </c>
      <c r="B795" s="436"/>
      <c r="C795" s="437" t="s">
        <v>2378</v>
      </c>
      <c r="D795" s="438" t="s">
        <v>292</v>
      </c>
      <c r="E795" s="439">
        <v>1</v>
      </c>
    </row>
    <row r="796" spans="1:5" s="380" customFormat="1" ht="31.5" outlineLevel="1" x14ac:dyDescent="0.25">
      <c r="A796" s="132" t="s">
        <v>517</v>
      </c>
      <c r="B796" s="320" t="s">
        <v>65</v>
      </c>
      <c r="C796" s="320" t="s">
        <v>2921</v>
      </c>
      <c r="D796" s="134" t="s">
        <v>292</v>
      </c>
      <c r="E796" s="90">
        <v>1</v>
      </c>
    </row>
    <row r="797" spans="1:5" s="380" customFormat="1" outlineLevel="1" x14ac:dyDescent="0.25">
      <c r="A797" s="132" t="s">
        <v>518</v>
      </c>
      <c r="B797" s="320" t="s">
        <v>67</v>
      </c>
      <c r="C797" s="320" t="s">
        <v>68</v>
      </c>
      <c r="D797" s="134" t="s">
        <v>292</v>
      </c>
      <c r="E797" s="90">
        <v>1</v>
      </c>
    </row>
    <row r="798" spans="1:5" s="380" customFormat="1" outlineLevel="1" collapsed="1" x14ac:dyDescent="0.25">
      <c r="A798" s="132" t="s">
        <v>520</v>
      </c>
      <c r="B798" s="320" t="s">
        <v>71</v>
      </c>
      <c r="C798" s="320" t="s">
        <v>2922</v>
      </c>
      <c r="D798" s="134" t="s">
        <v>292</v>
      </c>
      <c r="E798" s="90">
        <v>1</v>
      </c>
    </row>
    <row r="799" spans="1:5" s="421" customFormat="1" ht="31.5" hidden="1" outlineLevel="2" x14ac:dyDescent="0.25">
      <c r="A799" s="177" t="s">
        <v>2213</v>
      </c>
      <c r="B799" s="381" t="s">
        <v>1789</v>
      </c>
      <c r="C799" s="381" t="s">
        <v>1788</v>
      </c>
      <c r="D799" s="100" t="s">
        <v>292</v>
      </c>
      <c r="E799" s="149">
        <v>1</v>
      </c>
    </row>
    <row r="800" spans="1:5" s="421" customFormat="1" ht="47.25" hidden="1" outlineLevel="2" x14ac:dyDescent="0.25">
      <c r="A800" s="177" t="s">
        <v>2214</v>
      </c>
      <c r="B800" s="381" t="s">
        <v>274</v>
      </c>
      <c r="C800" s="381" t="s">
        <v>1791</v>
      </c>
      <c r="D800" s="100" t="s">
        <v>292</v>
      </c>
      <c r="E800" s="149">
        <v>1</v>
      </c>
    </row>
    <row r="801" spans="1:5" s="421" customFormat="1" ht="31.5" hidden="1" outlineLevel="2" x14ac:dyDescent="0.25">
      <c r="A801" s="177" t="s">
        <v>2215</v>
      </c>
      <c r="B801" s="381" t="s">
        <v>1790</v>
      </c>
      <c r="C801" s="381" t="s">
        <v>685</v>
      </c>
      <c r="D801" s="100" t="s">
        <v>292</v>
      </c>
      <c r="E801" s="149">
        <v>1</v>
      </c>
    </row>
    <row r="802" spans="1:5" s="380" customFormat="1" hidden="1" outlineLevel="1" x14ac:dyDescent="0.25">
      <c r="A802" s="132" t="s">
        <v>521</v>
      </c>
      <c r="B802" s="320" t="s">
        <v>729</v>
      </c>
      <c r="C802" s="448" t="s">
        <v>728</v>
      </c>
      <c r="D802" s="449" t="s">
        <v>292</v>
      </c>
      <c r="E802" s="90">
        <v>1</v>
      </c>
    </row>
    <row r="803" spans="1:5" s="426" customFormat="1" ht="54" customHeight="1" x14ac:dyDescent="0.25">
      <c r="A803" s="179" t="s">
        <v>524</v>
      </c>
      <c r="B803" s="422"/>
      <c r="C803" s="423" t="s">
        <v>70</v>
      </c>
      <c r="D803" s="125" t="s">
        <v>292</v>
      </c>
      <c r="E803" s="126">
        <v>1</v>
      </c>
    </row>
    <row r="804" spans="1:5" s="446" customFormat="1" collapsed="1" x14ac:dyDescent="0.25">
      <c r="A804" s="141" t="s">
        <v>525</v>
      </c>
      <c r="B804" s="450" t="s">
        <v>69</v>
      </c>
      <c r="C804" s="142" t="s">
        <v>646</v>
      </c>
      <c r="D804" s="134" t="s">
        <v>292</v>
      </c>
      <c r="E804" s="90">
        <v>1</v>
      </c>
    </row>
    <row r="805" spans="1:5" s="383" customFormat="1" hidden="1" outlineLevel="1" x14ac:dyDescent="0.25">
      <c r="A805" s="95" t="s">
        <v>526</v>
      </c>
      <c r="B805" s="381" t="s">
        <v>248</v>
      </c>
      <c r="C805" s="381" t="s">
        <v>1794</v>
      </c>
      <c r="D805" s="100" t="s">
        <v>292</v>
      </c>
      <c r="E805" s="149">
        <v>1</v>
      </c>
    </row>
    <row r="806" spans="1:5" s="383" customFormat="1" hidden="1" outlineLevel="1" x14ac:dyDescent="0.25">
      <c r="A806" s="95" t="s">
        <v>527</v>
      </c>
      <c r="B806" s="381" t="s">
        <v>250</v>
      </c>
      <c r="C806" s="381" t="s">
        <v>1793</v>
      </c>
      <c r="D806" s="100" t="s">
        <v>292</v>
      </c>
      <c r="E806" s="149">
        <v>1</v>
      </c>
    </row>
    <row r="807" spans="1:5" s="383" customFormat="1" hidden="1" outlineLevel="1" x14ac:dyDescent="0.25">
      <c r="A807" s="95" t="s">
        <v>528</v>
      </c>
      <c r="B807" s="381" t="s">
        <v>252</v>
      </c>
      <c r="C807" s="381" t="s">
        <v>1795</v>
      </c>
      <c r="D807" s="427" t="s">
        <v>292</v>
      </c>
      <c r="E807" s="149">
        <v>1</v>
      </c>
    </row>
    <row r="808" spans="1:5" s="383" customFormat="1" hidden="1" outlineLevel="1" x14ac:dyDescent="0.25">
      <c r="A808" s="95" t="s">
        <v>529</v>
      </c>
      <c r="B808" s="381" t="s">
        <v>254</v>
      </c>
      <c r="C808" s="381" t="s">
        <v>1796</v>
      </c>
      <c r="D808" s="427" t="s">
        <v>292</v>
      </c>
      <c r="E808" s="149">
        <v>1</v>
      </c>
    </row>
    <row r="809" spans="1:5" s="380" customFormat="1" collapsed="1" x14ac:dyDescent="0.25">
      <c r="A809" s="132" t="s">
        <v>532</v>
      </c>
      <c r="B809" s="320" t="s">
        <v>69</v>
      </c>
      <c r="C809" s="320" t="s">
        <v>2216</v>
      </c>
      <c r="D809" s="134" t="s">
        <v>292</v>
      </c>
      <c r="E809" s="90">
        <v>1</v>
      </c>
    </row>
    <row r="810" spans="1:5" s="383" customFormat="1" hidden="1" outlineLevel="1" x14ac:dyDescent="0.25">
      <c r="A810" s="95" t="s">
        <v>690</v>
      </c>
      <c r="B810" s="381" t="s">
        <v>256</v>
      </c>
      <c r="C810" s="381" t="s">
        <v>1800</v>
      </c>
      <c r="D810" s="427" t="s">
        <v>292</v>
      </c>
      <c r="E810" s="149">
        <v>1</v>
      </c>
    </row>
    <row r="811" spans="1:5" s="399" customFormat="1" hidden="1" outlineLevel="1" x14ac:dyDescent="0.25">
      <c r="A811" s="93" t="s">
        <v>691</v>
      </c>
      <c r="B811" s="408" t="s">
        <v>1770</v>
      </c>
      <c r="C811" s="408" t="s">
        <v>530</v>
      </c>
      <c r="D811" s="428" t="s">
        <v>292</v>
      </c>
      <c r="E811" s="151">
        <v>1</v>
      </c>
    </row>
    <row r="812" spans="1:5" s="399" customFormat="1" hidden="1" outlineLevel="1" x14ac:dyDescent="0.25">
      <c r="A812" s="93" t="s">
        <v>692</v>
      </c>
      <c r="B812" s="408" t="s">
        <v>1771</v>
      </c>
      <c r="C812" s="408" t="s">
        <v>531</v>
      </c>
      <c r="D812" s="428" t="s">
        <v>292</v>
      </c>
      <c r="E812" s="151">
        <v>1</v>
      </c>
    </row>
    <row r="813" spans="1:5" s="383" customFormat="1" ht="31.5" hidden="1" outlineLevel="1" x14ac:dyDescent="0.25">
      <c r="A813" s="95" t="s">
        <v>693</v>
      </c>
      <c r="B813" s="381" t="s">
        <v>258</v>
      </c>
      <c r="C813" s="381" t="s">
        <v>1798</v>
      </c>
      <c r="D813" s="427" t="s">
        <v>292</v>
      </c>
      <c r="E813" s="149">
        <v>1</v>
      </c>
    </row>
    <row r="814" spans="1:5" s="383" customFormat="1" ht="31.5" hidden="1" outlineLevel="1" x14ac:dyDescent="0.25">
      <c r="A814" s="95" t="s">
        <v>694</v>
      </c>
      <c r="B814" s="381" t="s">
        <v>260</v>
      </c>
      <c r="C814" s="381" t="s">
        <v>1799</v>
      </c>
      <c r="D814" s="427" t="s">
        <v>292</v>
      </c>
      <c r="E814" s="149">
        <v>1</v>
      </c>
    </row>
    <row r="815" spans="1:5" s="383" customFormat="1" ht="31.5" hidden="1" outlineLevel="1" x14ac:dyDescent="0.25">
      <c r="A815" s="95"/>
      <c r="B815" s="381" t="s">
        <v>262</v>
      </c>
      <c r="C815" s="381" t="s">
        <v>177</v>
      </c>
      <c r="D815" s="427" t="s">
        <v>292</v>
      </c>
      <c r="E815" s="149">
        <v>1</v>
      </c>
    </row>
    <row r="816" spans="1:5" s="380" customFormat="1" collapsed="1" x14ac:dyDescent="0.25">
      <c r="A816" s="132" t="s">
        <v>533</v>
      </c>
      <c r="B816" s="320" t="s">
        <v>71</v>
      </c>
      <c r="C816" s="320" t="s">
        <v>2922</v>
      </c>
      <c r="D816" s="134" t="s">
        <v>292</v>
      </c>
      <c r="E816" s="90">
        <v>1</v>
      </c>
    </row>
    <row r="817" spans="1:5" s="421" customFormat="1" ht="31.5" hidden="1" outlineLevel="1" x14ac:dyDescent="0.25">
      <c r="A817" s="177" t="s">
        <v>695</v>
      </c>
      <c r="B817" s="381" t="s">
        <v>1789</v>
      </c>
      <c r="C817" s="381" t="s">
        <v>1788</v>
      </c>
      <c r="D817" s="100" t="s">
        <v>292</v>
      </c>
      <c r="E817" s="149">
        <v>1</v>
      </c>
    </row>
    <row r="818" spans="1:5" s="421" customFormat="1" ht="47.25" hidden="1" outlineLevel="1" x14ac:dyDescent="0.25">
      <c r="A818" s="177" t="s">
        <v>696</v>
      </c>
      <c r="B818" s="381" t="s">
        <v>274</v>
      </c>
      <c r="C818" s="381" t="s">
        <v>1791</v>
      </c>
      <c r="D818" s="100" t="s">
        <v>292</v>
      </c>
      <c r="E818" s="149">
        <v>1</v>
      </c>
    </row>
    <row r="819" spans="1:5" s="421" customFormat="1" ht="31.5" hidden="1" outlineLevel="1" x14ac:dyDescent="0.25">
      <c r="A819" s="177" t="s">
        <v>2217</v>
      </c>
      <c r="B819" s="381" t="s">
        <v>1790</v>
      </c>
      <c r="C819" s="381" t="s">
        <v>685</v>
      </c>
      <c r="D819" s="100" t="s">
        <v>292</v>
      </c>
      <c r="E819" s="149">
        <v>1</v>
      </c>
    </row>
    <row r="820" spans="1:5" s="461" customFormat="1" hidden="1" x14ac:dyDescent="0.25">
      <c r="A820" s="179" t="s">
        <v>2929</v>
      </c>
      <c r="B820" s="422"/>
      <c r="C820" s="422" t="s">
        <v>2930</v>
      </c>
      <c r="D820" s="125" t="s">
        <v>292</v>
      </c>
      <c r="E820" s="126">
        <v>1</v>
      </c>
    </row>
    <row r="821" spans="1:5" x14ac:dyDescent="0.25">
      <c r="A821" s="429"/>
      <c r="B821" s="198"/>
      <c r="C821" s="430"/>
      <c r="D821" s="431"/>
      <c r="E821" s="432"/>
    </row>
    <row r="822" spans="1:5" s="198" customFormat="1" x14ac:dyDescent="0.25">
      <c r="A822" s="429"/>
      <c r="B822" s="117" t="s">
        <v>534</v>
      </c>
      <c r="C822" s="430"/>
      <c r="D822" s="431"/>
      <c r="E822" s="432"/>
    </row>
    <row r="823" spans="1:5" s="198" customFormat="1" x14ac:dyDescent="0.25">
      <c r="A823" s="429"/>
      <c r="B823" s="117"/>
      <c r="C823" s="430"/>
      <c r="D823" s="431"/>
      <c r="E823" s="432"/>
    </row>
    <row r="824" spans="1:5" s="198" customFormat="1" x14ac:dyDescent="0.25">
      <c r="A824" s="429"/>
      <c r="B824" s="117" t="s">
        <v>535</v>
      </c>
      <c r="C824" s="430"/>
      <c r="D824" s="431"/>
      <c r="E824" s="432"/>
    </row>
  </sheetData>
  <mergeCells count="4">
    <mergeCell ref="A7:H7"/>
    <mergeCell ref="A8:H8"/>
    <mergeCell ref="A1:E1"/>
    <mergeCell ref="B3:E3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8"/>
  <sheetViews>
    <sheetView topLeftCell="A26" zoomScaleNormal="100" workbookViewId="0">
      <selection activeCell="B52" sqref="B52"/>
    </sheetView>
  </sheetViews>
  <sheetFormatPr defaultRowHeight="12.75" outlineLevelRow="1" x14ac:dyDescent="0.2"/>
  <cols>
    <col min="1" max="1" width="6.42578125" customWidth="1"/>
    <col min="2" max="2" width="56.85546875" customWidth="1"/>
    <col min="3" max="3" width="16.140625" bestFit="1" customWidth="1"/>
    <col min="4" max="4" width="24" customWidth="1"/>
    <col min="5" max="5" width="18" customWidth="1"/>
    <col min="6" max="6" width="18.7109375" customWidth="1"/>
    <col min="7" max="7" width="29.140625" customWidth="1"/>
    <col min="9" max="9" width="10.140625" bestFit="1" customWidth="1"/>
  </cols>
  <sheetData>
    <row r="1" spans="1:19" ht="39.75" customHeight="1" x14ac:dyDescent="0.2">
      <c r="A1" s="638" t="s">
        <v>2337</v>
      </c>
      <c r="B1" s="638"/>
      <c r="C1" s="638"/>
      <c r="D1" s="638"/>
      <c r="E1" s="638"/>
      <c r="F1" s="638"/>
    </row>
    <row r="2" spans="1:19" ht="31.5" customHeight="1" x14ac:dyDescent="0.2">
      <c r="A2" s="634" t="s">
        <v>1</v>
      </c>
      <c r="B2" s="636" t="s">
        <v>286</v>
      </c>
      <c r="C2" s="636" t="s">
        <v>2352</v>
      </c>
      <c r="D2" s="639" t="s">
        <v>2338</v>
      </c>
      <c r="E2" s="639"/>
      <c r="F2" s="639" t="s">
        <v>2353</v>
      </c>
    </row>
    <row r="3" spans="1:19" ht="15.75" customHeight="1" x14ac:dyDescent="0.2">
      <c r="A3" s="635"/>
      <c r="B3" s="637"/>
      <c r="C3" s="637"/>
      <c r="D3" s="589" t="s">
        <v>553</v>
      </c>
      <c r="E3" s="589" t="s">
        <v>554</v>
      </c>
      <c r="F3" s="639"/>
    </row>
    <row r="4" spans="1:19" ht="15.75" x14ac:dyDescent="0.2">
      <c r="A4" s="85">
        <v>1</v>
      </c>
      <c r="B4" s="85">
        <v>2</v>
      </c>
      <c r="C4" s="473">
        <v>3</v>
      </c>
      <c r="D4" s="589">
        <v>4</v>
      </c>
      <c r="E4" s="589">
        <v>5</v>
      </c>
      <c r="F4" s="589">
        <v>6</v>
      </c>
    </row>
    <row r="5" spans="1:19" s="581" customFormat="1" ht="15.75" x14ac:dyDescent="0.2">
      <c r="A5" s="338">
        <v>1</v>
      </c>
      <c r="B5" s="89" t="s">
        <v>81</v>
      </c>
      <c r="C5" s="126"/>
      <c r="D5" s="579">
        <f>ГПР!C7</f>
        <v>44119</v>
      </c>
      <c r="E5" s="579">
        <f>ГПР!D7</f>
        <v>44317</v>
      </c>
      <c r="F5" s="580">
        <f>(E5-D5)/30.5</f>
        <v>6.5</v>
      </c>
      <c r="G5" s="582"/>
      <c r="I5" s="582"/>
    </row>
    <row r="6" spans="1:19" ht="15.75" x14ac:dyDescent="0.25">
      <c r="A6" s="339"/>
      <c r="B6" s="570" t="s">
        <v>2339</v>
      </c>
      <c r="C6" s="570"/>
      <c r="D6" s="570"/>
      <c r="E6" s="570"/>
      <c r="F6" s="71"/>
    </row>
    <row r="7" spans="1:19" ht="30" x14ac:dyDescent="0.25">
      <c r="A7" s="339"/>
      <c r="B7" s="571" t="s">
        <v>2340</v>
      </c>
      <c r="C7" s="571" t="s">
        <v>3003</v>
      </c>
      <c r="D7" s="572">
        <f>2.5/6.5</f>
        <v>0.38</v>
      </c>
      <c r="E7" s="570"/>
      <c r="F7" s="71"/>
    </row>
    <row r="8" spans="1:19" ht="30" x14ac:dyDescent="0.25">
      <c r="A8" s="339"/>
      <c r="B8" s="571" t="s">
        <v>3004</v>
      </c>
      <c r="C8" s="571" t="s">
        <v>3005</v>
      </c>
      <c r="D8" s="572">
        <f>4/6.5</f>
        <v>0.62</v>
      </c>
      <c r="E8" s="570"/>
      <c r="F8" s="71"/>
    </row>
    <row r="9" spans="1:19" ht="45" x14ac:dyDescent="0.25">
      <c r="A9" s="339"/>
      <c r="B9" s="571" t="s">
        <v>2342</v>
      </c>
      <c r="C9" s="571"/>
      <c r="D9" s="572"/>
      <c r="E9" s="570"/>
      <c r="F9" s="71"/>
    </row>
    <row r="10" spans="1:19" ht="15.75" x14ac:dyDescent="0.25">
      <c r="A10" s="339"/>
      <c r="B10" s="571" t="s">
        <v>2343</v>
      </c>
      <c r="C10" s="571"/>
      <c r="D10" s="573">
        <v>1.036</v>
      </c>
      <c r="E10" s="570"/>
      <c r="F10" s="71"/>
    </row>
    <row r="11" spans="1:19" ht="15.75" x14ac:dyDescent="0.25">
      <c r="A11" s="339"/>
      <c r="B11" s="571" t="s">
        <v>2344</v>
      </c>
      <c r="C11" s="571"/>
      <c r="D11" s="573">
        <v>1.0369999999999999</v>
      </c>
      <c r="E11" s="570"/>
      <c r="F11" s="71"/>
    </row>
    <row r="12" spans="1:19" ht="15.75" x14ac:dyDescent="0.25">
      <c r="A12" s="339"/>
      <c r="B12" s="571" t="s">
        <v>2356</v>
      </c>
      <c r="C12" s="571"/>
      <c r="D12" s="573">
        <v>1.0369999999999999</v>
      </c>
      <c r="E12" s="570"/>
      <c r="F12" s="71"/>
    </row>
    <row r="13" spans="1:19" ht="15.75" x14ac:dyDescent="0.25">
      <c r="A13" s="339"/>
      <c r="B13" s="571" t="s">
        <v>2345</v>
      </c>
      <c r="C13" s="571"/>
      <c r="D13" s="572"/>
      <c r="E13" s="570"/>
      <c r="F13" s="71"/>
    </row>
    <row r="14" spans="1:19" ht="15.75" x14ac:dyDescent="0.25">
      <c r="A14" s="339"/>
      <c r="B14" s="571" t="s">
        <v>2346</v>
      </c>
      <c r="C14" s="571"/>
      <c r="D14" s="574">
        <f>1.00295</f>
        <v>1.00295</v>
      </c>
      <c r="E14" s="570"/>
      <c r="F14" s="71"/>
    </row>
    <row r="15" spans="1:19" ht="15.75" x14ac:dyDescent="0.25">
      <c r="A15" s="339"/>
      <c r="B15" s="571" t="s">
        <v>2347</v>
      </c>
      <c r="C15" s="571"/>
      <c r="D15" s="574">
        <f>1.00303</f>
        <v>1.0030300000000001</v>
      </c>
      <c r="E15" s="570"/>
      <c r="F15" s="71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</row>
    <row r="16" spans="1:19" ht="15.75" x14ac:dyDescent="0.25">
      <c r="A16" s="339"/>
      <c r="B16" s="571" t="s">
        <v>2357</v>
      </c>
      <c r="C16" s="571"/>
      <c r="D16" s="574">
        <f>1.00303</f>
        <v>1.0030300000000001</v>
      </c>
      <c r="E16" s="570"/>
      <c r="F16" s="71"/>
    </row>
    <row r="17" spans="1:7" ht="45" x14ac:dyDescent="0.25">
      <c r="A17" s="339"/>
      <c r="B17" s="571" t="s">
        <v>2348</v>
      </c>
      <c r="C17" s="575" t="s">
        <v>3006</v>
      </c>
      <c r="D17" s="576">
        <f>D14^1.5*(D14^1+D14^2.5)/2</f>
        <v>1.01</v>
      </c>
      <c r="E17" s="570"/>
      <c r="F17" s="71"/>
    </row>
    <row r="18" spans="1:7" ht="30" x14ac:dyDescent="0.25">
      <c r="A18" s="339"/>
      <c r="B18" s="571" t="s">
        <v>2349</v>
      </c>
      <c r="C18" s="571" t="s">
        <v>3007</v>
      </c>
      <c r="D18" s="577">
        <f>D14^4*(D15+D15^4)/2</f>
        <v>1.02</v>
      </c>
      <c r="E18" s="570"/>
      <c r="F18" s="71"/>
    </row>
    <row r="19" spans="1:7" ht="30" x14ac:dyDescent="0.25">
      <c r="A19" s="339"/>
      <c r="B19" s="342" t="s">
        <v>2350</v>
      </c>
      <c r="C19" s="571" t="s">
        <v>3008</v>
      </c>
      <c r="D19" s="578">
        <f>0.38*D17+0.62*D18</f>
        <v>1.016</v>
      </c>
      <c r="E19" s="340"/>
      <c r="F19" s="341"/>
    </row>
    <row r="20" spans="1:7" s="581" customFormat="1" ht="31.5" x14ac:dyDescent="0.2">
      <c r="A20" s="343" t="s">
        <v>296</v>
      </c>
      <c r="B20" s="89" t="s">
        <v>297</v>
      </c>
      <c r="C20" s="126"/>
      <c r="D20" s="579">
        <f>ГПР!C10</f>
        <v>44317</v>
      </c>
      <c r="E20" s="579">
        <f>ГПР!D13</f>
        <v>44835</v>
      </c>
      <c r="F20" s="580">
        <f>(E20-D20)/30.5</f>
        <v>17</v>
      </c>
    </row>
    <row r="21" spans="1:7" ht="30" x14ac:dyDescent="0.25">
      <c r="A21" s="344"/>
      <c r="B21" s="571" t="s">
        <v>2341</v>
      </c>
      <c r="C21" s="571" t="s">
        <v>3011</v>
      </c>
      <c r="D21" s="572">
        <f>8/17</f>
        <v>0.47</v>
      </c>
      <c r="E21" s="348"/>
      <c r="F21" s="354"/>
    </row>
    <row r="22" spans="1:7" ht="30" x14ac:dyDescent="0.25">
      <c r="A22" s="344"/>
      <c r="B22" s="571" t="s">
        <v>2355</v>
      </c>
      <c r="C22" s="571" t="s">
        <v>3012</v>
      </c>
      <c r="D22" s="572">
        <f>9/17</f>
        <v>0.53</v>
      </c>
      <c r="E22" s="348"/>
      <c r="F22" s="354"/>
    </row>
    <row r="23" spans="1:7" s="37" customFormat="1" ht="63" x14ac:dyDescent="0.25">
      <c r="A23" s="344"/>
      <c r="B23" s="571" t="s">
        <v>2349</v>
      </c>
      <c r="C23" s="346" t="s">
        <v>3009</v>
      </c>
      <c r="D23" s="357">
        <f>D14^4*D15^4*(D15+D15^8)/2</f>
        <v>1.038</v>
      </c>
      <c r="E23" s="348"/>
      <c r="F23" s="355"/>
    </row>
    <row r="24" spans="1:7" s="37" customFormat="1" ht="63" x14ac:dyDescent="0.25">
      <c r="A24" s="344"/>
      <c r="B24" s="571" t="s">
        <v>2354</v>
      </c>
      <c r="C24" s="346" t="s">
        <v>3010</v>
      </c>
      <c r="D24" s="357">
        <f>D14^4*D15^12*(D16+D16^9)/2</f>
        <v>1.0649999999999999</v>
      </c>
      <c r="E24" s="348"/>
      <c r="F24" s="355"/>
    </row>
    <row r="25" spans="1:7" ht="47.25" x14ac:dyDescent="0.2">
      <c r="A25" s="344"/>
      <c r="B25" s="345" t="s">
        <v>2350</v>
      </c>
      <c r="C25" s="346" t="s">
        <v>3013</v>
      </c>
      <c r="D25" s="347">
        <f>D21*D23+D22*D24</f>
        <v>1.052</v>
      </c>
      <c r="E25" s="348"/>
      <c r="F25" s="349"/>
    </row>
    <row r="26" spans="1:7" s="581" customFormat="1" ht="15.75" x14ac:dyDescent="0.2">
      <c r="A26" s="179" t="s">
        <v>524</v>
      </c>
      <c r="B26" s="180" t="s">
        <v>70</v>
      </c>
      <c r="C26" s="126"/>
      <c r="D26" s="579">
        <f>ГПР!C16</f>
        <v>44805</v>
      </c>
      <c r="E26" s="579">
        <f>ГПР!D16</f>
        <v>44866</v>
      </c>
      <c r="F26" s="583">
        <f>(E26-D26)/30.5</f>
        <v>2</v>
      </c>
      <c r="G26" s="582"/>
    </row>
    <row r="27" spans="1:7" ht="78.75" x14ac:dyDescent="0.2">
      <c r="A27" s="344"/>
      <c r="B27" s="345" t="s">
        <v>2350</v>
      </c>
      <c r="C27" s="346" t="s">
        <v>3014</v>
      </c>
      <c r="D27" s="347">
        <f>D14^4*D15^12*D16^8*(D16+D16^2)/2</f>
        <v>1.08</v>
      </c>
      <c r="E27" s="348"/>
      <c r="F27" s="349"/>
    </row>
    <row r="28" spans="1:7" s="581" customFormat="1" ht="15.75" hidden="1" x14ac:dyDescent="0.2">
      <c r="A28" s="289">
        <v>4</v>
      </c>
      <c r="B28" s="584" t="s">
        <v>2930</v>
      </c>
      <c r="C28" s="588"/>
      <c r="D28" s="579">
        <f>ГПР!C10</f>
        <v>44317</v>
      </c>
      <c r="E28" s="579">
        <f>ГПР!D16</f>
        <v>44866</v>
      </c>
      <c r="F28" s="580">
        <f>(E28-D28)/30.5</f>
        <v>18</v>
      </c>
    </row>
    <row r="29" spans="1:7" s="37" customFormat="1" ht="30" hidden="1" x14ac:dyDescent="0.25">
      <c r="A29" s="585"/>
      <c r="B29" s="571" t="s">
        <v>2341</v>
      </c>
      <c r="C29" s="571" t="s">
        <v>3015</v>
      </c>
      <c r="D29" s="572">
        <f>8/18</f>
        <v>0.44</v>
      </c>
      <c r="E29" s="348"/>
      <c r="F29" s="586"/>
    </row>
    <row r="30" spans="1:7" s="37" customFormat="1" ht="30" hidden="1" x14ac:dyDescent="0.25">
      <c r="A30" s="585"/>
      <c r="B30" s="571" t="s">
        <v>2355</v>
      </c>
      <c r="C30" s="571" t="s">
        <v>3016</v>
      </c>
      <c r="D30" s="572">
        <f>10/18</f>
        <v>0.56000000000000005</v>
      </c>
      <c r="E30" s="348"/>
      <c r="F30" s="586"/>
    </row>
    <row r="31" spans="1:7" s="37" customFormat="1" ht="63" hidden="1" x14ac:dyDescent="0.25">
      <c r="A31" s="585"/>
      <c r="B31" s="571" t="s">
        <v>2349</v>
      </c>
      <c r="C31" s="346" t="s">
        <v>3009</v>
      </c>
      <c r="D31" s="587">
        <f>D14^4*D15^4*(D15+D15^8)/2</f>
        <v>1.038</v>
      </c>
      <c r="E31" s="348"/>
      <c r="F31" s="586"/>
    </row>
    <row r="32" spans="1:7" s="37" customFormat="1" ht="63" hidden="1" x14ac:dyDescent="0.25">
      <c r="A32" s="585"/>
      <c r="B32" s="571" t="s">
        <v>2354</v>
      </c>
      <c r="C32" s="346" t="s">
        <v>3017</v>
      </c>
      <c r="D32" s="587">
        <f>D14^4*D15^12*(D16+D16^10)/2</f>
        <v>1.0669999999999999</v>
      </c>
      <c r="E32" s="348"/>
      <c r="F32" s="586"/>
    </row>
    <row r="33" spans="1:6" ht="47.25" hidden="1" x14ac:dyDescent="0.2">
      <c r="A33" s="71"/>
      <c r="B33" s="345" t="s">
        <v>2350</v>
      </c>
      <c r="C33" s="346" t="s">
        <v>3018</v>
      </c>
      <c r="D33" s="462">
        <f>D29*D31+D30*D32</f>
        <v>1.054</v>
      </c>
      <c r="E33" s="71"/>
      <c r="F33" s="71"/>
    </row>
    <row r="45" spans="1:6" outlineLevel="1" x14ac:dyDescent="0.2"/>
    <row r="46" spans="1:6" outlineLevel="1" x14ac:dyDescent="0.2"/>
    <row r="47" spans="1:6" outlineLevel="1" x14ac:dyDescent="0.2"/>
    <row r="94" outlineLevel="1" x14ac:dyDescent="0.2"/>
    <row r="95" outlineLevel="1" x14ac:dyDescent="0.2"/>
    <row r="96" outlineLevel="1" x14ac:dyDescent="0.2"/>
    <row r="138" outlineLevel="1" x14ac:dyDescent="0.2"/>
    <row r="139" outlineLevel="1" x14ac:dyDescent="0.2"/>
    <row r="140" outlineLevel="1" x14ac:dyDescent="0.2"/>
    <row r="158" outlineLevel="1" x14ac:dyDescent="0.2"/>
    <row r="159" outlineLevel="1" x14ac:dyDescent="0.2"/>
    <row r="160" outlineLevel="1" x14ac:dyDescent="0.2"/>
    <row r="194" outlineLevel="1" x14ac:dyDescent="0.2"/>
    <row r="195" outlineLevel="1" x14ac:dyDescent="0.2"/>
    <row r="196" outlineLevel="1" x14ac:dyDescent="0.2"/>
    <row r="221" outlineLevel="1" x14ac:dyDescent="0.2"/>
    <row r="222" outlineLevel="1" x14ac:dyDescent="0.2"/>
    <row r="223" outlineLevel="1" x14ac:dyDescent="0.2"/>
    <row r="244" outlineLevel="1" x14ac:dyDescent="0.2"/>
    <row r="245" outlineLevel="1" x14ac:dyDescent="0.2"/>
    <row r="246" outlineLevel="1" x14ac:dyDescent="0.2"/>
    <row r="289" outlineLevel="1" x14ac:dyDescent="0.2"/>
    <row r="290" outlineLevel="1" x14ac:dyDescent="0.2"/>
    <row r="291" outlineLevel="1" x14ac:dyDescent="0.2"/>
    <row r="318" outlineLevel="1" x14ac:dyDescent="0.2"/>
    <row r="319" outlineLevel="1" x14ac:dyDescent="0.2"/>
    <row r="320" outlineLevel="1" x14ac:dyDescent="0.2"/>
    <row r="352" outlineLevel="1" x14ac:dyDescent="0.2"/>
    <row r="353" outlineLevel="1" x14ac:dyDescent="0.2"/>
    <row r="354" outlineLevel="1" x14ac:dyDescent="0.2"/>
    <row r="379" outlineLevel="1" x14ac:dyDescent="0.2"/>
    <row r="380" outlineLevel="1" x14ac:dyDescent="0.2"/>
    <row r="381" outlineLevel="1" x14ac:dyDescent="0.2"/>
    <row r="409" outlineLevel="1" x14ac:dyDescent="0.2"/>
    <row r="410" outlineLevel="1" x14ac:dyDescent="0.2"/>
    <row r="411" outlineLevel="1" x14ac:dyDescent="0.2"/>
    <row r="440" outlineLevel="1" x14ac:dyDescent="0.2"/>
    <row r="441" outlineLevel="1" x14ac:dyDescent="0.2"/>
    <row r="442" outlineLevel="1" x14ac:dyDescent="0.2"/>
    <row r="462" outlineLevel="1" x14ac:dyDescent="0.2"/>
    <row r="463" outlineLevel="1" x14ac:dyDescent="0.2"/>
    <row r="464" outlineLevel="1" x14ac:dyDescent="0.2"/>
    <row r="488" outlineLevel="1" x14ac:dyDescent="0.2"/>
    <row r="489" outlineLevel="1" x14ac:dyDescent="0.2"/>
    <row r="490" outlineLevel="1" x14ac:dyDescent="0.2"/>
    <row r="516" outlineLevel="1" x14ac:dyDescent="0.2"/>
    <row r="517" outlineLevel="1" x14ac:dyDescent="0.2"/>
    <row r="518" outlineLevel="1" x14ac:dyDescent="0.2"/>
    <row r="539" outlineLevel="1" x14ac:dyDescent="0.2"/>
    <row r="540" outlineLevel="1" x14ac:dyDescent="0.2"/>
    <row r="541" outlineLevel="1" x14ac:dyDescent="0.2"/>
    <row r="563" outlineLevel="1" x14ac:dyDescent="0.2"/>
    <row r="564" outlineLevel="1" x14ac:dyDescent="0.2"/>
    <row r="565" outlineLevel="1" x14ac:dyDescent="0.2"/>
    <row r="587" outlineLevel="1" x14ac:dyDescent="0.2"/>
    <row r="588" outlineLevel="1" x14ac:dyDescent="0.2"/>
    <row r="589" outlineLevel="1" x14ac:dyDescent="0.2"/>
    <row r="607" outlineLevel="1" x14ac:dyDescent="0.2"/>
    <row r="608" outlineLevel="1" x14ac:dyDescent="0.2"/>
    <row r="609" outlineLevel="1" x14ac:dyDescent="0.2"/>
    <row r="610" outlineLevel="1" x14ac:dyDescent="0.2"/>
    <row r="635" outlineLevel="1" x14ac:dyDescent="0.2"/>
    <row r="636" outlineLevel="1" x14ac:dyDescent="0.2"/>
    <row r="637" outlineLevel="1" x14ac:dyDescent="0.2"/>
    <row r="638" outlineLevel="1" x14ac:dyDescent="0.2"/>
    <row r="664" outlineLevel="1" x14ac:dyDescent="0.2"/>
    <row r="665" outlineLevel="1" x14ac:dyDescent="0.2"/>
    <row r="666" outlineLevel="1" x14ac:dyDescent="0.2"/>
    <row r="667" outlineLevel="1" x14ac:dyDescent="0.2"/>
    <row r="693" outlineLevel="1" x14ac:dyDescent="0.2"/>
    <row r="694" outlineLevel="1" x14ac:dyDescent="0.2"/>
    <row r="695" outlineLevel="1" x14ac:dyDescent="0.2"/>
    <row r="696" outlineLevel="1" x14ac:dyDescent="0.2"/>
    <row r="715" outlineLevel="1" x14ac:dyDescent="0.2"/>
    <row r="716" outlineLevel="1" x14ac:dyDescent="0.2"/>
    <row r="717" outlineLevel="1" x14ac:dyDescent="0.2"/>
    <row r="718" outlineLevel="1" x14ac:dyDescent="0.2"/>
    <row r="739" outlineLevel="1" x14ac:dyDescent="0.2"/>
    <row r="740" outlineLevel="1" x14ac:dyDescent="0.2"/>
    <row r="741" outlineLevel="1" x14ac:dyDescent="0.2"/>
    <row r="742" outlineLevel="1" x14ac:dyDescent="0.2"/>
    <row r="767" outlineLevel="1" x14ac:dyDescent="0.2"/>
    <row r="768" outlineLevel="1" x14ac:dyDescent="0.2"/>
    <row r="769" outlineLevel="1" x14ac:dyDescent="0.2"/>
    <row r="770" outlineLevel="1" x14ac:dyDescent="0.2"/>
    <row r="790" outlineLevel="1" x14ac:dyDescent="0.2"/>
    <row r="791" outlineLevel="1" x14ac:dyDescent="0.2"/>
    <row r="792" outlineLevel="1" x14ac:dyDescent="0.2"/>
    <row r="793" outlineLevel="1" x14ac:dyDescent="0.2"/>
    <row r="815" outlineLevel="1" x14ac:dyDescent="0.2"/>
    <row r="816" outlineLevel="1" x14ac:dyDescent="0.2"/>
    <row r="817" outlineLevel="1" x14ac:dyDescent="0.2"/>
    <row r="818" outlineLevel="1" x14ac:dyDescent="0.2"/>
    <row r="839" outlineLevel="1" x14ac:dyDescent="0.2"/>
    <row r="840" outlineLevel="1" x14ac:dyDescent="0.2"/>
    <row r="841" outlineLevel="1" x14ac:dyDescent="0.2"/>
    <row r="842" outlineLevel="1" x14ac:dyDescent="0.2"/>
    <row r="865" outlineLevel="1" x14ac:dyDescent="0.2"/>
    <row r="866" outlineLevel="1" x14ac:dyDescent="0.2"/>
    <row r="867" outlineLevel="1" x14ac:dyDescent="0.2"/>
    <row r="868" outlineLevel="1" x14ac:dyDescent="0.2"/>
  </sheetData>
  <mergeCells count="6">
    <mergeCell ref="A1:F1"/>
    <mergeCell ref="D2:E2"/>
    <mergeCell ref="F2:F3"/>
    <mergeCell ref="C2:C3"/>
    <mergeCell ref="B2:B3"/>
    <mergeCell ref="A2:A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view="pageBreakPreview" zoomScaleNormal="100" zoomScaleSheetLayoutView="100" workbookViewId="0">
      <selection activeCell="D6" sqref="D6"/>
    </sheetView>
  </sheetViews>
  <sheetFormatPr defaultRowHeight="15" x14ac:dyDescent="0.25"/>
  <cols>
    <col min="1" max="1" width="20" style="474" customWidth="1"/>
    <col min="2" max="2" width="37.7109375" style="474" customWidth="1"/>
    <col min="3" max="3" width="16.85546875" style="474" customWidth="1"/>
    <col min="4" max="4" width="15" style="474" customWidth="1"/>
    <col min="5" max="5" width="13.85546875" style="474" hidden="1" customWidth="1"/>
    <col min="6" max="6" width="14.140625" style="474" hidden="1" customWidth="1"/>
    <col min="7" max="7" width="17.7109375" style="474" hidden="1" customWidth="1"/>
    <col min="8" max="8" width="13.140625" style="474" hidden="1" customWidth="1"/>
    <col min="9" max="9" width="18.140625" style="474" hidden="1" customWidth="1"/>
    <col min="10" max="10" width="35" style="474" customWidth="1"/>
    <col min="11" max="11" width="9.140625" style="474"/>
    <col min="12" max="12" width="14.85546875" style="474" bestFit="1" customWidth="1"/>
    <col min="13" max="14" width="13.42578125" style="474" bestFit="1" customWidth="1"/>
    <col min="15" max="16" width="9.140625" style="474"/>
    <col min="17" max="17" width="12.28515625" style="474" bestFit="1" customWidth="1"/>
    <col min="18" max="18" width="12" style="474" bestFit="1" customWidth="1"/>
    <col min="19" max="19" width="9.85546875" style="474" bestFit="1" customWidth="1"/>
    <col min="20" max="20" width="10.85546875" style="474" bestFit="1" customWidth="1"/>
    <col min="21" max="16384" width="9.140625" style="474"/>
  </cols>
  <sheetData>
    <row r="1" spans="1:17" x14ac:dyDescent="0.25">
      <c r="A1" s="640" t="s">
        <v>2962</v>
      </c>
      <c r="B1" s="640"/>
      <c r="C1" s="640"/>
      <c r="D1" s="640"/>
      <c r="E1" s="640"/>
      <c r="F1" s="640"/>
      <c r="G1" s="640"/>
      <c r="H1" s="640"/>
      <c r="I1" s="640"/>
      <c r="J1" s="640"/>
    </row>
    <row r="2" spans="1:17" ht="20.25" customHeight="1" x14ac:dyDescent="0.25">
      <c r="A2" s="647" t="s">
        <v>2961</v>
      </c>
      <c r="B2" s="647"/>
      <c r="C2" s="647"/>
      <c r="D2" s="647"/>
      <c r="E2" s="647"/>
      <c r="F2" s="647"/>
      <c r="G2" s="647"/>
      <c r="H2" s="647"/>
      <c r="I2" s="647"/>
      <c r="J2" s="647"/>
    </row>
    <row r="3" spans="1:17" ht="31.5" customHeight="1" x14ac:dyDescent="0.25">
      <c r="A3" s="648" t="str">
        <f>НМЦ!B3</f>
        <v>Всесезонный туристско-рекреационный комплекс «Эльбрус», 
Кабардино-Балкарская Республика. Пассажирская подвесная канатная дорога EL6</v>
      </c>
      <c r="B3" s="648"/>
      <c r="C3" s="648"/>
      <c r="D3" s="648"/>
      <c r="E3" s="648"/>
      <c r="F3" s="648"/>
      <c r="G3" s="648"/>
      <c r="H3" s="648"/>
      <c r="I3" s="648"/>
      <c r="J3" s="648"/>
    </row>
    <row r="4" spans="1:17" ht="31.5" customHeight="1" x14ac:dyDescent="0.25">
      <c r="A4" s="475" t="s">
        <v>2936</v>
      </c>
      <c r="B4" s="476" t="s">
        <v>2937</v>
      </c>
      <c r="C4" s="641" t="s">
        <v>2938</v>
      </c>
      <c r="D4" s="641"/>
      <c r="E4" s="477" t="s">
        <v>548</v>
      </c>
      <c r="F4" s="477" t="s">
        <v>2358</v>
      </c>
      <c r="G4" s="477" t="s">
        <v>550</v>
      </c>
      <c r="H4" s="477" t="s">
        <v>551</v>
      </c>
      <c r="I4" s="477" t="s">
        <v>552</v>
      </c>
      <c r="J4" s="478" t="s">
        <v>2939</v>
      </c>
    </row>
    <row r="5" spans="1:17" x14ac:dyDescent="0.25">
      <c r="A5" s="475">
        <v>1</v>
      </c>
      <c r="B5" s="475">
        <v>2</v>
      </c>
      <c r="C5" s="475">
        <v>3</v>
      </c>
      <c r="D5" s="479">
        <v>4</v>
      </c>
      <c r="E5" s="479"/>
      <c r="F5" s="479"/>
      <c r="G5" s="479"/>
      <c r="H5" s="479"/>
      <c r="I5" s="479"/>
      <c r="J5" s="480">
        <v>5</v>
      </c>
    </row>
    <row r="6" spans="1:17" ht="81.75" customHeight="1" x14ac:dyDescent="0.25">
      <c r="A6" s="481">
        <v>1</v>
      </c>
      <c r="B6" s="482" t="s">
        <v>2959</v>
      </c>
      <c r="C6" s="483" t="s">
        <v>3020</v>
      </c>
      <c r="D6" s="518">
        <f>98000*C12*0</f>
        <v>0</v>
      </c>
      <c r="E6" s="484">
        <v>1</v>
      </c>
      <c r="F6" s="485">
        <f>D6*E6</f>
        <v>0</v>
      </c>
      <c r="G6" s="486">
        <v>1</v>
      </c>
      <c r="H6" s="485">
        <f>F6*G6</f>
        <v>0</v>
      </c>
      <c r="I6" s="487">
        <f>F6+(H6-F6)*(1-30/100)</f>
        <v>0</v>
      </c>
      <c r="J6" s="488" t="s">
        <v>2960</v>
      </c>
      <c r="K6" s="489"/>
      <c r="L6" s="490"/>
    </row>
    <row r="7" spans="1:17" x14ac:dyDescent="0.25">
      <c r="A7" s="481">
        <v>2</v>
      </c>
      <c r="B7" s="488" t="s">
        <v>2940</v>
      </c>
      <c r="C7" s="483"/>
      <c r="D7" s="485">
        <f>D6*2%</f>
        <v>0</v>
      </c>
      <c r="E7" s="484"/>
      <c r="F7" s="485">
        <f>F6*2%</f>
        <v>0</v>
      </c>
      <c r="G7" s="486"/>
      <c r="H7" s="485">
        <f>H6*2%</f>
        <v>0</v>
      </c>
      <c r="I7" s="485">
        <f>I6*2%</f>
        <v>0</v>
      </c>
      <c r="J7" s="488"/>
      <c r="K7" s="489"/>
      <c r="L7" s="490"/>
    </row>
    <row r="8" spans="1:17" x14ac:dyDescent="0.25">
      <c r="A8" s="481"/>
      <c r="B8" s="491" t="s">
        <v>739</v>
      </c>
      <c r="C8" s="483"/>
      <c r="D8" s="485">
        <f>D6+D7</f>
        <v>0</v>
      </c>
      <c r="E8" s="485"/>
      <c r="F8" s="485">
        <f>F6+F7</f>
        <v>0</v>
      </c>
      <c r="G8" s="485"/>
      <c r="H8" s="485">
        <f>H6+H7</f>
        <v>0</v>
      </c>
      <c r="I8" s="485">
        <f>I6+I7</f>
        <v>0</v>
      </c>
      <c r="J8" s="492"/>
    </row>
    <row r="9" spans="1:17" x14ac:dyDescent="0.25">
      <c r="A9" s="481"/>
      <c r="B9" s="491" t="s">
        <v>2310</v>
      </c>
      <c r="C9" s="483"/>
      <c r="D9" s="493">
        <f>D8*0.2</f>
        <v>0</v>
      </c>
      <c r="E9" s="493"/>
      <c r="F9" s="493">
        <f>F8*0.2</f>
        <v>0</v>
      </c>
      <c r="G9" s="493"/>
      <c r="H9" s="493">
        <f>H8*0.2</f>
        <v>0</v>
      </c>
      <c r="I9" s="493">
        <f>I8*0.2</f>
        <v>0</v>
      </c>
      <c r="J9" s="494"/>
    </row>
    <row r="10" spans="1:17" x14ac:dyDescent="0.25">
      <c r="A10" s="481"/>
      <c r="B10" s="491" t="s">
        <v>2941</v>
      </c>
      <c r="C10" s="483"/>
      <c r="D10" s="493">
        <f>D8+D9</f>
        <v>0</v>
      </c>
      <c r="E10" s="493"/>
      <c r="F10" s="493">
        <f>F8+F9</f>
        <v>0</v>
      </c>
      <c r="G10" s="493"/>
      <c r="H10" s="493">
        <f>H8+H9</f>
        <v>0</v>
      </c>
      <c r="I10" s="493">
        <f>I8+I9</f>
        <v>0</v>
      </c>
      <c r="J10" s="494"/>
    </row>
    <row r="11" spans="1:17" x14ac:dyDescent="0.25">
      <c r="Q11" s="495"/>
    </row>
    <row r="12" spans="1:17" x14ac:dyDescent="0.25">
      <c r="A12" s="474" t="s">
        <v>3019</v>
      </c>
      <c r="C12" s="590">
        <v>88.995999999999995</v>
      </c>
    </row>
    <row r="13" spans="1:17" hidden="1" x14ac:dyDescent="0.25"/>
    <row r="14" spans="1:17" ht="64.150000000000006" hidden="1" customHeight="1" x14ac:dyDescent="0.25">
      <c r="A14" s="642" t="s">
        <v>2942</v>
      </c>
      <c r="B14" s="642"/>
      <c r="C14" s="496" t="s">
        <v>2943</v>
      </c>
      <c r="D14" s="497">
        <f>K14*L14*M14*N14*O14</f>
        <v>1.139</v>
      </c>
      <c r="E14" s="498"/>
      <c r="F14" s="498"/>
      <c r="G14" s="498"/>
      <c r="H14" s="498"/>
      <c r="I14" s="498"/>
      <c r="J14" s="498"/>
      <c r="K14" s="498">
        <f>K15/100</f>
        <v>1.0311999999999999</v>
      </c>
      <c r="L14" s="498">
        <f t="shared" ref="L14:O14" si="0">L15/100</f>
        <v>1.0258</v>
      </c>
      <c r="M14" s="498">
        <f t="shared" si="0"/>
        <v>1.0358000000000001</v>
      </c>
      <c r="N14" s="498">
        <f t="shared" si="0"/>
        <v>1.0253000000000001</v>
      </c>
      <c r="O14" s="498">
        <f t="shared" si="0"/>
        <v>1.0141</v>
      </c>
    </row>
    <row r="15" spans="1:17" hidden="1" x14ac:dyDescent="0.25">
      <c r="A15" s="499" t="s">
        <v>703</v>
      </c>
      <c r="B15" s="499"/>
      <c r="C15" s="499"/>
      <c r="D15" s="499"/>
      <c r="E15" s="499"/>
      <c r="F15" s="499"/>
      <c r="G15" s="499"/>
      <c r="H15" s="499"/>
      <c r="I15" s="499"/>
      <c r="J15" s="499"/>
      <c r="K15" s="499">
        <v>103.12</v>
      </c>
      <c r="L15" s="474">
        <v>102.58</v>
      </c>
      <c r="M15" s="474">
        <v>103.58</v>
      </c>
      <c r="N15" s="500">
        <v>102.53</v>
      </c>
      <c r="O15" s="500">
        <v>101.41</v>
      </c>
    </row>
    <row r="16" spans="1:17" ht="27" hidden="1" customHeight="1" x14ac:dyDescent="0.25">
      <c r="A16" s="643" t="s">
        <v>2944</v>
      </c>
      <c r="B16" s="643"/>
      <c r="C16" s="643"/>
      <c r="D16" s="643"/>
      <c r="E16" s="643"/>
      <c r="F16" s="643"/>
      <c r="G16" s="643"/>
      <c r="H16" s="643"/>
      <c r="I16" s="643"/>
      <c r="J16" s="643"/>
      <c r="K16" s="643"/>
    </row>
    <row r="17" spans="1:18" hidden="1" x14ac:dyDescent="0.25">
      <c r="A17" s="643"/>
      <c r="B17" s="643"/>
      <c r="C17" s="643"/>
      <c r="D17" s="643"/>
      <c r="E17" s="643"/>
      <c r="F17" s="643"/>
      <c r="G17" s="643"/>
      <c r="H17" s="643"/>
      <c r="I17" s="643"/>
      <c r="J17" s="643"/>
      <c r="K17" s="643"/>
    </row>
    <row r="18" spans="1:18" s="498" customFormat="1" ht="32.25" hidden="1" customHeight="1" x14ac:dyDescent="0.25">
      <c r="A18" s="644" t="s">
        <v>2945</v>
      </c>
      <c r="B18" s="644"/>
      <c r="C18" s="644"/>
      <c r="D18" s="499"/>
      <c r="E18" s="499"/>
      <c r="F18" s="499"/>
      <c r="G18" s="501"/>
      <c r="K18" s="502">
        <v>100.15</v>
      </c>
      <c r="L18" s="502">
        <v>101.67</v>
      </c>
      <c r="M18" s="503">
        <v>100</v>
      </c>
      <c r="N18" s="502">
        <v>100.26</v>
      </c>
      <c r="O18" s="502">
        <v>100.25</v>
      </c>
      <c r="P18" s="502">
        <v>99.91</v>
      </c>
      <c r="Q18" s="502"/>
      <c r="R18" s="502"/>
    </row>
    <row r="19" spans="1:18" s="498" customFormat="1" ht="30" hidden="1" x14ac:dyDescent="0.25">
      <c r="A19" s="504" t="s">
        <v>2303</v>
      </c>
      <c r="B19" s="504">
        <v>4</v>
      </c>
      <c r="C19" s="499" t="s">
        <v>2946</v>
      </c>
      <c r="D19" s="499"/>
      <c r="E19" s="499"/>
      <c r="F19" s="499"/>
      <c r="G19" s="501"/>
      <c r="K19" s="474">
        <f>K18/100</f>
        <v>1.0015000000000001</v>
      </c>
      <c r="L19" s="474">
        <f t="shared" ref="L19:P19" si="1">L18/100</f>
        <v>1.0166999999999999</v>
      </c>
      <c r="M19" s="474">
        <f t="shared" si="1"/>
        <v>1</v>
      </c>
      <c r="N19" s="474">
        <f t="shared" si="1"/>
        <v>1.0025999999999999</v>
      </c>
      <c r="O19" s="474">
        <f t="shared" si="1"/>
        <v>1.0024999999999999</v>
      </c>
      <c r="P19" s="474">
        <f t="shared" si="1"/>
        <v>0.99909999999999999</v>
      </c>
      <c r="Q19" s="474"/>
      <c r="R19" s="474"/>
    </row>
    <row r="20" spans="1:18" s="498" customFormat="1" hidden="1" x14ac:dyDescent="0.25">
      <c r="A20" s="499" t="s">
        <v>2305</v>
      </c>
      <c r="B20" s="505">
        <v>44348</v>
      </c>
      <c r="C20" s="499"/>
      <c r="D20" s="499"/>
      <c r="E20" s="499"/>
      <c r="F20" s="499"/>
      <c r="G20" s="501"/>
      <c r="K20" s="474" t="s">
        <v>2947</v>
      </c>
      <c r="L20" s="474" t="s">
        <v>2948</v>
      </c>
      <c r="M20" s="474" t="s">
        <v>2949</v>
      </c>
      <c r="N20" s="474" t="s">
        <v>2950</v>
      </c>
      <c r="O20" s="474" t="s">
        <v>2951</v>
      </c>
      <c r="P20" s="474"/>
      <c r="Q20" s="474"/>
      <c r="R20" s="474">
        <v>2020</v>
      </c>
    </row>
    <row r="21" spans="1:18" s="498" customFormat="1" hidden="1" x14ac:dyDescent="0.25">
      <c r="A21" s="499" t="s">
        <v>2306</v>
      </c>
      <c r="B21" s="506">
        <v>44470</v>
      </c>
      <c r="C21" s="499"/>
      <c r="D21" s="499"/>
      <c r="E21" s="499"/>
      <c r="F21" s="499"/>
      <c r="G21" s="501"/>
      <c r="K21" s="502">
        <v>102.52</v>
      </c>
      <c r="L21" s="502">
        <v>98.55</v>
      </c>
      <c r="M21" s="502">
        <v>99.67</v>
      </c>
      <c r="N21" s="502">
        <v>100.78</v>
      </c>
      <c r="O21" s="502">
        <v>101.01</v>
      </c>
      <c r="P21" s="474"/>
      <c r="Q21" s="474"/>
      <c r="R21" s="474"/>
    </row>
    <row r="22" spans="1:18" s="498" customFormat="1" hidden="1" x14ac:dyDescent="0.25">
      <c r="A22" s="499" t="s">
        <v>2952</v>
      </c>
      <c r="B22" s="499"/>
      <c r="C22" s="499"/>
      <c r="D22" s="499"/>
      <c r="E22" s="499"/>
      <c r="F22" s="499"/>
      <c r="G22" s="501"/>
      <c r="K22" s="474">
        <f>K21/100</f>
        <v>1.0251999999999999</v>
      </c>
      <c r="L22" s="474">
        <f t="shared" ref="L22:O22" si="2">L21/100</f>
        <v>0.98550000000000004</v>
      </c>
      <c r="M22" s="474">
        <f t="shared" si="2"/>
        <v>0.99670000000000003</v>
      </c>
      <c r="N22" s="474">
        <f t="shared" si="2"/>
        <v>1.0078</v>
      </c>
      <c r="O22" s="474">
        <f t="shared" si="2"/>
        <v>1.0101</v>
      </c>
      <c r="P22" s="474"/>
      <c r="Q22" s="474"/>
      <c r="R22" s="474"/>
    </row>
    <row r="23" spans="1:18" s="498" customFormat="1" ht="39.75" hidden="1" customHeight="1" x14ac:dyDescent="0.25">
      <c r="A23" s="645" t="s">
        <v>2953</v>
      </c>
      <c r="B23" s="645"/>
      <c r="C23" s="645"/>
      <c r="D23" s="645"/>
      <c r="E23" s="507">
        <v>1.036</v>
      </c>
      <c r="F23" s="499"/>
      <c r="G23" s="501"/>
    </row>
    <row r="24" spans="1:18" s="498" customFormat="1" ht="29.25" hidden="1" customHeight="1" x14ac:dyDescent="0.25">
      <c r="A24" s="508" t="s">
        <v>2954</v>
      </c>
      <c r="B24" s="509"/>
      <c r="C24" s="510"/>
      <c r="D24" s="511"/>
      <c r="E24" s="512">
        <f>1.036^(1/12)</f>
        <v>1.00295</v>
      </c>
      <c r="F24" s="499"/>
      <c r="G24" s="513"/>
    </row>
    <row r="25" spans="1:18" s="498" customFormat="1" ht="30.75" hidden="1" customHeight="1" x14ac:dyDescent="0.25">
      <c r="A25" s="645" t="s">
        <v>2955</v>
      </c>
      <c r="B25" s="645"/>
      <c r="C25" s="645"/>
      <c r="D25" s="645"/>
      <c r="E25" s="507">
        <v>1.0369999999999999</v>
      </c>
      <c r="F25" s="499"/>
      <c r="G25" s="501"/>
    </row>
    <row r="26" spans="1:18" s="498" customFormat="1" ht="29.25" hidden="1" customHeight="1" x14ac:dyDescent="0.25">
      <c r="A26" s="508" t="s">
        <v>2956</v>
      </c>
      <c r="B26" s="509"/>
      <c r="C26" s="510"/>
      <c r="D26" s="511"/>
      <c r="E26" s="512">
        <f>1.037^(1/12)</f>
        <v>1.0030300000000001</v>
      </c>
      <c r="F26" s="499"/>
      <c r="G26" s="513"/>
    </row>
    <row r="27" spans="1:18" s="498" customFormat="1" ht="46.5" hidden="1" customHeight="1" x14ac:dyDescent="0.25">
      <c r="A27" s="514" t="s">
        <v>2957</v>
      </c>
      <c r="B27" s="646" t="s">
        <v>2958</v>
      </c>
      <c r="C27" s="646"/>
      <c r="D27" s="646"/>
      <c r="E27" s="515">
        <f>1.00295^5*(1.00303^5+1.00303^9)/2</f>
        <v>1.0365800000000001</v>
      </c>
      <c r="F27" s="499"/>
      <c r="G27" s="515"/>
      <c r="K27" s="516"/>
      <c r="L27" s="516"/>
      <c r="M27" s="516"/>
      <c r="N27" s="516"/>
      <c r="O27" s="516"/>
      <c r="P27" s="516"/>
      <c r="Q27" s="517"/>
    </row>
    <row r="28" spans="1:18" x14ac:dyDescent="0.25">
      <c r="Q28" s="495"/>
    </row>
  </sheetData>
  <mergeCells count="11">
    <mergeCell ref="A18:C18"/>
    <mergeCell ref="A23:D23"/>
    <mergeCell ref="A25:D25"/>
    <mergeCell ref="B27:D27"/>
    <mergeCell ref="A2:J2"/>
    <mergeCell ref="A3:J3"/>
    <mergeCell ref="A1:J1"/>
    <mergeCell ref="C4:D4"/>
    <mergeCell ref="A14:B14"/>
    <mergeCell ref="A16:K16"/>
    <mergeCell ref="A17:K17"/>
  </mergeCells>
  <pageMargins left="0.7" right="0.7" top="0.75" bottom="0.75" header="0.3" footer="0.3"/>
  <pageSetup paperSize="9" scale="7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Q839"/>
  <sheetViews>
    <sheetView view="pageBreakPreview" topLeftCell="A787" zoomScaleNormal="100" zoomScaleSheetLayoutView="100" workbookViewId="0">
      <selection activeCell="A834" sqref="A834:F834"/>
    </sheetView>
  </sheetViews>
  <sheetFormatPr defaultRowHeight="15.75" outlineLevelRow="4" x14ac:dyDescent="0.25"/>
  <cols>
    <col min="1" max="1" width="11.28515625" style="383" bestFit="1" customWidth="1"/>
    <col min="2" max="2" width="21.85546875" style="117" customWidth="1"/>
    <col min="3" max="3" width="54.42578125" style="117" customWidth="1"/>
    <col min="4" max="4" width="19" style="117" customWidth="1"/>
    <col min="5" max="5" width="14.85546875" style="198" customWidth="1"/>
    <col min="6" max="6" width="18" style="198" customWidth="1"/>
    <col min="7" max="7" width="14.85546875" style="198" customWidth="1"/>
    <col min="8" max="8" width="19.7109375" style="117" customWidth="1"/>
    <col min="9" max="9" width="14.85546875" style="198" customWidth="1"/>
    <col min="10" max="11" width="19.7109375" style="117" customWidth="1"/>
    <col min="12" max="12" width="38.7109375" style="117" customWidth="1"/>
    <col min="13" max="13" width="15" style="117" customWidth="1"/>
    <col min="14" max="14" width="9.140625" style="117" customWidth="1"/>
    <col min="15" max="15" width="14" style="117" customWidth="1"/>
    <col min="16" max="16" width="14.85546875" style="117" customWidth="1"/>
    <col min="17" max="17" width="12.85546875" style="117" customWidth="1"/>
    <col min="18" max="16384" width="9.140625" style="117"/>
  </cols>
  <sheetData>
    <row r="1" spans="1:17" ht="29.25" customHeight="1" x14ac:dyDescent="0.25">
      <c r="A1" s="622" t="s">
        <v>537</v>
      </c>
      <c r="B1" s="622"/>
      <c r="C1" s="622"/>
      <c r="D1" s="622"/>
      <c r="E1" s="622"/>
      <c r="F1" s="622"/>
      <c r="G1" s="622"/>
      <c r="H1" s="622"/>
      <c r="I1" s="117"/>
    </row>
    <row r="2" spans="1:17" ht="29.25" customHeight="1" x14ac:dyDescent="0.25">
      <c r="A2" s="214"/>
      <c r="B2" s="214"/>
      <c r="C2" s="214"/>
      <c r="D2" s="113"/>
      <c r="E2" s="214"/>
      <c r="F2" s="113"/>
      <c r="G2" s="214"/>
      <c r="H2" s="214"/>
      <c r="I2" s="214"/>
      <c r="J2" s="214"/>
      <c r="K2" s="214"/>
    </row>
    <row r="3" spans="1:17" ht="29.25" customHeight="1" x14ac:dyDescent="0.25">
      <c r="A3" s="114" t="s">
        <v>538</v>
      </c>
      <c r="B3" s="623" t="s">
        <v>536</v>
      </c>
      <c r="C3" s="632"/>
      <c r="D3" s="632"/>
      <c r="E3" s="632"/>
      <c r="F3" s="632"/>
      <c r="G3" s="632"/>
      <c r="H3" s="632"/>
      <c r="I3" s="117"/>
    </row>
    <row r="4" spans="1:17" ht="29.25" customHeight="1" x14ac:dyDescent="0.25">
      <c r="A4" s="115" t="s">
        <v>540</v>
      </c>
      <c r="B4" s="115" t="s">
        <v>541</v>
      </c>
      <c r="C4" s="115"/>
      <c r="D4" s="116"/>
      <c r="E4" s="115"/>
      <c r="F4" s="116"/>
      <c r="G4" s="115"/>
      <c r="I4" s="115"/>
    </row>
    <row r="5" spans="1:17" ht="29.25" customHeight="1" x14ac:dyDescent="0.25">
      <c r="A5" s="118" t="s">
        <v>542</v>
      </c>
      <c r="B5" s="83"/>
      <c r="C5" s="83"/>
      <c r="D5" s="84"/>
      <c r="E5" s="83"/>
      <c r="F5" s="84"/>
      <c r="G5" s="83"/>
      <c r="I5" s="83"/>
    </row>
    <row r="6" spans="1:17" ht="29.25" customHeight="1" x14ac:dyDescent="0.25">
      <c r="A6" s="591" t="s">
        <v>3021</v>
      </c>
      <c r="B6" s="591"/>
      <c r="C6" s="591"/>
      <c r="D6" s="591"/>
      <c r="E6" s="591"/>
      <c r="F6" s="591"/>
      <c r="G6" s="121"/>
      <c r="H6" s="121"/>
      <c r="I6" s="121"/>
      <c r="J6" s="121"/>
      <c r="K6" s="121"/>
    </row>
    <row r="7" spans="1:17" ht="29.25" customHeight="1" x14ac:dyDescent="0.25">
      <c r="A7" s="624" t="s">
        <v>2221</v>
      </c>
      <c r="B7" s="624"/>
      <c r="C7" s="624"/>
      <c r="D7" s="624"/>
      <c r="E7" s="624"/>
      <c r="F7" s="624"/>
      <c r="G7" s="624"/>
      <c r="H7" s="624"/>
      <c r="I7" s="117"/>
    </row>
    <row r="8" spans="1:17" ht="29.25" customHeight="1" x14ac:dyDescent="0.25">
      <c r="A8" s="624" t="s">
        <v>2220</v>
      </c>
      <c r="B8" s="624"/>
      <c r="C8" s="624"/>
      <c r="D8" s="624"/>
      <c r="E8" s="624"/>
      <c r="F8" s="624"/>
      <c r="G8" s="624"/>
      <c r="H8" s="624"/>
      <c r="I8" s="117"/>
    </row>
    <row r="9" spans="1:17" ht="29.25" customHeight="1" x14ac:dyDescent="0.25">
      <c r="A9" s="83"/>
      <c r="B9" s="83"/>
      <c r="C9" s="83"/>
      <c r="D9" s="84"/>
      <c r="E9" s="83"/>
      <c r="G9" s="83"/>
      <c r="I9" s="83"/>
      <c r="K9" s="117" t="s">
        <v>546</v>
      </c>
    </row>
    <row r="10" spans="1:17" ht="184.9" customHeight="1" x14ac:dyDescent="0.25">
      <c r="A10" s="85" t="s">
        <v>1</v>
      </c>
      <c r="B10" s="85" t="s">
        <v>285</v>
      </c>
      <c r="C10" s="86" t="s">
        <v>286</v>
      </c>
      <c r="D10" s="86" t="s">
        <v>287</v>
      </c>
      <c r="E10" s="86" t="s">
        <v>288</v>
      </c>
      <c r="F10" s="86" t="s">
        <v>547</v>
      </c>
      <c r="G10" s="86" t="s">
        <v>548</v>
      </c>
      <c r="H10" s="86" t="s">
        <v>2963</v>
      </c>
      <c r="I10" s="86" t="s">
        <v>550</v>
      </c>
      <c r="J10" s="86" t="s">
        <v>551</v>
      </c>
      <c r="K10" s="86" t="s">
        <v>552</v>
      </c>
      <c r="L10" s="86" t="s">
        <v>289</v>
      </c>
      <c r="M10" s="86" t="s">
        <v>290</v>
      </c>
      <c r="N10" s="86" t="s">
        <v>291</v>
      </c>
      <c r="O10" s="123" t="s">
        <v>553</v>
      </c>
      <c r="P10" s="123" t="s">
        <v>554</v>
      </c>
      <c r="Q10" s="123" t="s">
        <v>555</v>
      </c>
    </row>
    <row r="11" spans="1:17" x14ac:dyDescent="0.25">
      <c r="A11" s="85">
        <v>1</v>
      </c>
      <c r="B11" s="85">
        <v>2</v>
      </c>
      <c r="C11" s="85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6"/>
      <c r="M11" s="86"/>
      <c r="N11" s="86"/>
      <c r="O11" s="124"/>
      <c r="P11" s="124"/>
      <c r="Q11" s="124"/>
    </row>
    <row r="12" spans="1:17" s="378" customFormat="1" ht="22.15" customHeight="1" x14ac:dyDescent="0.25">
      <c r="A12" s="88">
        <v>1</v>
      </c>
      <c r="B12" s="88"/>
      <c r="C12" s="89" t="s">
        <v>81</v>
      </c>
      <c r="D12" s="125" t="s">
        <v>292</v>
      </c>
      <c r="E12" s="126">
        <v>1</v>
      </c>
      <c r="F12" s="126">
        <f>F13+F14</f>
        <v>22702097</v>
      </c>
      <c r="G12" s="127">
        <f>$G$831</f>
        <v>1.1279999999999999</v>
      </c>
      <c r="H12" s="128">
        <f>H13+H14</f>
        <v>25607966</v>
      </c>
      <c r="I12" s="127">
        <f>Дефляторы!$D$19</f>
        <v>1.016</v>
      </c>
      <c r="J12" s="128">
        <f>J13+J14</f>
        <v>26017694</v>
      </c>
      <c r="K12" s="128">
        <f>K13+K14</f>
        <v>25894776</v>
      </c>
      <c r="L12" s="376"/>
      <c r="M12" s="376"/>
      <c r="N12" s="376"/>
      <c r="O12" s="377">
        <v>44166</v>
      </c>
      <c r="P12" s="377">
        <v>44256</v>
      </c>
      <c r="Q12" s="378">
        <f>P12-O12</f>
        <v>90</v>
      </c>
    </row>
    <row r="13" spans="1:17" s="380" customFormat="1" ht="34.5" customHeight="1" outlineLevel="1" x14ac:dyDescent="0.25">
      <c r="A13" s="132" t="s">
        <v>293</v>
      </c>
      <c r="B13" s="132" t="s">
        <v>706</v>
      </c>
      <c r="C13" s="133" t="s">
        <v>294</v>
      </c>
      <c r="D13" s="134" t="s">
        <v>292</v>
      </c>
      <c r="E13" s="90">
        <v>1</v>
      </c>
      <c r="F13" s="90">
        <f>'Затраты подрядчика'!O118</f>
        <v>22256958</v>
      </c>
      <c r="G13" s="135">
        <f>$G$831</f>
        <v>1.1279999999999999</v>
      </c>
      <c r="H13" s="136">
        <f>F13*G13</f>
        <v>25105849</v>
      </c>
      <c r="I13" s="135">
        <f>Дефляторы!$D$19</f>
        <v>1.016</v>
      </c>
      <c r="J13" s="136">
        <f>H13*I13</f>
        <v>25507543</v>
      </c>
      <c r="K13" s="136">
        <f>H13+(J13-H13)*(1-30/100)</f>
        <v>25387035</v>
      </c>
      <c r="L13" s="379"/>
      <c r="M13" s="379"/>
      <c r="N13" s="379"/>
    </row>
    <row r="14" spans="1:17" s="380" customFormat="1" outlineLevel="1" x14ac:dyDescent="0.25">
      <c r="A14" s="132" t="s">
        <v>295</v>
      </c>
      <c r="B14" s="320"/>
      <c r="C14" s="133" t="s">
        <v>556</v>
      </c>
      <c r="D14" s="134" t="s">
        <v>292</v>
      </c>
      <c r="E14" s="90">
        <v>1</v>
      </c>
      <c r="F14" s="90">
        <f>F13*2%</f>
        <v>445139</v>
      </c>
      <c r="G14" s="135">
        <f>$G$831</f>
        <v>1.1279999999999999</v>
      </c>
      <c r="H14" s="136">
        <f>F14*G14</f>
        <v>502117</v>
      </c>
      <c r="I14" s="135">
        <f>Дефляторы!$D$19</f>
        <v>1.016</v>
      </c>
      <c r="J14" s="136">
        <f>H14*I14</f>
        <v>510151</v>
      </c>
      <c r="K14" s="136">
        <f>H14+(J14-H14)*(1-30/100)</f>
        <v>507741</v>
      </c>
      <c r="L14" s="379"/>
      <c r="M14" s="379"/>
      <c r="N14" s="379"/>
    </row>
    <row r="15" spans="1:17" s="378" customFormat="1" ht="32.450000000000003" customHeight="1" x14ac:dyDescent="0.25">
      <c r="A15" s="92" t="s">
        <v>296</v>
      </c>
      <c r="B15" s="92"/>
      <c r="C15" s="89" t="s">
        <v>297</v>
      </c>
      <c r="D15" s="125" t="s">
        <v>292</v>
      </c>
      <c r="E15" s="126">
        <v>1</v>
      </c>
      <c r="F15" s="126">
        <f>F16+F19+F125+F236+F248+F258+F259+F478+F484+F569+F793+F797+F798+F799+F803+F804</f>
        <v>823682048</v>
      </c>
      <c r="G15" s="127"/>
      <c r="H15" s="126">
        <f>H16+H19+H125+H236+H248+H258+H259+H478+H484+H569+H793+H797+H798+H799+H803+H804</f>
        <v>927813253</v>
      </c>
      <c r="I15" s="350"/>
      <c r="J15" s="126">
        <f>J16+J19+J125+J236+J248+J258+J259+J478+J484+J569+J793+J797+J798+J799+J803+J804</f>
        <v>975465932</v>
      </c>
      <c r="K15" s="126">
        <f>K16+K19+K125+K236+K248+K258+K259+K478+K484+K569+K793+K797+K798+K799+K803+K804</f>
        <v>961170158</v>
      </c>
      <c r="L15" s="376"/>
      <c r="M15" s="376"/>
      <c r="N15" s="376"/>
    </row>
    <row r="16" spans="1:17" s="378" customFormat="1" ht="15.75" customHeight="1" outlineLevel="1" collapsed="1" x14ac:dyDescent="0.25">
      <c r="A16" s="92" t="s">
        <v>298</v>
      </c>
      <c r="B16" s="92"/>
      <c r="C16" s="89" t="s">
        <v>557</v>
      </c>
      <c r="D16" s="125" t="s">
        <v>292</v>
      </c>
      <c r="E16" s="126">
        <v>1</v>
      </c>
      <c r="F16" s="126">
        <f>F17+F18</f>
        <v>69403</v>
      </c>
      <c r="G16" s="127">
        <f>$G$831</f>
        <v>1.1279999999999999</v>
      </c>
      <c r="H16" s="128">
        <f>H17+H18</f>
        <v>78287</v>
      </c>
      <c r="I16" s="127">
        <f>Дефляторы!$D$25</f>
        <v>1.052</v>
      </c>
      <c r="J16" s="128">
        <f>J17+J18</f>
        <v>82358</v>
      </c>
      <c r="K16" s="128">
        <f>K17+K18</f>
        <v>81137</v>
      </c>
      <c r="L16" s="376"/>
      <c r="M16" s="376"/>
      <c r="N16" s="376"/>
      <c r="O16" s="377">
        <v>44287</v>
      </c>
      <c r="P16" s="377">
        <v>44348</v>
      </c>
      <c r="Q16" s="378">
        <f>P16-O16</f>
        <v>61</v>
      </c>
    </row>
    <row r="17" spans="1:14" s="383" customFormat="1" ht="33.75" hidden="1" customHeight="1" outlineLevel="2" x14ac:dyDescent="0.25">
      <c r="A17" s="363" t="s">
        <v>558</v>
      </c>
      <c r="B17" s="381" t="s">
        <v>19</v>
      </c>
      <c r="C17" s="202" t="str">
        <f>'Затраты подрядчика'!C29</f>
        <v>Затраты на проведение биологических мероприятий по рекультивации</v>
      </c>
      <c r="D17" s="143" t="s">
        <v>404</v>
      </c>
      <c r="E17" s="144">
        <v>246</v>
      </c>
      <c r="F17" s="144">
        <f>'Затраты подрядчика'!P29</f>
        <v>49492</v>
      </c>
      <c r="G17" s="145">
        <f>$G$831</f>
        <v>1.1279999999999999</v>
      </c>
      <c r="H17" s="146">
        <f>F17*G17</f>
        <v>55827</v>
      </c>
      <c r="I17" s="145">
        <f>Дефляторы!$D$25</f>
        <v>1.052</v>
      </c>
      <c r="J17" s="146">
        <f t="shared" ref="J17" si="0">H17*I17</f>
        <v>58730</v>
      </c>
      <c r="K17" s="146">
        <f>H17+(J17-H17)*(1-30/100)</f>
        <v>57859</v>
      </c>
      <c r="L17" s="382"/>
      <c r="M17" s="382"/>
      <c r="N17" s="382"/>
    </row>
    <row r="18" spans="1:14" s="383" customFormat="1" hidden="1" outlineLevel="2" x14ac:dyDescent="0.25">
      <c r="A18" s="363" t="s">
        <v>299</v>
      </c>
      <c r="B18" s="381" t="s">
        <v>21</v>
      </c>
      <c r="C18" s="381" t="s">
        <v>22</v>
      </c>
      <c r="D18" s="100" t="s">
        <v>404</v>
      </c>
      <c r="E18" s="149">
        <v>492</v>
      </c>
      <c r="F18" s="149">
        <f>'Затраты подрядчика'!P30</f>
        <v>19911</v>
      </c>
      <c r="G18" s="145">
        <f>$G$831</f>
        <v>1.1279999999999999</v>
      </c>
      <c r="H18" s="146">
        <f>F18*G18</f>
        <v>22460</v>
      </c>
      <c r="I18" s="145">
        <f>Дефляторы!$D$25</f>
        <v>1.052</v>
      </c>
      <c r="J18" s="146">
        <f t="shared" ref="J18" si="1">H18*I18</f>
        <v>23628</v>
      </c>
      <c r="K18" s="146">
        <f>H18+(J18-H18)*(1-30/100)</f>
        <v>23278</v>
      </c>
      <c r="L18" s="382"/>
      <c r="M18" s="382"/>
      <c r="N18" s="382"/>
    </row>
    <row r="19" spans="1:14" s="358" customFormat="1" outlineLevel="1" x14ac:dyDescent="0.25">
      <c r="A19" s="179" t="s">
        <v>301</v>
      </c>
      <c r="B19" s="422"/>
      <c r="C19" s="422" t="s">
        <v>531</v>
      </c>
      <c r="D19" s="125" t="s">
        <v>292</v>
      </c>
      <c r="E19" s="126">
        <v>1</v>
      </c>
      <c r="F19" s="126">
        <f>F20+F30+F39+F43+F51+F54+F74+F91+F93+F101+F106+F110</f>
        <v>96235895</v>
      </c>
      <c r="G19" s="127">
        <f>$G$831</f>
        <v>1.1279999999999999</v>
      </c>
      <c r="H19" s="126">
        <f>H20+H30+H39+H43+H51+H54+H74+H91+H93+H101+H106+H110</f>
        <v>108554086</v>
      </c>
      <c r="I19" s="127">
        <f>Дефляторы!$D$25</f>
        <v>1.052</v>
      </c>
      <c r="J19" s="126">
        <f>J20+J30+J39+J43+J51+J54+J74+J91+J93+J101+J106+J110</f>
        <v>114198903</v>
      </c>
      <c r="K19" s="126">
        <f>K20+K30+K39+K43+K51+K54+K74+K91+K93+K101+K106+K110</f>
        <v>112505465</v>
      </c>
      <c r="L19" s="389"/>
      <c r="M19" s="389"/>
      <c r="N19" s="389"/>
    </row>
    <row r="20" spans="1:14" s="386" customFormat="1" outlineLevel="2" collapsed="1" x14ac:dyDescent="0.25">
      <c r="A20" s="132" t="s">
        <v>302</v>
      </c>
      <c r="B20" s="320"/>
      <c r="C20" s="384" t="s">
        <v>2359</v>
      </c>
      <c r="D20" s="134" t="s">
        <v>292</v>
      </c>
      <c r="E20" s="90">
        <v>1</v>
      </c>
      <c r="F20" s="90">
        <f>SUM(F21:F29)</f>
        <v>16272345</v>
      </c>
      <c r="G20" s="135">
        <f>$G$831</f>
        <v>1.1279999999999999</v>
      </c>
      <c r="H20" s="90">
        <f>SUM(H21:H29)</f>
        <v>18355204</v>
      </c>
      <c r="I20" s="135">
        <f>Дефляторы!$D$25</f>
        <v>1.052</v>
      </c>
      <c r="J20" s="90">
        <f>SUM(J21:J29)</f>
        <v>19309674</v>
      </c>
      <c r="K20" s="90">
        <f>SUM(K21:K29)</f>
        <v>19023333</v>
      </c>
      <c r="L20" s="385"/>
      <c r="M20" s="385"/>
      <c r="N20" s="385"/>
    </row>
    <row r="21" spans="1:14" s="358" customFormat="1" hidden="1" outlineLevel="3" x14ac:dyDescent="0.25">
      <c r="A21" s="368"/>
      <c r="B21" s="387"/>
      <c r="C21" s="388" t="s">
        <v>2392</v>
      </c>
      <c r="D21" s="239"/>
      <c r="E21" s="240"/>
      <c r="F21" s="240"/>
      <c r="G21" s="241"/>
      <c r="H21" s="242"/>
      <c r="I21" s="241"/>
      <c r="J21" s="242"/>
      <c r="K21" s="242"/>
      <c r="L21" s="389"/>
      <c r="M21" s="389"/>
      <c r="N21" s="389"/>
    </row>
    <row r="22" spans="1:14" s="383" customFormat="1" hidden="1" outlineLevel="3" x14ac:dyDescent="0.25">
      <c r="A22" s="363"/>
      <c r="B22" s="381"/>
      <c r="C22" s="387" t="s">
        <v>367</v>
      </c>
      <c r="D22" s="100"/>
      <c r="E22" s="149"/>
      <c r="F22" s="149"/>
      <c r="G22" s="145"/>
      <c r="H22" s="146"/>
      <c r="I22" s="145"/>
      <c r="J22" s="146"/>
      <c r="K22" s="146"/>
      <c r="L22" s="382"/>
      <c r="M22" s="382"/>
      <c r="N22" s="382"/>
    </row>
    <row r="23" spans="1:14" s="383" customFormat="1" hidden="1" outlineLevel="3" x14ac:dyDescent="0.25">
      <c r="A23" s="363"/>
      <c r="B23" s="381"/>
      <c r="C23" s="390" t="s">
        <v>2393</v>
      </c>
      <c r="D23" s="100"/>
      <c r="E23" s="149"/>
      <c r="F23" s="149"/>
      <c r="G23" s="158"/>
      <c r="H23" s="159"/>
      <c r="I23" s="158"/>
      <c r="J23" s="159"/>
      <c r="K23" s="159"/>
      <c r="L23" s="382"/>
      <c r="M23" s="382"/>
      <c r="N23" s="382"/>
    </row>
    <row r="24" spans="1:14" s="383" customFormat="1" ht="31.5" hidden="1" outlineLevel="3" x14ac:dyDescent="0.25">
      <c r="A24" s="363" t="s">
        <v>303</v>
      </c>
      <c r="B24" s="381" t="s">
        <v>355</v>
      </c>
      <c r="C24" s="381" t="s">
        <v>356</v>
      </c>
      <c r="D24" s="100" t="s">
        <v>300</v>
      </c>
      <c r="E24" s="149">
        <f>'Земляные работы'!H13*443/503</f>
        <v>4784</v>
      </c>
      <c r="F24" s="149">
        <f>('Земляные работы'!H13/'Земляные работы'!$H$19*4511030*(1.023*1.005-2.3%*15%)*6.99-37)*443/503</f>
        <v>6832777</v>
      </c>
      <c r="G24" s="145">
        <f t="shared" ref="G24:G39" si="2">$G$831</f>
        <v>1.1279999999999999</v>
      </c>
      <c r="H24" s="146">
        <f t="shared" ref="H24:H28" si="3">F24*G24</f>
        <v>7707372</v>
      </c>
      <c r="I24" s="145">
        <f>Дефляторы!$D$25</f>
        <v>1.052</v>
      </c>
      <c r="J24" s="146">
        <f>H24*I24</f>
        <v>8108155</v>
      </c>
      <c r="K24" s="146">
        <f>H24+(J24-H24)*(1-30/100)</f>
        <v>7987920</v>
      </c>
      <c r="L24" s="382"/>
      <c r="M24" s="382"/>
      <c r="N24" s="382"/>
    </row>
    <row r="25" spans="1:14" s="383" customFormat="1" ht="31.5" hidden="1" outlineLevel="3" x14ac:dyDescent="0.25">
      <c r="A25" s="363" t="s">
        <v>306</v>
      </c>
      <c r="B25" s="381" t="s">
        <v>560</v>
      </c>
      <c r="C25" s="381" t="s">
        <v>656</v>
      </c>
      <c r="D25" s="100" t="s">
        <v>300</v>
      </c>
      <c r="E25" s="149">
        <f>'Земляные работы'!H13*443/503</f>
        <v>4784</v>
      </c>
      <c r="F25" s="149">
        <f>'Земляные работы'!H13/'Земляные работы'!$H$19*(370936+320904)*(1.023*1.005-2.3%*15%)*6.99*443/503</f>
        <v>1047923</v>
      </c>
      <c r="G25" s="145">
        <f t="shared" si="2"/>
        <v>1.1279999999999999</v>
      </c>
      <c r="H25" s="146">
        <f t="shared" si="3"/>
        <v>1182057</v>
      </c>
      <c r="I25" s="145">
        <f>Дефляторы!$D$25</f>
        <v>1.052</v>
      </c>
      <c r="J25" s="146">
        <f t="shared" ref="J25:J29" si="4">H25*I25</f>
        <v>1243524</v>
      </c>
      <c r="K25" s="146">
        <f>H25+(J25-H25)*(1-30/100)</f>
        <v>1225084</v>
      </c>
      <c r="L25" s="382"/>
      <c r="M25" s="382"/>
      <c r="N25" s="382"/>
    </row>
    <row r="26" spans="1:14" s="394" customFormat="1" ht="31.5" hidden="1" outlineLevel="3" x14ac:dyDescent="0.25">
      <c r="A26" s="363" t="s">
        <v>308</v>
      </c>
      <c r="B26" s="391" t="s">
        <v>561</v>
      </c>
      <c r="C26" s="391" t="s">
        <v>562</v>
      </c>
      <c r="D26" s="161" t="s">
        <v>300</v>
      </c>
      <c r="E26" s="162">
        <f>'Земляные работы'!K13*443/503</f>
        <v>239.1</v>
      </c>
      <c r="F26" s="149">
        <f>'Земляные работы'!K13/'Земляные работы'!K19*(139109+18545)*(1.023*1.005-2.3%*15%)*6.99*443/503+1</f>
        <v>238710</v>
      </c>
      <c r="G26" s="163">
        <f t="shared" si="2"/>
        <v>1.1279999999999999</v>
      </c>
      <c r="H26" s="164">
        <f t="shared" si="3"/>
        <v>269265</v>
      </c>
      <c r="I26" s="163">
        <f>Дефляторы!$D$25</f>
        <v>1.052</v>
      </c>
      <c r="J26" s="164">
        <f t="shared" si="4"/>
        <v>283267</v>
      </c>
      <c r="K26" s="164">
        <f t="shared" ref="K26:K29" si="5">H26+(J26-H26)*(1-30/100)</f>
        <v>279066</v>
      </c>
      <c r="L26" s="392" t="s">
        <v>563</v>
      </c>
      <c r="M26" s="393"/>
      <c r="N26" s="392"/>
    </row>
    <row r="27" spans="1:14" s="394" customFormat="1" hidden="1" outlineLevel="3" x14ac:dyDescent="0.25">
      <c r="A27" s="363" t="s">
        <v>310</v>
      </c>
      <c r="B27" s="391" t="s">
        <v>564</v>
      </c>
      <c r="C27" s="391" t="s">
        <v>565</v>
      </c>
      <c r="D27" s="161" t="s">
        <v>300</v>
      </c>
      <c r="E27" s="162">
        <f>'Земляные работы'!L13*443/503</f>
        <v>239.1</v>
      </c>
      <c r="F27" s="149">
        <f>'Земляные работы'!L13/'Земляные работы'!L19*(39510)*(1.023*1.005-2.3%*15%)*6.99*443/503</f>
        <v>59823</v>
      </c>
      <c r="G27" s="163">
        <f t="shared" si="2"/>
        <v>1.1279999999999999</v>
      </c>
      <c r="H27" s="164">
        <f t="shared" si="3"/>
        <v>67480</v>
      </c>
      <c r="I27" s="163">
        <f>Дефляторы!$D$25</f>
        <v>1.052</v>
      </c>
      <c r="J27" s="164">
        <f t="shared" si="4"/>
        <v>70989</v>
      </c>
      <c r="K27" s="164">
        <f t="shared" si="5"/>
        <v>69936</v>
      </c>
      <c r="L27" s="392" t="s">
        <v>563</v>
      </c>
      <c r="M27" s="392"/>
      <c r="N27" s="392"/>
    </row>
    <row r="28" spans="1:14" s="383" customFormat="1" ht="31.5" hidden="1" outlineLevel="3" x14ac:dyDescent="0.25">
      <c r="A28" s="363" t="s">
        <v>315</v>
      </c>
      <c r="B28" s="381" t="s">
        <v>567</v>
      </c>
      <c r="C28" s="381" t="s">
        <v>750</v>
      </c>
      <c r="D28" s="100" t="s">
        <v>300</v>
      </c>
      <c r="E28" s="168">
        <f>20100.9*'Земляные работы'!M13/'Земляные работы'!$M$19*443/503</f>
        <v>4115</v>
      </c>
      <c r="F28" s="149">
        <f>'Земляные работы'!N13/'Земляные работы'!$N$19*(60641+30320+211146)*(1.023*1.005-2.3%*15%)*6.99*443/503</f>
        <v>417882</v>
      </c>
      <c r="G28" s="145">
        <f t="shared" si="2"/>
        <v>1.1279999999999999</v>
      </c>
      <c r="H28" s="146">
        <f t="shared" si="3"/>
        <v>471371</v>
      </c>
      <c r="I28" s="145">
        <f>Дефляторы!$D$25</f>
        <v>1.052</v>
      </c>
      <c r="J28" s="146">
        <f t="shared" si="4"/>
        <v>495882</v>
      </c>
      <c r="K28" s="146">
        <f t="shared" si="5"/>
        <v>488529</v>
      </c>
      <c r="L28" s="382" t="s">
        <v>360</v>
      </c>
      <c r="M28" s="382"/>
      <c r="N28" s="382"/>
    </row>
    <row r="29" spans="1:14" s="383" customFormat="1" hidden="1" outlineLevel="3" x14ac:dyDescent="0.25">
      <c r="A29" s="363" t="s">
        <v>318</v>
      </c>
      <c r="B29" s="381" t="s">
        <v>362</v>
      </c>
      <c r="C29" s="381" t="s">
        <v>573</v>
      </c>
      <c r="D29" s="100" t="s">
        <v>305</v>
      </c>
      <c r="E29" s="149">
        <v>1</v>
      </c>
      <c r="F29" s="149">
        <f>1071599*(1.023*1.005-2.3%*15%)*6.99</f>
        <v>7675230</v>
      </c>
      <c r="G29" s="145">
        <f t="shared" si="2"/>
        <v>1.1279999999999999</v>
      </c>
      <c r="H29" s="146">
        <f>F29*G29</f>
        <v>8657659</v>
      </c>
      <c r="I29" s="145">
        <f>Дефляторы!$D$25</f>
        <v>1.052</v>
      </c>
      <c r="J29" s="146">
        <f t="shared" si="4"/>
        <v>9107857</v>
      </c>
      <c r="K29" s="146">
        <f t="shared" si="5"/>
        <v>8972798</v>
      </c>
      <c r="L29" s="382" t="s">
        <v>753</v>
      </c>
      <c r="M29" s="382"/>
      <c r="N29" s="382"/>
    </row>
    <row r="30" spans="1:14" s="386" customFormat="1" outlineLevel="2" collapsed="1" x14ac:dyDescent="0.25">
      <c r="A30" s="132" t="s">
        <v>353</v>
      </c>
      <c r="B30" s="320"/>
      <c r="C30" s="395" t="s">
        <v>2360</v>
      </c>
      <c r="D30" s="134" t="s">
        <v>292</v>
      </c>
      <c r="E30" s="90">
        <v>1</v>
      </c>
      <c r="F30" s="90">
        <f>SUM(F31:F38)</f>
        <v>6410677</v>
      </c>
      <c r="G30" s="135">
        <f t="shared" si="2"/>
        <v>1.1279999999999999</v>
      </c>
      <c r="H30" s="90">
        <f>SUM(H31:H38)</f>
        <v>7231242</v>
      </c>
      <c r="I30" s="135">
        <f>Дефляторы!$D$25</f>
        <v>1.052</v>
      </c>
      <c r="J30" s="90">
        <f>SUM(J31:J38)</f>
        <v>7607267</v>
      </c>
      <c r="K30" s="90">
        <f>SUM(K31:K38)</f>
        <v>7494460</v>
      </c>
      <c r="L30" s="385"/>
      <c r="M30" s="385"/>
      <c r="N30" s="385"/>
    </row>
    <row r="31" spans="1:14" s="383" customFormat="1" ht="31.5" hidden="1" outlineLevel="3" x14ac:dyDescent="0.25">
      <c r="A31" s="363" t="s">
        <v>354</v>
      </c>
      <c r="B31" s="381" t="s">
        <v>458</v>
      </c>
      <c r="C31" s="381" t="s">
        <v>1348</v>
      </c>
      <c r="D31" s="100" t="s">
        <v>300</v>
      </c>
      <c r="E31" s="100">
        <v>25</v>
      </c>
      <c r="F31" s="220">
        <f>(4176)*(1.023*1.005-2.3%*15%)*6.99+0*4.09</f>
        <v>29910</v>
      </c>
      <c r="G31" s="145">
        <f t="shared" si="2"/>
        <v>1.1279999999999999</v>
      </c>
      <c r="H31" s="146">
        <f t="shared" ref="H31" si="6">F31*G31</f>
        <v>33738</v>
      </c>
      <c r="I31" s="145">
        <f>Дефляторы!$D$25</f>
        <v>1.052</v>
      </c>
      <c r="J31" s="146">
        <f t="shared" ref="J31" si="7">H31*I31</f>
        <v>35492</v>
      </c>
      <c r="K31" s="146">
        <f t="shared" ref="K31" si="8">H31+(J31-H31)*(1-30/100)</f>
        <v>34966</v>
      </c>
      <c r="L31" s="382" t="s">
        <v>1349</v>
      </c>
      <c r="M31" s="382"/>
      <c r="N31" s="382"/>
    </row>
    <row r="32" spans="1:14" s="383" customFormat="1" hidden="1" outlineLevel="3" x14ac:dyDescent="0.25">
      <c r="A32" s="363" t="s">
        <v>357</v>
      </c>
      <c r="B32" s="381" t="s">
        <v>1350</v>
      </c>
      <c r="C32" s="381" t="s">
        <v>1010</v>
      </c>
      <c r="D32" s="100" t="s">
        <v>300</v>
      </c>
      <c r="E32" s="100">
        <f>151.9</f>
        <v>151.9</v>
      </c>
      <c r="F32" s="220">
        <f>(275464)*(1.023*1.005-2.3%*15%)*6.99+0*4.09</f>
        <v>1972986</v>
      </c>
      <c r="G32" s="145">
        <f t="shared" si="2"/>
        <v>1.1279999999999999</v>
      </c>
      <c r="H32" s="146">
        <f t="shared" ref="H32" si="9">F32*G32</f>
        <v>2225528</v>
      </c>
      <c r="I32" s="145">
        <f>Дефляторы!$D$25</f>
        <v>1.052</v>
      </c>
      <c r="J32" s="146">
        <f t="shared" ref="J32" si="10">H32*I32</f>
        <v>2341255</v>
      </c>
      <c r="K32" s="146">
        <f t="shared" ref="K32" si="11">H32+(J32-H32)*(1-30/100)</f>
        <v>2306537</v>
      </c>
      <c r="L32" s="382"/>
      <c r="M32" s="382"/>
      <c r="N32" s="382"/>
    </row>
    <row r="33" spans="1:15" s="383" customFormat="1" hidden="1" outlineLevel="3" x14ac:dyDescent="0.25">
      <c r="A33" s="363" t="s">
        <v>358</v>
      </c>
      <c r="B33" s="381" t="s">
        <v>1352</v>
      </c>
      <c r="C33" s="381" t="s">
        <v>1351</v>
      </c>
      <c r="D33" s="100" t="s">
        <v>300</v>
      </c>
      <c r="E33" s="100">
        <f>63.7</f>
        <v>63.7</v>
      </c>
      <c r="F33" s="220">
        <f>(96782)*(1.023*1.005-2.3%*15%)*6.99+0*4.09</f>
        <v>693192</v>
      </c>
      <c r="G33" s="145">
        <f t="shared" si="2"/>
        <v>1.1279999999999999</v>
      </c>
      <c r="H33" s="146">
        <f t="shared" ref="H33" si="12">F33*G33</f>
        <v>781921</v>
      </c>
      <c r="I33" s="145">
        <f>Дефляторы!$D$25</f>
        <v>1.052</v>
      </c>
      <c r="J33" s="146">
        <f t="shared" ref="J33" si="13">H33*I33</f>
        <v>822581</v>
      </c>
      <c r="K33" s="146">
        <f t="shared" ref="K33" si="14">H33+(J33-H33)*(1-30/100)</f>
        <v>810383</v>
      </c>
      <c r="L33" s="382"/>
      <c r="M33" s="382"/>
      <c r="N33" s="382"/>
    </row>
    <row r="34" spans="1:15" s="383" customFormat="1" hidden="1" outlineLevel="3" x14ac:dyDescent="0.25">
      <c r="A34" s="363" t="s">
        <v>361</v>
      </c>
      <c r="B34" s="381" t="s">
        <v>1354</v>
      </c>
      <c r="C34" s="381" t="s">
        <v>1353</v>
      </c>
      <c r="D34" s="100" t="s">
        <v>300</v>
      </c>
      <c r="E34" s="100">
        <f>10.3</f>
        <v>10.3</v>
      </c>
      <c r="F34" s="220">
        <f>(16135)*(1.023*1.005-2.3%*15%)*6.99+0*4.09</f>
        <v>115565</v>
      </c>
      <c r="G34" s="145">
        <f t="shared" si="2"/>
        <v>1.1279999999999999</v>
      </c>
      <c r="H34" s="146">
        <f t="shared" ref="H34" si="15">F34*G34</f>
        <v>130357</v>
      </c>
      <c r="I34" s="145">
        <f>Дефляторы!$D$25</f>
        <v>1.052</v>
      </c>
      <c r="J34" s="146">
        <f t="shared" ref="J34" si="16">H34*I34</f>
        <v>137136</v>
      </c>
      <c r="K34" s="146">
        <f t="shared" ref="K34" si="17">H34+(J34-H34)*(1-30/100)</f>
        <v>135102</v>
      </c>
      <c r="L34" s="382"/>
      <c r="M34" s="382"/>
      <c r="N34" s="382"/>
    </row>
    <row r="35" spans="1:15" s="383" customFormat="1" hidden="1" outlineLevel="3" x14ac:dyDescent="0.25">
      <c r="A35" s="363" t="s">
        <v>363</v>
      </c>
      <c r="B35" s="381" t="s">
        <v>1356</v>
      </c>
      <c r="C35" s="381" t="s">
        <v>1355</v>
      </c>
      <c r="D35" s="100" t="s">
        <v>300</v>
      </c>
      <c r="E35" s="100">
        <f>39</f>
        <v>39</v>
      </c>
      <c r="F35" s="220">
        <f>(133405)*(1.023*1.005-2.3%*15%)*6.99+0*4.09</f>
        <v>955501</v>
      </c>
      <c r="G35" s="145">
        <f t="shared" si="2"/>
        <v>1.1279999999999999</v>
      </c>
      <c r="H35" s="146">
        <f t="shared" ref="H35" si="18">F35*G35</f>
        <v>1077805</v>
      </c>
      <c r="I35" s="145">
        <f>Дефляторы!$D$25</f>
        <v>1.052</v>
      </c>
      <c r="J35" s="146">
        <f t="shared" ref="J35" si="19">H35*I35</f>
        <v>1133851</v>
      </c>
      <c r="K35" s="146">
        <f t="shared" ref="K35" si="20">H35+(J35-H35)*(1-30/100)</f>
        <v>1117037</v>
      </c>
      <c r="L35" s="382"/>
      <c r="M35" s="382"/>
      <c r="N35" s="382"/>
    </row>
    <row r="36" spans="1:15" s="383" customFormat="1" hidden="1" outlineLevel="3" x14ac:dyDescent="0.25">
      <c r="A36" s="363" t="s">
        <v>364</v>
      </c>
      <c r="B36" s="381" t="s">
        <v>1358</v>
      </c>
      <c r="C36" s="381" t="s">
        <v>1357</v>
      </c>
      <c r="D36" s="100" t="s">
        <v>300</v>
      </c>
      <c r="E36" s="100">
        <f>134</f>
        <v>134</v>
      </c>
      <c r="F36" s="220">
        <f>(259297)*(1.023*1.005-2.3%*15%)*6.99+0*4.09</f>
        <v>1857191</v>
      </c>
      <c r="G36" s="145">
        <f t="shared" si="2"/>
        <v>1.1279999999999999</v>
      </c>
      <c r="H36" s="146">
        <f t="shared" ref="H36" si="21">F36*G36</f>
        <v>2094911</v>
      </c>
      <c r="I36" s="145">
        <f>Дефляторы!$D$25</f>
        <v>1.052</v>
      </c>
      <c r="J36" s="146">
        <f t="shared" ref="J36" si="22">H36*I36</f>
        <v>2203846</v>
      </c>
      <c r="K36" s="146">
        <f t="shared" ref="K36" si="23">H36+(J36-H36)*(1-30/100)</f>
        <v>2171166</v>
      </c>
      <c r="L36" s="382"/>
      <c r="M36" s="382"/>
      <c r="N36" s="382"/>
    </row>
    <row r="37" spans="1:15" s="383" customFormat="1" hidden="1" outlineLevel="3" x14ac:dyDescent="0.25">
      <c r="A37" s="363" t="s">
        <v>365</v>
      </c>
      <c r="B37" s="381" t="s">
        <v>1360</v>
      </c>
      <c r="C37" s="381" t="s">
        <v>1359</v>
      </c>
      <c r="D37" s="100" t="s">
        <v>300</v>
      </c>
      <c r="E37" s="100">
        <v>16.7</v>
      </c>
      <c r="F37" s="220">
        <f>(29512)*(1.023*1.005-2.3%*15%)*6.99+0*4.09</f>
        <v>211377</v>
      </c>
      <c r="G37" s="145">
        <f t="shared" si="2"/>
        <v>1.1279999999999999</v>
      </c>
      <c r="H37" s="146">
        <f t="shared" ref="H37" si="24">F37*G37</f>
        <v>238433</v>
      </c>
      <c r="I37" s="145">
        <f>Дефляторы!$D$25</f>
        <v>1.052</v>
      </c>
      <c r="J37" s="146">
        <f t="shared" ref="J37" si="25">H37*I37</f>
        <v>250832</v>
      </c>
      <c r="K37" s="146">
        <f t="shared" ref="K37" si="26">H37+(J37-H37)*(1-30/100)</f>
        <v>247112</v>
      </c>
      <c r="L37" s="382"/>
      <c r="M37" s="382"/>
      <c r="N37" s="382"/>
    </row>
    <row r="38" spans="1:15" s="383" customFormat="1" ht="31.5" hidden="1" outlineLevel="3" x14ac:dyDescent="0.25">
      <c r="A38" s="363" t="s">
        <v>2222</v>
      </c>
      <c r="B38" s="381" t="s">
        <v>1361</v>
      </c>
      <c r="C38" s="381" t="s">
        <v>1019</v>
      </c>
      <c r="D38" s="100" t="s">
        <v>292</v>
      </c>
      <c r="E38" s="100">
        <v>1</v>
      </c>
      <c r="F38" s="220">
        <f>(80274)*(1.023*1.005-2.3%*15%)*6.99+0*4.09</f>
        <v>574955</v>
      </c>
      <c r="G38" s="145">
        <f t="shared" si="2"/>
        <v>1.1279999999999999</v>
      </c>
      <c r="H38" s="146">
        <f t="shared" ref="H38" si="27">F38*G38</f>
        <v>648549</v>
      </c>
      <c r="I38" s="145">
        <f>Дефляторы!$D$25</f>
        <v>1.052</v>
      </c>
      <c r="J38" s="146">
        <f t="shared" ref="J38" si="28">H38*I38</f>
        <v>682274</v>
      </c>
      <c r="K38" s="146">
        <f t="shared" ref="K38" si="29">H38+(J38-H38)*(1-30/100)</f>
        <v>672157</v>
      </c>
      <c r="L38" s="382"/>
      <c r="M38" s="382"/>
      <c r="N38" s="382"/>
    </row>
    <row r="39" spans="1:15" s="386" customFormat="1" outlineLevel="2" collapsed="1" x14ac:dyDescent="0.25">
      <c r="A39" s="132" t="s">
        <v>366</v>
      </c>
      <c r="B39" s="320"/>
      <c r="C39" s="395" t="s">
        <v>2361</v>
      </c>
      <c r="D39" s="134" t="s">
        <v>292</v>
      </c>
      <c r="E39" s="90">
        <v>1</v>
      </c>
      <c r="F39" s="90">
        <f>SUM(F40:F42)</f>
        <v>758305</v>
      </c>
      <c r="G39" s="135">
        <f t="shared" si="2"/>
        <v>1.1279999999999999</v>
      </c>
      <c r="H39" s="90">
        <f>SUM(H40:H42)</f>
        <v>855368</v>
      </c>
      <c r="I39" s="135">
        <f>Дефляторы!$D$25</f>
        <v>1.052</v>
      </c>
      <c r="J39" s="90">
        <f>SUM(J40:J42)</f>
        <v>899848</v>
      </c>
      <c r="K39" s="90">
        <f>SUM(K40:K42)</f>
        <v>886505</v>
      </c>
      <c r="L39" s="385"/>
      <c r="M39" s="385"/>
      <c r="N39" s="385"/>
    </row>
    <row r="40" spans="1:15" s="383" customFormat="1" hidden="1" outlineLevel="3" x14ac:dyDescent="0.25">
      <c r="A40" s="363"/>
      <c r="B40" s="381"/>
      <c r="C40" s="390" t="s">
        <v>332</v>
      </c>
      <c r="D40" s="100"/>
      <c r="E40" s="149"/>
      <c r="F40" s="149"/>
      <c r="G40" s="145"/>
      <c r="H40" s="146"/>
      <c r="I40" s="145"/>
      <c r="J40" s="146"/>
      <c r="K40" s="146"/>
      <c r="L40" s="382"/>
      <c r="M40" s="382"/>
      <c r="N40" s="382"/>
    </row>
    <row r="41" spans="1:15" s="383" customFormat="1" ht="141.75" hidden="1" outlineLevel="3" x14ac:dyDescent="0.25">
      <c r="A41" s="363" t="s">
        <v>368</v>
      </c>
      <c r="B41" s="381" t="s">
        <v>337</v>
      </c>
      <c r="C41" s="381" t="s">
        <v>335</v>
      </c>
      <c r="D41" s="100" t="s">
        <v>305</v>
      </c>
      <c r="E41" s="149">
        <v>1</v>
      </c>
      <c r="F41" s="149">
        <f>98888*(1.023*1.005-2.3%*15%)*6.99</f>
        <v>708276</v>
      </c>
      <c r="G41" s="145">
        <f>$G$831</f>
        <v>1.1279999999999999</v>
      </c>
      <c r="H41" s="146">
        <f>F41*G41</f>
        <v>798935</v>
      </c>
      <c r="I41" s="145">
        <f>Дефляторы!$D$25</f>
        <v>1.052</v>
      </c>
      <c r="J41" s="146">
        <f t="shared" ref="J41:J42" si="30">H41*I41</f>
        <v>840480</v>
      </c>
      <c r="K41" s="146">
        <f t="shared" ref="K41:K42" si="31">H41+(J41-H41)*(1-30/100)</f>
        <v>828017</v>
      </c>
      <c r="L41" s="396" t="s">
        <v>2403</v>
      </c>
      <c r="M41" s="149">
        <v>15000</v>
      </c>
      <c r="N41" s="382">
        <f>E41*M41</f>
        <v>15000</v>
      </c>
      <c r="O41" s="397">
        <f>(98888-79462)*(1.023*1.005-2.3%*15%)*6.99</f>
        <v>139137</v>
      </c>
    </row>
    <row r="42" spans="1:15" s="383" customFormat="1" ht="56.25" hidden="1" customHeight="1" outlineLevel="3" x14ac:dyDescent="0.25">
      <c r="A42" s="363" t="s">
        <v>370</v>
      </c>
      <c r="B42" s="381" t="s">
        <v>346</v>
      </c>
      <c r="C42" s="381" t="s">
        <v>338</v>
      </c>
      <c r="D42" s="100" t="s">
        <v>305</v>
      </c>
      <c r="E42" s="149">
        <v>1</v>
      </c>
      <c r="F42" s="149">
        <f>6985*(1.023*1.005-2.3%*15%)*6.99</f>
        <v>50029</v>
      </c>
      <c r="G42" s="145">
        <f>$G$831</f>
        <v>1.1279999999999999</v>
      </c>
      <c r="H42" s="146">
        <f>F42*G42</f>
        <v>56433</v>
      </c>
      <c r="I42" s="145">
        <f>Дефляторы!$D$25</f>
        <v>1.052</v>
      </c>
      <c r="J42" s="146">
        <f t="shared" si="30"/>
        <v>59368</v>
      </c>
      <c r="K42" s="146">
        <f t="shared" si="31"/>
        <v>58488</v>
      </c>
      <c r="L42" s="396" t="s">
        <v>2404</v>
      </c>
      <c r="M42" s="382">
        <v>4466</v>
      </c>
      <c r="N42" s="382">
        <f>E42*M42</f>
        <v>4466</v>
      </c>
      <c r="O42" s="397">
        <f>(6985-8033)*(1.023*1.005-2.3%*15%)*6.99*1.2</f>
        <v>-9007</v>
      </c>
    </row>
    <row r="43" spans="1:15" s="386" customFormat="1" outlineLevel="2" collapsed="1" x14ac:dyDescent="0.25">
      <c r="A43" s="132" t="s">
        <v>387</v>
      </c>
      <c r="B43" s="320"/>
      <c r="C43" s="395" t="s">
        <v>2362</v>
      </c>
      <c r="D43" s="134" t="s">
        <v>292</v>
      </c>
      <c r="E43" s="90">
        <v>1</v>
      </c>
      <c r="F43" s="90">
        <f>SUM(F44:F50)</f>
        <v>16084800</v>
      </c>
      <c r="G43" s="135">
        <f>$G$831</f>
        <v>1.1279999999999999</v>
      </c>
      <c r="H43" s="90">
        <f>SUM(H44:H50)</f>
        <v>18143654</v>
      </c>
      <c r="I43" s="135">
        <f>Дефляторы!$D$25</f>
        <v>1.052</v>
      </c>
      <c r="J43" s="90">
        <f>SUM(J44:J50)</f>
        <v>19087125</v>
      </c>
      <c r="K43" s="90">
        <f>SUM(K44:K50)</f>
        <v>18804085</v>
      </c>
      <c r="L43" s="385"/>
      <c r="M43" s="385"/>
      <c r="N43" s="385"/>
    </row>
    <row r="44" spans="1:15" s="383" customFormat="1" hidden="1" outlineLevel="3" x14ac:dyDescent="0.25">
      <c r="A44" s="363"/>
      <c r="B44" s="381"/>
      <c r="C44" s="381" t="s">
        <v>1026</v>
      </c>
      <c r="D44" s="100"/>
      <c r="E44" s="100"/>
      <c r="F44" s="149"/>
      <c r="G44" s="145"/>
      <c r="H44" s="146"/>
      <c r="I44" s="145">
        <f>Дефляторы!$D$25</f>
        <v>1.052</v>
      </c>
      <c r="J44" s="146"/>
      <c r="K44" s="146"/>
      <c r="L44" s="382"/>
      <c r="M44" s="382"/>
      <c r="N44" s="382"/>
    </row>
    <row r="45" spans="1:15" s="383" customFormat="1" hidden="1" outlineLevel="3" x14ac:dyDescent="0.25">
      <c r="A45" s="363" t="s">
        <v>388</v>
      </c>
      <c r="B45" s="381" t="s">
        <v>1362</v>
      </c>
      <c r="C45" s="381" t="s">
        <v>1027</v>
      </c>
      <c r="D45" s="100" t="s">
        <v>292</v>
      </c>
      <c r="E45" s="100">
        <v>1</v>
      </c>
      <c r="F45" s="220">
        <f>(100140)*(1.023*1.005-2.3%*15%)*6.99+0*4.09</f>
        <v>717244</v>
      </c>
      <c r="G45" s="145">
        <f>$G$831</f>
        <v>1.1279999999999999</v>
      </c>
      <c r="H45" s="146">
        <f t="shared" ref="H45" si="32">F45*G45</f>
        <v>809051</v>
      </c>
      <c r="I45" s="145">
        <f>Дефляторы!$D$25</f>
        <v>1.052</v>
      </c>
      <c r="J45" s="146">
        <f t="shared" ref="J45" si="33">H45*I45</f>
        <v>851122</v>
      </c>
      <c r="K45" s="146">
        <f t="shared" ref="K45" si="34">H45+(J45-H45)*(1-30/100)</f>
        <v>838501</v>
      </c>
      <c r="L45" s="382" t="s">
        <v>1363</v>
      </c>
      <c r="M45" s="382"/>
      <c r="N45" s="382"/>
    </row>
    <row r="46" spans="1:15" s="383" customFormat="1" hidden="1" outlineLevel="3" x14ac:dyDescent="0.25">
      <c r="A46" s="363" t="s">
        <v>389</v>
      </c>
      <c r="B46" s="381" t="s">
        <v>1364</v>
      </c>
      <c r="C46" s="381" t="s">
        <v>1031</v>
      </c>
      <c r="D46" s="100" t="s">
        <v>292</v>
      </c>
      <c r="E46" s="100">
        <v>1</v>
      </c>
      <c r="F46" s="220">
        <f>(1459391)*(1.023*1.005-2.3%*15%)*6.99+0*4.09+15</f>
        <v>10452769</v>
      </c>
      <c r="G46" s="145">
        <f>$G$831</f>
        <v>1.1279999999999999</v>
      </c>
      <c r="H46" s="146">
        <f t="shared" ref="H46" si="35">F46*G46</f>
        <v>11790723</v>
      </c>
      <c r="I46" s="145">
        <f>Дефляторы!$D$25</f>
        <v>1.052</v>
      </c>
      <c r="J46" s="146">
        <f t="shared" ref="J46" si="36">H46*I46</f>
        <v>12403841</v>
      </c>
      <c r="K46" s="146">
        <f t="shared" ref="K46" si="37">H46+(J46-H46)*(1-30/100)</f>
        <v>12219906</v>
      </c>
      <c r="L46" s="382"/>
      <c r="M46" s="382"/>
      <c r="N46" s="382"/>
    </row>
    <row r="47" spans="1:15" s="383" customFormat="1" hidden="1" outlineLevel="3" x14ac:dyDescent="0.25">
      <c r="A47" s="363" t="s">
        <v>390</v>
      </c>
      <c r="B47" s="381" t="s">
        <v>1365</v>
      </c>
      <c r="C47" s="381" t="s">
        <v>1036</v>
      </c>
      <c r="D47" s="100" t="s">
        <v>637</v>
      </c>
      <c r="E47" s="100">
        <v>1.5</v>
      </c>
      <c r="F47" s="220">
        <f>(21691)*(1.023*1.005-2.3%*15%)*6.99+0*4.09</f>
        <v>155360</v>
      </c>
      <c r="G47" s="145">
        <f>$G$831</f>
        <v>1.1279999999999999</v>
      </c>
      <c r="H47" s="146">
        <f t="shared" ref="H47" si="38">F47*G47</f>
        <v>175246</v>
      </c>
      <c r="I47" s="145">
        <f>Дефляторы!$D$25</f>
        <v>1.052</v>
      </c>
      <c r="J47" s="146">
        <f t="shared" ref="J47" si="39">H47*I47</f>
        <v>184359</v>
      </c>
      <c r="K47" s="146">
        <f t="shared" ref="K47" si="40">H47+(J47-H47)*(1-30/100)</f>
        <v>181625</v>
      </c>
      <c r="L47" s="382"/>
      <c r="M47" s="382"/>
      <c r="N47" s="382"/>
    </row>
    <row r="48" spans="1:15" s="383" customFormat="1" hidden="1" outlineLevel="3" x14ac:dyDescent="0.25">
      <c r="A48" s="363"/>
      <c r="B48" s="381"/>
      <c r="C48" s="381" t="s">
        <v>1366</v>
      </c>
      <c r="D48" s="100"/>
      <c r="E48" s="100"/>
      <c r="F48" s="149"/>
      <c r="G48" s="145"/>
      <c r="H48" s="146"/>
      <c r="I48" s="145">
        <f>Дефляторы!$D$25</f>
        <v>1.052</v>
      </c>
      <c r="J48" s="146"/>
      <c r="K48" s="146"/>
      <c r="L48" s="382"/>
      <c r="M48" s="382"/>
      <c r="N48" s="382"/>
    </row>
    <row r="49" spans="1:14" s="383" customFormat="1" ht="31.5" hidden="1" outlineLevel="3" x14ac:dyDescent="0.25">
      <c r="A49" s="363" t="s">
        <v>391</v>
      </c>
      <c r="B49" s="381" t="s">
        <v>1368</v>
      </c>
      <c r="C49" s="381" t="s">
        <v>1367</v>
      </c>
      <c r="D49" s="100" t="s">
        <v>404</v>
      </c>
      <c r="E49" s="100">
        <f>4010</f>
        <v>4010</v>
      </c>
      <c r="F49" s="220">
        <f>(526355)*(1.023*1.005-2.3%*15%)*6.99+0*4.09</f>
        <v>3769969</v>
      </c>
      <c r="G49" s="145">
        <f t="shared" ref="G49:G55" si="41">$G$831</f>
        <v>1.1279999999999999</v>
      </c>
      <c r="H49" s="146">
        <f t="shared" ref="H49" si="42">F49*G49</f>
        <v>4252525</v>
      </c>
      <c r="I49" s="145">
        <f>Дефляторы!$D$25</f>
        <v>1.052</v>
      </c>
      <c r="J49" s="146">
        <f t="shared" ref="J49" si="43">H49*I49</f>
        <v>4473656</v>
      </c>
      <c r="K49" s="146">
        <f t="shared" ref="K49" si="44">H49+(J49-H49)*(1-30/100)</f>
        <v>4407317</v>
      </c>
      <c r="L49" s="382"/>
      <c r="M49" s="382"/>
      <c r="N49" s="382"/>
    </row>
    <row r="50" spans="1:14" s="383" customFormat="1" ht="47.25" hidden="1" outlineLevel="3" x14ac:dyDescent="0.25">
      <c r="A50" s="363" t="s">
        <v>392</v>
      </c>
      <c r="B50" s="381" t="s">
        <v>1371</v>
      </c>
      <c r="C50" s="381" t="s">
        <v>1369</v>
      </c>
      <c r="D50" s="100" t="s">
        <v>404</v>
      </c>
      <c r="E50" s="100">
        <f>198</f>
        <v>198</v>
      </c>
      <c r="F50" s="220">
        <f>(138146)*(1.023*1.005-2.3%*15%)*6.99+0*4.09</f>
        <v>989458</v>
      </c>
      <c r="G50" s="145">
        <f t="shared" si="41"/>
        <v>1.1279999999999999</v>
      </c>
      <c r="H50" s="146">
        <f t="shared" ref="H50" si="45">F50*G50</f>
        <v>1116109</v>
      </c>
      <c r="I50" s="145">
        <f>Дефляторы!$D$25</f>
        <v>1.052</v>
      </c>
      <c r="J50" s="146">
        <f t="shared" ref="J50" si="46">H50*I50</f>
        <v>1174147</v>
      </c>
      <c r="K50" s="146">
        <f t="shared" ref="K50" si="47">H50+(J50-H50)*(1-30/100)</f>
        <v>1156736</v>
      </c>
      <c r="L50" s="396" t="s">
        <v>1370</v>
      </c>
      <c r="M50" s="382"/>
      <c r="N50" s="382"/>
    </row>
    <row r="51" spans="1:14" s="383" customFormat="1" outlineLevel="2" collapsed="1" x14ac:dyDescent="0.25">
      <c r="A51" s="132" t="s">
        <v>566</v>
      </c>
      <c r="B51" s="320"/>
      <c r="C51" s="320" t="s">
        <v>2401</v>
      </c>
      <c r="D51" s="134" t="s">
        <v>292</v>
      </c>
      <c r="E51" s="90">
        <v>1</v>
      </c>
      <c r="F51" s="90">
        <f>SUM(F52:F53)</f>
        <v>212078</v>
      </c>
      <c r="G51" s="135">
        <f t="shared" si="41"/>
        <v>1.1279999999999999</v>
      </c>
      <c r="H51" s="90">
        <f>SUM(H52:H53)</f>
        <v>239224</v>
      </c>
      <c r="I51" s="135">
        <f>Дефляторы!$D$25</f>
        <v>1.052</v>
      </c>
      <c r="J51" s="90">
        <f>SUM(J52:J53)</f>
        <v>251664</v>
      </c>
      <c r="K51" s="90">
        <f>SUM(K52:K53)</f>
        <v>247932</v>
      </c>
      <c r="L51" s="396"/>
      <c r="M51" s="382"/>
      <c r="N51" s="382"/>
    </row>
    <row r="52" spans="1:14" s="383" customFormat="1" ht="31.5" hidden="1" outlineLevel="3" x14ac:dyDescent="0.25">
      <c r="A52" s="225" t="s">
        <v>1817</v>
      </c>
      <c r="B52" s="381" t="s">
        <v>1742</v>
      </c>
      <c r="C52" s="381" t="s">
        <v>1741</v>
      </c>
      <c r="D52" s="100" t="s">
        <v>292</v>
      </c>
      <c r="E52" s="149">
        <v>1</v>
      </c>
      <c r="F52" s="220">
        <f>(19540)*(1.023*1.005-2.3%*15%)*6.99+0*4.09</f>
        <v>139953</v>
      </c>
      <c r="G52" s="145">
        <f t="shared" si="41"/>
        <v>1.1279999999999999</v>
      </c>
      <c r="H52" s="146">
        <f t="shared" ref="H52" si="48">F52*G52</f>
        <v>157867</v>
      </c>
      <c r="I52" s="145">
        <f>Дефляторы!$D$25</f>
        <v>1.052</v>
      </c>
      <c r="J52" s="146">
        <f t="shared" ref="J52" si="49">H52*I52</f>
        <v>166076</v>
      </c>
      <c r="K52" s="146">
        <f t="shared" ref="K52" si="50">H52+(J52-H52)*(1-30/100)</f>
        <v>163613</v>
      </c>
      <c r="L52" s="382"/>
      <c r="M52" s="382"/>
      <c r="N52" s="382"/>
    </row>
    <row r="53" spans="1:14" s="383" customFormat="1" ht="31.5" hidden="1" outlineLevel="3" x14ac:dyDescent="0.25">
      <c r="A53" s="225" t="s">
        <v>1818</v>
      </c>
      <c r="B53" s="381" t="s">
        <v>1744</v>
      </c>
      <c r="C53" s="381" t="s">
        <v>1743</v>
      </c>
      <c r="D53" s="100" t="s">
        <v>292</v>
      </c>
      <c r="E53" s="149">
        <v>1</v>
      </c>
      <c r="F53" s="220">
        <f>(10070)*(1.023*1.005-2.3%*15%)*6.99+0*4.09</f>
        <v>72125</v>
      </c>
      <c r="G53" s="145">
        <f t="shared" si="41"/>
        <v>1.1279999999999999</v>
      </c>
      <c r="H53" s="146">
        <f t="shared" ref="H53" si="51">F53*G53</f>
        <v>81357</v>
      </c>
      <c r="I53" s="145">
        <f>Дефляторы!$D$25</f>
        <v>1.052</v>
      </c>
      <c r="J53" s="146">
        <f t="shared" ref="J53" si="52">H53*I53</f>
        <v>85588</v>
      </c>
      <c r="K53" s="146">
        <f t="shared" ref="K53" si="53">H53+(J53-H53)*(1-30/100)</f>
        <v>84319</v>
      </c>
      <c r="L53" s="382"/>
      <c r="M53" s="382"/>
      <c r="N53" s="382"/>
    </row>
    <row r="54" spans="1:14" s="386" customFormat="1" outlineLevel="2" collapsed="1" x14ac:dyDescent="0.25">
      <c r="A54" s="132" t="s">
        <v>568</v>
      </c>
      <c r="B54" s="320"/>
      <c r="C54" s="395" t="s">
        <v>2454</v>
      </c>
      <c r="D54" s="134" t="s">
        <v>292</v>
      </c>
      <c r="E54" s="90">
        <v>1</v>
      </c>
      <c r="F54" s="90">
        <f>F55+F62+F67+F71</f>
        <v>15731155</v>
      </c>
      <c r="G54" s="135">
        <f t="shared" si="41"/>
        <v>1.1279999999999999</v>
      </c>
      <c r="H54" s="90">
        <f>H55+H62+H67+H71</f>
        <v>17744743</v>
      </c>
      <c r="I54" s="135">
        <f>Дефляторы!$D$25</f>
        <v>1.052</v>
      </c>
      <c r="J54" s="90">
        <f>J55+J62+J67+J71</f>
        <v>18667471</v>
      </c>
      <c r="K54" s="90">
        <f>K55+K62+K67+K71</f>
        <v>18390655</v>
      </c>
      <c r="L54" s="385"/>
      <c r="M54" s="385"/>
      <c r="N54" s="385"/>
    </row>
    <row r="55" spans="1:14" s="358" customFormat="1" ht="47.25" hidden="1" outlineLevel="3" x14ac:dyDescent="0.25">
      <c r="A55" s="368" t="s">
        <v>2253</v>
      </c>
      <c r="B55" s="387" t="s">
        <v>219</v>
      </c>
      <c r="C55" s="387" t="s">
        <v>1372</v>
      </c>
      <c r="D55" s="239" t="s">
        <v>292</v>
      </c>
      <c r="E55" s="240">
        <v>1</v>
      </c>
      <c r="F55" s="453">
        <f>SUM(F56:F61)</f>
        <v>853430</v>
      </c>
      <c r="G55" s="241">
        <f t="shared" si="41"/>
        <v>1.1279999999999999</v>
      </c>
      <c r="H55" s="240">
        <f>SUM(H56:H61)</f>
        <v>962669</v>
      </c>
      <c r="I55" s="241">
        <f>Дефляторы!$D$25</f>
        <v>1.052</v>
      </c>
      <c r="J55" s="240">
        <f>SUM(J56:J61)</f>
        <v>1012728</v>
      </c>
      <c r="K55" s="240">
        <f>SUM(K56:K61)</f>
        <v>997711</v>
      </c>
      <c r="L55" s="389"/>
      <c r="M55" s="389"/>
      <c r="N55" s="389"/>
    </row>
    <row r="56" spans="1:14" s="383" customFormat="1" hidden="1" outlineLevel="4" x14ac:dyDescent="0.25">
      <c r="A56" s="363"/>
      <c r="B56" s="381"/>
      <c r="C56" s="381" t="s">
        <v>1098</v>
      </c>
      <c r="D56" s="100"/>
      <c r="E56" s="149"/>
      <c r="F56" s="149"/>
      <c r="G56" s="145"/>
      <c r="H56" s="146"/>
      <c r="I56" s="145">
        <f>Дефляторы!$D$25</f>
        <v>1.052</v>
      </c>
      <c r="J56" s="146"/>
      <c r="K56" s="146"/>
      <c r="L56" s="382"/>
      <c r="M56" s="382"/>
      <c r="N56" s="382"/>
    </row>
    <row r="57" spans="1:14" s="383" customFormat="1" ht="47.25" hidden="1" outlineLevel="4" x14ac:dyDescent="0.25">
      <c r="A57" s="363" t="s">
        <v>2455</v>
      </c>
      <c r="B57" s="381" t="s">
        <v>1373</v>
      </c>
      <c r="C57" s="381" t="s">
        <v>427</v>
      </c>
      <c r="D57" s="100" t="s">
        <v>408</v>
      </c>
      <c r="E57" s="149">
        <v>1</v>
      </c>
      <c r="F57" s="220">
        <f>(1724)*(1.023*1.005-2.3%*15%)*6.99+23912*4.09</f>
        <v>110148</v>
      </c>
      <c r="G57" s="145">
        <f t="shared" ref="G57:G76" si="54">$G$831</f>
        <v>1.1279999999999999</v>
      </c>
      <c r="H57" s="146">
        <f t="shared" ref="H57" si="55">F57*G57</f>
        <v>124247</v>
      </c>
      <c r="I57" s="145">
        <f>Дефляторы!$D$25</f>
        <v>1.052</v>
      </c>
      <c r="J57" s="146">
        <f t="shared" ref="J57" si="56">H57*I57</f>
        <v>130708</v>
      </c>
      <c r="K57" s="146">
        <f t="shared" ref="K57" si="57">H57+(J57-H57)*(1-30/100)</f>
        <v>128770</v>
      </c>
      <c r="L57" s="382"/>
      <c r="M57" s="382"/>
      <c r="N57" s="382"/>
    </row>
    <row r="58" spans="1:14" s="383" customFormat="1" ht="31.5" hidden="1" outlineLevel="4" x14ac:dyDescent="0.25">
      <c r="A58" s="363" t="s">
        <v>2456</v>
      </c>
      <c r="B58" s="381" t="s">
        <v>1374</v>
      </c>
      <c r="C58" s="381" t="s">
        <v>429</v>
      </c>
      <c r="D58" s="100" t="s">
        <v>408</v>
      </c>
      <c r="E58" s="149">
        <v>1</v>
      </c>
      <c r="F58" s="220">
        <f>(309)*(1.023*1.005-2.3%*15%)*6.99+42376*4.09</f>
        <v>175531</v>
      </c>
      <c r="G58" s="145">
        <f t="shared" si="54"/>
        <v>1.1279999999999999</v>
      </c>
      <c r="H58" s="146">
        <f t="shared" ref="H58" si="58">F58*G58</f>
        <v>197999</v>
      </c>
      <c r="I58" s="145">
        <f>Дефляторы!$D$25</f>
        <v>1.052</v>
      </c>
      <c r="J58" s="146">
        <f t="shared" ref="J58" si="59">H58*I58</f>
        <v>208295</v>
      </c>
      <c r="K58" s="146">
        <f t="shared" ref="K58" si="60">H58+(J58-H58)*(1-30/100)</f>
        <v>205206</v>
      </c>
      <c r="L58" s="382"/>
      <c r="M58" s="382"/>
      <c r="N58" s="382"/>
    </row>
    <row r="59" spans="1:14" s="383" customFormat="1" hidden="1" outlineLevel="4" x14ac:dyDescent="0.25">
      <c r="A59" s="363" t="s">
        <v>2457</v>
      </c>
      <c r="B59" s="381" t="s">
        <v>1375</v>
      </c>
      <c r="C59" s="381" t="s">
        <v>379</v>
      </c>
      <c r="D59" s="100" t="s">
        <v>292</v>
      </c>
      <c r="E59" s="149">
        <v>1</v>
      </c>
      <c r="F59" s="220">
        <f>(52744)*(1.023*1.005-2.3%*15%)*6.99+0*4.09+22</f>
        <v>377796</v>
      </c>
      <c r="G59" s="145">
        <f t="shared" si="54"/>
        <v>1.1279999999999999</v>
      </c>
      <c r="H59" s="146">
        <f t="shared" ref="H59" si="61">F59*G59</f>
        <v>426154</v>
      </c>
      <c r="I59" s="145">
        <f>Дефляторы!$D$25</f>
        <v>1.052</v>
      </c>
      <c r="J59" s="146">
        <f t="shared" ref="J59" si="62">H59*I59</f>
        <v>448314</v>
      </c>
      <c r="K59" s="146">
        <f t="shared" ref="K59" si="63">H59+(J59-H59)*(1-30/100)</f>
        <v>441666</v>
      </c>
      <c r="L59" s="382"/>
      <c r="M59" s="382"/>
      <c r="N59" s="382"/>
    </row>
    <row r="60" spans="1:14" s="383" customFormat="1" hidden="1" outlineLevel="4" x14ac:dyDescent="0.25">
      <c r="A60" s="363" t="s">
        <v>2458</v>
      </c>
      <c r="B60" s="381" t="s">
        <v>1376</v>
      </c>
      <c r="C60" s="381" t="s">
        <v>1102</v>
      </c>
      <c r="D60" s="100" t="s">
        <v>292</v>
      </c>
      <c r="E60" s="149">
        <v>1</v>
      </c>
      <c r="F60" s="220">
        <f>(26320)*(1.023*1.005-2.3%*15%)*6.99+0*4.09</f>
        <v>188515</v>
      </c>
      <c r="G60" s="145">
        <f t="shared" si="54"/>
        <v>1.1279999999999999</v>
      </c>
      <c r="H60" s="146">
        <f t="shared" ref="H60" si="64">F60*G60</f>
        <v>212645</v>
      </c>
      <c r="I60" s="145">
        <f>Дефляторы!$D$25</f>
        <v>1.052</v>
      </c>
      <c r="J60" s="146">
        <f t="shared" ref="J60" si="65">H60*I60</f>
        <v>223703</v>
      </c>
      <c r="K60" s="146">
        <f t="shared" ref="K60" si="66">H60+(J60-H60)*(1-30/100)</f>
        <v>220386</v>
      </c>
      <c r="L60" s="382"/>
      <c r="M60" s="382"/>
      <c r="N60" s="382"/>
    </row>
    <row r="61" spans="1:14" s="383" customFormat="1" ht="31.5" hidden="1" outlineLevel="4" x14ac:dyDescent="0.25">
      <c r="A61" s="363" t="s">
        <v>2459</v>
      </c>
      <c r="B61" s="381" t="s">
        <v>1377</v>
      </c>
      <c r="C61" s="381" t="s">
        <v>1105</v>
      </c>
      <c r="D61" s="100" t="s">
        <v>408</v>
      </c>
      <c r="E61" s="100">
        <v>10</v>
      </c>
      <c r="F61" s="220">
        <f>(201)*(1.023*1.005-2.3%*15%)*6.99+0*4.09</f>
        <v>1440</v>
      </c>
      <c r="G61" s="145">
        <f t="shared" si="54"/>
        <v>1.1279999999999999</v>
      </c>
      <c r="H61" s="146">
        <f t="shared" ref="H61" si="67">F61*G61</f>
        <v>1624</v>
      </c>
      <c r="I61" s="145">
        <f>Дефляторы!$D$25</f>
        <v>1.052</v>
      </c>
      <c r="J61" s="146">
        <f t="shared" ref="J61" si="68">H61*I61</f>
        <v>1708</v>
      </c>
      <c r="K61" s="146">
        <f t="shared" ref="K61" si="69">H61+(J61-H61)*(1-30/100)</f>
        <v>1683</v>
      </c>
      <c r="L61" s="382"/>
      <c r="M61" s="382"/>
      <c r="N61" s="382"/>
    </row>
    <row r="62" spans="1:14" s="358" customFormat="1" hidden="1" outlineLevel="3" x14ac:dyDescent="0.25">
      <c r="A62" s="368" t="s">
        <v>2254</v>
      </c>
      <c r="B62" s="387"/>
      <c r="C62" s="387" t="s">
        <v>650</v>
      </c>
      <c r="D62" s="239" t="s">
        <v>292</v>
      </c>
      <c r="E62" s="240">
        <v>1</v>
      </c>
      <c r="F62" s="453">
        <f>SUM(F63:F66)</f>
        <v>43655</v>
      </c>
      <c r="G62" s="241">
        <f t="shared" si="54"/>
        <v>1.1279999999999999</v>
      </c>
      <c r="H62" s="240">
        <f>SUM(H63:H66)</f>
        <v>49243</v>
      </c>
      <c r="I62" s="241">
        <f>Дефляторы!$D$25</f>
        <v>1.052</v>
      </c>
      <c r="J62" s="240">
        <f>SUM(J63:J66)</f>
        <v>51804</v>
      </c>
      <c r="K62" s="240">
        <f>SUM(K63:K66)</f>
        <v>51037</v>
      </c>
      <c r="L62" s="389"/>
      <c r="M62" s="389"/>
      <c r="N62" s="389"/>
    </row>
    <row r="63" spans="1:14" s="399" customFormat="1" ht="31.5" hidden="1" outlineLevel="4" x14ac:dyDescent="0.25">
      <c r="A63" s="363" t="s">
        <v>2460</v>
      </c>
      <c r="B63" s="381" t="s">
        <v>783</v>
      </c>
      <c r="C63" s="381" t="s">
        <v>782</v>
      </c>
      <c r="D63" s="143" t="s">
        <v>408</v>
      </c>
      <c r="E63" s="149">
        <v>4</v>
      </c>
      <c r="F63" s="149">
        <f>(4/9*387+1775)*(1.023*1.005-2.3%*15%)*6.99+0*4.09</f>
        <v>13945</v>
      </c>
      <c r="G63" s="145">
        <f t="shared" si="54"/>
        <v>1.1279999999999999</v>
      </c>
      <c r="H63" s="146">
        <f>F63*G63</f>
        <v>15730</v>
      </c>
      <c r="I63" s="145">
        <f>Дефляторы!$D$25</f>
        <v>1.052</v>
      </c>
      <c r="J63" s="146">
        <f>H63*I63</f>
        <v>16548</v>
      </c>
      <c r="K63" s="146">
        <f>H63+(J63-H63)*(1-30/100)</f>
        <v>16303</v>
      </c>
      <c r="L63" s="398"/>
      <c r="M63" s="398"/>
      <c r="N63" s="398"/>
    </row>
    <row r="64" spans="1:14" s="399" customFormat="1" ht="31.5" hidden="1" outlineLevel="4" x14ac:dyDescent="0.25">
      <c r="A64" s="363" t="s">
        <v>2461</v>
      </c>
      <c r="B64" s="381" t="s">
        <v>784</v>
      </c>
      <c r="C64" s="381" t="s">
        <v>781</v>
      </c>
      <c r="D64" s="143" t="s">
        <v>408</v>
      </c>
      <c r="E64" s="149">
        <v>4</v>
      </c>
      <c r="F64" s="149">
        <f>(4/9*387+2476)*(1.023*1.005-2.3%*15%)*6.99+0*4.09+44</f>
        <v>19010</v>
      </c>
      <c r="G64" s="145">
        <f t="shared" si="54"/>
        <v>1.1279999999999999</v>
      </c>
      <c r="H64" s="146">
        <f>F64*G64</f>
        <v>21443</v>
      </c>
      <c r="I64" s="145">
        <f>Дефляторы!$D$25</f>
        <v>1.052</v>
      </c>
      <c r="J64" s="146">
        <f>H64*I64</f>
        <v>22558</v>
      </c>
      <c r="K64" s="146">
        <f>H64+(J64-H64)*(1-30/100)</f>
        <v>22224</v>
      </c>
      <c r="L64" s="398"/>
      <c r="M64" s="398"/>
      <c r="N64" s="398"/>
    </row>
    <row r="65" spans="1:14" s="399" customFormat="1" ht="31.5" hidden="1" outlineLevel="4" x14ac:dyDescent="0.25">
      <c r="A65" s="363" t="s">
        <v>2462</v>
      </c>
      <c r="B65" s="381" t="s">
        <v>785</v>
      </c>
      <c r="C65" s="381" t="s">
        <v>780</v>
      </c>
      <c r="D65" s="143" t="s">
        <v>408</v>
      </c>
      <c r="E65" s="149">
        <v>1</v>
      </c>
      <c r="F65" s="149">
        <f>(1/9*387+654)*(1.023*1.005-2.3%*15%)*6.99+0*4.09</f>
        <v>4992</v>
      </c>
      <c r="G65" s="145">
        <f t="shared" si="54"/>
        <v>1.1279999999999999</v>
      </c>
      <c r="H65" s="146">
        <f>F65*G65</f>
        <v>5631</v>
      </c>
      <c r="I65" s="145">
        <f>Дефляторы!$D$25</f>
        <v>1.052</v>
      </c>
      <c r="J65" s="146">
        <f>H65*I65</f>
        <v>5924</v>
      </c>
      <c r="K65" s="146">
        <f>H65+(J65-H65)*(1-30/100)</f>
        <v>5836</v>
      </c>
      <c r="L65" s="398"/>
      <c r="M65" s="398"/>
      <c r="N65" s="398"/>
    </row>
    <row r="66" spans="1:14" s="399" customFormat="1" hidden="1" outlineLevel="4" x14ac:dyDescent="0.25">
      <c r="A66" s="363" t="s">
        <v>2463</v>
      </c>
      <c r="B66" s="381" t="s">
        <v>787</v>
      </c>
      <c r="C66" s="381" t="s">
        <v>482</v>
      </c>
      <c r="D66" s="143" t="s">
        <v>292</v>
      </c>
      <c r="E66" s="149">
        <v>1</v>
      </c>
      <c r="F66" s="149">
        <f>(797)*(1.023*1.005-2.3%*15%)*6.99+0*4.09</f>
        <v>5708</v>
      </c>
      <c r="G66" s="145">
        <f t="shared" si="54"/>
        <v>1.1279999999999999</v>
      </c>
      <c r="H66" s="146">
        <f t="shared" ref="H66" si="70">F66*G66</f>
        <v>6439</v>
      </c>
      <c r="I66" s="145">
        <f>Дефляторы!$D$25</f>
        <v>1.052</v>
      </c>
      <c r="J66" s="146">
        <f t="shared" ref="J66" si="71">H66*I66</f>
        <v>6774</v>
      </c>
      <c r="K66" s="146">
        <f t="shared" ref="K66" si="72">H66+(J66-H66)*(1-30/100)</f>
        <v>6674</v>
      </c>
      <c r="L66" s="398"/>
      <c r="M66" s="398"/>
      <c r="N66" s="398"/>
    </row>
    <row r="67" spans="1:14" s="443" customFormat="1" hidden="1" outlineLevel="3" x14ac:dyDescent="0.25">
      <c r="A67" s="368" t="s">
        <v>2255</v>
      </c>
      <c r="B67" s="387"/>
      <c r="C67" s="387" t="s">
        <v>592</v>
      </c>
      <c r="D67" s="300" t="s">
        <v>292</v>
      </c>
      <c r="E67" s="240">
        <v>1</v>
      </c>
      <c r="F67" s="240">
        <f>SUM(F68:F70)</f>
        <v>14288066</v>
      </c>
      <c r="G67" s="241">
        <f t="shared" si="54"/>
        <v>1.1279999999999999</v>
      </c>
      <c r="H67" s="240">
        <f>SUM(H68:H70)</f>
        <v>16116939</v>
      </c>
      <c r="I67" s="241">
        <f>Дефляторы!$D$25</f>
        <v>1.052</v>
      </c>
      <c r="J67" s="240">
        <f>SUM(J68:J70)</f>
        <v>16955020</v>
      </c>
      <c r="K67" s="240">
        <f>SUM(K68:K70)</f>
        <v>16703596</v>
      </c>
      <c r="L67" s="442"/>
      <c r="M67" s="442"/>
      <c r="N67" s="442"/>
    </row>
    <row r="68" spans="1:14" s="383" customFormat="1" ht="31.5" hidden="1" outlineLevel="4" x14ac:dyDescent="0.25">
      <c r="A68" s="363" t="s">
        <v>2464</v>
      </c>
      <c r="B68" s="381" t="s">
        <v>790</v>
      </c>
      <c r="C68" s="381" t="s">
        <v>1814</v>
      </c>
      <c r="D68" s="100" t="s">
        <v>292</v>
      </c>
      <c r="E68" s="149">
        <v>1</v>
      </c>
      <c r="F68" s="220">
        <f>27148*(1.023*1.005-2.3%*15%)*6.99+109702*4.09</f>
        <v>643126</v>
      </c>
      <c r="G68" s="145">
        <f t="shared" si="54"/>
        <v>1.1279999999999999</v>
      </c>
      <c r="H68" s="146">
        <f>F68*G68</f>
        <v>725446</v>
      </c>
      <c r="I68" s="145">
        <f>Дефляторы!$D$25</f>
        <v>1.052</v>
      </c>
      <c r="J68" s="146">
        <f>H68*I68</f>
        <v>763169</v>
      </c>
      <c r="K68" s="146">
        <f>H68+(J68-H68)*(1-30/100)</f>
        <v>751852</v>
      </c>
      <c r="L68" s="382"/>
      <c r="M68" s="382"/>
      <c r="N68" s="382"/>
    </row>
    <row r="69" spans="1:14" s="383" customFormat="1" hidden="1" outlineLevel="4" x14ac:dyDescent="0.25">
      <c r="A69" s="363" t="s">
        <v>2465</v>
      </c>
      <c r="B69" s="381" t="s">
        <v>791</v>
      </c>
      <c r="C69" s="381" t="s">
        <v>1813</v>
      </c>
      <c r="D69" s="100" t="s">
        <v>292</v>
      </c>
      <c r="E69" s="149">
        <v>1</v>
      </c>
      <c r="F69" s="220">
        <f>2014*(1.023*1.005-2.3%*15%)*6.99+66296*4.09</f>
        <v>285576</v>
      </c>
      <c r="G69" s="145">
        <f t="shared" si="54"/>
        <v>1.1279999999999999</v>
      </c>
      <c r="H69" s="146">
        <f>F69*G69</f>
        <v>322130</v>
      </c>
      <c r="I69" s="145">
        <f>Дефляторы!$D$25</f>
        <v>1.052</v>
      </c>
      <c r="J69" s="146">
        <f>H69*I69</f>
        <v>338881</v>
      </c>
      <c r="K69" s="146">
        <f>H69+(J69-H69)*(1-30/100)</f>
        <v>333856</v>
      </c>
      <c r="L69" s="382"/>
      <c r="M69" s="382"/>
      <c r="N69" s="382"/>
    </row>
    <row r="70" spans="1:14" s="383" customFormat="1" hidden="1" outlineLevel="4" x14ac:dyDescent="0.25">
      <c r="A70" s="363" t="s">
        <v>2466</v>
      </c>
      <c r="B70" s="381" t="s">
        <v>792</v>
      </c>
      <c r="C70" s="381" t="s">
        <v>1812</v>
      </c>
      <c r="D70" s="100" t="s">
        <v>292</v>
      </c>
      <c r="E70" s="149">
        <v>1</v>
      </c>
      <c r="F70" s="220">
        <f>6762*(1.023*1.005-2.3%*15%)*6.99+3254515*4.09-35</f>
        <v>13359364</v>
      </c>
      <c r="G70" s="145">
        <f t="shared" si="54"/>
        <v>1.1279999999999999</v>
      </c>
      <c r="H70" s="146">
        <f>F70*G70</f>
        <v>15069363</v>
      </c>
      <c r="I70" s="145">
        <f>Дефляторы!$D$25</f>
        <v>1.052</v>
      </c>
      <c r="J70" s="146">
        <f>H70*I70</f>
        <v>15852970</v>
      </c>
      <c r="K70" s="146">
        <f>H70+(J70-H70)*(1-30/100)</f>
        <v>15617888</v>
      </c>
      <c r="L70" s="382"/>
      <c r="M70" s="382"/>
      <c r="N70" s="382"/>
    </row>
    <row r="71" spans="1:14" s="358" customFormat="1" hidden="1" outlineLevel="3" x14ac:dyDescent="0.25">
      <c r="A71" s="368" t="s">
        <v>2256</v>
      </c>
      <c r="B71" s="387"/>
      <c r="C71" s="387" t="s">
        <v>585</v>
      </c>
      <c r="D71" s="239" t="s">
        <v>292</v>
      </c>
      <c r="E71" s="240">
        <v>1</v>
      </c>
      <c r="F71" s="240">
        <f>SUM(F72:F73)</f>
        <v>546004</v>
      </c>
      <c r="G71" s="241">
        <f t="shared" si="54"/>
        <v>1.1279999999999999</v>
      </c>
      <c r="H71" s="240">
        <f>SUM(H72:H73)</f>
        <v>615892</v>
      </c>
      <c r="I71" s="241">
        <f>Дефляторы!$D$25</f>
        <v>1.052</v>
      </c>
      <c r="J71" s="240">
        <f>SUM(J72:J73)</f>
        <v>647919</v>
      </c>
      <c r="K71" s="240">
        <f>SUM(K72:K73)</f>
        <v>638311</v>
      </c>
      <c r="L71" s="389"/>
      <c r="M71" s="389"/>
      <c r="N71" s="389"/>
    </row>
    <row r="72" spans="1:14" s="383" customFormat="1" ht="31.5" hidden="1" outlineLevel="4" x14ac:dyDescent="0.25">
      <c r="A72" s="363" t="s">
        <v>2467</v>
      </c>
      <c r="B72" s="381" t="s">
        <v>797</v>
      </c>
      <c r="C72" s="381" t="s">
        <v>1825</v>
      </c>
      <c r="D72" s="100" t="s">
        <v>292</v>
      </c>
      <c r="E72" s="149">
        <v>1</v>
      </c>
      <c r="F72" s="220">
        <f>10435*(1.023*1.005-2.3%*15%)*6.99+3896*4.09</f>
        <v>90674</v>
      </c>
      <c r="G72" s="145">
        <f t="shared" si="54"/>
        <v>1.1279999999999999</v>
      </c>
      <c r="H72" s="146">
        <f>F72*G72</f>
        <v>102280</v>
      </c>
      <c r="I72" s="145">
        <f>Дефляторы!$D$25</f>
        <v>1.052</v>
      </c>
      <c r="J72" s="146">
        <f>H72*I72</f>
        <v>107599</v>
      </c>
      <c r="K72" s="146">
        <f>H72+(J72-H72)*(1-30/100)</f>
        <v>106003</v>
      </c>
      <c r="L72" s="382"/>
      <c r="M72" s="382"/>
      <c r="N72" s="382"/>
    </row>
    <row r="73" spans="1:14" s="383" customFormat="1" ht="31.5" hidden="1" outlineLevel="4" x14ac:dyDescent="0.25">
      <c r="A73" s="363" t="s">
        <v>2468</v>
      </c>
      <c r="B73" s="381" t="s">
        <v>798</v>
      </c>
      <c r="C73" s="381" t="s">
        <v>1826</v>
      </c>
      <c r="D73" s="100" t="s">
        <v>292</v>
      </c>
      <c r="E73" s="149">
        <v>1</v>
      </c>
      <c r="F73" s="220">
        <f>19865*(1.023*1.005-2.3%*15%)*6.99+76530*4.09+41</f>
        <v>455330</v>
      </c>
      <c r="G73" s="145">
        <f t="shared" si="54"/>
        <v>1.1279999999999999</v>
      </c>
      <c r="H73" s="146">
        <f>F73*G73</f>
        <v>513612</v>
      </c>
      <c r="I73" s="145">
        <f>Дефляторы!$D$25</f>
        <v>1.052</v>
      </c>
      <c r="J73" s="146">
        <f>H73*I73</f>
        <v>540320</v>
      </c>
      <c r="K73" s="146">
        <f>H73+(J73-H73)*(1-30/100)</f>
        <v>532308</v>
      </c>
      <c r="L73" s="382"/>
      <c r="M73" s="382"/>
      <c r="N73" s="382"/>
    </row>
    <row r="74" spans="1:14" s="358" customFormat="1" ht="31.5" outlineLevel="2" collapsed="1" x14ac:dyDescent="0.25">
      <c r="A74" s="132" t="s">
        <v>569</v>
      </c>
      <c r="B74" s="320"/>
      <c r="C74" s="320" t="s">
        <v>216</v>
      </c>
      <c r="D74" s="134" t="s">
        <v>292</v>
      </c>
      <c r="E74" s="90">
        <v>1</v>
      </c>
      <c r="F74" s="90">
        <f>SUM(F75:F90)</f>
        <v>11679881</v>
      </c>
      <c r="G74" s="135">
        <f t="shared" si="54"/>
        <v>1.1279999999999999</v>
      </c>
      <c r="H74" s="90">
        <f>SUM(H75:H90)</f>
        <v>13174906</v>
      </c>
      <c r="I74" s="135">
        <f>Дефляторы!$D$25</f>
        <v>1.052</v>
      </c>
      <c r="J74" s="90">
        <f>SUM(J75:J90)</f>
        <v>13860003</v>
      </c>
      <c r="K74" s="90">
        <f>SUM(K75:K90)</f>
        <v>13654475</v>
      </c>
      <c r="L74" s="389"/>
      <c r="M74" s="389"/>
      <c r="N74" s="389"/>
    </row>
    <row r="75" spans="1:14" s="383" customFormat="1" hidden="1" outlineLevel="4" x14ac:dyDescent="0.25">
      <c r="A75" s="363" t="s">
        <v>1835</v>
      </c>
      <c r="B75" s="381" t="s">
        <v>1338</v>
      </c>
      <c r="C75" s="381" t="s">
        <v>1309</v>
      </c>
      <c r="D75" s="100" t="s">
        <v>292</v>
      </c>
      <c r="E75" s="149">
        <v>1</v>
      </c>
      <c r="F75" s="220">
        <f>(197847)*(1.023*1.005-2.3%*15%)*6.99+0*4.09</f>
        <v>1417061</v>
      </c>
      <c r="G75" s="145">
        <f t="shared" si="54"/>
        <v>1.1279999999999999</v>
      </c>
      <c r="H75" s="146">
        <f t="shared" ref="H75" si="73">F75*G75</f>
        <v>1598445</v>
      </c>
      <c r="I75" s="145">
        <f>Дефляторы!$D$25</f>
        <v>1.052</v>
      </c>
      <c r="J75" s="146">
        <f t="shared" ref="J75" si="74">H75*I75</f>
        <v>1681564</v>
      </c>
      <c r="K75" s="146">
        <f t="shared" ref="K75" si="75">H75+(J75-H75)*(1-30/100)</f>
        <v>1656628</v>
      </c>
      <c r="L75" s="382"/>
      <c r="M75" s="382"/>
      <c r="N75" s="382"/>
    </row>
    <row r="76" spans="1:14" s="383" customFormat="1" hidden="1" outlineLevel="4" x14ac:dyDescent="0.25">
      <c r="A76" s="363" t="s">
        <v>1836</v>
      </c>
      <c r="B76" s="381" t="s">
        <v>1337</v>
      </c>
      <c r="C76" s="381" t="s">
        <v>1310</v>
      </c>
      <c r="D76" s="100" t="s">
        <v>292</v>
      </c>
      <c r="E76" s="149">
        <v>1</v>
      </c>
      <c r="F76" s="220">
        <f>(14269)*(1.023*1.005-2.3%*15%)*6.99+0*4.09</f>
        <v>102200</v>
      </c>
      <c r="G76" s="145">
        <f t="shared" si="54"/>
        <v>1.1279999999999999</v>
      </c>
      <c r="H76" s="146">
        <f t="shared" ref="H76" si="76">F76*G76</f>
        <v>115282</v>
      </c>
      <c r="I76" s="145">
        <f>Дефляторы!$D$25</f>
        <v>1.052</v>
      </c>
      <c r="J76" s="146">
        <f t="shared" ref="J76" si="77">H76*I76</f>
        <v>121277</v>
      </c>
      <c r="K76" s="146">
        <f t="shared" ref="K76" si="78">H76+(J76-H76)*(1-30/100)</f>
        <v>119479</v>
      </c>
      <c r="L76" s="382"/>
      <c r="M76" s="382"/>
      <c r="N76" s="382"/>
    </row>
    <row r="77" spans="1:14" s="383" customFormat="1" hidden="1" outlineLevel="4" x14ac:dyDescent="0.25">
      <c r="A77" s="363"/>
      <c r="B77" s="381"/>
      <c r="C77" s="381" t="s">
        <v>1311</v>
      </c>
      <c r="D77" s="100"/>
      <c r="E77" s="100"/>
      <c r="F77" s="149"/>
      <c r="G77" s="145"/>
      <c r="H77" s="146"/>
      <c r="I77" s="145">
        <f>Дефляторы!$D$25</f>
        <v>1.052</v>
      </c>
      <c r="J77" s="146"/>
      <c r="K77" s="146"/>
      <c r="L77" s="382"/>
      <c r="M77" s="382"/>
      <c r="N77" s="382"/>
    </row>
    <row r="78" spans="1:14" s="383" customFormat="1" ht="31.5" hidden="1" outlineLevel="4" x14ac:dyDescent="0.25">
      <c r="A78" s="363" t="s">
        <v>1837</v>
      </c>
      <c r="B78" s="381" t="s">
        <v>1336</v>
      </c>
      <c r="C78" s="381" t="s">
        <v>1312</v>
      </c>
      <c r="D78" s="100" t="s">
        <v>404</v>
      </c>
      <c r="E78" s="100">
        <f>424.6</f>
        <v>424.6</v>
      </c>
      <c r="F78" s="220">
        <f>(142090)*(1.023*1.005-2.3%*15%)*6.99+0*4.09</f>
        <v>1017707</v>
      </c>
      <c r="G78" s="145">
        <f t="shared" ref="G78:G111" si="79">$G$831</f>
        <v>1.1279999999999999</v>
      </c>
      <c r="H78" s="146">
        <f t="shared" ref="H78" si="80">F78*G78</f>
        <v>1147973</v>
      </c>
      <c r="I78" s="145">
        <f>Дефляторы!$D$25</f>
        <v>1.052</v>
      </c>
      <c r="J78" s="146">
        <f t="shared" ref="J78" si="81">H78*I78</f>
        <v>1207668</v>
      </c>
      <c r="K78" s="146">
        <f t="shared" ref="K78" si="82">H78+(J78-H78)*(1-30/100)</f>
        <v>1189760</v>
      </c>
      <c r="L78" s="382"/>
      <c r="M78" s="382"/>
      <c r="N78" s="382"/>
    </row>
    <row r="79" spans="1:14" s="383" customFormat="1" hidden="1" outlineLevel="4" x14ac:dyDescent="0.25">
      <c r="A79" s="363" t="s">
        <v>1838</v>
      </c>
      <c r="B79" s="381" t="s">
        <v>1335</v>
      </c>
      <c r="C79" s="381" t="s">
        <v>1313</v>
      </c>
      <c r="D79" s="100" t="s">
        <v>404</v>
      </c>
      <c r="E79" s="100">
        <f>248.82</f>
        <v>248.82</v>
      </c>
      <c r="F79" s="220">
        <f>(70136)*(1.023*1.005-2.3%*15%)*6.99+0*4.09</f>
        <v>502343</v>
      </c>
      <c r="G79" s="145">
        <f t="shared" si="79"/>
        <v>1.1279999999999999</v>
      </c>
      <c r="H79" s="146">
        <f t="shared" ref="H79" si="83">F79*G79</f>
        <v>566643</v>
      </c>
      <c r="I79" s="145">
        <f>Дефляторы!$D$25</f>
        <v>1.052</v>
      </c>
      <c r="J79" s="146">
        <f t="shared" ref="J79" si="84">H79*I79</f>
        <v>596108</v>
      </c>
      <c r="K79" s="146">
        <f t="shared" ref="K79" si="85">H79+(J79-H79)*(1-30/100)</f>
        <v>587269</v>
      </c>
      <c r="L79" s="382"/>
      <c r="M79" s="382"/>
      <c r="N79" s="382"/>
    </row>
    <row r="80" spans="1:14" s="383" customFormat="1" ht="63" hidden="1" outlineLevel="4" x14ac:dyDescent="0.25">
      <c r="A80" s="363" t="s">
        <v>1839</v>
      </c>
      <c r="B80" s="381" t="s">
        <v>1334</v>
      </c>
      <c r="C80" s="400" t="s">
        <v>1315</v>
      </c>
      <c r="D80" s="100" t="s">
        <v>404</v>
      </c>
      <c r="E80" s="100">
        <f>547</f>
        <v>547</v>
      </c>
      <c r="F80" s="220">
        <f>(156865)*(1.023*1.005-2.3%*15%)*6.99+0*4.09</f>
        <v>1123531</v>
      </c>
      <c r="G80" s="145">
        <f t="shared" si="79"/>
        <v>1.1279999999999999</v>
      </c>
      <c r="H80" s="146">
        <f t="shared" ref="H80" si="86">F80*G80</f>
        <v>1267343</v>
      </c>
      <c r="I80" s="145">
        <f>Дефляторы!$D$25</f>
        <v>1.052</v>
      </c>
      <c r="J80" s="146">
        <f t="shared" ref="J80" si="87">H80*I80</f>
        <v>1333245</v>
      </c>
      <c r="K80" s="146">
        <f t="shared" ref="K80" si="88">H80+(J80-H80)*(1-30/100)</f>
        <v>1313474</v>
      </c>
      <c r="L80" s="382"/>
      <c r="M80" s="382"/>
      <c r="N80" s="382"/>
    </row>
    <row r="81" spans="1:14" s="383" customFormat="1" hidden="1" outlineLevel="4" x14ac:dyDescent="0.25">
      <c r="A81" s="363" t="s">
        <v>1840</v>
      </c>
      <c r="B81" s="381" t="s">
        <v>1333</v>
      </c>
      <c r="C81" s="381" t="s">
        <v>1314</v>
      </c>
      <c r="D81" s="100" t="s">
        <v>404</v>
      </c>
      <c r="E81" s="100">
        <f>116</f>
        <v>116</v>
      </c>
      <c r="F81" s="220">
        <f>(15935)*(1.023*1.005-2.3%*15%)*6.99+0*4.09</f>
        <v>114133</v>
      </c>
      <c r="G81" s="145">
        <f t="shared" si="79"/>
        <v>1.1279999999999999</v>
      </c>
      <c r="H81" s="146">
        <f t="shared" ref="H81" si="89">F81*G81</f>
        <v>128742</v>
      </c>
      <c r="I81" s="145">
        <f>Дефляторы!$D$25</f>
        <v>1.052</v>
      </c>
      <c r="J81" s="146">
        <f t="shared" ref="J81" si="90">H81*I81</f>
        <v>135437</v>
      </c>
      <c r="K81" s="146">
        <f t="shared" ref="K81" si="91">H81+(J81-H81)*(1-30/100)</f>
        <v>133429</v>
      </c>
      <c r="L81" s="382"/>
      <c r="M81" s="382"/>
      <c r="N81" s="382"/>
    </row>
    <row r="82" spans="1:14" s="383" customFormat="1" hidden="1" outlineLevel="4" x14ac:dyDescent="0.25">
      <c r="A82" s="363" t="s">
        <v>1841</v>
      </c>
      <c r="B82" s="381" t="s">
        <v>1332</v>
      </c>
      <c r="C82" s="381" t="s">
        <v>1317</v>
      </c>
      <c r="D82" s="100" t="s">
        <v>404</v>
      </c>
      <c r="E82" s="100">
        <f>126.9</f>
        <v>126.9</v>
      </c>
      <c r="F82" s="220">
        <f>(35004)*(1.023*1.005-2.3%*15%)*6.99+0*4.09</f>
        <v>250713</v>
      </c>
      <c r="G82" s="145">
        <f t="shared" si="79"/>
        <v>1.1279999999999999</v>
      </c>
      <c r="H82" s="146">
        <f t="shared" ref="H82" si="92">F82*G82</f>
        <v>282804</v>
      </c>
      <c r="I82" s="145">
        <f>Дефляторы!$D$25</f>
        <v>1.052</v>
      </c>
      <c r="J82" s="146">
        <f t="shared" ref="J82" si="93">H82*I82</f>
        <v>297510</v>
      </c>
      <c r="K82" s="146">
        <f t="shared" ref="K82" si="94">H82+(J82-H82)*(1-30/100)</f>
        <v>293098</v>
      </c>
      <c r="L82" s="382"/>
      <c r="M82" s="382"/>
      <c r="N82" s="382"/>
    </row>
    <row r="83" spans="1:14" s="383" customFormat="1" hidden="1" outlineLevel="4" x14ac:dyDescent="0.25">
      <c r="A83" s="363" t="s">
        <v>1842</v>
      </c>
      <c r="B83" s="381" t="s">
        <v>1331</v>
      </c>
      <c r="C83" s="381" t="s">
        <v>1316</v>
      </c>
      <c r="D83" s="100" t="s">
        <v>404</v>
      </c>
      <c r="E83" s="100">
        <f>364.9</f>
        <v>364.9</v>
      </c>
      <c r="F83" s="220">
        <f>(122117)*(1.023*1.005-2.3%*15%)*6.99+0*4.09</f>
        <v>874652</v>
      </c>
      <c r="G83" s="145">
        <f t="shared" si="79"/>
        <v>1.1279999999999999</v>
      </c>
      <c r="H83" s="146">
        <f t="shared" ref="H83" si="95">F83*G83</f>
        <v>986607</v>
      </c>
      <c r="I83" s="145">
        <f>Дефляторы!$D$25</f>
        <v>1.052</v>
      </c>
      <c r="J83" s="146">
        <f t="shared" ref="J83" si="96">H83*I83</f>
        <v>1037911</v>
      </c>
      <c r="K83" s="146">
        <f t="shared" ref="K83" si="97">H83+(J83-H83)*(1-30/100)</f>
        <v>1022520</v>
      </c>
      <c r="L83" s="382"/>
      <c r="M83" s="382"/>
      <c r="N83" s="382"/>
    </row>
    <row r="84" spans="1:14" s="383" customFormat="1" ht="31.5" hidden="1" outlineLevel="4" x14ac:dyDescent="0.25">
      <c r="A84" s="363" t="s">
        <v>1843</v>
      </c>
      <c r="B84" s="381" t="s">
        <v>1330</v>
      </c>
      <c r="C84" s="381" t="s">
        <v>864</v>
      </c>
      <c r="D84" s="100" t="s">
        <v>404</v>
      </c>
      <c r="E84" s="161">
        <v>7640</v>
      </c>
      <c r="F84" s="220">
        <f>(348367)*(1.023*1.005-2.3%*15%)*6.99+0*4.09-24</f>
        <v>2495123</v>
      </c>
      <c r="G84" s="145">
        <f t="shared" si="79"/>
        <v>1.1279999999999999</v>
      </c>
      <c r="H84" s="146">
        <f t="shared" ref="H84" si="98">F84*G84</f>
        <v>2814499</v>
      </c>
      <c r="I84" s="145">
        <f>Дефляторы!$D$25</f>
        <v>1.052</v>
      </c>
      <c r="J84" s="146">
        <f t="shared" ref="J84" si="99">H84*I84</f>
        <v>2960853</v>
      </c>
      <c r="K84" s="146">
        <f t="shared" ref="K84" si="100">H84+(J84-H84)*(1-30/100)</f>
        <v>2916947</v>
      </c>
      <c r="L84" s="382" t="s">
        <v>1318</v>
      </c>
      <c r="M84" s="382"/>
      <c r="N84" s="382"/>
    </row>
    <row r="85" spans="1:14" s="383" customFormat="1" hidden="1" outlineLevel="4" x14ac:dyDescent="0.25">
      <c r="A85" s="363" t="s">
        <v>2469</v>
      </c>
      <c r="B85" s="381" t="s">
        <v>1329</v>
      </c>
      <c r="C85" s="381" t="s">
        <v>1319</v>
      </c>
      <c r="D85" s="100" t="s">
        <v>404</v>
      </c>
      <c r="E85" s="100">
        <f>52.6</f>
        <v>52.6</v>
      </c>
      <c r="F85" s="220">
        <f>(18293)*(1.023*1.005-2.3%*15%)*6.99+0*4.09</f>
        <v>131022</v>
      </c>
      <c r="G85" s="145">
        <f t="shared" si="79"/>
        <v>1.1279999999999999</v>
      </c>
      <c r="H85" s="146">
        <f t="shared" ref="H85" si="101">F85*G85</f>
        <v>147793</v>
      </c>
      <c r="I85" s="145">
        <f>Дефляторы!$D$25</f>
        <v>1.052</v>
      </c>
      <c r="J85" s="146">
        <f t="shared" ref="J85" si="102">H85*I85</f>
        <v>155478</v>
      </c>
      <c r="K85" s="146">
        <f t="shared" ref="K85" si="103">H85+(J85-H85)*(1-30/100)</f>
        <v>153173</v>
      </c>
      <c r="L85" s="382"/>
      <c r="M85" s="382"/>
      <c r="N85" s="382"/>
    </row>
    <row r="86" spans="1:14" s="383" customFormat="1" hidden="1" outlineLevel="4" x14ac:dyDescent="0.25">
      <c r="A86" s="363" t="s">
        <v>2470</v>
      </c>
      <c r="B86" s="381" t="s">
        <v>1328</v>
      </c>
      <c r="C86" s="381" t="s">
        <v>1320</v>
      </c>
      <c r="D86" s="100" t="s">
        <v>292</v>
      </c>
      <c r="E86" s="100">
        <v>1</v>
      </c>
      <c r="F86" s="220">
        <f>(83681)*(1.023*1.005-2.3%*15%)*6.99+0*4.09</f>
        <v>599357</v>
      </c>
      <c r="G86" s="145">
        <f t="shared" si="79"/>
        <v>1.1279999999999999</v>
      </c>
      <c r="H86" s="146">
        <f t="shared" ref="H86" si="104">F86*G86</f>
        <v>676075</v>
      </c>
      <c r="I86" s="145">
        <f>Дефляторы!$D$25</f>
        <v>1.052</v>
      </c>
      <c r="J86" s="146">
        <f t="shared" ref="J86" si="105">H86*I86</f>
        <v>711231</v>
      </c>
      <c r="K86" s="146">
        <f t="shared" ref="K86" si="106">H86+(J86-H86)*(1-30/100)</f>
        <v>700684</v>
      </c>
      <c r="L86" s="382"/>
      <c r="M86" s="382"/>
      <c r="N86" s="382"/>
    </row>
    <row r="87" spans="1:14" s="383" customFormat="1" ht="47.25" hidden="1" outlineLevel="4" x14ac:dyDescent="0.25">
      <c r="A87" s="363" t="s">
        <v>2471</v>
      </c>
      <c r="B87" s="381" t="s">
        <v>1323</v>
      </c>
      <c r="C87" s="381" t="s">
        <v>1321</v>
      </c>
      <c r="D87" s="100" t="s">
        <v>404</v>
      </c>
      <c r="E87" s="100">
        <f>320.8</f>
        <v>320.8</v>
      </c>
      <c r="F87" s="220">
        <f>(343570)*(1.023*1.005-2.3%*15%)*6.99+0*4.09</f>
        <v>2460789</v>
      </c>
      <c r="G87" s="145">
        <f t="shared" si="79"/>
        <v>1.1279999999999999</v>
      </c>
      <c r="H87" s="146">
        <f t="shared" ref="H87" si="107">F87*G87</f>
        <v>2775770</v>
      </c>
      <c r="I87" s="145">
        <f>Дефляторы!$D$25</f>
        <v>1.052</v>
      </c>
      <c r="J87" s="146">
        <f t="shared" ref="J87" si="108">H87*I87</f>
        <v>2920110</v>
      </c>
      <c r="K87" s="146">
        <f t="shared" ref="K87" si="109">H87+(J87-H87)*(1-30/100)</f>
        <v>2876808</v>
      </c>
      <c r="L87" s="401" t="s">
        <v>1322</v>
      </c>
      <c r="M87" s="382"/>
      <c r="N87" s="382"/>
    </row>
    <row r="88" spans="1:14" s="383" customFormat="1" hidden="1" outlineLevel="4" x14ac:dyDescent="0.25">
      <c r="A88" s="363" t="s">
        <v>2472</v>
      </c>
      <c r="B88" s="381" t="s">
        <v>1325</v>
      </c>
      <c r="C88" s="381" t="s">
        <v>1324</v>
      </c>
      <c r="D88" s="100" t="s">
        <v>292</v>
      </c>
      <c r="E88" s="100">
        <v>1</v>
      </c>
      <c r="F88" s="220">
        <f>(61878)*(1.023*1.005-2.3%*15%)*6.99+0*4.09</f>
        <v>443196</v>
      </c>
      <c r="G88" s="145">
        <f t="shared" si="79"/>
        <v>1.1279999999999999</v>
      </c>
      <c r="H88" s="146">
        <f t="shared" ref="H88" si="110">F88*G88</f>
        <v>499925</v>
      </c>
      <c r="I88" s="145">
        <f>Дефляторы!$D$25</f>
        <v>1.052</v>
      </c>
      <c r="J88" s="146">
        <f t="shared" ref="J88" si="111">H88*I88</f>
        <v>525921</v>
      </c>
      <c r="K88" s="146">
        <f t="shared" ref="K88" si="112">H88+(J88-H88)*(1-30/100)</f>
        <v>518122</v>
      </c>
      <c r="L88" s="382"/>
      <c r="M88" s="382"/>
      <c r="N88" s="382"/>
    </row>
    <row r="89" spans="1:14" s="383" customFormat="1" hidden="1" outlineLevel="4" x14ac:dyDescent="0.25">
      <c r="A89" s="363" t="s">
        <v>2473</v>
      </c>
      <c r="B89" s="381" t="s">
        <v>1327</v>
      </c>
      <c r="C89" s="381" t="s">
        <v>1326</v>
      </c>
      <c r="D89" s="100" t="s">
        <v>377</v>
      </c>
      <c r="E89" s="100">
        <f>30.1+68.1</f>
        <v>98.2</v>
      </c>
      <c r="F89" s="220">
        <f>(18427)*(1.023*1.005-2.3%*15%)*6.99+0*4.09</f>
        <v>131982</v>
      </c>
      <c r="G89" s="145">
        <f t="shared" si="79"/>
        <v>1.1279999999999999</v>
      </c>
      <c r="H89" s="146">
        <f t="shared" ref="H89" si="113">F89*G89</f>
        <v>148876</v>
      </c>
      <c r="I89" s="145">
        <f>Дефляторы!$D$25</f>
        <v>1.052</v>
      </c>
      <c r="J89" s="146">
        <f t="shared" ref="J89" si="114">H89*I89</f>
        <v>156618</v>
      </c>
      <c r="K89" s="146">
        <f t="shared" ref="K89" si="115">H89+(J89-H89)*(1-30/100)</f>
        <v>154295</v>
      </c>
      <c r="L89" s="382"/>
      <c r="M89" s="382"/>
      <c r="N89" s="382"/>
    </row>
    <row r="90" spans="1:14" s="383" customFormat="1" ht="31.5" hidden="1" outlineLevel="4" x14ac:dyDescent="0.25">
      <c r="A90" s="363" t="s">
        <v>2474</v>
      </c>
      <c r="B90" s="381" t="s">
        <v>1340</v>
      </c>
      <c r="C90" s="381" t="s">
        <v>1339</v>
      </c>
      <c r="D90" s="100" t="s">
        <v>404</v>
      </c>
      <c r="E90" s="100">
        <f>592.4</f>
        <v>592.4</v>
      </c>
      <c r="F90" s="220">
        <f>(2244)*(1.023*1.005-2.3%*15%)*6.99+0*4.09</f>
        <v>16072</v>
      </c>
      <c r="G90" s="145">
        <f t="shared" si="79"/>
        <v>1.1279999999999999</v>
      </c>
      <c r="H90" s="146">
        <f t="shared" ref="H90" si="116">F90*G90</f>
        <v>18129</v>
      </c>
      <c r="I90" s="145">
        <f>Дефляторы!$D$25</f>
        <v>1.052</v>
      </c>
      <c r="J90" s="146">
        <f t="shared" ref="J90" si="117">H90*I90</f>
        <v>19072</v>
      </c>
      <c r="K90" s="146">
        <f t="shared" ref="K90" si="118">H90+(J90-H90)*(1-30/100)</f>
        <v>18789</v>
      </c>
      <c r="L90" s="382"/>
      <c r="M90" s="382"/>
      <c r="N90" s="382"/>
    </row>
    <row r="91" spans="1:14" s="383" customFormat="1" outlineLevel="2" collapsed="1" x14ac:dyDescent="0.25">
      <c r="A91" s="132" t="s">
        <v>570</v>
      </c>
      <c r="B91" s="320"/>
      <c r="C91" s="320" t="s">
        <v>2400</v>
      </c>
      <c r="D91" s="134" t="s">
        <v>292</v>
      </c>
      <c r="E91" s="90">
        <v>1</v>
      </c>
      <c r="F91" s="90">
        <f>F92</f>
        <v>776893</v>
      </c>
      <c r="G91" s="135">
        <f t="shared" si="79"/>
        <v>1.1279999999999999</v>
      </c>
      <c r="H91" s="90">
        <f>H92</f>
        <v>876335</v>
      </c>
      <c r="I91" s="135">
        <f>Дефляторы!$D$25</f>
        <v>1.052</v>
      </c>
      <c r="J91" s="90">
        <f>J92</f>
        <v>921904</v>
      </c>
      <c r="K91" s="90">
        <f>K92</f>
        <v>908233</v>
      </c>
      <c r="L91" s="382"/>
      <c r="M91" s="382"/>
      <c r="N91" s="382"/>
    </row>
    <row r="92" spans="1:14" s="383" customFormat="1" hidden="1" outlineLevel="3" x14ac:dyDescent="0.25">
      <c r="A92" s="374" t="s">
        <v>2257</v>
      </c>
      <c r="B92" s="402" t="s">
        <v>1347</v>
      </c>
      <c r="C92" s="402" t="s">
        <v>1344</v>
      </c>
      <c r="D92" s="272" t="s">
        <v>408</v>
      </c>
      <c r="E92" s="273">
        <v>1</v>
      </c>
      <c r="F92" s="454">
        <f>(240)*(1.023*1.005-2.3%*15%)*6.99+189529*4.09</f>
        <v>776893</v>
      </c>
      <c r="G92" s="274">
        <f t="shared" si="79"/>
        <v>1.1279999999999999</v>
      </c>
      <c r="H92" s="275">
        <f t="shared" ref="H92" si="119">F92*G92</f>
        <v>876335</v>
      </c>
      <c r="I92" s="274">
        <f>Дефляторы!$D$25</f>
        <v>1.052</v>
      </c>
      <c r="J92" s="275">
        <f t="shared" ref="J92" si="120">H92*I92</f>
        <v>921904</v>
      </c>
      <c r="K92" s="275">
        <f t="shared" ref="K92" si="121">H92+(J92-H92)*(1-30/100)</f>
        <v>908233</v>
      </c>
      <c r="L92" s="403"/>
      <c r="M92" s="403"/>
      <c r="N92" s="403"/>
    </row>
    <row r="93" spans="1:14" s="383" customFormat="1" outlineLevel="2" collapsed="1" x14ac:dyDescent="0.25">
      <c r="A93" s="370" t="s">
        <v>571</v>
      </c>
      <c r="B93" s="433"/>
      <c r="C93" s="433" t="s">
        <v>1378</v>
      </c>
      <c r="D93" s="371" t="s">
        <v>292</v>
      </c>
      <c r="E93" s="372">
        <v>1</v>
      </c>
      <c r="F93" s="372">
        <f>SUM(F94:F100)</f>
        <v>1599959</v>
      </c>
      <c r="G93" s="135">
        <f t="shared" si="79"/>
        <v>1.1279999999999999</v>
      </c>
      <c r="H93" s="372">
        <f>SUM(H94:H100)</f>
        <v>1804755</v>
      </c>
      <c r="I93" s="373">
        <f>Дефляторы!$D$25</f>
        <v>1.052</v>
      </c>
      <c r="J93" s="372">
        <f>SUM(J94:J100)</f>
        <v>1898602</v>
      </c>
      <c r="K93" s="372">
        <f>SUM(K94:K100)</f>
        <v>1870449</v>
      </c>
      <c r="L93" s="404"/>
      <c r="M93" s="404"/>
      <c r="N93" s="404"/>
    </row>
    <row r="94" spans="1:14" s="383" customFormat="1" hidden="1" outlineLevel="3" x14ac:dyDescent="0.25">
      <c r="A94" s="363" t="s">
        <v>2475</v>
      </c>
      <c r="B94" s="381" t="s">
        <v>1346</v>
      </c>
      <c r="C94" s="381" t="s">
        <v>1343</v>
      </c>
      <c r="D94" s="100" t="s">
        <v>408</v>
      </c>
      <c r="E94" s="149">
        <v>1</v>
      </c>
      <c r="F94" s="220">
        <f>(1089)*(1.023*1.005-2.3%*15%)*6.99+244005*4.09</f>
        <v>1005780</v>
      </c>
      <c r="G94" s="145">
        <f t="shared" si="79"/>
        <v>1.1279999999999999</v>
      </c>
      <c r="H94" s="146">
        <f t="shared" ref="H94" si="122">F94*G94</f>
        <v>1134520</v>
      </c>
      <c r="I94" s="145">
        <f>Дефляторы!$D$25</f>
        <v>1.052</v>
      </c>
      <c r="J94" s="146">
        <f t="shared" ref="J94" si="123">H94*I94</f>
        <v>1193515</v>
      </c>
      <c r="K94" s="146">
        <f t="shared" ref="K94" si="124">H94+(J94-H94)*(1-30/100)</f>
        <v>1175817</v>
      </c>
      <c r="L94" s="382"/>
      <c r="M94" s="382"/>
      <c r="N94" s="382"/>
    </row>
    <row r="95" spans="1:14" s="383" customFormat="1" ht="47.25" hidden="1" outlineLevel="3" x14ac:dyDescent="0.25">
      <c r="A95" s="363" t="s">
        <v>2476</v>
      </c>
      <c r="B95" s="381" t="s">
        <v>1388</v>
      </c>
      <c r="C95" s="381" t="s">
        <v>1379</v>
      </c>
      <c r="D95" s="100" t="s">
        <v>408</v>
      </c>
      <c r="E95" s="149">
        <v>1</v>
      </c>
      <c r="F95" s="220">
        <f>(821)*(1.023*1.005-2.3%*15%)*6.99+0*4.09</f>
        <v>5880</v>
      </c>
      <c r="G95" s="145">
        <f t="shared" si="79"/>
        <v>1.1279999999999999</v>
      </c>
      <c r="H95" s="146">
        <f t="shared" ref="H95" si="125">F95*G95</f>
        <v>6633</v>
      </c>
      <c r="I95" s="145">
        <f>Дефляторы!$D$25</f>
        <v>1.052</v>
      </c>
      <c r="J95" s="146">
        <f t="shared" ref="J95" si="126">H95*I95</f>
        <v>6978</v>
      </c>
      <c r="K95" s="146">
        <f t="shared" ref="K95" si="127">H95+(J95-H95)*(1-30/100)</f>
        <v>6875</v>
      </c>
      <c r="L95" s="396" t="s">
        <v>1399</v>
      </c>
      <c r="M95" s="382"/>
      <c r="N95" s="382"/>
    </row>
    <row r="96" spans="1:14" s="383" customFormat="1" ht="78.75" hidden="1" outlineLevel="3" x14ac:dyDescent="0.25">
      <c r="A96" s="363" t="s">
        <v>2477</v>
      </c>
      <c r="B96" s="381" t="s">
        <v>1387</v>
      </c>
      <c r="C96" s="381" t="s">
        <v>1380</v>
      </c>
      <c r="D96" s="100" t="s">
        <v>408</v>
      </c>
      <c r="E96" s="149">
        <v>1</v>
      </c>
      <c r="F96" s="220">
        <f>(1484)*(1.023*1.005-2.3%*15%)*6.99+0*4.09</f>
        <v>10629</v>
      </c>
      <c r="G96" s="145">
        <f t="shared" si="79"/>
        <v>1.1279999999999999</v>
      </c>
      <c r="H96" s="146">
        <f t="shared" ref="H96" si="128">F96*G96</f>
        <v>11990</v>
      </c>
      <c r="I96" s="145">
        <f>Дефляторы!$D$25</f>
        <v>1.052</v>
      </c>
      <c r="J96" s="146">
        <f t="shared" ref="J96" si="129">H96*I96</f>
        <v>12613</v>
      </c>
      <c r="K96" s="146">
        <f t="shared" ref="K96" si="130">H96+(J96-H96)*(1-30/100)</f>
        <v>12426</v>
      </c>
      <c r="L96" s="396" t="s">
        <v>1399</v>
      </c>
      <c r="M96" s="382"/>
      <c r="N96" s="382"/>
    </row>
    <row r="97" spans="1:14" s="383" customFormat="1" ht="47.25" hidden="1" outlineLevel="3" x14ac:dyDescent="0.25">
      <c r="A97" s="363" t="s">
        <v>2478</v>
      </c>
      <c r="B97" s="381" t="s">
        <v>1389</v>
      </c>
      <c r="C97" s="381" t="s">
        <v>1381</v>
      </c>
      <c r="D97" s="100" t="s">
        <v>408</v>
      </c>
      <c r="E97" s="149">
        <v>1</v>
      </c>
      <c r="F97" s="220">
        <f>(925)*(1.023*1.005-2.3%*15%)*6.99+0*4.09</f>
        <v>6625</v>
      </c>
      <c r="G97" s="145">
        <f t="shared" si="79"/>
        <v>1.1279999999999999</v>
      </c>
      <c r="H97" s="146">
        <f t="shared" ref="H97" si="131">F97*G97</f>
        <v>7473</v>
      </c>
      <c r="I97" s="145">
        <f>Дефляторы!$D$25</f>
        <v>1.052</v>
      </c>
      <c r="J97" s="146">
        <f t="shared" ref="J97" si="132">H97*I97</f>
        <v>7862</v>
      </c>
      <c r="K97" s="146">
        <f t="shared" ref="K97" si="133">H97+(J97-H97)*(1-30/100)</f>
        <v>7745</v>
      </c>
      <c r="L97" s="396" t="s">
        <v>1399</v>
      </c>
      <c r="M97" s="382"/>
      <c r="N97" s="382"/>
    </row>
    <row r="98" spans="1:14" s="383" customFormat="1" ht="47.25" hidden="1" outlineLevel="3" x14ac:dyDescent="0.25">
      <c r="A98" s="363" t="s">
        <v>2479</v>
      </c>
      <c r="B98" s="381" t="s">
        <v>1390</v>
      </c>
      <c r="C98" s="381" t="s">
        <v>1382</v>
      </c>
      <c r="D98" s="100" t="s">
        <v>408</v>
      </c>
      <c r="E98" s="149">
        <v>1</v>
      </c>
      <c r="F98" s="220">
        <f>(1198)*(1.023*1.005-2.3%*15%)*6.99+0*4.09</f>
        <v>8581</v>
      </c>
      <c r="G98" s="145">
        <f t="shared" si="79"/>
        <v>1.1279999999999999</v>
      </c>
      <c r="H98" s="146">
        <f t="shared" ref="H98" si="134">F98*G98</f>
        <v>9679</v>
      </c>
      <c r="I98" s="145">
        <f>Дефляторы!$D$25</f>
        <v>1.052</v>
      </c>
      <c r="J98" s="146">
        <f t="shared" ref="J98" si="135">H98*I98</f>
        <v>10182</v>
      </c>
      <c r="K98" s="146">
        <f t="shared" ref="K98" si="136">H98+(J98-H98)*(1-30/100)</f>
        <v>10031</v>
      </c>
      <c r="L98" s="396" t="s">
        <v>1399</v>
      </c>
      <c r="M98" s="382"/>
      <c r="N98" s="382"/>
    </row>
    <row r="99" spans="1:14" s="383" customFormat="1" ht="78.75" hidden="1" outlineLevel="3" x14ac:dyDescent="0.25">
      <c r="A99" s="363" t="s">
        <v>2480</v>
      </c>
      <c r="B99" s="381" t="s">
        <v>1391</v>
      </c>
      <c r="C99" s="381" t="s">
        <v>439</v>
      </c>
      <c r="D99" s="100" t="s">
        <v>408</v>
      </c>
      <c r="E99" s="149">
        <v>1</v>
      </c>
      <c r="F99" s="220">
        <f>(954)*(1.023*1.005-2.3%*15%)*6.99+0*4.09</f>
        <v>6833</v>
      </c>
      <c r="G99" s="145">
        <f t="shared" si="79"/>
        <v>1.1279999999999999</v>
      </c>
      <c r="H99" s="146">
        <f t="shared" ref="H99" si="137">F99*G99</f>
        <v>7708</v>
      </c>
      <c r="I99" s="145">
        <f>Дефляторы!$D$25</f>
        <v>1.052</v>
      </c>
      <c r="J99" s="146">
        <f t="shared" ref="J99" si="138">H99*I99</f>
        <v>8109</v>
      </c>
      <c r="K99" s="146">
        <f t="shared" ref="K99" si="139">H99+(J99-H99)*(1-30/100)</f>
        <v>7989</v>
      </c>
      <c r="L99" s="396" t="s">
        <v>1399</v>
      </c>
      <c r="M99" s="382"/>
      <c r="N99" s="382"/>
    </row>
    <row r="100" spans="1:14" s="383" customFormat="1" ht="47.25" hidden="1" outlineLevel="3" x14ac:dyDescent="0.25">
      <c r="A100" s="363" t="s">
        <v>2481</v>
      </c>
      <c r="B100" s="381" t="s">
        <v>1392</v>
      </c>
      <c r="C100" s="381" t="s">
        <v>1383</v>
      </c>
      <c r="D100" s="100" t="s">
        <v>408</v>
      </c>
      <c r="E100" s="149">
        <v>1</v>
      </c>
      <c r="F100" s="220">
        <f>(77576)*(1.023*1.005-2.3%*15%)*6.99+0*4.09</f>
        <v>555631</v>
      </c>
      <c r="G100" s="145">
        <f t="shared" si="79"/>
        <v>1.1279999999999999</v>
      </c>
      <c r="H100" s="146">
        <f t="shared" ref="H100" si="140">F100*G100</f>
        <v>626752</v>
      </c>
      <c r="I100" s="145">
        <f>Дефляторы!$D$25</f>
        <v>1.052</v>
      </c>
      <c r="J100" s="146">
        <f t="shared" ref="J100" si="141">H100*I100</f>
        <v>659343</v>
      </c>
      <c r="K100" s="146">
        <f t="shared" ref="K100" si="142">H100+(J100-H100)*(1-30/100)</f>
        <v>649566</v>
      </c>
      <c r="L100" s="396" t="s">
        <v>1399</v>
      </c>
      <c r="M100" s="382"/>
      <c r="N100" s="382"/>
    </row>
    <row r="101" spans="1:14" s="386" customFormat="1" outlineLevel="2" collapsed="1" x14ac:dyDescent="0.25">
      <c r="A101" s="132" t="s">
        <v>2482</v>
      </c>
      <c r="B101" s="320"/>
      <c r="C101" s="395" t="s">
        <v>2364</v>
      </c>
      <c r="D101" s="134" t="s">
        <v>292</v>
      </c>
      <c r="E101" s="90">
        <v>1</v>
      </c>
      <c r="F101" s="90">
        <f>SUM(F102:F105)</f>
        <v>1096102</v>
      </c>
      <c r="G101" s="135">
        <f t="shared" si="79"/>
        <v>1.1279999999999999</v>
      </c>
      <c r="H101" s="90">
        <f>SUM(H102:H105)</f>
        <v>1236403</v>
      </c>
      <c r="I101" s="373">
        <f>Дефляторы!$D$25</f>
        <v>1.052</v>
      </c>
      <c r="J101" s="90">
        <f>SUM(J102:J105)</f>
        <v>1300696</v>
      </c>
      <c r="K101" s="90">
        <f>SUM(K102:K105)</f>
        <v>1281408</v>
      </c>
      <c r="L101" s="385"/>
      <c r="M101" s="385"/>
      <c r="N101" s="385"/>
    </row>
    <row r="102" spans="1:14" s="383" customFormat="1" hidden="1" outlineLevel="3" x14ac:dyDescent="0.25">
      <c r="A102" s="363" t="s">
        <v>2483</v>
      </c>
      <c r="B102" s="381" t="s">
        <v>1345</v>
      </c>
      <c r="C102" s="381" t="s">
        <v>1342</v>
      </c>
      <c r="D102" s="100" t="s">
        <v>408</v>
      </c>
      <c r="E102" s="149">
        <v>1</v>
      </c>
      <c r="F102" s="220">
        <f>(1089)*(1.023*1.005-2.3%*15%)*6.99+256110*4.09</f>
        <v>1055290</v>
      </c>
      <c r="G102" s="145">
        <f t="shared" si="79"/>
        <v>1.1279999999999999</v>
      </c>
      <c r="H102" s="146">
        <f t="shared" ref="H102" si="143">F102*G102</f>
        <v>1190367</v>
      </c>
      <c r="I102" s="145">
        <f>Дефляторы!$D$25</f>
        <v>1.052</v>
      </c>
      <c r="J102" s="146">
        <f t="shared" ref="J102" si="144">H102*I102</f>
        <v>1252266</v>
      </c>
      <c r="K102" s="146">
        <f t="shared" ref="K102" si="145">H102+(J102-H102)*(1-30/100)</f>
        <v>1233696</v>
      </c>
      <c r="L102" s="382"/>
      <c r="M102" s="382"/>
      <c r="N102" s="382"/>
    </row>
    <row r="103" spans="1:14" s="383" customFormat="1" ht="63" hidden="1" outlineLevel="3" x14ac:dyDescent="0.25">
      <c r="A103" s="363" t="s">
        <v>2484</v>
      </c>
      <c r="B103" s="381" t="s">
        <v>1393</v>
      </c>
      <c r="C103" s="381" t="s">
        <v>435</v>
      </c>
      <c r="D103" s="100" t="s">
        <v>408</v>
      </c>
      <c r="E103" s="149">
        <v>1</v>
      </c>
      <c r="F103" s="220">
        <f>(3680)*(1.023*1.005-2.3%*15%)*6.99+0*4.09</f>
        <v>26358</v>
      </c>
      <c r="G103" s="145">
        <f t="shared" si="79"/>
        <v>1.1279999999999999</v>
      </c>
      <c r="H103" s="146">
        <f t="shared" ref="H103" si="146">F103*G103</f>
        <v>29732</v>
      </c>
      <c r="I103" s="145">
        <f>Дефляторы!$D$25</f>
        <v>1.052</v>
      </c>
      <c r="J103" s="146">
        <f t="shared" ref="J103" si="147">H103*I103</f>
        <v>31278</v>
      </c>
      <c r="K103" s="146">
        <f t="shared" ref="K103" si="148">H103+(J103-H103)*(1-30/100)</f>
        <v>30814</v>
      </c>
      <c r="L103" s="396" t="s">
        <v>1399</v>
      </c>
      <c r="M103" s="382"/>
      <c r="N103" s="382"/>
    </row>
    <row r="104" spans="1:14" s="383" customFormat="1" ht="63" hidden="1" outlineLevel="3" x14ac:dyDescent="0.25">
      <c r="A104" s="363" t="s">
        <v>2485</v>
      </c>
      <c r="B104" s="381" t="s">
        <v>1394</v>
      </c>
      <c r="C104" s="381" t="s">
        <v>437</v>
      </c>
      <c r="D104" s="100" t="s">
        <v>408</v>
      </c>
      <c r="E104" s="149">
        <v>1</v>
      </c>
      <c r="F104" s="220">
        <f>(1064)*(1.023*1.005-2.3%*15%)*6.99+0*4.09</f>
        <v>7621</v>
      </c>
      <c r="G104" s="145">
        <f t="shared" si="79"/>
        <v>1.1279999999999999</v>
      </c>
      <c r="H104" s="146">
        <f t="shared" ref="H104" si="149">F104*G104</f>
        <v>8596</v>
      </c>
      <c r="I104" s="145">
        <f>Дефляторы!$D$25</f>
        <v>1.052</v>
      </c>
      <c r="J104" s="146">
        <f t="shared" ref="J104" si="150">H104*I104</f>
        <v>9043</v>
      </c>
      <c r="K104" s="146">
        <f t="shared" ref="K104" si="151">H104+(J104-H104)*(1-30/100)</f>
        <v>8909</v>
      </c>
      <c r="L104" s="396" t="s">
        <v>1399</v>
      </c>
      <c r="M104" s="382"/>
      <c r="N104" s="382"/>
    </row>
    <row r="105" spans="1:14" s="383" customFormat="1" ht="78.75" hidden="1" outlineLevel="3" x14ac:dyDescent="0.25">
      <c r="A105" s="363" t="s">
        <v>2486</v>
      </c>
      <c r="B105" s="381" t="s">
        <v>1395</v>
      </c>
      <c r="C105" s="381" t="s">
        <v>439</v>
      </c>
      <c r="D105" s="100" t="s">
        <v>408</v>
      </c>
      <c r="E105" s="149">
        <v>1</v>
      </c>
      <c r="F105" s="220">
        <f>(954)*(1.023*1.005-2.3%*15%)*6.99+0*4.09</f>
        <v>6833</v>
      </c>
      <c r="G105" s="145">
        <f t="shared" si="79"/>
        <v>1.1279999999999999</v>
      </c>
      <c r="H105" s="146">
        <f t="shared" ref="H105" si="152">F105*G105</f>
        <v>7708</v>
      </c>
      <c r="I105" s="145">
        <f>Дефляторы!$D$25</f>
        <v>1.052</v>
      </c>
      <c r="J105" s="146">
        <f t="shared" ref="J105" si="153">H105*I105</f>
        <v>8109</v>
      </c>
      <c r="K105" s="146">
        <f t="shared" ref="K105" si="154">H105+(J105-H105)*(1-30/100)</f>
        <v>7989</v>
      </c>
      <c r="L105" s="396" t="s">
        <v>1399</v>
      </c>
      <c r="M105" s="382"/>
      <c r="N105" s="382"/>
    </row>
    <row r="106" spans="1:14" s="386" customFormat="1" outlineLevel="2" collapsed="1" x14ac:dyDescent="0.25">
      <c r="A106" s="132" t="s">
        <v>2487</v>
      </c>
      <c r="B106" s="320"/>
      <c r="C106" s="395" t="s">
        <v>2365</v>
      </c>
      <c r="D106" s="134" t="s">
        <v>292</v>
      </c>
      <c r="E106" s="90">
        <v>1</v>
      </c>
      <c r="F106" s="90">
        <f>SUM(F107:F109)</f>
        <v>47658</v>
      </c>
      <c r="G106" s="135">
        <f t="shared" si="79"/>
        <v>1.1279999999999999</v>
      </c>
      <c r="H106" s="90">
        <f>SUM(H107:H109)</f>
        <v>53758</v>
      </c>
      <c r="I106" s="373">
        <f>Дефляторы!$D$25</f>
        <v>1.052</v>
      </c>
      <c r="J106" s="90">
        <f>SUM(J107:J109)</f>
        <v>56553</v>
      </c>
      <c r="K106" s="90">
        <f>SUM(K107:K109)</f>
        <v>55715</v>
      </c>
      <c r="L106" s="385"/>
      <c r="M106" s="385"/>
      <c r="N106" s="385"/>
    </row>
    <row r="107" spans="1:14" s="383" customFormat="1" ht="63" hidden="1" outlineLevel="3" x14ac:dyDescent="0.25">
      <c r="A107" s="363" t="s">
        <v>2488</v>
      </c>
      <c r="B107" s="381" t="s">
        <v>1396</v>
      </c>
      <c r="C107" s="381" t="s">
        <v>1385</v>
      </c>
      <c r="D107" s="100" t="s">
        <v>408</v>
      </c>
      <c r="E107" s="149">
        <v>2</v>
      </c>
      <c r="F107" s="220">
        <f>(4392)*(1.023*1.005-2.3%*15%)*6.99+0*4.09</f>
        <v>31457</v>
      </c>
      <c r="G107" s="145">
        <f t="shared" si="79"/>
        <v>1.1279999999999999</v>
      </c>
      <c r="H107" s="146">
        <f t="shared" ref="H107" si="155">F107*G107</f>
        <v>35483</v>
      </c>
      <c r="I107" s="145">
        <f>Дефляторы!$D$25</f>
        <v>1.052</v>
      </c>
      <c r="J107" s="146">
        <f t="shared" ref="J107" si="156">H107*I107</f>
        <v>37328</v>
      </c>
      <c r="K107" s="146">
        <f t="shared" ref="K107" si="157">H107+(J107-H107)*(1-30/100)</f>
        <v>36775</v>
      </c>
      <c r="L107" s="382"/>
      <c r="M107" s="382"/>
      <c r="N107" s="382"/>
    </row>
    <row r="108" spans="1:14" s="383" customFormat="1" ht="78.75" hidden="1" outlineLevel="3" x14ac:dyDescent="0.25">
      <c r="A108" s="363" t="s">
        <v>2489</v>
      </c>
      <c r="B108" s="381" t="s">
        <v>1397</v>
      </c>
      <c r="C108" s="381" t="s">
        <v>1380</v>
      </c>
      <c r="D108" s="100" t="s">
        <v>408</v>
      </c>
      <c r="E108" s="149">
        <v>1</v>
      </c>
      <c r="F108" s="220">
        <f>(1484)*(1.023*1.005-2.3%*15%)*6.99+0*4.09</f>
        <v>10629</v>
      </c>
      <c r="G108" s="145">
        <f t="shared" si="79"/>
        <v>1.1279999999999999</v>
      </c>
      <c r="H108" s="146">
        <f t="shared" ref="H108" si="158">F108*G108</f>
        <v>11990</v>
      </c>
      <c r="I108" s="145">
        <f>Дефляторы!$D$25</f>
        <v>1.052</v>
      </c>
      <c r="J108" s="146">
        <f t="shared" ref="J108" si="159">H108*I108</f>
        <v>12613</v>
      </c>
      <c r="K108" s="146">
        <f t="shared" ref="K108" si="160">H108+(J108-H108)*(1-30/100)</f>
        <v>12426</v>
      </c>
      <c r="L108" s="396" t="s">
        <v>1399</v>
      </c>
      <c r="M108" s="382"/>
      <c r="N108" s="382"/>
    </row>
    <row r="109" spans="1:14" s="383" customFormat="1" ht="94.5" hidden="1" outlineLevel="3" x14ac:dyDescent="0.25">
      <c r="A109" s="363" t="s">
        <v>2490</v>
      </c>
      <c r="B109" s="381" t="s">
        <v>1398</v>
      </c>
      <c r="C109" s="381" t="s">
        <v>1386</v>
      </c>
      <c r="D109" s="100" t="s">
        <v>408</v>
      </c>
      <c r="E109" s="149">
        <v>1</v>
      </c>
      <c r="F109" s="220">
        <f>(778)*(1.023*1.005-2.3%*15%)*6.99+0*4.09</f>
        <v>5572</v>
      </c>
      <c r="G109" s="145">
        <f t="shared" si="79"/>
        <v>1.1279999999999999</v>
      </c>
      <c r="H109" s="146">
        <f t="shared" ref="H109" si="161">F109*G109</f>
        <v>6285</v>
      </c>
      <c r="I109" s="145">
        <f>Дефляторы!$D$25</f>
        <v>1.052</v>
      </c>
      <c r="J109" s="146">
        <f t="shared" ref="J109" si="162">H109*I109</f>
        <v>6612</v>
      </c>
      <c r="K109" s="146">
        <f t="shared" ref="K109" si="163">H109+(J109-H109)*(1-30/100)</f>
        <v>6514</v>
      </c>
      <c r="L109" s="396" t="s">
        <v>1399</v>
      </c>
      <c r="M109" s="382"/>
      <c r="N109" s="382"/>
    </row>
    <row r="110" spans="1:14" s="386" customFormat="1" outlineLevel="2" collapsed="1" x14ac:dyDescent="0.25">
      <c r="A110" s="365" t="s">
        <v>572</v>
      </c>
      <c r="B110" s="434" t="s">
        <v>39</v>
      </c>
      <c r="C110" s="379" t="s">
        <v>2491</v>
      </c>
      <c r="D110" s="366" t="s">
        <v>292</v>
      </c>
      <c r="E110" s="367">
        <v>1</v>
      </c>
      <c r="F110" s="367">
        <f>F111+F123</f>
        <v>25566042</v>
      </c>
      <c r="G110" s="135">
        <f t="shared" si="79"/>
        <v>1.1279999999999999</v>
      </c>
      <c r="H110" s="367">
        <f>H111+H123</f>
        <v>28838494</v>
      </c>
      <c r="I110" s="373">
        <f>Дефляторы!$D$25</f>
        <v>1.052</v>
      </c>
      <c r="J110" s="367">
        <f>J111+J123</f>
        <v>30338096</v>
      </c>
      <c r="K110" s="367">
        <f>K111+K123</f>
        <v>29888215</v>
      </c>
      <c r="L110" s="405"/>
      <c r="M110" s="405"/>
      <c r="N110" s="405"/>
    </row>
    <row r="111" spans="1:14" s="358" customFormat="1" ht="31.5" hidden="1" outlineLevel="3" x14ac:dyDescent="0.25">
      <c r="A111" s="368" t="s">
        <v>2492</v>
      </c>
      <c r="B111" s="387" t="s">
        <v>227</v>
      </c>
      <c r="C111" s="387" t="s">
        <v>648</v>
      </c>
      <c r="D111" s="239" t="s">
        <v>292</v>
      </c>
      <c r="E111" s="240">
        <v>1</v>
      </c>
      <c r="F111" s="453">
        <f>SUM(F112:F122)</f>
        <v>735078</v>
      </c>
      <c r="G111" s="241">
        <f t="shared" si="79"/>
        <v>1.1279999999999999</v>
      </c>
      <c r="H111" s="240">
        <f>SUM(H112:H122)</f>
        <v>829167</v>
      </c>
      <c r="I111" s="241">
        <f>Дефляторы!$D$25</f>
        <v>1.052</v>
      </c>
      <c r="J111" s="240">
        <f>SUM(J112:J122)</f>
        <v>872284</v>
      </c>
      <c r="K111" s="240">
        <f>SUM(K112:K122)</f>
        <v>859348</v>
      </c>
      <c r="L111" s="389"/>
      <c r="M111" s="389"/>
      <c r="N111" s="389"/>
    </row>
    <row r="112" spans="1:14" s="383" customFormat="1" hidden="1" outlineLevel="4" x14ac:dyDescent="0.25">
      <c r="A112" s="363"/>
      <c r="B112" s="381"/>
      <c r="C112" s="381" t="s">
        <v>367</v>
      </c>
      <c r="D112" s="100"/>
      <c r="E112" s="100"/>
      <c r="F112" s="149"/>
      <c r="G112" s="145"/>
      <c r="H112" s="146"/>
      <c r="I112" s="145">
        <f>Дефляторы!$D$25</f>
        <v>1.052</v>
      </c>
      <c r="J112" s="146"/>
      <c r="K112" s="146"/>
      <c r="L112" s="382"/>
      <c r="M112" s="382"/>
      <c r="N112" s="382"/>
    </row>
    <row r="113" spans="1:14" s="383" customFormat="1" ht="31.5" hidden="1" outlineLevel="4" x14ac:dyDescent="0.25">
      <c r="A113" s="363" t="s">
        <v>2494</v>
      </c>
      <c r="B113" s="381" t="s">
        <v>506</v>
      </c>
      <c r="C113" s="381" t="s">
        <v>1492</v>
      </c>
      <c r="D113" s="100" t="s">
        <v>300</v>
      </c>
      <c r="E113" s="100">
        <f>176</f>
        <v>176</v>
      </c>
      <c r="F113" s="220">
        <f>(35096)*(1.023*1.005-2.3%*15%)*6.99+0*4.09+28</f>
        <v>251400</v>
      </c>
      <c r="G113" s="145">
        <f t="shared" ref="G113:G126" si="164">$G$831</f>
        <v>1.1279999999999999</v>
      </c>
      <c r="H113" s="146">
        <f t="shared" ref="H113" si="165">F113*G113</f>
        <v>283579</v>
      </c>
      <c r="I113" s="145">
        <f>Дефляторы!$D$25</f>
        <v>1.052</v>
      </c>
      <c r="J113" s="146">
        <f t="shared" ref="J113" si="166">H113*I113</f>
        <v>298325</v>
      </c>
      <c r="K113" s="146">
        <f t="shared" ref="K113" si="167">H113+(J113-H113)*(1-30/100)</f>
        <v>293901</v>
      </c>
      <c r="L113" s="382"/>
      <c r="M113" s="382"/>
      <c r="N113" s="382"/>
    </row>
    <row r="114" spans="1:14" s="383" customFormat="1" ht="31.5" hidden="1" outlineLevel="4" x14ac:dyDescent="0.25">
      <c r="A114" s="363" t="s">
        <v>2495</v>
      </c>
      <c r="B114" s="381" t="s">
        <v>1494</v>
      </c>
      <c r="C114" s="381" t="s">
        <v>656</v>
      </c>
      <c r="D114" s="100" t="s">
        <v>300</v>
      </c>
      <c r="E114" s="100">
        <f>76.32</f>
        <v>76.319999999999993</v>
      </c>
      <c r="F114" s="220">
        <f>(3577)*(1.023*1.005-2.3%*15%)*6.99+0*4.09</f>
        <v>25620</v>
      </c>
      <c r="G114" s="145">
        <f t="shared" si="164"/>
        <v>1.1279999999999999</v>
      </c>
      <c r="H114" s="146">
        <f t="shared" ref="H114" si="168">F114*G114</f>
        <v>28899</v>
      </c>
      <c r="I114" s="145">
        <f>Дефляторы!$D$25</f>
        <v>1.052</v>
      </c>
      <c r="J114" s="146">
        <f t="shared" ref="J114" si="169">H114*I114</f>
        <v>30402</v>
      </c>
      <c r="K114" s="146">
        <f t="shared" ref="K114" si="170">H114+(J114-H114)*(1-30/100)</f>
        <v>29951</v>
      </c>
      <c r="L114" s="382"/>
      <c r="M114" s="382"/>
      <c r="N114" s="382"/>
    </row>
    <row r="115" spans="1:14" s="383" customFormat="1" hidden="1" outlineLevel="4" x14ac:dyDescent="0.25">
      <c r="A115" s="363" t="s">
        <v>2496</v>
      </c>
      <c r="B115" s="381" t="s">
        <v>1495</v>
      </c>
      <c r="C115" s="381" t="s">
        <v>1493</v>
      </c>
      <c r="D115" s="100" t="s">
        <v>300</v>
      </c>
      <c r="E115" s="100">
        <f>99.68</f>
        <v>99.68</v>
      </c>
      <c r="F115" s="220">
        <f>(1279)*(1.023*1.005-2.3%*15%)*6.99+0*4.09</f>
        <v>9161</v>
      </c>
      <c r="G115" s="145">
        <f t="shared" si="164"/>
        <v>1.1279999999999999</v>
      </c>
      <c r="H115" s="146">
        <f t="shared" ref="H115" si="171">F115*G115</f>
        <v>10334</v>
      </c>
      <c r="I115" s="145">
        <f>Дефляторы!$D$25</f>
        <v>1.052</v>
      </c>
      <c r="J115" s="146">
        <f t="shared" ref="J115" si="172">H115*I115</f>
        <v>10871</v>
      </c>
      <c r="K115" s="146">
        <f t="shared" ref="K115" si="173">H115+(J115-H115)*(1-30/100)</f>
        <v>10710</v>
      </c>
      <c r="L115" s="382"/>
      <c r="M115" s="382"/>
      <c r="N115" s="382"/>
    </row>
    <row r="116" spans="1:14" s="383" customFormat="1" ht="31.5" hidden="1" outlineLevel="4" x14ac:dyDescent="0.25">
      <c r="A116" s="363" t="s">
        <v>2497</v>
      </c>
      <c r="B116" s="381" t="s">
        <v>1496</v>
      </c>
      <c r="C116" s="381" t="s">
        <v>750</v>
      </c>
      <c r="D116" s="100" t="s">
        <v>300</v>
      </c>
      <c r="E116" s="100">
        <f>99.68</f>
        <v>99.68</v>
      </c>
      <c r="F116" s="220">
        <f>(1071)*(1.023*1.005-2.3%*15%)*6.99+0*4.09</f>
        <v>7671</v>
      </c>
      <c r="G116" s="145">
        <f t="shared" si="164"/>
        <v>1.1279999999999999</v>
      </c>
      <c r="H116" s="146">
        <f t="shared" ref="H116" si="174">F116*G116</f>
        <v>8653</v>
      </c>
      <c r="I116" s="145">
        <f>Дефляторы!$D$25</f>
        <v>1.052</v>
      </c>
      <c r="J116" s="146">
        <f t="shared" ref="J116" si="175">H116*I116</f>
        <v>9103</v>
      </c>
      <c r="K116" s="146">
        <f t="shared" ref="K116" si="176">H116+(J116-H116)*(1-30/100)</f>
        <v>8968</v>
      </c>
      <c r="L116" s="382"/>
      <c r="M116" s="382"/>
      <c r="N116" s="382"/>
    </row>
    <row r="117" spans="1:14" s="383" customFormat="1" hidden="1" outlineLevel="4" x14ac:dyDescent="0.25">
      <c r="A117" s="363" t="s">
        <v>2498</v>
      </c>
      <c r="B117" s="381" t="s">
        <v>1497</v>
      </c>
      <c r="C117" s="381" t="s">
        <v>492</v>
      </c>
      <c r="D117" s="100" t="s">
        <v>300</v>
      </c>
      <c r="E117" s="100">
        <f>9.72</f>
        <v>9.7200000000000006</v>
      </c>
      <c r="F117" s="220">
        <f>(36328)*(1.023*1.005-2.3%*15%)*6.99+0*4.09</f>
        <v>260196</v>
      </c>
      <c r="G117" s="145">
        <f t="shared" si="164"/>
        <v>1.1279999999999999</v>
      </c>
      <c r="H117" s="146">
        <f t="shared" ref="H117" si="177">F117*G117</f>
        <v>293501</v>
      </c>
      <c r="I117" s="145">
        <f>Дефляторы!$D$25</f>
        <v>1.052</v>
      </c>
      <c r="J117" s="146">
        <f t="shared" ref="J117" si="178">H117*I117</f>
        <v>308763</v>
      </c>
      <c r="K117" s="146">
        <f t="shared" ref="K117" si="179">H117+(J117-H117)*(1-30/100)</f>
        <v>304184</v>
      </c>
      <c r="L117" s="382"/>
      <c r="M117" s="382"/>
      <c r="N117" s="382"/>
    </row>
    <row r="118" spans="1:14" s="383" customFormat="1" hidden="1" outlineLevel="4" x14ac:dyDescent="0.25">
      <c r="A118" s="363" t="s">
        <v>2499</v>
      </c>
      <c r="B118" s="381" t="s">
        <v>1499</v>
      </c>
      <c r="C118" s="381" t="s">
        <v>1498</v>
      </c>
      <c r="D118" s="100" t="s">
        <v>292</v>
      </c>
      <c r="E118" s="100">
        <v>1</v>
      </c>
      <c r="F118" s="220">
        <f>(3101)*(1.023*1.005-2.3%*15%)*6.99+0*4.09</f>
        <v>22211</v>
      </c>
      <c r="G118" s="145">
        <f t="shared" si="164"/>
        <v>1.1279999999999999</v>
      </c>
      <c r="H118" s="146">
        <f t="shared" ref="H118" si="180">F118*G118</f>
        <v>25054</v>
      </c>
      <c r="I118" s="145">
        <f>Дефляторы!$D$25</f>
        <v>1.052</v>
      </c>
      <c r="J118" s="146">
        <f t="shared" ref="J118" si="181">H118*I118</f>
        <v>26357</v>
      </c>
      <c r="K118" s="146">
        <f t="shared" ref="K118" si="182">H118+(J118-H118)*(1-30/100)</f>
        <v>25966</v>
      </c>
      <c r="L118" s="382"/>
      <c r="M118" s="382"/>
      <c r="N118" s="382"/>
    </row>
    <row r="119" spans="1:14" s="383" customFormat="1" hidden="1" outlineLevel="4" x14ac:dyDescent="0.25">
      <c r="A119" s="363" t="s">
        <v>2500</v>
      </c>
      <c r="B119" s="381" t="s">
        <v>1500</v>
      </c>
      <c r="C119" s="381" t="s">
        <v>414</v>
      </c>
      <c r="D119" s="100" t="s">
        <v>404</v>
      </c>
      <c r="E119" s="100">
        <v>28</v>
      </c>
      <c r="F119" s="220">
        <f>(4589)*(1.023*1.005-2.3%*15%)*6.99+0*4.09</f>
        <v>32868</v>
      </c>
      <c r="G119" s="145">
        <f t="shared" si="164"/>
        <v>1.1279999999999999</v>
      </c>
      <c r="H119" s="146">
        <f t="shared" ref="H119" si="183">F119*G119</f>
        <v>37075</v>
      </c>
      <c r="I119" s="145">
        <f>Дефляторы!$D$25</f>
        <v>1.052</v>
      </c>
      <c r="J119" s="146">
        <f t="shared" ref="J119" si="184">H119*I119</f>
        <v>39003</v>
      </c>
      <c r="K119" s="146">
        <f t="shared" ref="K119" si="185">H119+(J119-H119)*(1-30/100)</f>
        <v>38425</v>
      </c>
      <c r="L119" s="382"/>
      <c r="M119" s="382"/>
      <c r="N119" s="382"/>
    </row>
    <row r="120" spans="1:14" s="383" customFormat="1" hidden="1" outlineLevel="4" x14ac:dyDescent="0.25">
      <c r="A120" s="363" t="s">
        <v>2501</v>
      </c>
      <c r="B120" s="381" t="s">
        <v>1502</v>
      </c>
      <c r="C120" s="381" t="s">
        <v>1501</v>
      </c>
      <c r="D120" s="100" t="s">
        <v>637</v>
      </c>
      <c r="E120" s="145">
        <f>0.144+0.152</f>
        <v>0.29599999999999999</v>
      </c>
      <c r="F120" s="220">
        <f>(3336)*(1.023*1.005-2.3%*15%)*6.99+0*4.09</f>
        <v>23894</v>
      </c>
      <c r="G120" s="145">
        <f t="shared" si="164"/>
        <v>1.1279999999999999</v>
      </c>
      <c r="H120" s="146">
        <f t="shared" ref="H120" si="186">F120*G120</f>
        <v>26952</v>
      </c>
      <c r="I120" s="145">
        <f>Дефляторы!$D$25</f>
        <v>1.052</v>
      </c>
      <c r="J120" s="146">
        <f t="shared" ref="J120" si="187">H120*I120</f>
        <v>28354</v>
      </c>
      <c r="K120" s="146">
        <f t="shared" ref="K120" si="188">H120+(J120-H120)*(1-30/100)</f>
        <v>27933</v>
      </c>
      <c r="L120" s="382"/>
      <c r="M120" s="382"/>
      <c r="N120" s="382"/>
    </row>
    <row r="121" spans="1:14" s="383" customFormat="1" hidden="1" outlineLevel="4" x14ac:dyDescent="0.25">
      <c r="A121" s="363" t="s">
        <v>2502</v>
      </c>
      <c r="B121" s="381" t="s">
        <v>1503</v>
      </c>
      <c r="C121" s="381" t="s">
        <v>493</v>
      </c>
      <c r="D121" s="100" t="s">
        <v>292</v>
      </c>
      <c r="E121" s="100">
        <v>1</v>
      </c>
      <c r="F121" s="220">
        <f>(11876)*(1.023*1.005-2.3%*15%)*6.99+0*4.09</f>
        <v>85061</v>
      </c>
      <c r="G121" s="145">
        <f t="shared" si="164"/>
        <v>1.1279999999999999</v>
      </c>
      <c r="H121" s="146">
        <f t="shared" ref="H121" si="189">F121*G121</f>
        <v>95949</v>
      </c>
      <c r="I121" s="145">
        <f>Дефляторы!$D$25</f>
        <v>1.052</v>
      </c>
      <c r="J121" s="146">
        <f t="shared" ref="J121" si="190">H121*I121</f>
        <v>100938</v>
      </c>
      <c r="K121" s="146">
        <f t="shared" ref="K121" si="191">H121+(J121-H121)*(1-30/100)</f>
        <v>99441</v>
      </c>
      <c r="L121" s="382"/>
      <c r="M121" s="382"/>
      <c r="N121" s="382"/>
    </row>
    <row r="122" spans="1:14" s="383" customFormat="1" hidden="1" outlineLevel="4" x14ac:dyDescent="0.25">
      <c r="A122" s="363" t="s">
        <v>2503</v>
      </c>
      <c r="B122" s="381" t="s">
        <v>1504</v>
      </c>
      <c r="C122" s="381" t="s">
        <v>494</v>
      </c>
      <c r="D122" s="100" t="s">
        <v>404</v>
      </c>
      <c r="E122" s="100">
        <f>21.2</f>
        <v>21.2</v>
      </c>
      <c r="F122" s="220">
        <f>(2373)*(1.023*1.005-2.3%*15%)*6.99+0*4.09</f>
        <v>16996</v>
      </c>
      <c r="G122" s="145">
        <f t="shared" si="164"/>
        <v>1.1279999999999999</v>
      </c>
      <c r="H122" s="146">
        <f t="shared" ref="H122" si="192">F122*G122</f>
        <v>19171</v>
      </c>
      <c r="I122" s="145">
        <f>Дефляторы!$D$25</f>
        <v>1.052</v>
      </c>
      <c r="J122" s="146">
        <f t="shared" ref="J122" si="193">H122*I122</f>
        <v>20168</v>
      </c>
      <c r="K122" s="146">
        <f t="shared" ref="K122" si="194">H122+(J122-H122)*(1-30/100)</f>
        <v>19869</v>
      </c>
      <c r="L122" s="382"/>
      <c r="M122" s="382"/>
      <c r="N122" s="382"/>
    </row>
    <row r="123" spans="1:14" s="358" customFormat="1" hidden="1" outlineLevel="3" x14ac:dyDescent="0.25">
      <c r="A123" s="368" t="s">
        <v>2493</v>
      </c>
      <c r="B123" s="387" t="s">
        <v>229</v>
      </c>
      <c r="C123" s="387" t="s">
        <v>646</v>
      </c>
      <c r="D123" s="239" t="s">
        <v>292</v>
      </c>
      <c r="E123" s="240">
        <v>1</v>
      </c>
      <c r="F123" s="453">
        <f>F124</f>
        <v>24830964</v>
      </c>
      <c r="G123" s="241">
        <f t="shared" si="164"/>
        <v>1.1279999999999999</v>
      </c>
      <c r="H123" s="240">
        <f>H124</f>
        <v>28009327</v>
      </c>
      <c r="I123" s="241">
        <f>Дефляторы!$D$25</f>
        <v>1.052</v>
      </c>
      <c r="J123" s="240">
        <f>J124</f>
        <v>29465812</v>
      </c>
      <c r="K123" s="240">
        <f>K124</f>
        <v>29028867</v>
      </c>
      <c r="L123" s="389"/>
      <c r="M123" s="389"/>
      <c r="N123" s="389"/>
    </row>
    <row r="124" spans="1:14" s="383" customFormat="1" ht="47.25" hidden="1" outlineLevel="4" x14ac:dyDescent="0.25">
      <c r="A124" s="363" t="s">
        <v>2504</v>
      </c>
      <c r="B124" s="381" t="s">
        <v>1505</v>
      </c>
      <c r="C124" s="381" t="s">
        <v>496</v>
      </c>
      <c r="D124" s="100" t="s">
        <v>408</v>
      </c>
      <c r="E124" s="149">
        <v>1</v>
      </c>
      <c r="F124" s="220">
        <f>(1059+70040)*(1.023*1.005-2.3%*15%)*6.99+5946634*4.09-9</f>
        <v>24830964</v>
      </c>
      <c r="G124" s="145">
        <f t="shared" si="164"/>
        <v>1.1279999999999999</v>
      </c>
      <c r="H124" s="146">
        <f t="shared" ref="H124" si="195">F124*G124</f>
        <v>28009327</v>
      </c>
      <c r="I124" s="145">
        <f>Дефляторы!$D$25</f>
        <v>1.052</v>
      </c>
      <c r="J124" s="146">
        <f t="shared" ref="J124" si="196">H124*I124</f>
        <v>29465812</v>
      </c>
      <c r="K124" s="146">
        <f t="shared" ref="K124" si="197">H124+(J124-H124)*(1-30/100)</f>
        <v>29028867</v>
      </c>
      <c r="L124" s="382"/>
      <c r="M124" s="382"/>
      <c r="N124" s="382"/>
    </row>
    <row r="125" spans="1:14" s="444" customFormat="1" outlineLevel="1" x14ac:dyDescent="0.25">
      <c r="A125" s="179" t="s">
        <v>393</v>
      </c>
      <c r="B125" s="422"/>
      <c r="C125" s="435" t="s">
        <v>2505</v>
      </c>
      <c r="D125" s="125" t="s">
        <v>292</v>
      </c>
      <c r="E125" s="126">
        <v>1</v>
      </c>
      <c r="F125" s="126">
        <f>F126+F134+F143+F151+F159+F167+F175+F181+F187+F193+F199+F205+F211+F232+F233</f>
        <v>143599803</v>
      </c>
      <c r="G125" s="135">
        <f t="shared" si="164"/>
        <v>1.1279999999999999</v>
      </c>
      <c r="H125" s="126">
        <f>H126+H134+H143+H151+H159+H167+H175+H181+H187+H193+H199+H205+H211+H232+H233</f>
        <v>161980577</v>
      </c>
      <c r="I125" s="373">
        <f>Дефляторы!$D$25</f>
        <v>1.052</v>
      </c>
      <c r="J125" s="126">
        <f>J126+J134+J143+J151+J159+J167+J175+J181+J187+J193+J199+J205+J211+J232+J233</f>
        <v>170403570</v>
      </c>
      <c r="K125" s="126">
        <f>K126+K134+K143+K151+K159+K167+K175+K181+K187+K193+K199+K205+K211+K232+K233</f>
        <v>167876672</v>
      </c>
    </row>
    <row r="126" spans="1:14" s="383" customFormat="1" outlineLevel="2" collapsed="1" x14ac:dyDescent="0.25">
      <c r="A126" s="132" t="s">
        <v>394</v>
      </c>
      <c r="B126" s="320"/>
      <c r="C126" s="320" t="s">
        <v>2381</v>
      </c>
      <c r="D126" s="134" t="s">
        <v>408</v>
      </c>
      <c r="E126" s="90">
        <v>1</v>
      </c>
      <c r="F126" s="90">
        <f>SUM(F127:F133)</f>
        <v>2239415</v>
      </c>
      <c r="G126" s="135">
        <f t="shared" si="164"/>
        <v>1.1279999999999999</v>
      </c>
      <c r="H126" s="90">
        <f>SUM(H127:H133)</f>
        <v>2526060</v>
      </c>
      <c r="I126" s="135">
        <f>Дефляторы!$D$25</f>
        <v>1.052</v>
      </c>
      <c r="J126" s="90">
        <f>SUM(J127:J133)</f>
        <v>2657414</v>
      </c>
      <c r="K126" s="90">
        <f>SUM(K127:K133)</f>
        <v>2618008</v>
      </c>
      <c r="L126" s="382"/>
      <c r="M126" s="382"/>
      <c r="N126" s="382"/>
    </row>
    <row r="127" spans="1:14" s="358" customFormat="1" hidden="1" outlineLevel="3" x14ac:dyDescent="0.25">
      <c r="A127" s="238"/>
      <c r="B127" s="387"/>
      <c r="C127" s="390" t="s">
        <v>2394</v>
      </c>
      <c r="D127" s="239"/>
      <c r="E127" s="240"/>
      <c r="F127" s="240"/>
      <c r="G127" s="241"/>
      <c r="H127" s="240"/>
      <c r="I127" s="241"/>
      <c r="J127" s="240"/>
      <c r="K127" s="240"/>
      <c r="L127" s="389"/>
      <c r="M127" s="389"/>
      <c r="N127" s="389"/>
    </row>
    <row r="128" spans="1:14" s="383" customFormat="1" ht="31.5" hidden="1" outlineLevel="3" x14ac:dyDescent="0.25">
      <c r="A128" s="363" t="s">
        <v>1849</v>
      </c>
      <c r="B128" s="381" t="s">
        <v>355</v>
      </c>
      <c r="C128" s="381" t="s">
        <v>356</v>
      </c>
      <c r="D128" s="100" t="s">
        <v>300</v>
      </c>
      <c r="E128" s="149">
        <f>'Земляные работы'!H13*60/503</f>
        <v>648</v>
      </c>
      <c r="F128" s="220">
        <f>('Земляные работы'!H13/'Земляные работы'!$H$19*4511030*(1.023*1.005-2.3%*15%)*6.99-37)*60/503</f>
        <v>925433</v>
      </c>
      <c r="G128" s="145">
        <f t="shared" ref="G128:G134" si="198">$G$831</f>
        <v>1.1279999999999999</v>
      </c>
      <c r="H128" s="146">
        <f t="shared" ref="H128:H132" si="199">F128*G128</f>
        <v>1043888</v>
      </c>
      <c r="I128" s="145">
        <f>Дефляторы!$D$25</f>
        <v>1.052</v>
      </c>
      <c r="J128" s="146">
        <f>H128*I128</f>
        <v>1098170</v>
      </c>
      <c r="K128" s="146">
        <f>H128+(J128-H128)*(1-30/100)</f>
        <v>1081885</v>
      </c>
      <c r="L128" s="382"/>
      <c r="M128" s="382"/>
      <c r="N128" s="382"/>
    </row>
    <row r="129" spans="1:14" s="383" customFormat="1" ht="31.5" hidden="1" outlineLevel="3" x14ac:dyDescent="0.25">
      <c r="A129" s="363" t="s">
        <v>1850</v>
      </c>
      <c r="B129" s="381" t="s">
        <v>560</v>
      </c>
      <c r="C129" s="381" t="s">
        <v>656</v>
      </c>
      <c r="D129" s="100" t="s">
        <v>300</v>
      </c>
      <c r="E129" s="149">
        <f>'Земляные работы'!H13*60/503</f>
        <v>648</v>
      </c>
      <c r="F129" s="220">
        <f>'Земляные работы'!H13/'Земляные работы'!$H$19*(370936+320904)*(1.023*1.005-2.3%*15%)*6.99*60/503</f>
        <v>141931</v>
      </c>
      <c r="G129" s="145">
        <f t="shared" si="198"/>
        <v>1.1279999999999999</v>
      </c>
      <c r="H129" s="146">
        <f t="shared" si="199"/>
        <v>160098</v>
      </c>
      <c r="I129" s="145">
        <f>Дефляторы!$D$25</f>
        <v>1.052</v>
      </c>
      <c r="J129" s="146">
        <f t="shared" ref="J129:J132" si="200">H129*I129</f>
        <v>168423</v>
      </c>
      <c r="K129" s="146">
        <f>H129+(J129-H129)*(1-30/100)</f>
        <v>165926</v>
      </c>
      <c r="L129" s="382"/>
      <c r="M129" s="382"/>
      <c r="N129" s="382"/>
    </row>
    <row r="130" spans="1:14" s="394" customFormat="1" ht="31.5" hidden="1" outlineLevel="3" x14ac:dyDescent="0.25">
      <c r="A130" s="363" t="s">
        <v>1851</v>
      </c>
      <c r="B130" s="391" t="s">
        <v>561</v>
      </c>
      <c r="C130" s="391" t="s">
        <v>562</v>
      </c>
      <c r="D130" s="161" t="s">
        <v>300</v>
      </c>
      <c r="E130" s="162">
        <f>'Земляные работы'!K13*60/503</f>
        <v>32.4</v>
      </c>
      <c r="F130" s="220">
        <f>'Земляные работы'!K13/'Земляные работы'!K19*(139109+18545)*(1.023*1.005-2.3%*15%)*6.99*60/503</f>
        <v>32331</v>
      </c>
      <c r="G130" s="163">
        <f t="shared" si="198"/>
        <v>1.1279999999999999</v>
      </c>
      <c r="H130" s="164">
        <f t="shared" si="199"/>
        <v>36469</v>
      </c>
      <c r="I130" s="163">
        <f>Дефляторы!$D$25</f>
        <v>1.052</v>
      </c>
      <c r="J130" s="164">
        <f t="shared" si="200"/>
        <v>38365</v>
      </c>
      <c r="K130" s="164">
        <f t="shared" ref="K130:K132" si="201">H130+(J130-H130)*(1-30/100)</f>
        <v>37796</v>
      </c>
      <c r="L130" s="392" t="s">
        <v>563</v>
      </c>
      <c r="M130" s="393"/>
      <c r="N130" s="392"/>
    </row>
    <row r="131" spans="1:14" s="394" customFormat="1" hidden="1" outlineLevel="3" x14ac:dyDescent="0.25">
      <c r="A131" s="363" t="s">
        <v>1852</v>
      </c>
      <c r="B131" s="391" t="s">
        <v>564</v>
      </c>
      <c r="C131" s="391" t="s">
        <v>565</v>
      </c>
      <c r="D131" s="161" t="s">
        <v>300</v>
      </c>
      <c r="E131" s="162">
        <f>'Земляные работы'!L13*60/503</f>
        <v>32.4</v>
      </c>
      <c r="F131" s="220">
        <f>'Земляные работы'!L13/'Земляные работы'!L19*(39510)*(1.023*1.005-2.3%*15%)*6.99*60/503</f>
        <v>8102</v>
      </c>
      <c r="G131" s="163">
        <f t="shared" si="198"/>
        <v>1.1279999999999999</v>
      </c>
      <c r="H131" s="164">
        <f t="shared" si="199"/>
        <v>9139</v>
      </c>
      <c r="I131" s="163">
        <f>Дефляторы!$D$25</f>
        <v>1.052</v>
      </c>
      <c r="J131" s="164">
        <f t="shared" si="200"/>
        <v>9614</v>
      </c>
      <c r="K131" s="164">
        <f t="shared" si="201"/>
        <v>9472</v>
      </c>
      <c r="L131" s="392" t="s">
        <v>563</v>
      </c>
      <c r="M131" s="392"/>
      <c r="N131" s="392"/>
    </row>
    <row r="132" spans="1:14" s="383" customFormat="1" ht="31.5" hidden="1" outlineLevel="3" x14ac:dyDescent="0.25">
      <c r="A132" s="363" t="s">
        <v>1853</v>
      </c>
      <c r="B132" s="381" t="s">
        <v>567</v>
      </c>
      <c r="C132" s="381" t="s">
        <v>750</v>
      </c>
      <c r="D132" s="100" t="s">
        <v>300</v>
      </c>
      <c r="E132" s="168">
        <f>20100.9*'Земляные работы'!M13/'Земляные работы'!$M$19*60/503</f>
        <v>557.29999999999995</v>
      </c>
      <c r="F132" s="220">
        <f>'Земляные работы'!N13/'Земляные работы'!$N$19*(60641+30320+211146)*(1.023*1.005-2.3%*15%)*6.99*60/503</f>
        <v>56598</v>
      </c>
      <c r="G132" s="145">
        <f t="shared" si="198"/>
        <v>1.1279999999999999</v>
      </c>
      <c r="H132" s="146">
        <f t="shared" si="199"/>
        <v>63843</v>
      </c>
      <c r="I132" s="145">
        <f>Дефляторы!$D$25</f>
        <v>1.052</v>
      </c>
      <c r="J132" s="146">
        <f t="shared" si="200"/>
        <v>67163</v>
      </c>
      <c r="K132" s="146">
        <f t="shared" si="201"/>
        <v>66167</v>
      </c>
      <c r="L132" s="382" t="s">
        <v>360</v>
      </c>
      <c r="M132" s="382"/>
      <c r="N132" s="382"/>
    </row>
    <row r="133" spans="1:14" s="383" customFormat="1" hidden="1" outlineLevel="3" x14ac:dyDescent="0.25">
      <c r="A133" s="363" t="s">
        <v>1854</v>
      </c>
      <c r="B133" s="381" t="s">
        <v>754</v>
      </c>
      <c r="C133" s="381" t="s">
        <v>575</v>
      </c>
      <c r="D133" s="100" t="s">
        <v>305</v>
      </c>
      <c r="E133" s="149">
        <v>1</v>
      </c>
      <c r="F133" s="220">
        <f>150092*(1.023*1.005-2.3%*15%)*6.99</f>
        <v>1075020</v>
      </c>
      <c r="G133" s="145">
        <f t="shared" si="198"/>
        <v>1.1279999999999999</v>
      </c>
      <c r="H133" s="146">
        <f>F133*G133</f>
        <v>1212623</v>
      </c>
      <c r="I133" s="145">
        <f>Дефляторы!$D$25</f>
        <v>1.052</v>
      </c>
      <c r="J133" s="146">
        <f>H133*I133</f>
        <v>1275679</v>
      </c>
      <c r="K133" s="146">
        <f>H133+(J133-H133)*(1-30/100)</f>
        <v>1256762</v>
      </c>
      <c r="L133" s="382" t="s">
        <v>755</v>
      </c>
      <c r="M133" s="382"/>
      <c r="N133" s="382"/>
    </row>
    <row r="134" spans="1:14" s="383" customFormat="1" outlineLevel="2" collapsed="1" x14ac:dyDescent="0.25">
      <c r="A134" s="132" t="s">
        <v>395</v>
      </c>
      <c r="B134" s="320"/>
      <c r="C134" s="320" t="s">
        <v>2382</v>
      </c>
      <c r="D134" s="134" t="s">
        <v>408</v>
      </c>
      <c r="E134" s="90">
        <v>1</v>
      </c>
      <c r="F134" s="90">
        <f>SUM(F135:F142)</f>
        <v>3129917</v>
      </c>
      <c r="G134" s="135">
        <f t="shared" si="198"/>
        <v>1.1279999999999999</v>
      </c>
      <c r="H134" s="90">
        <f>SUM(H135:H142)</f>
        <v>3530546</v>
      </c>
      <c r="I134" s="135">
        <f>Дефляторы!$D$25</f>
        <v>1.052</v>
      </c>
      <c r="J134" s="90">
        <f>SUM(J135:J142)</f>
        <v>3714135</v>
      </c>
      <c r="K134" s="90">
        <f>SUM(K135:K142)</f>
        <v>3659058</v>
      </c>
      <c r="L134" s="382"/>
      <c r="M134" s="382"/>
      <c r="N134" s="382"/>
    </row>
    <row r="135" spans="1:14" s="383" customFormat="1" hidden="1" outlineLevel="3" x14ac:dyDescent="0.25">
      <c r="A135" s="363"/>
      <c r="B135" s="381"/>
      <c r="C135" s="388" t="s">
        <v>367</v>
      </c>
      <c r="D135" s="100"/>
      <c r="E135" s="149"/>
      <c r="F135" s="149"/>
      <c r="G135" s="145"/>
      <c r="H135" s="146"/>
      <c r="I135" s="145"/>
      <c r="J135" s="146"/>
      <c r="K135" s="146"/>
      <c r="L135" s="382"/>
      <c r="M135" s="382"/>
      <c r="N135" s="382"/>
    </row>
    <row r="136" spans="1:14" s="383" customFormat="1" hidden="1" outlineLevel="3" x14ac:dyDescent="0.25">
      <c r="A136" s="363"/>
      <c r="B136" s="381"/>
      <c r="C136" s="390" t="s">
        <v>576</v>
      </c>
      <c r="D136" s="100"/>
      <c r="E136" s="149"/>
      <c r="F136" s="220"/>
      <c r="G136" s="145"/>
      <c r="H136" s="146"/>
      <c r="I136" s="145"/>
      <c r="J136" s="146"/>
      <c r="K136" s="146"/>
      <c r="L136" s="382"/>
      <c r="M136" s="382"/>
      <c r="N136" s="382"/>
    </row>
    <row r="137" spans="1:14" s="383" customFormat="1" ht="31.5" hidden="1" outlineLevel="3" x14ac:dyDescent="0.25">
      <c r="A137" s="363" t="s">
        <v>396</v>
      </c>
      <c r="B137" s="381" t="s">
        <v>355</v>
      </c>
      <c r="C137" s="381" t="s">
        <v>356</v>
      </c>
      <c r="D137" s="100" t="s">
        <v>300</v>
      </c>
      <c r="E137" s="149">
        <f>'Земляные работы'!H14</f>
        <v>989</v>
      </c>
      <c r="F137" s="220">
        <f>'Земляные работы'!H14/'Земляные работы'!$H$19*4511030*(1.023*1.005-2.3%*15%)*6.99</f>
        <v>1412538</v>
      </c>
      <c r="G137" s="145">
        <f t="shared" ref="G137:G143" si="202">$G$831</f>
        <v>1.1279999999999999</v>
      </c>
      <c r="H137" s="146">
        <f t="shared" ref="H137:H142" si="203">F137*G137</f>
        <v>1593343</v>
      </c>
      <c r="I137" s="145">
        <f>Дефляторы!$D$25</f>
        <v>1.052</v>
      </c>
      <c r="J137" s="146">
        <f>H137*I137</f>
        <v>1676197</v>
      </c>
      <c r="K137" s="146">
        <f t="shared" ref="K137:K149" si="204">H137+(J137-H137)*(1-30/100)</f>
        <v>1651341</v>
      </c>
      <c r="L137" s="382"/>
      <c r="M137" s="382"/>
      <c r="N137" s="382"/>
    </row>
    <row r="138" spans="1:14" s="383" customFormat="1" ht="31.5" hidden="1" outlineLevel="3" x14ac:dyDescent="0.25">
      <c r="A138" s="363" t="s">
        <v>397</v>
      </c>
      <c r="B138" s="381" t="s">
        <v>560</v>
      </c>
      <c r="C138" s="381" t="s">
        <v>656</v>
      </c>
      <c r="D138" s="100" t="s">
        <v>300</v>
      </c>
      <c r="E138" s="149">
        <f>'Земляные работы'!H14</f>
        <v>989</v>
      </c>
      <c r="F138" s="220">
        <f>'Земляные работы'!H14/'Земляные работы'!$H$19*(370936+320904)*(1.023*1.005-2.3%*15%)*6.99</f>
        <v>216636</v>
      </c>
      <c r="G138" s="145">
        <f t="shared" si="202"/>
        <v>1.1279999999999999</v>
      </c>
      <c r="H138" s="146">
        <f t="shared" si="203"/>
        <v>244365</v>
      </c>
      <c r="I138" s="145">
        <f>Дефляторы!$D$25</f>
        <v>1.052</v>
      </c>
      <c r="J138" s="146">
        <f t="shared" ref="J138:J149" si="205">H138*I138</f>
        <v>257072</v>
      </c>
      <c r="K138" s="146">
        <f t="shared" si="204"/>
        <v>253260</v>
      </c>
      <c r="L138" s="382"/>
      <c r="M138" s="382"/>
      <c r="N138" s="382"/>
    </row>
    <row r="139" spans="1:14" s="394" customFormat="1" ht="31.5" hidden="1" outlineLevel="3" x14ac:dyDescent="0.25">
      <c r="A139" s="363" t="s">
        <v>399</v>
      </c>
      <c r="B139" s="391" t="s">
        <v>561</v>
      </c>
      <c r="C139" s="391" t="s">
        <v>562</v>
      </c>
      <c r="D139" s="161" t="s">
        <v>300</v>
      </c>
      <c r="E139" s="162">
        <f>'Земляные работы'!K14</f>
        <v>49.5</v>
      </c>
      <c r="F139" s="220">
        <f>'Земляные работы'!K14/'Земляные работы'!K19*(139109+18545)*(1.023*1.005-2.3%*15%)*6.99</f>
        <v>49416</v>
      </c>
      <c r="G139" s="163">
        <f t="shared" si="202"/>
        <v>1.1279999999999999</v>
      </c>
      <c r="H139" s="164">
        <f t="shared" si="203"/>
        <v>55741</v>
      </c>
      <c r="I139" s="163">
        <f>Дефляторы!$D$25</f>
        <v>1.052</v>
      </c>
      <c r="J139" s="164">
        <f t="shared" si="205"/>
        <v>58640</v>
      </c>
      <c r="K139" s="164">
        <f t="shared" si="204"/>
        <v>57770</v>
      </c>
      <c r="L139" s="392" t="s">
        <v>563</v>
      </c>
      <c r="M139" s="392"/>
      <c r="N139" s="392"/>
    </row>
    <row r="140" spans="1:14" s="394" customFormat="1" hidden="1" outlineLevel="3" x14ac:dyDescent="0.25">
      <c r="A140" s="363" t="s">
        <v>401</v>
      </c>
      <c r="B140" s="391" t="s">
        <v>564</v>
      </c>
      <c r="C140" s="391" t="s">
        <v>565</v>
      </c>
      <c r="D140" s="161" t="s">
        <v>300</v>
      </c>
      <c r="E140" s="162">
        <f>'Земляные работы'!L14</f>
        <v>49.5</v>
      </c>
      <c r="F140" s="220">
        <f>'Земляные работы'!L14/'Земляные работы'!L19*(39510)*(1.023*1.005-2.3%*15%)*6.99</f>
        <v>12384</v>
      </c>
      <c r="G140" s="163">
        <f t="shared" si="202"/>
        <v>1.1279999999999999</v>
      </c>
      <c r="H140" s="164">
        <f t="shared" si="203"/>
        <v>13969</v>
      </c>
      <c r="I140" s="163">
        <f>Дефляторы!$D$25</f>
        <v>1.052</v>
      </c>
      <c r="J140" s="164">
        <f t="shared" si="205"/>
        <v>14695</v>
      </c>
      <c r="K140" s="164">
        <f t="shared" si="204"/>
        <v>14477</v>
      </c>
      <c r="L140" s="392" t="s">
        <v>563</v>
      </c>
      <c r="M140" s="392"/>
      <c r="N140" s="392"/>
    </row>
    <row r="141" spans="1:14" s="383" customFormat="1" ht="31.5" hidden="1" outlineLevel="3" x14ac:dyDescent="0.25">
      <c r="A141" s="363" t="s">
        <v>402</v>
      </c>
      <c r="B141" s="381" t="s">
        <v>567</v>
      </c>
      <c r="C141" s="381" t="s">
        <v>750</v>
      </c>
      <c r="D141" s="100" t="s">
        <v>300</v>
      </c>
      <c r="E141" s="168">
        <f>20100.9*'Земляные работы'!M14/'Земляные работы'!$M$19</f>
        <v>863</v>
      </c>
      <c r="F141" s="220">
        <f>'Земляные работы'!N14/'Земляные работы'!$N$19*(60641+30320+211146)*(1.023*1.005-2.3%*15%)*6.99</f>
        <v>99508</v>
      </c>
      <c r="G141" s="145">
        <f t="shared" si="202"/>
        <v>1.1279999999999999</v>
      </c>
      <c r="H141" s="146">
        <f t="shared" si="203"/>
        <v>112245</v>
      </c>
      <c r="I141" s="145">
        <f>Дефляторы!$D$25</f>
        <v>1.052</v>
      </c>
      <c r="J141" s="146">
        <f t="shared" si="205"/>
        <v>118082</v>
      </c>
      <c r="K141" s="146">
        <f t="shared" si="204"/>
        <v>116331</v>
      </c>
      <c r="L141" s="382" t="s">
        <v>360</v>
      </c>
      <c r="M141" s="382"/>
      <c r="N141" s="382"/>
    </row>
    <row r="142" spans="1:14" s="383" customFormat="1" hidden="1" outlineLevel="3" x14ac:dyDescent="0.25">
      <c r="A142" s="363" t="s">
        <v>403</v>
      </c>
      <c r="B142" s="381" t="s">
        <v>756</v>
      </c>
      <c r="C142" s="381" t="s">
        <v>580</v>
      </c>
      <c r="D142" s="100" t="s">
        <v>305</v>
      </c>
      <c r="E142" s="149">
        <v>1</v>
      </c>
      <c r="F142" s="220">
        <f>187009*(1.023*1.005-2.3%*15%)*6.99</f>
        <v>1339435</v>
      </c>
      <c r="G142" s="145">
        <f t="shared" si="202"/>
        <v>1.1279999999999999</v>
      </c>
      <c r="H142" s="146">
        <f t="shared" si="203"/>
        <v>1510883</v>
      </c>
      <c r="I142" s="145">
        <f>Дефляторы!$D$25</f>
        <v>1.052</v>
      </c>
      <c r="J142" s="146">
        <f>H142*I142</f>
        <v>1589449</v>
      </c>
      <c r="K142" s="146">
        <f>H142+(J142-H142)*(1-30/100)</f>
        <v>1565879</v>
      </c>
      <c r="L142" s="382" t="s">
        <v>757</v>
      </c>
      <c r="M142" s="382"/>
      <c r="N142" s="382"/>
    </row>
    <row r="143" spans="1:14" s="383" customFormat="1" outlineLevel="2" collapsed="1" x14ac:dyDescent="0.25">
      <c r="A143" s="132" t="s">
        <v>406</v>
      </c>
      <c r="B143" s="320"/>
      <c r="C143" s="320" t="s">
        <v>2383</v>
      </c>
      <c r="D143" s="134" t="s">
        <v>408</v>
      </c>
      <c r="E143" s="90">
        <v>1</v>
      </c>
      <c r="F143" s="90">
        <f>SUM(F144:F150)</f>
        <v>6636754</v>
      </c>
      <c r="G143" s="135">
        <f t="shared" si="202"/>
        <v>1.1279999999999999</v>
      </c>
      <c r="H143" s="90">
        <f>SUM(H144:H150)</f>
        <v>7486260</v>
      </c>
      <c r="I143" s="135">
        <f>Дефляторы!$D$25</f>
        <v>1.052</v>
      </c>
      <c r="J143" s="90">
        <f>SUM(J144:J150)</f>
        <v>7875546</v>
      </c>
      <c r="K143" s="90">
        <f>SUM(K144:K150)</f>
        <v>7758760</v>
      </c>
      <c r="L143" s="382"/>
      <c r="M143" s="382"/>
      <c r="N143" s="382"/>
    </row>
    <row r="144" spans="1:14" s="383" customFormat="1" hidden="1" outlineLevel="3" x14ac:dyDescent="0.25">
      <c r="A144" s="363"/>
      <c r="B144" s="381"/>
      <c r="C144" s="390" t="s">
        <v>577</v>
      </c>
      <c r="D144" s="100"/>
      <c r="E144" s="149"/>
      <c r="F144" s="220"/>
      <c r="G144" s="145"/>
      <c r="H144" s="146"/>
      <c r="I144" s="145">
        <f>Дефляторы!$D$25</f>
        <v>1.052</v>
      </c>
      <c r="J144" s="146">
        <f t="shared" si="205"/>
        <v>0</v>
      </c>
      <c r="K144" s="146">
        <f t="shared" si="204"/>
        <v>0</v>
      </c>
      <c r="L144" s="382"/>
      <c r="M144" s="382"/>
      <c r="N144" s="382"/>
    </row>
    <row r="145" spans="1:14" s="383" customFormat="1" ht="31.5" hidden="1" outlineLevel="3" x14ac:dyDescent="0.25">
      <c r="A145" s="363" t="s">
        <v>407</v>
      </c>
      <c r="B145" s="381" t="s">
        <v>355</v>
      </c>
      <c r="C145" s="381" t="s">
        <v>356</v>
      </c>
      <c r="D145" s="100" t="s">
        <v>300</v>
      </c>
      <c r="E145" s="149">
        <f>'Земляные работы'!H15</f>
        <v>2476</v>
      </c>
      <c r="F145" s="220">
        <f>'Земляные работы'!H15/'Земляные работы'!$H$19*4511030*(1.023*1.005-2.3%*15%)*6.99</f>
        <v>3536343</v>
      </c>
      <c r="G145" s="145">
        <f t="shared" ref="G145:G151" si="206">$G$831</f>
        <v>1.1279999999999999</v>
      </c>
      <c r="H145" s="146">
        <f t="shared" ref="H145:H150" si="207">F145*G145</f>
        <v>3988995</v>
      </c>
      <c r="I145" s="145">
        <f>Дефляторы!$D$25</f>
        <v>1.052</v>
      </c>
      <c r="J145" s="146">
        <f t="shared" si="205"/>
        <v>4196423</v>
      </c>
      <c r="K145" s="146">
        <f t="shared" si="204"/>
        <v>4134195</v>
      </c>
      <c r="L145" s="382"/>
      <c r="M145" s="382"/>
      <c r="N145" s="382"/>
    </row>
    <row r="146" spans="1:14" s="383" customFormat="1" ht="31.5" hidden="1" outlineLevel="3" x14ac:dyDescent="0.25">
      <c r="A146" s="363" t="s">
        <v>409</v>
      </c>
      <c r="B146" s="381" t="s">
        <v>560</v>
      </c>
      <c r="C146" s="381" t="s">
        <v>656</v>
      </c>
      <c r="D146" s="100" t="s">
        <v>300</v>
      </c>
      <c r="E146" s="149">
        <f>'Земляные работы'!H15</f>
        <v>2476</v>
      </c>
      <c r="F146" s="220">
        <f>'Земляные работы'!H15/'Земляные работы'!$H$19*(370936+320904)*(1.023*1.005-2.3%*15%)*6.99</f>
        <v>542356</v>
      </c>
      <c r="G146" s="145">
        <f t="shared" si="206"/>
        <v>1.1279999999999999</v>
      </c>
      <c r="H146" s="146">
        <f t="shared" si="207"/>
        <v>611778</v>
      </c>
      <c r="I146" s="145">
        <f>Дефляторы!$D$25</f>
        <v>1.052</v>
      </c>
      <c r="J146" s="146">
        <f t="shared" si="205"/>
        <v>643590</v>
      </c>
      <c r="K146" s="146">
        <f t="shared" si="204"/>
        <v>634046</v>
      </c>
      <c r="L146" s="382"/>
      <c r="M146" s="382"/>
      <c r="N146" s="382"/>
    </row>
    <row r="147" spans="1:14" s="394" customFormat="1" ht="31.5" hidden="1" outlineLevel="3" x14ac:dyDescent="0.25">
      <c r="A147" s="363" t="s">
        <v>410</v>
      </c>
      <c r="B147" s="391" t="s">
        <v>561</v>
      </c>
      <c r="C147" s="391" t="s">
        <v>562</v>
      </c>
      <c r="D147" s="161" t="s">
        <v>300</v>
      </c>
      <c r="E147" s="162">
        <f>'Земляные работы'!K15</f>
        <v>123.8</v>
      </c>
      <c r="F147" s="220">
        <f>'Земляные работы'!K15/'Земляные работы'!K19*(139109+18545)*(1.023*1.005-2.3%*15%)*6.99</f>
        <v>123590</v>
      </c>
      <c r="G147" s="163">
        <f t="shared" si="206"/>
        <v>1.1279999999999999</v>
      </c>
      <c r="H147" s="164">
        <f t="shared" si="207"/>
        <v>139410</v>
      </c>
      <c r="I147" s="163">
        <f>Дефляторы!$D$25</f>
        <v>1.052</v>
      </c>
      <c r="J147" s="164">
        <f t="shared" si="205"/>
        <v>146659</v>
      </c>
      <c r="K147" s="164">
        <f t="shared" si="204"/>
        <v>144484</v>
      </c>
      <c r="L147" s="392" t="s">
        <v>563</v>
      </c>
      <c r="M147" s="392"/>
      <c r="N147" s="392"/>
    </row>
    <row r="148" spans="1:14" s="394" customFormat="1" hidden="1" outlineLevel="3" x14ac:dyDescent="0.25">
      <c r="A148" s="363" t="s">
        <v>411</v>
      </c>
      <c r="B148" s="391" t="s">
        <v>564</v>
      </c>
      <c r="C148" s="391" t="s">
        <v>565</v>
      </c>
      <c r="D148" s="161" t="s">
        <v>300</v>
      </c>
      <c r="E148" s="162">
        <f>'Земляные работы'!L15</f>
        <v>123.8</v>
      </c>
      <c r="F148" s="220">
        <f>'Земляные работы'!L15/'Земляные работы'!L19*(39510)*(1.023*1.005-2.3%*15%)*6.99</f>
        <v>30973</v>
      </c>
      <c r="G148" s="163">
        <f t="shared" si="206"/>
        <v>1.1279999999999999</v>
      </c>
      <c r="H148" s="164">
        <f t="shared" si="207"/>
        <v>34938</v>
      </c>
      <c r="I148" s="163">
        <f>Дефляторы!$D$25</f>
        <v>1.052</v>
      </c>
      <c r="J148" s="164">
        <f t="shared" si="205"/>
        <v>36755</v>
      </c>
      <c r="K148" s="164">
        <f t="shared" si="204"/>
        <v>36210</v>
      </c>
      <c r="L148" s="392" t="s">
        <v>563</v>
      </c>
      <c r="M148" s="392"/>
      <c r="N148" s="392"/>
    </row>
    <row r="149" spans="1:14" s="383" customFormat="1" ht="31.5" hidden="1" outlineLevel="3" x14ac:dyDescent="0.25">
      <c r="A149" s="363" t="s">
        <v>412</v>
      </c>
      <c r="B149" s="381" t="s">
        <v>567</v>
      </c>
      <c r="C149" s="381" t="s">
        <v>750</v>
      </c>
      <c r="D149" s="100" t="s">
        <v>300</v>
      </c>
      <c r="E149" s="168">
        <f>20100.9*'Земляные работы'!M15/'Земляные работы'!$M$19</f>
        <v>2250.9</v>
      </c>
      <c r="F149" s="220">
        <f>'Земляные работы'!N15/'Земляные работы'!$N$19*(60641+30320+211146)*(1.023*1.005-2.3%*15%)*6.99</f>
        <v>259540</v>
      </c>
      <c r="G149" s="145">
        <f t="shared" si="206"/>
        <v>1.1279999999999999</v>
      </c>
      <c r="H149" s="146">
        <f t="shared" si="207"/>
        <v>292761</v>
      </c>
      <c r="I149" s="145">
        <f>Дефляторы!$D$25</f>
        <v>1.052</v>
      </c>
      <c r="J149" s="146">
        <f t="shared" si="205"/>
        <v>307985</v>
      </c>
      <c r="K149" s="146">
        <f t="shared" si="204"/>
        <v>303418</v>
      </c>
      <c r="L149" s="382" t="s">
        <v>360</v>
      </c>
      <c r="M149" s="382"/>
      <c r="N149" s="382"/>
    </row>
    <row r="150" spans="1:14" s="383" customFormat="1" hidden="1" outlineLevel="3" x14ac:dyDescent="0.25">
      <c r="A150" s="363" t="s">
        <v>413</v>
      </c>
      <c r="B150" s="381" t="s">
        <v>758</v>
      </c>
      <c r="C150" s="381" t="s">
        <v>582</v>
      </c>
      <c r="D150" s="100" t="s">
        <v>305</v>
      </c>
      <c r="E150" s="149">
        <v>1</v>
      </c>
      <c r="F150" s="220">
        <f>299334*(1.023*1.005-2.3%*15%)*6.99</f>
        <v>2143952</v>
      </c>
      <c r="G150" s="145">
        <f t="shared" si="206"/>
        <v>1.1279999999999999</v>
      </c>
      <c r="H150" s="146">
        <f t="shared" si="207"/>
        <v>2418378</v>
      </c>
      <c r="I150" s="145">
        <f>Дефляторы!$D$25</f>
        <v>1.052</v>
      </c>
      <c r="J150" s="146">
        <f>H150*I150</f>
        <v>2544134</v>
      </c>
      <c r="K150" s="146">
        <f>H150+(J150-H150)*(1-30/100)</f>
        <v>2506407</v>
      </c>
      <c r="L150" s="382" t="s">
        <v>759</v>
      </c>
      <c r="M150" s="382"/>
      <c r="N150" s="382"/>
    </row>
    <row r="151" spans="1:14" s="383" customFormat="1" outlineLevel="2" collapsed="1" x14ac:dyDescent="0.25">
      <c r="A151" s="132" t="s">
        <v>423</v>
      </c>
      <c r="B151" s="320"/>
      <c r="C151" s="320" t="s">
        <v>2384</v>
      </c>
      <c r="D151" s="134" t="s">
        <v>408</v>
      </c>
      <c r="E151" s="90">
        <v>1</v>
      </c>
      <c r="F151" s="90">
        <f>SUM(F152:F158)</f>
        <v>8250662</v>
      </c>
      <c r="G151" s="135">
        <f t="shared" si="206"/>
        <v>1.1279999999999999</v>
      </c>
      <c r="H151" s="90">
        <f>SUM(H152:H158)</f>
        <v>9306746</v>
      </c>
      <c r="I151" s="135">
        <f>Дефляторы!$D$25</f>
        <v>1.052</v>
      </c>
      <c r="J151" s="90">
        <f>SUM(J152:J158)</f>
        <v>9790696</v>
      </c>
      <c r="K151" s="90">
        <f>SUM(K152:K158)</f>
        <v>9645511</v>
      </c>
      <c r="L151" s="382"/>
      <c r="M151" s="382"/>
      <c r="N151" s="382"/>
    </row>
    <row r="152" spans="1:14" s="383" customFormat="1" hidden="1" outlineLevel="3" x14ac:dyDescent="0.25">
      <c r="A152" s="363"/>
      <c r="B152" s="381"/>
      <c r="C152" s="390" t="s">
        <v>746</v>
      </c>
      <c r="D152" s="100"/>
      <c r="E152" s="149"/>
      <c r="F152" s="220"/>
      <c r="G152" s="145"/>
      <c r="H152" s="146"/>
      <c r="I152" s="145"/>
      <c r="J152" s="146"/>
      <c r="K152" s="146"/>
      <c r="L152" s="382"/>
      <c r="M152" s="382"/>
      <c r="N152" s="382"/>
    </row>
    <row r="153" spans="1:14" s="383" customFormat="1" ht="31.5" hidden="1" outlineLevel="3" x14ac:dyDescent="0.25">
      <c r="A153" s="363" t="s">
        <v>424</v>
      </c>
      <c r="B153" s="381" t="s">
        <v>355</v>
      </c>
      <c r="C153" s="381" t="s">
        <v>356</v>
      </c>
      <c r="D153" s="100" t="s">
        <v>300</v>
      </c>
      <c r="E153" s="149">
        <f>'Земляные работы'!H16</f>
        <v>3310</v>
      </c>
      <c r="F153" s="220">
        <f>'Земляные работы'!H16/'Земляные работы'!$H$19*4511030*(1.023*1.005-2.3%*15%)*6.99</f>
        <v>4727503</v>
      </c>
      <c r="G153" s="145">
        <f t="shared" ref="G153:G159" si="208">$G$831</f>
        <v>1.1279999999999999</v>
      </c>
      <c r="H153" s="146">
        <f t="shared" ref="H153:H157" si="209">F153*G153</f>
        <v>5332623</v>
      </c>
      <c r="I153" s="145">
        <f>Дефляторы!$D$25</f>
        <v>1.052</v>
      </c>
      <c r="J153" s="146">
        <f t="shared" ref="J153:J157" si="210">H153*I153</f>
        <v>5609919</v>
      </c>
      <c r="K153" s="146">
        <f t="shared" ref="K153:K157" si="211">H153+(J153-H153)*(1-30/100)</f>
        <v>5526730</v>
      </c>
      <c r="L153" s="382"/>
      <c r="M153" s="382"/>
      <c r="N153" s="382"/>
    </row>
    <row r="154" spans="1:14" s="383" customFormat="1" ht="31.5" hidden="1" outlineLevel="3" x14ac:dyDescent="0.25">
      <c r="A154" s="363" t="s">
        <v>1928</v>
      </c>
      <c r="B154" s="381" t="s">
        <v>560</v>
      </c>
      <c r="C154" s="381" t="s">
        <v>656</v>
      </c>
      <c r="D154" s="100" t="s">
        <v>300</v>
      </c>
      <c r="E154" s="149">
        <f>'Земляные работы'!H16</f>
        <v>3310</v>
      </c>
      <c r="F154" s="220">
        <f>'Земляные работы'!H16/'Земляные работы'!$H$19*(370936+320904)*(1.023*1.005-2.3%*15%)*6.99</f>
        <v>725040</v>
      </c>
      <c r="G154" s="145">
        <f t="shared" si="208"/>
        <v>1.1279999999999999</v>
      </c>
      <c r="H154" s="146">
        <f t="shared" si="209"/>
        <v>817845</v>
      </c>
      <c r="I154" s="145">
        <f>Дефляторы!$D$25</f>
        <v>1.052</v>
      </c>
      <c r="J154" s="146">
        <f t="shared" si="210"/>
        <v>860373</v>
      </c>
      <c r="K154" s="146">
        <f t="shared" si="211"/>
        <v>847615</v>
      </c>
      <c r="L154" s="382"/>
      <c r="M154" s="382"/>
      <c r="N154" s="382"/>
    </row>
    <row r="155" spans="1:14" s="394" customFormat="1" ht="31.5" hidden="1" outlineLevel="3" x14ac:dyDescent="0.25">
      <c r="A155" s="363" t="s">
        <v>1929</v>
      </c>
      <c r="B155" s="391" t="s">
        <v>561</v>
      </c>
      <c r="C155" s="391" t="s">
        <v>562</v>
      </c>
      <c r="D155" s="161" t="s">
        <v>300</v>
      </c>
      <c r="E155" s="162">
        <f>'Земляные работы'!K16</f>
        <v>165.5</v>
      </c>
      <c r="F155" s="220">
        <f>'Земляные работы'!K16/'Земляные работы'!K19*(139109+18545)*(1.023*1.005-2.3%*15%)*6.99</f>
        <v>165219</v>
      </c>
      <c r="G155" s="163">
        <f t="shared" si="208"/>
        <v>1.1279999999999999</v>
      </c>
      <c r="H155" s="164">
        <f t="shared" si="209"/>
        <v>186367</v>
      </c>
      <c r="I155" s="163">
        <f>Дефляторы!$D$25</f>
        <v>1.052</v>
      </c>
      <c r="J155" s="164">
        <f t="shared" si="210"/>
        <v>196058</v>
      </c>
      <c r="K155" s="164">
        <f t="shared" si="211"/>
        <v>193151</v>
      </c>
      <c r="L155" s="392" t="s">
        <v>563</v>
      </c>
      <c r="M155" s="392"/>
      <c r="N155" s="392"/>
    </row>
    <row r="156" spans="1:14" s="394" customFormat="1" hidden="1" outlineLevel="3" x14ac:dyDescent="0.25">
      <c r="A156" s="363" t="s">
        <v>1930</v>
      </c>
      <c r="B156" s="391" t="s">
        <v>564</v>
      </c>
      <c r="C156" s="391" t="s">
        <v>565</v>
      </c>
      <c r="D156" s="161" t="s">
        <v>300</v>
      </c>
      <c r="E156" s="162">
        <f>'Земляные работы'!L16</f>
        <v>165.5</v>
      </c>
      <c r="F156" s="220">
        <f>'Земляные работы'!L16/'Земляные работы'!L19*(39510)*(1.023*1.005-2.3%*15%)*6.99</f>
        <v>41406</v>
      </c>
      <c r="G156" s="163">
        <f t="shared" si="208"/>
        <v>1.1279999999999999</v>
      </c>
      <c r="H156" s="164">
        <f t="shared" si="209"/>
        <v>46706</v>
      </c>
      <c r="I156" s="163">
        <f>Дефляторы!$D$25</f>
        <v>1.052</v>
      </c>
      <c r="J156" s="164">
        <f t="shared" si="210"/>
        <v>49135</v>
      </c>
      <c r="K156" s="164">
        <f t="shared" si="211"/>
        <v>48406</v>
      </c>
      <c r="L156" s="392" t="s">
        <v>563</v>
      </c>
      <c r="M156" s="392"/>
      <c r="N156" s="392"/>
    </row>
    <row r="157" spans="1:14" s="383" customFormat="1" ht="31.5" hidden="1" outlineLevel="3" x14ac:dyDescent="0.25">
      <c r="A157" s="363" t="s">
        <v>1931</v>
      </c>
      <c r="B157" s="381" t="s">
        <v>567</v>
      </c>
      <c r="C157" s="381" t="s">
        <v>750</v>
      </c>
      <c r="D157" s="100" t="s">
        <v>300</v>
      </c>
      <c r="E157" s="168">
        <f>20100.9*'Земляные работы'!M16/'Земляные работы'!$M$19</f>
        <v>3027.7</v>
      </c>
      <c r="F157" s="220">
        <f>'Земляные работы'!N16/'Земляные работы'!$N$19*(60641+30320+211146)*(1.023*1.005-2.3%*15%)*6.99</f>
        <v>349109</v>
      </c>
      <c r="G157" s="145">
        <f t="shared" si="208"/>
        <v>1.1279999999999999</v>
      </c>
      <c r="H157" s="146">
        <f t="shared" si="209"/>
        <v>393795</v>
      </c>
      <c r="I157" s="145">
        <f>Дефляторы!$D$25</f>
        <v>1.052</v>
      </c>
      <c r="J157" s="146">
        <f t="shared" si="210"/>
        <v>414272</v>
      </c>
      <c r="K157" s="146">
        <f t="shared" si="211"/>
        <v>408129</v>
      </c>
      <c r="L157" s="382" t="s">
        <v>360</v>
      </c>
      <c r="M157" s="382"/>
      <c r="N157" s="382"/>
    </row>
    <row r="158" spans="1:14" s="383" customFormat="1" hidden="1" outlineLevel="3" x14ac:dyDescent="0.25">
      <c r="A158" s="363" t="s">
        <v>1932</v>
      </c>
      <c r="B158" s="381" t="s">
        <v>760</v>
      </c>
      <c r="C158" s="381" t="s">
        <v>583</v>
      </c>
      <c r="D158" s="100" t="s">
        <v>305</v>
      </c>
      <c r="E158" s="149">
        <v>1</v>
      </c>
      <c r="F158" s="220">
        <f>313077*(1.023*1.005-2.3%*15%)*6.99</f>
        <v>2242385</v>
      </c>
      <c r="G158" s="145">
        <f t="shared" si="208"/>
        <v>1.1279999999999999</v>
      </c>
      <c r="H158" s="146">
        <f t="shared" ref="H158" si="212">F158*G158</f>
        <v>2529410</v>
      </c>
      <c r="I158" s="145">
        <f>Дефляторы!$D$25</f>
        <v>1.052</v>
      </c>
      <c r="J158" s="146">
        <f t="shared" ref="J158" si="213">H158*I158</f>
        <v>2660939</v>
      </c>
      <c r="K158" s="146">
        <f t="shared" ref="K158" si="214">H158+(J158-H158)*(1-30/100)</f>
        <v>2621480</v>
      </c>
      <c r="L158" s="382" t="s">
        <v>761</v>
      </c>
      <c r="M158" s="382"/>
      <c r="N158" s="382"/>
    </row>
    <row r="159" spans="1:14" s="383" customFormat="1" outlineLevel="2" collapsed="1" x14ac:dyDescent="0.25">
      <c r="A159" s="132" t="s">
        <v>425</v>
      </c>
      <c r="B159" s="320"/>
      <c r="C159" s="320" t="s">
        <v>2385</v>
      </c>
      <c r="D159" s="134" t="s">
        <v>408</v>
      </c>
      <c r="E159" s="90">
        <v>1</v>
      </c>
      <c r="F159" s="90">
        <f>SUM(F160:F166)</f>
        <v>6081535</v>
      </c>
      <c r="G159" s="135">
        <f t="shared" si="208"/>
        <v>1.1279999999999999</v>
      </c>
      <c r="H159" s="90">
        <f>SUM(H160:H166)</f>
        <v>6859971</v>
      </c>
      <c r="I159" s="135">
        <f>Дефляторы!$D$25</f>
        <v>1.052</v>
      </c>
      <c r="J159" s="90">
        <f>SUM(J160:J166)</f>
        <v>7216689</v>
      </c>
      <c r="K159" s="90">
        <f>SUM(K160:K166)</f>
        <v>7109674</v>
      </c>
      <c r="L159" s="382"/>
      <c r="M159" s="382"/>
      <c r="N159" s="382"/>
    </row>
    <row r="160" spans="1:14" s="383" customFormat="1" hidden="1" outlineLevel="3" x14ac:dyDescent="0.25">
      <c r="A160" s="363"/>
      <c r="B160" s="381"/>
      <c r="C160" s="390" t="s">
        <v>747</v>
      </c>
      <c r="D160" s="100"/>
      <c r="E160" s="149"/>
      <c r="F160" s="220"/>
      <c r="G160" s="145"/>
      <c r="H160" s="146"/>
      <c r="I160" s="145">
        <f>Дефляторы!$D$25</f>
        <v>1.052</v>
      </c>
      <c r="J160" s="146">
        <f t="shared" ref="J160:J165" si="215">H160*I160</f>
        <v>0</v>
      </c>
      <c r="K160" s="146">
        <f t="shared" ref="K160:K165" si="216">H160+(J160-H160)*(1-30/100)</f>
        <v>0</v>
      </c>
      <c r="L160" s="382"/>
      <c r="M160" s="382"/>
      <c r="N160" s="382"/>
    </row>
    <row r="161" spans="1:14" s="383" customFormat="1" ht="31.5" hidden="1" outlineLevel="3" x14ac:dyDescent="0.25">
      <c r="A161" s="363" t="s">
        <v>426</v>
      </c>
      <c r="B161" s="381" t="s">
        <v>355</v>
      </c>
      <c r="C161" s="381" t="s">
        <v>356</v>
      </c>
      <c r="D161" s="100" t="s">
        <v>300</v>
      </c>
      <c r="E161" s="149">
        <f>'Земляные работы'!H17</f>
        <v>2315</v>
      </c>
      <c r="F161" s="220">
        <f>'Земляные работы'!H17/'Земляные работы'!$H$19*4511030*(1.023*1.005-2.3%*15%)*6.99</f>
        <v>3306395</v>
      </c>
      <c r="G161" s="145">
        <f t="shared" ref="G161:G167" si="217">$G$831</f>
        <v>1.1279999999999999</v>
      </c>
      <c r="H161" s="146">
        <f t="shared" ref="H161:H165" si="218">F161*G161</f>
        <v>3729614</v>
      </c>
      <c r="I161" s="145">
        <f>Дефляторы!$D$25</f>
        <v>1.052</v>
      </c>
      <c r="J161" s="146">
        <f t="shared" si="215"/>
        <v>3923554</v>
      </c>
      <c r="K161" s="146">
        <f t="shared" si="216"/>
        <v>3865372</v>
      </c>
      <c r="L161" s="382"/>
      <c r="M161" s="382"/>
      <c r="N161" s="382"/>
    </row>
    <row r="162" spans="1:14" s="383" customFormat="1" ht="31.5" hidden="1" outlineLevel="3" x14ac:dyDescent="0.25">
      <c r="A162" s="363" t="s">
        <v>428</v>
      </c>
      <c r="B162" s="381" t="s">
        <v>560</v>
      </c>
      <c r="C162" s="381" t="s">
        <v>656</v>
      </c>
      <c r="D162" s="100" t="s">
        <v>300</v>
      </c>
      <c r="E162" s="149">
        <f>'Земляные работы'!H17</f>
        <v>2315</v>
      </c>
      <c r="F162" s="220">
        <f>'Земляные работы'!H17/'Земляные работы'!$H$19*(370936+320904)*(1.023*1.005-2.3%*15%)*6.99</f>
        <v>507090</v>
      </c>
      <c r="G162" s="145">
        <f t="shared" si="217"/>
        <v>1.1279999999999999</v>
      </c>
      <c r="H162" s="146">
        <f t="shared" si="218"/>
        <v>571998</v>
      </c>
      <c r="I162" s="145">
        <f>Дефляторы!$D$25</f>
        <v>1.052</v>
      </c>
      <c r="J162" s="146">
        <f t="shared" si="215"/>
        <v>601742</v>
      </c>
      <c r="K162" s="146">
        <f t="shared" si="216"/>
        <v>592819</v>
      </c>
      <c r="L162" s="382"/>
      <c r="M162" s="382"/>
      <c r="N162" s="382"/>
    </row>
    <row r="163" spans="1:14" s="394" customFormat="1" ht="31.5" hidden="1" outlineLevel="3" x14ac:dyDescent="0.25">
      <c r="A163" s="363" t="s">
        <v>430</v>
      </c>
      <c r="B163" s="391" t="s">
        <v>561</v>
      </c>
      <c r="C163" s="391" t="s">
        <v>562</v>
      </c>
      <c r="D163" s="161" t="s">
        <v>300</v>
      </c>
      <c r="E163" s="162">
        <f>'Земляные работы'!K17</f>
        <v>115.8</v>
      </c>
      <c r="F163" s="220">
        <f>'Земляные работы'!K17/'Земляные работы'!K19*(139109+18545)*(1.023*1.005-2.3%*15%)*6.99</f>
        <v>115604</v>
      </c>
      <c r="G163" s="163">
        <f t="shared" si="217"/>
        <v>1.1279999999999999</v>
      </c>
      <c r="H163" s="164">
        <f t="shared" si="218"/>
        <v>130401</v>
      </c>
      <c r="I163" s="163">
        <f>Дефляторы!$D$25</f>
        <v>1.052</v>
      </c>
      <c r="J163" s="164">
        <f t="shared" si="215"/>
        <v>137182</v>
      </c>
      <c r="K163" s="164">
        <f t="shared" si="216"/>
        <v>135148</v>
      </c>
      <c r="L163" s="392" t="s">
        <v>563</v>
      </c>
      <c r="M163" s="392"/>
      <c r="N163" s="392"/>
    </row>
    <row r="164" spans="1:14" s="394" customFormat="1" hidden="1" outlineLevel="3" x14ac:dyDescent="0.25">
      <c r="A164" s="363" t="s">
        <v>431</v>
      </c>
      <c r="B164" s="391" t="s">
        <v>564</v>
      </c>
      <c r="C164" s="391" t="s">
        <v>565</v>
      </c>
      <c r="D164" s="161" t="s">
        <v>300</v>
      </c>
      <c r="E164" s="162">
        <f>'Земляные работы'!L17</f>
        <v>115.8</v>
      </c>
      <c r="F164" s="220">
        <f>'Земляные работы'!L17/'Земляные работы'!L19*(39510)*(1.023*1.005-2.3%*15%)*6.99</f>
        <v>28972</v>
      </c>
      <c r="G164" s="163">
        <f t="shared" si="217"/>
        <v>1.1279999999999999</v>
      </c>
      <c r="H164" s="164">
        <f t="shared" si="218"/>
        <v>32680</v>
      </c>
      <c r="I164" s="163">
        <f>Дефляторы!$D$25</f>
        <v>1.052</v>
      </c>
      <c r="J164" s="164">
        <f t="shared" si="215"/>
        <v>34379</v>
      </c>
      <c r="K164" s="164">
        <f t="shared" si="216"/>
        <v>33869</v>
      </c>
      <c r="L164" s="392" t="s">
        <v>563</v>
      </c>
      <c r="M164" s="392"/>
      <c r="N164" s="392"/>
    </row>
    <row r="165" spans="1:14" s="383" customFormat="1" ht="31.5" hidden="1" outlineLevel="3" x14ac:dyDescent="0.25">
      <c r="A165" s="363" t="s">
        <v>432</v>
      </c>
      <c r="B165" s="381" t="s">
        <v>567</v>
      </c>
      <c r="C165" s="381" t="s">
        <v>750</v>
      </c>
      <c r="D165" s="100" t="s">
        <v>300</v>
      </c>
      <c r="E165" s="168">
        <f>20100.9*'Земляные работы'!M17/'Земляные работы'!$M$19</f>
        <v>2087</v>
      </c>
      <c r="F165" s="220">
        <f>'Земляные работы'!N17/'Земляные работы'!$N$19*(60641+30320+211146)*(1.023*1.005-2.3%*15%)*6.99</f>
        <v>240642</v>
      </c>
      <c r="G165" s="145">
        <f t="shared" si="217"/>
        <v>1.1279999999999999</v>
      </c>
      <c r="H165" s="146">
        <f t="shared" si="218"/>
        <v>271444</v>
      </c>
      <c r="I165" s="145">
        <f>Дефляторы!$D$25</f>
        <v>1.052</v>
      </c>
      <c r="J165" s="146">
        <f t="shared" si="215"/>
        <v>285559</v>
      </c>
      <c r="K165" s="146">
        <f t="shared" si="216"/>
        <v>281325</v>
      </c>
      <c r="L165" s="382" t="s">
        <v>360</v>
      </c>
      <c r="M165" s="382"/>
      <c r="N165" s="382"/>
    </row>
    <row r="166" spans="1:14" s="383" customFormat="1" hidden="1" outlineLevel="3" x14ac:dyDescent="0.25">
      <c r="A166" s="363" t="s">
        <v>2506</v>
      </c>
      <c r="B166" s="381" t="s">
        <v>762</v>
      </c>
      <c r="C166" s="381" t="s">
        <v>745</v>
      </c>
      <c r="D166" s="100" t="s">
        <v>305</v>
      </c>
      <c r="E166" s="149">
        <v>1</v>
      </c>
      <c r="F166" s="220">
        <f>262877*(1.023*1.005-2.3%*15%)*6.99</f>
        <v>1882832</v>
      </c>
      <c r="G166" s="145">
        <f t="shared" si="217"/>
        <v>1.1279999999999999</v>
      </c>
      <c r="H166" s="146">
        <f t="shared" ref="H166" si="219">F166*G166</f>
        <v>2123834</v>
      </c>
      <c r="I166" s="145">
        <f>Дефляторы!$D$25</f>
        <v>1.052</v>
      </c>
      <c r="J166" s="146">
        <f t="shared" ref="J166" si="220">H166*I166</f>
        <v>2234273</v>
      </c>
      <c r="K166" s="146">
        <f t="shared" ref="K166" si="221">H166+(J166-H166)*(1-30/100)</f>
        <v>2201141</v>
      </c>
      <c r="L166" s="382" t="s">
        <v>763</v>
      </c>
      <c r="M166" s="382"/>
      <c r="N166" s="382"/>
    </row>
    <row r="167" spans="1:14" s="383" customFormat="1" outlineLevel="2" collapsed="1" x14ac:dyDescent="0.25">
      <c r="A167" s="132" t="s">
        <v>433</v>
      </c>
      <c r="B167" s="320"/>
      <c r="C167" s="320" t="s">
        <v>2395</v>
      </c>
      <c r="D167" s="134" t="s">
        <v>408</v>
      </c>
      <c r="E167" s="90">
        <v>1</v>
      </c>
      <c r="F167" s="90">
        <f>SUM(F168:F174)</f>
        <v>2592258</v>
      </c>
      <c r="G167" s="135">
        <f t="shared" si="217"/>
        <v>1.1279999999999999</v>
      </c>
      <c r="H167" s="90">
        <f>SUM(H168:H174)</f>
        <v>2924066</v>
      </c>
      <c r="I167" s="135">
        <f>Дефляторы!$D$25</f>
        <v>1.052</v>
      </c>
      <c r="J167" s="90">
        <f>SUM(J168:J174)</f>
        <v>3076118</v>
      </c>
      <c r="K167" s="90">
        <f>SUM(K168:K174)</f>
        <v>3030503</v>
      </c>
      <c r="L167" s="382"/>
      <c r="M167" s="382"/>
      <c r="N167" s="382"/>
    </row>
    <row r="168" spans="1:14" s="383" customFormat="1" hidden="1" outlineLevel="3" x14ac:dyDescent="0.25">
      <c r="A168" s="363"/>
      <c r="B168" s="381"/>
      <c r="C168" s="390" t="s">
        <v>2399</v>
      </c>
      <c r="D168" s="100"/>
      <c r="E168" s="149"/>
      <c r="F168" s="220"/>
      <c r="G168" s="145"/>
      <c r="H168" s="146"/>
      <c r="I168" s="145"/>
      <c r="J168" s="146"/>
      <c r="K168" s="146"/>
      <c r="L168" s="382"/>
      <c r="M168" s="382"/>
      <c r="N168" s="382"/>
    </row>
    <row r="169" spans="1:14" s="383" customFormat="1" ht="31.5" hidden="1" outlineLevel="3" x14ac:dyDescent="0.25">
      <c r="A169" s="363" t="s">
        <v>434</v>
      </c>
      <c r="B169" s="381" t="s">
        <v>355</v>
      </c>
      <c r="C169" s="381" t="s">
        <v>356</v>
      </c>
      <c r="D169" s="100" t="s">
        <v>300</v>
      </c>
      <c r="E169" s="149">
        <f>'Земляные работы'!$H$18*54/500</f>
        <v>875</v>
      </c>
      <c r="F169" s="220">
        <f>'Земляные работы'!$H$18/'Земляные работы'!$H$19*4511030*(1.023*1.005-2.3%*15%)*6.99*54/500</f>
        <v>1249432</v>
      </c>
      <c r="G169" s="145">
        <f t="shared" ref="G169:G211" si="222">$G$831</f>
        <v>1.1279999999999999</v>
      </c>
      <c r="H169" s="146">
        <f t="shared" ref="H169:H173" si="223">F169*G169</f>
        <v>1409359</v>
      </c>
      <c r="I169" s="145">
        <f>Дефляторы!$D$25</f>
        <v>1.052</v>
      </c>
      <c r="J169" s="146">
        <f>H169*I169</f>
        <v>1482646</v>
      </c>
      <c r="K169" s="146">
        <f t="shared" ref="K169:K173" si="224">H169+(J169-H169)*(1-30/100)</f>
        <v>1460660</v>
      </c>
      <c r="L169" s="382"/>
      <c r="M169" s="382"/>
      <c r="N169" s="382"/>
    </row>
    <row r="170" spans="1:14" s="383" customFormat="1" ht="31.5" hidden="1" outlineLevel="3" x14ac:dyDescent="0.25">
      <c r="A170" s="363" t="s">
        <v>436</v>
      </c>
      <c r="B170" s="381" t="s">
        <v>560</v>
      </c>
      <c r="C170" s="381" t="s">
        <v>656</v>
      </c>
      <c r="D170" s="100" t="s">
        <v>300</v>
      </c>
      <c r="E170" s="149">
        <f>'Земляные работы'!$H$18*54/500</f>
        <v>875</v>
      </c>
      <c r="F170" s="220">
        <f>'Земляные работы'!$H$18/'Земляные работы'!$H$19*(370936+320904)*(1.023*1.005-2.3%*15%)*6.99*54/500</f>
        <v>191621</v>
      </c>
      <c r="G170" s="145">
        <f t="shared" si="222"/>
        <v>1.1279999999999999</v>
      </c>
      <c r="H170" s="146">
        <f t="shared" si="223"/>
        <v>216148</v>
      </c>
      <c r="I170" s="145">
        <f>Дефляторы!$D$25</f>
        <v>1.052</v>
      </c>
      <c r="J170" s="146">
        <f t="shared" ref="J170:J173" si="225">H170*I170</f>
        <v>227388</v>
      </c>
      <c r="K170" s="146">
        <f t="shared" si="224"/>
        <v>224016</v>
      </c>
      <c r="L170" s="382"/>
      <c r="M170" s="382"/>
      <c r="N170" s="382"/>
    </row>
    <row r="171" spans="1:14" s="394" customFormat="1" ht="31.5" hidden="1" outlineLevel="3" x14ac:dyDescent="0.25">
      <c r="A171" s="363" t="s">
        <v>438</v>
      </c>
      <c r="B171" s="391" t="s">
        <v>561</v>
      </c>
      <c r="C171" s="391" t="s">
        <v>562</v>
      </c>
      <c r="D171" s="161" t="s">
        <v>300</v>
      </c>
      <c r="E171" s="162">
        <f>'Земляные работы'!$K$18*54/500</f>
        <v>43.7</v>
      </c>
      <c r="F171" s="220">
        <f>'Земляные работы'!$K$18/'Земляные работы'!$K$19*(139109+18545)*(1.023*1.005-2.3%*15%)*6.99*54/500</f>
        <v>43666</v>
      </c>
      <c r="G171" s="163">
        <f t="shared" si="222"/>
        <v>1.1279999999999999</v>
      </c>
      <c r="H171" s="164">
        <f t="shared" si="223"/>
        <v>49255</v>
      </c>
      <c r="I171" s="163">
        <f>Дефляторы!$D$25</f>
        <v>1.052</v>
      </c>
      <c r="J171" s="164">
        <f t="shared" si="225"/>
        <v>51816</v>
      </c>
      <c r="K171" s="164">
        <f t="shared" si="224"/>
        <v>51048</v>
      </c>
      <c r="L171" s="392" t="s">
        <v>563</v>
      </c>
      <c r="M171" s="392"/>
      <c r="N171" s="392"/>
    </row>
    <row r="172" spans="1:14" s="394" customFormat="1" hidden="1" outlineLevel="3" x14ac:dyDescent="0.25">
      <c r="A172" s="363" t="s">
        <v>1946</v>
      </c>
      <c r="B172" s="391" t="s">
        <v>564</v>
      </c>
      <c r="C172" s="391" t="s">
        <v>565</v>
      </c>
      <c r="D172" s="161" t="s">
        <v>300</v>
      </c>
      <c r="E172" s="162">
        <f>'Земляные работы'!$L$18*54/500</f>
        <v>43.7</v>
      </c>
      <c r="F172" s="220">
        <f>'Земляные работы'!$L$18/'Земляные работы'!$L$19*(39510)*(1.023*1.005-2.3%*15%)*6.99*54/500</f>
        <v>10943</v>
      </c>
      <c r="G172" s="163">
        <f t="shared" si="222"/>
        <v>1.1279999999999999</v>
      </c>
      <c r="H172" s="164">
        <f t="shared" si="223"/>
        <v>12344</v>
      </c>
      <c r="I172" s="163">
        <f>Дефляторы!$D$25</f>
        <v>1.052</v>
      </c>
      <c r="J172" s="164">
        <f t="shared" si="225"/>
        <v>12986</v>
      </c>
      <c r="K172" s="164">
        <f t="shared" si="224"/>
        <v>12793</v>
      </c>
      <c r="L172" s="392" t="s">
        <v>563</v>
      </c>
      <c r="M172" s="392"/>
      <c r="N172" s="392"/>
    </row>
    <row r="173" spans="1:14" s="383" customFormat="1" ht="31.5" hidden="1" outlineLevel="3" x14ac:dyDescent="0.25">
      <c r="A173" s="363" t="s">
        <v>1947</v>
      </c>
      <c r="B173" s="381" t="s">
        <v>567</v>
      </c>
      <c r="C173" s="381" t="s">
        <v>750</v>
      </c>
      <c r="D173" s="100" t="s">
        <v>300</v>
      </c>
      <c r="E173" s="168">
        <f>(20100.9*'Земляные работы'!$M$18/'Земляные работы'!$M$19+0.1)*54/500</f>
        <v>777.6</v>
      </c>
      <c r="F173" s="220">
        <f>('Земляные работы'!$N$18/'Земляные работы'!$N$19)*(60641+30320+211146)*(1.023*1.005-2.3%*15%)*6.99*54/500</f>
        <v>79978</v>
      </c>
      <c r="G173" s="145">
        <f t="shared" si="222"/>
        <v>1.1279999999999999</v>
      </c>
      <c r="H173" s="146">
        <f t="shared" si="223"/>
        <v>90215</v>
      </c>
      <c r="I173" s="145">
        <f>Дефляторы!$D$25</f>
        <v>1.052</v>
      </c>
      <c r="J173" s="146">
        <f t="shared" si="225"/>
        <v>94906</v>
      </c>
      <c r="K173" s="146">
        <f t="shared" si="224"/>
        <v>93499</v>
      </c>
      <c r="L173" s="382" t="s">
        <v>360</v>
      </c>
      <c r="M173" s="382"/>
      <c r="N173" s="382"/>
    </row>
    <row r="174" spans="1:14" s="383" customFormat="1" hidden="1" outlineLevel="3" x14ac:dyDescent="0.25">
      <c r="A174" s="363" t="s">
        <v>2507</v>
      </c>
      <c r="B174" s="381" t="s">
        <v>764</v>
      </c>
      <c r="C174" s="381" t="s">
        <v>748</v>
      </c>
      <c r="D174" s="100" t="s">
        <v>305</v>
      </c>
      <c r="E174" s="149">
        <v>1</v>
      </c>
      <c r="F174" s="220">
        <f>141938*(1.023*1.005-2.3%*15%)*6.99</f>
        <v>1016618</v>
      </c>
      <c r="G174" s="145">
        <f t="shared" si="222"/>
        <v>1.1279999999999999</v>
      </c>
      <c r="H174" s="146">
        <f>F174*G174</f>
        <v>1146745</v>
      </c>
      <c r="I174" s="145">
        <f>Дефляторы!$D$25</f>
        <v>1.052</v>
      </c>
      <c r="J174" s="146">
        <f>H174*I174</f>
        <v>1206376</v>
      </c>
      <c r="K174" s="146">
        <f>H174+(J174-H174)*(1-30/100)</f>
        <v>1188487</v>
      </c>
      <c r="L174" s="382" t="s">
        <v>765</v>
      </c>
      <c r="M174" s="382"/>
      <c r="N174" s="382"/>
    </row>
    <row r="175" spans="1:14" s="383" customFormat="1" outlineLevel="2" collapsed="1" x14ac:dyDescent="0.25">
      <c r="A175" s="132" t="s">
        <v>440</v>
      </c>
      <c r="B175" s="320"/>
      <c r="C175" s="320" t="s">
        <v>2386</v>
      </c>
      <c r="D175" s="134" t="s">
        <v>408</v>
      </c>
      <c r="E175" s="90">
        <v>1</v>
      </c>
      <c r="F175" s="90">
        <f>SUM(F176:F180)</f>
        <v>493453</v>
      </c>
      <c r="G175" s="135">
        <f t="shared" si="222"/>
        <v>1.1279999999999999</v>
      </c>
      <c r="H175" s="90">
        <f>SUM(H176:H180)</f>
        <v>556615</v>
      </c>
      <c r="I175" s="135">
        <f>Дефляторы!$D$25</f>
        <v>1.052</v>
      </c>
      <c r="J175" s="90">
        <f>SUM(J176:J180)</f>
        <v>585559</v>
      </c>
      <c r="K175" s="90">
        <f>SUM(K176:K180)</f>
        <v>576876</v>
      </c>
      <c r="L175" s="382"/>
      <c r="M175" s="382"/>
      <c r="N175" s="382"/>
    </row>
    <row r="176" spans="1:14" s="383" customFormat="1" hidden="1" outlineLevel="3" x14ac:dyDescent="0.25">
      <c r="A176" s="363" t="s">
        <v>441</v>
      </c>
      <c r="B176" s="381" t="s">
        <v>688</v>
      </c>
      <c r="C176" s="381" t="s">
        <v>720</v>
      </c>
      <c r="D176" s="100" t="s">
        <v>305</v>
      </c>
      <c r="E176" s="149">
        <v>1</v>
      </c>
      <c r="F176" s="220">
        <f>N176/($N$176+$N$182+$N$188+$N$200+$N$206)*143108*(1.023*1.005-2.3%*15%)*6.99</f>
        <v>133969</v>
      </c>
      <c r="G176" s="145">
        <f t="shared" si="222"/>
        <v>1.1279999999999999</v>
      </c>
      <c r="H176" s="146">
        <f>F176*G176</f>
        <v>151117</v>
      </c>
      <c r="I176" s="145">
        <f>Дефляторы!$D$25</f>
        <v>1.052</v>
      </c>
      <c r="J176" s="146">
        <f>H176*I176</f>
        <v>158975</v>
      </c>
      <c r="K176" s="146">
        <f>H176+(J176-H176)*(1-30/100)</f>
        <v>156618</v>
      </c>
      <c r="L176" s="382"/>
      <c r="M176" s="382">
        <v>4590</v>
      </c>
      <c r="N176" s="382">
        <f t="shared" ref="N176:N206" si="226">E176*M176</f>
        <v>4590</v>
      </c>
    </row>
    <row r="177" spans="1:14" s="383" customFormat="1" hidden="1" outlineLevel="3" x14ac:dyDescent="0.25">
      <c r="A177" s="363" t="s">
        <v>442</v>
      </c>
      <c r="B177" s="381" t="s">
        <v>341</v>
      </c>
      <c r="C177" s="381" t="s">
        <v>726</v>
      </c>
      <c r="D177" s="100" t="s">
        <v>305</v>
      </c>
      <c r="E177" s="149">
        <v>1</v>
      </c>
      <c r="F177" s="220">
        <f>N177/SUM($N$177:$N$180)*301142*(1.023*1.005-2.3%*15%)*6.99/6</f>
        <v>99681</v>
      </c>
      <c r="G177" s="145">
        <f t="shared" si="222"/>
        <v>1.1279999999999999</v>
      </c>
      <c r="H177" s="146">
        <f>F177*G177</f>
        <v>112440</v>
      </c>
      <c r="I177" s="145">
        <f>Дефляторы!$D$25</f>
        <v>1.052</v>
      </c>
      <c r="J177" s="146">
        <f>H177*I177</f>
        <v>118287</v>
      </c>
      <c r="K177" s="146">
        <f>H177+(J177-H177)*(1-30/100)</f>
        <v>116533</v>
      </c>
      <c r="L177" s="382"/>
      <c r="M177" s="382">
        <v>3000</v>
      </c>
      <c r="N177" s="382">
        <v>18000</v>
      </c>
    </row>
    <row r="178" spans="1:14" s="383" customFormat="1" hidden="1" outlineLevel="3" x14ac:dyDescent="0.25">
      <c r="A178" s="363" t="s">
        <v>443</v>
      </c>
      <c r="B178" s="381" t="s">
        <v>341</v>
      </c>
      <c r="C178" s="381" t="s">
        <v>350</v>
      </c>
      <c r="D178" s="100" t="s">
        <v>305</v>
      </c>
      <c r="E178" s="149">
        <v>1</v>
      </c>
      <c r="F178" s="220">
        <f>N178/SUM($N$177:$N$180)*301142*(1.023*1.005-2.3%*15%)*6.99/6</f>
        <v>58380</v>
      </c>
      <c r="G178" s="145">
        <f t="shared" si="222"/>
        <v>1.1279999999999999</v>
      </c>
      <c r="H178" s="146">
        <f>F178*G178</f>
        <v>65853</v>
      </c>
      <c r="I178" s="145">
        <f>Дефляторы!$D$25</f>
        <v>1.052</v>
      </c>
      <c r="J178" s="146">
        <f>H178*I178</f>
        <v>69277</v>
      </c>
      <c r="K178" s="146">
        <f>H178+(J178-H178)*(1-30/100)</f>
        <v>68250</v>
      </c>
      <c r="L178" s="382"/>
      <c r="M178" s="382">
        <v>1757</v>
      </c>
      <c r="N178" s="382">
        <v>10542</v>
      </c>
    </row>
    <row r="179" spans="1:14" s="383" customFormat="1" hidden="1" outlineLevel="3" x14ac:dyDescent="0.25">
      <c r="A179" s="363" t="s">
        <v>1948</v>
      </c>
      <c r="B179" s="381" t="s">
        <v>341</v>
      </c>
      <c r="C179" s="381" t="s">
        <v>352</v>
      </c>
      <c r="D179" s="100" t="s">
        <v>305</v>
      </c>
      <c r="E179" s="149">
        <v>1</v>
      </c>
      <c r="F179" s="220">
        <f>N179/SUM($N$177:$N$180)*301142*(1.023*1.005-2.3%*15%)*6.99/6</f>
        <v>42664</v>
      </c>
      <c r="G179" s="145">
        <f t="shared" si="222"/>
        <v>1.1279999999999999</v>
      </c>
      <c r="H179" s="146">
        <f>F179*G179</f>
        <v>48125</v>
      </c>
      <c r="I179" s="145">
        <f>Дефляторы!$D$25</f>
        <v>1.052</v>
      </c>
      <c r="J179" s="146">
        <f>H179*I179</f>
        <v>50628</v>
      </c>
      <c r="K179" s="146">
        <f>H179+(J179-H179)*(1-30/100)</f>
        <v>49877</v>
      </c>
      <c r="L179" s="382"/>
      <c r="M179" s="382">
        <v>1284</v>
      </c>
      <c r="N179" s="382">
        <v>7704</v>
      </c>
    </row>
    <row r="180" spans="1:14" s="383" customFormat="1" ht="126" hidden="1" outlineLevel="3" x14ac:dyDescent="0.25">
      <c r="A180" s="363" t="s">
        <v>1949</v>
      </c>
      <c r="B180" s="381" t="s">
        <v>341</v>
      </c>
      <c r="C180" s="381" t="s">
        <v>347</v>
      </c>
      <c r="D180" s="100" t="s">
        <v>305</v>
      </c>
      <c r="E180" s="149">
        <v>2</v>
      </c>
      <c r="F180" s="220">
        <f>N180/SUM($N$177:$N$180)*301142*(1.023*1.005-2.3%*15%)*6.99/6</f>
        <v>158759</v>
      </c>
      <c r="G180" s="145">
        <f t="shared" si="222"/>
        <v>1.1279999999999999</v>
      </c>
      <c r="H180" s="146">
        <f>F180*G180</f>
        <v>179080</v>
      </c>
      <c r="I180" s="145">
        <f>Дефляторы!$D$25</f>
        <v>1.052</v>
      </c>
      <c r="J180" s="146">
        <f>H180*I180</f>
        <v>188392</v>
      </c>
      <c r="K180" s="146">
        <f>H180+(J180-H180)*(1-30/100)</f>
        <v>185598</v>
      </c>
      <c r="L180" s="396" t="s">
        <v>727</v>
      </c>
      <c r="M180" s="382">
        <v>2389</v>
      </c>
      <c r="N180" s="382">
        <v>28668</v>
      </c>
    </row>
    <row r="181" spans="1:14" s="383" customFormat="1" outlineLevel="2" collapsed="1" x14ac:dyDescent="0.25">
      <c r="A181" s="132" t="s">
        <v>445</v>
      </c>
      <c r="B181" s="320"/>
      <c r="C181" s="320" t="s">
        <v>2387</v>
      </c>
      <c r="D181" s="134" t="s">
        <v>408</v>
      </c>
      <c r="E181" s="90">
        <v>1</v>
      </c>
      <c r="F181" s="90">
        <f>SUM(F182:F186)</f>
        <v>603956</v>
      </c>
      <c r="G181" s="135">
        <f t="shared" si="222"/>
        <v>1.1279999999999999</v>
      </c>
      <c r="H181" s="90">
        <f>SUM(H182:H186)</f>
        <v>681262</v>
      </c>
      <c r="I181" s="135">
        <f>Дефляторы!$D$25</f>
        <v>1.052</v>
      </c>
      <c r="J181" s="90">
        <f>SUM(J182:J186)</f>
        <v>716688</v>
      </c>
      <c r="K181" s="90">
        <f>SUM(K182:K186)</f>
        <v>706060</v>
      </c>
      <c r="L181" s="382"/>
      <c r="M181" s="382"/>
      <c r="N181" s="382"/>
    </row>
    <row r="182" spans="1:14" s="383" customFormat="1" hidden="1" outlineLevel="3" x14ac:dyDescent="0.25">
      <c r="A182" s="363" t="s">
        <v>446</v>
      </c>
      <c r="B182" s="381" t="s">
        <v>688</v>
      </c>
      <c r="C182" s="381" t="s">
        <v>721</v>
      </c>
      <c r="D182" s="100" t="s">
        <v>305</v>
      </c>
      <c r="E182" s="149">
        <v>1</v>
      </c>
      <c r="F182" s="149">
        <f>N182/($N$176+$N$182+$N$188+$N$200+$N$206)*143108*(1.023*1.005-2.3%*15%)*6.99</f>
        <v>244472</v>
      </c>
      <c r="G182" s="145">
        <f t="shared" si="222"/>
        <v>1.1279999999999999</v>
      </c>
      <c r="H182" s="146">
        <f>F182*G182</f>
        <v>275764</v>
      </c>
      <c r="I182" s="145">
        <f>Дефляторы!$D$25</f>
        <v>1.052</v>
      </c>
      <c r="J182" s="146">
        <f>H182*I182</f>
        <v>290104</v>
      </c>
      <c r="K182" s="146">
        <f>H182+(J182-H182)*(1-30/100)</f>
        <v>285802</v>
      </c>
      <c r="L182" s="382"/>
      <c r="M182" s="382">
        <v>8376</v>
      </c>
      <c r="N182" s="382">
        <f t="shared" si="226"/>
        <v>8376</v>
      </c>
    </row>
    <row r="183" spans="1:14" s="383" customFormat="1" hidden="1" outlineLevel="3" x14ac:dyDescent="0.25">
      <c r="A183" s="363" t="s">
        <v>447</v>
      </c>
      <c r="B183" s="381" t="s">
        <v>341</v>
      </c>
      <c r="C183" s="381" t="s">
        <v>726</v>
      </c>
      <c r="D183" s="100" t="s">
        <v>305</v>
      </c>
      <c r="E183" s="149">
        <v>1</v>
      </c>
      <c r="F183" s="149">
        <f>N183/SUM($N$177:$N$180)*301142*(1.023*1.005-2.3%*15%)*6.99/6</f>
        <v>99681</v>
      </c>
      <c r="G183" s="145">
        <f t="shared" si="222"/>
        <v>1.1279999999999999</v>
      </c>
      <c r="H183" s="146">
        <f>F183*G183</f>
        <v>112440</v>
      </c>
      <c r="I183" s="145">
        <f>Дефляторы!$D$25</f>
        <v>1.052</v>
      </c>
      <c r="J183" s="146">
        <f>H183*I183</f>
        <v>118287</v>
      </c>
      <c r="K183" s="146">
        <f>H183+(J183-H183)*(1-30/100)</f>
        <v>116533</v>
      </c>
      <c r="L183" s="382"/>
      <c r="M183" s="382">
        <v>3000</v>
      </c>
      <c r="N183" s="382">
        <v>18000</v>
      </c>
    </row>
    <row r="184" spans="1:14" s="383" customFormat="1" hidden="1" outlineLevel="3" x14ac:dyDescent="0.25">
      <c r="A184" s="363" t="s">
        <v>448</v>
      </c>
      <c r="B184" s="381" t="s">
        <v>341</v>
      </c>
      <c r="C184" s="381" t="s">
        <v>350</v>
      </c>
      <c r="D184" s="100" t="s">
        <v>305</v>
      </c>
      <c r="E184" s="149">
        <v>1</v>
      </c>
      <c r="F184" s="149">
        <f>N184/SUM($N$177:$N$180)*301142*(1.023*1.005-2.3%*15%)*6.99/6</f>
        <v>58380</v>
      </c>
      <c r="G184" s="145">
        <f t="shared" si="222"/>
        <v>1.1279999999999999</v>
      </c>
      <c r="H184" s="146">
        <f>F184*G184</f>
        <v>65853</v>
      </c>
      <c r="I184" s="145">
        <f>Дефляторы!$D$25</f>
        <v>1.052</v>
      </c>
      <c r="J184" s="146">
        <f>H184*I184</f>
        <v>69277</v>
      </c>
      <c r="K184" s="146">
        <f>H184+(J184-H184)*(1-30/100)</f>
        <v>68250</v>
      </c>
      <c r="L184" s="382"/>
      <c r="M184" s="382">
        <v>1757</v>
      </c>
      <c r="N184" s="382">
        <v>10542</v>
      </c>
    </row>
    <row r="185" spans="1:14" s="383" customFormat="1" hidden="1" outlineLevel="3" x14ac:dyDescent="0.25">
      <c r="A185" s="363" t="s">
        <v>1988</v>
      </c>
      <c r="B185" s="381" t="s">
        <v>341</v>
      </c>
      <c r="C185" s="381" t="s">
        <v>352</v>
      </c>
      <c r="D185" s="100" t="s">
        <v>305</v>
      </c>
      <c r="E185" s="149">
        <v>1</v>
      </c>
      <c r="F185" s="149">
        <f>N185/SUM($N$177:$N$180)*301142*(1.023*1.005-2.3%*15%)*6.99/6</f>
        <v>42664</v>
      </c>
      <c r="G185" s="145">
        <f t="shared" si="222"/>
        <v>1.1279999999999999</v>
      </c>
      <c r="H185" s="146">
        <f>F185*G185</f>
        <v>48125</v>
      </c>
      <c r="I185" s="145">
        <f>Дефляторы!$D$25</f>
        <v>1.052</v>
      </c>
      <c r="J185" s="146">
        <f>H185*I185</f>
        <v>50628</v>
      </c>
      <c r="K185" s="146">
        <f>H185+(J185-H185)*(1-30/100)</f>
        <v>49877</v>
      </c>
      <c r="L185" s="382"/>
      <c r="M185" s="382">
        <v>1284</v>
      </c>
      <c r="N185" s="382">
        <v>7704</v>
      </c>
    </row>
    <row r="186" spans="1:14" s="383" customFormat="1" ht="126" hidden="1" outlineLevel="3" x14ac:dyDescent="0.25">
      <c r="A186" s="363" t="s">
        <v>2508</v>
      </c>
      <c r="B186" s="381" t="s">
        <v>341</v>
      </c>
      <c r="C186" s="381" t="s">
        <v>347</v>
      </c>
      <c r="D186" s="100" t="s">
        <v>305</v>
      </c>
      <c r="E186" s="149">
        <v>2</v>
      </c>
      <c r="F186" s="149">
        <f>N186/SUM($N$177:$N$180)*301142*(1.023*1.005-2.3%*15%)*6.99/6</f>
        <v>158759</v>
      </c>
      <c r="G186" s="145">
        <f t="shared" si="222"/>
        <v>1.1279999999999999</v>
      </c>
      <c r="H186" s="146">
        <f>F186*G186</f>
        <v>179080</v>
      </c>
      <c r="I186" s="145">
        <f>Дефляторы!$D$25</f>
        <v>1.052</v>
      </c>
      <c r="J186" s="146">
        <f>H186*I186</f>
        <v>188392</v>
      </c>
      <c r="K186" s="146">
        <f>H186+(J186-H186)*(1-30/100)</f>
        <v>185598</v>
      </c>
      <c r="L186" s="396" t="s">
        <v>727</v>
      </c>
      <c r="M186" s="382">
        <v>2389</v>
      </c>
      <c r="N186" s="382">
        <v>28668</v>
      </c>
    </row>
    <row r="187" spans="1:14" s="383" customFormat="1" outlineLevel="2" collapsed="1" x14ac:dyDescent="0.25">
      <c r="A187" s="132" t="s">
        <v>449</v>
      </c>
      <c r="B187" s="320"/>
      <c r="C187" s="320" t="s">
        <v>2388</v>
      </c>
      <c r="D187" s="134" t="s">
        <v>408</v>
      </c>
      <c r="E187" s="90">
        <v>1</v>
      </c>
      <c r="F187" s="90">
        <f>SUM(F188:F192)</f>
        <v>591172</v>
      </c>
      <c r="G187" s="135">
        <f t="shared" si="222"/>
        <v>1.1279999999999999</v>
      </c>
      <c r="H187" s="90">
        <f>SUM(H188:H192)</f>
        <v>666842</v>
      </c>
      <c r="I187" s="135">
        <f>Дефляторы!$D$25</f>
        <v>1.052</v>
      </c>
      <c r="J187" s="90">
        <f>SUM(J188:J192)</f>
        <v>701518</v>
      </c>
      <c r="K187" s="90">
        <f>SUM(K188:K192)</f>
        <v>691115</v>
      </c>
      <c r="L187" s="382"/>
      <c r="M187" s="382"/>
      <c r="N187" s="382"/>
    </row>
    <row r="188" spans="1:14" s="383" customFormat="1" hidden="1" outlineLevel="3" x14ac:dyDescent="0.25">
      <c r="A188" s="363" t="s">
        <v>450</v>
      </c>
      <c r="B188" s="381" t="s">
        <v>688</v>
      </c>
      <c r="C188" s="381" t="s">
        <v>722</v>
      </c>
      <c r="D188" s="100" t="s">
        <v>305</v>
      </c>
      <c r="E188" s="149">
        <v>1</v>
      </c>
      <c r="F188" s="149">
        <f>N188/($N$176+$N$182+$N$188+$N$200+$N$206)*143108*(1.023*1.005-2.3%*15%)*6.99</f>
        <v>231688</v>
      </c>
      <c r="G188" s="145">
        <f t="shared" si="222"/>
        <v>1.1279999999999999</v>
      </c>
      <c r="H188" s="146">
        <f>F188*G188</f>
        <v>261344</v>
      </c>
      <c r="I188" s="145">
        <f>Дефляторы!$D$25</f>
        <v>1.052</v>
      </c>
      <c r="J188" s="146">
        <f>H188*I188</f>
        <v>274934</v>
      </c>
      <c r="K188" s="146">
        <f>H188+(J188-H188)*(1-30/100)</f>
        <v>270857</v>
      </c>
      <c r="L188" s="382"/>
      <c r="M188" s="382">
        <v>7938</v>
      </c>
      <c r="N188" s="382">
        <f t="shared" si="226"/>
        <v>7938</v>
      </c>
    </row>
    <row r="189" spans="1:14" s="383" customFormat="1" hidden="1" outlineLevel="3" x14ac:dyDescent="0.25">
      <c r="A189" s="363" t="s">
        <v>451</v>
      </c>
      <c r="B189" s="381" t="s">
        <v>341</v>
      </c>
      <c r="C189" s="381" t="s">
        <v>726</v>
      </c>
      <c r="D189" s="100" t="s">
        <v>305</v>
      </c>
      <c r="E189" s="149">
        <v>1</v>
      </c>
      <c r="F189" s="149">
        <f>N189/SUM($N$177:$N$180)*301142*(1.023*1.005-2.3%*15%)*6.99/6</f>
        <v>99681</v>
      </c>
      <c r="G189" s="145">
        <f t="shared" si="222"/>
        <v>1.1279999999999999</v>
      </c>
      <c r="H189" s="146">
        <f>F189*G189</f>
        <v>112440</v>
      </c>
      <c r="I189" s="145">
        <f>Дефляторы!$D$25</f>
        <v>1.052</v>
      </c>
      <c r="J189" s="146">
        <f>H189*I189</f>
        <v>118287</v>
      </c>
      <c r="K189" s="146">
        <f>H189+(J189-H189)*(1-30/100)</f>
        <v>116533</v>
      </c>
      <c r="L189" s="382"/>
      <c r="M189" s="382">
        <v>3000</v>
      </c>
      <c r="N189" s="382">
        <v>18000</v>
      </c>
    </row>
    <row r="190" spans="1:14" s="383" customFormat="1" hidden="1" outlineLevel="3" x14ac:dyDescent="0.25">
      <c r="A190" s="363" t="s">
        <v>1989</v>
      </c>
      <c r="B190" s="381" t="s">
        <v>341</v>
      </c>
      <c r="C190" s="381" t="s">
        <v>350</v>
      </c>
      <c r="D190" s="100" t="s">
        <v>305</v>
      </c>
      <c r="E190" s="149">
        <v>1</v>
      </c>
      <c r="F190" s="149">
        <f>N190/SUM($N$177:$N$180)*301142*(1.023*1.005-2.3%*15%)*6.99/6</f>
        <v>58380</v>
      </c>
      <c r="G190" s="145">
        <f t="shared" si="222"/>
        <v>1.1279999999999999</v>
      </c>
      <c r="H190" s="146">
        <f>F190*G190</f>
        <v>65853</v>
      </c>
      <c r="I190" s="145">
        <f>Дефляторы!$D$25</f>
        <v>1.052</v>
      </c>
      <c r="J190" s="146">
        <f>H190*I190</f>
        <v>69277</v>
      </c>
      <c r="K190" s="146">
        <f>H190+(J190-H190)*(1-30/100)</f>
        <v>68250</v>
      </c>
      <c r="L190" s="382"/>
      <c r="M190" s="382">
        <v>1757</v>
      </c>
      <c r="N190" s="382">
        <v>10542</v>
      </c>
    </row>
    <row r="191" spans="1:14" s="383" customFormat="1" hidden="1" outlineLevel="3" x14ac:dyDescent="0.25">
      <c r="A191" s="363" t="s">
        <v>1990</v>
      </c>
      <c r="B191" s="381" t="s">
        <v>341</v>
      </c>
      <c r="C191" s="381" t="s">
        <v>352</v>
      </c>
      <c r="D191" s="100" t="s">
        <v>305</v>
      </c>
      <c r="E191" s="149">
        <v>1</v>
      </c>
      <c r="F191" s="149">
        <f>N191/SUM($N$177:$N$180)*301142*(1.023*1.005-2.3%*15%)*6.99/6</f>
        <v>42664</v>
      </c>
      <c r="G191" s="145">
        <f t="shared" si="222"/>
        <v>1.1279999999999999</v>
      </c>
      <c r="H191" s="146">
        <f>F191*G191</f>
        <v>48125</v>
      </c>
      <c r="I191" s="145">
        <f>Дефляторы!$D$25</f>
        <v>1.052</v>
      </c>
      <c r="J191" s="146">
        <f>H191*I191</f>
        <v>50628</v>
      </c>
      <c r="K191" s="146">
        <f>H191+(J191-H191)*(1-30/100)</f>
        <v>49877</v>
      </c>
      <c r="L191" s="382"/>
      <c r="M191" s="382">
        <v>1284</v>
      </c>
      <c r="N191" s="382">
        <v>7704</v>
      </c>
    </row>
    <row r="192" spans="1:14" s="383" customFormat="1" ht="126" hidden="1" outlineLevel="3" x14ac:dyDescent="0.25">
      <c r="A192" s="363" t="s">
        <v>1991</v>
      </c>
      <c r="B192" s="381" t="s">
        <v>341</v>
      </c>
      <c r="C192" s="381" t="s">
        <v>347</v>
      </c>
      <c r="D192" s="100" t="s">
        <v>305</v>
      </c>
      <c r="E192" s="149">
        <v>2</v>
      </c>
      <c r="F192" s="149">
        <f>N192/SUM($N$177:$N$180)*301142*(1.023*1.005-2.3%*15%)*6.99/6</f>
        <v>158759</v>
      </c>
      <c r="G192" s="145">
        <f t="shared" si="222"/>
        <v>1.1279999999999999</v>
      </c>
      <c r="H192" s="146">
        <f>F192*G192</f>
        <v>179080</v>
      </c>
      <c r="I192" s="145">
        <f>Дефляторы!$D$25</f>
        <v>1.052</v>
      </c>
      <c r="J192" s="146">
        <f>H192*I192</f>
        <v>188392</v>
      </c>
      <c r="K192" s="146">
        <f>H192+(J192-H192)*(1-30/100)</f>
        <v>185598</v>
      </c>
      <c r="L192" s="396" t="s">
        <v>727</v>
      </c>
      <c r="M192" s="382">
        <v>2389</v>
      </c>
      <c r="N192" s="382">
        <v>28668</v>
      </c>
    </row>
    <row r="193" spans="1:14" s="383" customFormat="1" outlineLevel="2" collapsed="1" x14ac:dyDescent="0.25">
      <c r="A193" s="132" t="s">
        <v>578</v>
      </c>
      <c r="B193" s="320"/>
      <c r="C193" s="320" t="s">
        <v>2389</v>
      </c>
      <c r="D193" s="134" t="s">
        <v>408</v>
      </c>
      <c r="E193" s="90">
        <v>1</v>
      </c>
      <c r="F193" s="90">
        <f>SUM(F194:F198)</f>
        <v>706875</v>
      </c>
      <c r="G193" s="135">
        <f t="shared" si="222"/>
        <v>1.1279999999999999</v>
      </c>
      <c r="H193" s="90">
        <f>SUM(H194:H198)</f>
        <v>797355</v>
      </c>
      <c r="I193" s="135">
        <f>Дефляторы!$D$25</f>
        <v>1.052</v>
      </c>
      <c r="J193" s="90">
        <f>SUM(J194:J198)</f>
        <v>838818</v>
      </c>
      <c r="K193" s="90">
        <f>SUM(K194:K198)</f>
        <v>826379</v>
      </c>
      <c r="L193" s="382"/>
      <c r="M193" s="382"/>
      <c r="N193" s="382"/>
    </row>
    <row r="194" spans="1:14" s="383" customFormat="1" hidden="1" outlineLevel="3" x14ac:dyDescent="0.25">
      <c r="A194" s="363" t="s">
        <v>1992</v>
      </c>
      <c r="B194" s="381" t="s">
        <v>719</v>
      </c>
      <c r="C194" s="381" t="s">
        <v>723</v>
      </c>
      <c r="D194" s="100" t="s">
        <v>305</v>
      </c>
      <c r="E194" s="149">
        <v>1</v>
      </c>
      <c r="F194" s="220">
        <f>48502*(1.023*1.005-2.3%*15%)*6.99</f>
        <v>347391</v>
      </c>
      <c r="G194" s="145">
        <f t="shared" si="222"/>
        <v>1.1279999999999999</v>
      </c>
      <c r="H194" s="146">
        <f>F194*G194</f>
        <v>391857</v>
      </c>
      <c r="I194" s="145">
        <f>Дефляторы!$D$25</f>
        <v>1.052</v>
      </c>
      <c r="J194" s="146">
        <f>H194*I194</f>
        <v>412234</v>
      </c>
      <c r="K194" s="146">
        <f>H194+(J194-H194)*(1-30/100)</f>
        <v>406121</v>
      </c>
      <c r="L194" s="382"/>
      <c r="M194" s="382">
        <v>12088</v>
      </c>
      <c r="N194" s="382">
        <f t="shared" si="226"/>
        <v>12088</v>
      </c>
    </row>
    <row r="195" spans="1:14" s="383" customFormat="1" hidden="1" outlineLevel="3" x14ac:dyDescent="0.25">
      <c r="A195" s="363" t="s">
        <v>2509</v>
      </c>
      <c r="B195" s="381" t="s">
        <v>341</v>
      </c>
      <c r="C195" s="381" t="s">
        <v>726</v>
      </c>
      <c r="D195" s="100" t="s">
        <v>305</v>
      </c>
      <c r="E195" s="149">
        <v>1</v>
      </c>
      <c r="F195" s="220">
        <f>N195/SUM($N$177:$N$180)*301142*(1.023*1.005-2.3%*15%)*6.99/6</f>
        <v>99681</v>
      </c>
      <c r="G195" s="145">
        <f t="shared" si="222"/>
        <v>1.1279999999999999</v>
      </c>
      <c r="H195" s="146">
        <f>F195*G195</f>
        <v>112440</v>
      </c>
      <c r="I195" s="145">
        <f>Дефляторы!$D$25</f>
        <v>1.052</v>
      </c>
      <c r="J195" s="146">
        <f>H195*I195</f>
        <v>118287</v>
      </c>
      <c r="K195" s="146">
        <f>H195+(J195-H195)*(1-30/100)</f>
        <v>116533</v>
      </c>
      <c r="L195" s="382"/>
      <c r="M195" s="382">
        <v>3000</v>
      </c>
      <c r="N195" s="382">
        <v>18000</v>
      </c>
    </row>
    <row r="196" spans="1:14" s="383" customFormat="1" hidden="1" outlineLevel="3" x14ac:dyDescent="0.25">
      <c r="A196" s="363" t="s">
        <v>2510</v>
      </c>
      <c r="B196" s="381" t="s">
        <v>341</v>
      </c>
      <c r="C196" s="381" t="s">
        <v>350</v>
      </c>
      <c r="D196" s="100" t="s">
        <v>305</v>
      </c>
      <c r="E196" s="149">
        <v>1</v>
      </c>
      <c r="F196" s="220">
        <f>N196/SUM($N$177:$N$180)*301142*(1.023*1.005-2.3%*15%)*6.99/6</f>
        <v>58380</v>
      </c>
      <c r="G196" s="145">
        <f t="shared" si="222"/>
        <v>1.1279999999999999</v>
      </c>
      <c r="H196" s="146">
        <f>F196*G196</f>
        <v>65853</v>
      </c>
      <c r="I196" s="145">
        <f>Дефляторы!$D$25</f>
        <v>1.052</v>
      </c>
      <c r="J196" s="146">
        <f>H196*I196</f>
        <v>69277</v>
      </c>
      <c r="K196" s="146">
        <f>H196+(J196-H196)*(1-30/100)</f>
        <v>68250</v>
      </c>
      <c r="L196" s="382"/>
      <c r="M196" s="382">
        <v>1757</v>
      </c>
      <c r="N196" s="382">
        <v>10542</v>
      </c>
    </row>
    <row r="197" spans="1:14" s="383" customFormat="1" hidden="1" outlineLevel="3" x14ac:dyDescent="0.25">
      <c r="A197" s="363" t="s">
        <v>2511</v>
      </c>
      <c r="B197" s="381" t="s">
        <v>341</v>
      </c>
      <c r="C197" s="381" t="s">
        <v>352</v>
      </c>
      <c r="D197" s="100" t="s">
        <v>305</v>
      </c>
      <c r="E197" s="149">
        <v>1</v>
      </c>
      <c r="F197" s="220">
        <f>N197/SUM($N$177:$N$180)*301142*(1.023*1.005-2.3%*15%)*6.99/6</f>
        <v>42664</v>
      </c>
      <c r="G197" s="145">
        <f t="shared" si="222"/>
        <v>1.1279999999999999</v>
      </c>
      <c r="H197" s="146">
        <f>F197*G197</f>
        <v>48125</v>
      </c>
      <c r="I197" s="145">
        <f>Дефляторы!$D$25</f>
        <v>1.052</v>
      </c>
      <c r="J197" s="146">
        <f>H197*I197</f>
        <v>50628</v>
      </c>
      <c r="K197" s="146">
        <f>H197+(J197-H197)*(1-30/100)</f>
        <v>49877</v>
      </c>
      <c r="L197" s="382"/>
      <c r="M197" s="382">
        <v>1284</v>
      </c>
      <c r="N197" s="382">
        <v>7704</v>
      </c>
    </row>
    <row r="198" spans="1:14" s="383" customFormat="1" ht="126" hidden="1" outlineLevel="3" x14ac:dyDescent="0.25">
      <c r="A198" s="363" t="s">
        <v>2512</v>
      </c>
      <c r="B198" s="381" t="s">
        <v>341</v>
      </c>
      <c r="C198" s="381" t="s">
        <v>347</v>
      </c>
      <c r="D198" s="100" t="s">
        <v>305</v>
      </c>
      <c r="E198" s="149">
        <v>2</v>
      </c>
      <c r="F198" s="220">
        <f>N198/SUM($N$177:$N$180)*301142*(1.023*1.005-2.3%*15%)*6.99/6</f>
        <v>158759</v>
      </c>
      <c r="G198" s="145">
        <f t="shared" si="222"/>
        <v>1.1279999999999999</v>
      </c>
      <c r="H198" s="146">
        <f>F198*G198</f>
        <v>179080</v>
      </c>
      <c r="I198" s="145">
        <f>Дефляторы!$D$25</f>
        <v>1.052</v>
      </c>
      <c r="J198" s="146">
        <f>H198*I198</f>
        <v>188392</v>
      </c>
      <c r="K198" s="146">
        <f>H198+(J198-H198)*(1-30/100)</f>
        <v>185598</v>
      </c>
      <c r="L198" s="396" t="s">
        <v>727</v>
      </c>
      <c r="M198" s="382">
        <v>2389</v>
      </c>
      <c r="N198" s="382">
        <v>28668</v>
      </c>
    </row>
    <row r="199" spans="1:14" s="383" customFormat="1" outlineLevel="2" collapsed="1" x14ac:dyDescent="0.25">
      <c r="A199" s="132" t="s">
        <v>579</v>
      </c>
      <c r="B199" s="320"/>
      <c r="C199" s="320" t="s">
        <v>2390</v>
      </c>
      <c r="D199" s="134" t="s">
        <v>408</v>
      </c>
      <c r="E199" s="90">
        <v>1</v>
      </c>
      <c r="F199" s="90">
        <f>SUM(F200:F204)</f>
        <v>644293</v>
      </c>
      <c r="G199" s="135">
        <f t="shared" si="222"/>
        <v>1.1279999999999999</v>
      </c>
      <c r="H199" s="90">
        <f>SUM(H200:H204)</f>
        <v>726763</v>
      </c>
      <c r="I199" s="135">
        <f>Дефляторы!$D$25</f>
        <v>1.052</v>
      </c>
      <c r="J199" s="90">
        <f>SUM(J200:J204)</f>
        <v>764555</v>
      </c>
      <c r="K199" s="90">
        <f>SUM(K200:K204)</f>
        <v>753217</v>
      </c>
      <c r="L199" s="382"/>
      <c r="M199" s="382"/>
      <c r="N199" s="382"/>
    </row>
    <row r="200" spans="1:14" s="383" customFormat="1" hidden="1" outlineLevel="3" x14ac:dyDescent="0.25">
      <c r="A200" s="363" t="s">
        <v>1993</v>
      </c>
      <c r="B200" s="381" t="s">
        <v>688</v>
      </c>
      <c r="C200" s="381" t="s">
        <v>724</v>
      </c>
      <c r="D200" s="100" t="s">
        <v>305</v>
      </c>
      <c r="E200" s="149">
        <v>1</v>
      </c>
      <c r="F200" s="220">
        <f>N200/($N$176+$N$182+$N$188+$N$200+$N$206)*143108*(1.023*1.005-2.3%*15%)*6.99</f>
        <v>284809</v>
      </c>
      <c r="G200" s="145">
        <f t="shared" si="222"/>
        <v>1.1279999999999999</v>
      </c>
      <c r="H200" s="146">
        <f t="shared" ref="H200:H206" si="227">F200*G200</f>
        <v>321265</v>
      </c>
      <c r="I200" s="145">
        <f>Дефляторы!$D$25</f>
        <v>1.052</v>
      </c>
      <c r="J200" s="146">
        <f t="shared" ref="J200:J206" si="228">H200*I200</f>
        <v>337971</v>
      </c>
      <c r="K200" s="146">
        <f t="shared" ref="K200:K206" si="229">H200+(J200-H200)*(1-30/100)</f>
        <v>332959</v>
      </c>
      <c r="L200" s="382"/>
      <c r="M200" s="382">
        <v>9758</v>
      </c>
      <c r="N200" s="382">
        <f t="shared" si="226"/>
        <v>9758</v>
      </c>
    </row>
    <row r="201" spans="1:14" s="383" customFormat="1" hidden="1" outlineLevel="3" x14ac:dyDescent="0.25">
      <c r="A201" s="363" t="s">
        <v>1994</v>
      </c>
      <c r="B201" s="381" t="s">
        <v>341</v>
      </c>
      <c r="C201" s="381" t="s">
        <v>726</v>
      </c>
      <c r="D201" s="100" t="s">
        <v>305</v>
      </c>
      <c r="E201" s="149">
        <v>1</v>
      </c>
      <c r="F201" s="220">
        <f>N201/SUM($N$177:$N$180)*301142*(1.023*1.005-2.3%*15%)*6.99/6</f>
        <v>99681</v>
      </c>
      <c r="G201" s="145">
        <f t="shared" si="222"/>
        <v>1.1279999999999999</v>
      </c>
      <c r="H201" s="146">
        <f>F201*G201</f>
        <v>112440</v>
      </c>
      <c r="I201" s="145">
        <f>Дефляторы!$D$25</f>
        <v>1.052</v>
      </c>
      <c r="J201" s="146">
        <f>H201*I201</f>
        <v>118287</v>
      </c>
      <c r="K201" s="146">
        <f>H201+(J201-H201)*(1-30/100)</f>
        <v>116533</v>
      </c>
      <c r="L201" s="382"/>
      <c r="M201" s="382">
        <v>3000</v>
      </c>
      <c r="N201" s="382">
        <v>18000</v>
      </c>
    </row>
    <row r="202" spans="1:14" s="383" customFormat="1" hidden="1" outlineLevel="3" x14ac:dyDescent="0.25">
      <c r="A202" s="363" t="s">
        <v>2513</v>
      </c>
      <c r="B202" s="381" t="s">
        <v>341</v>
      </c>
      <c r="C202" s="381" t="s">
        <v>350</v>
      </c>
      <c r="D202" s="100" t="s">
        <v>305</v>
      </c>
      <c r="E202" s="149">
        <v>1</v>
      </c>
      <c r="F202" s="220">
        <f>N202/SUM($N$177:$N$180)*301142*(1.023*1.005-2.3%*15%)*6.99/6</f>
        <v>58380</v>
      </c>
      <c r="G202" s="145">
        <f t="shared" si="222"/>
        <v>1.1279999999999999</v>
      </c>
      <c r="H202" s="146">
        <f>F202*G202</f>
        <v>65853</v>
      </c>
      <c r="I202" s="145">
        <f>Дефляторы!$D$25</f>
        <v>1.052</v>
      </c>
      <c r="J202" s="146">
        <f>H202*I202</f>
        <v>69277</v>
      </c>
      <c r="K202" s="146">
        <f>H202+(J202-H202)*(1-30/100)</f>
        <v>68250</v>
      </c>
      <c r="L202" s="382"/>
      <c r="M202" s="382">
        <v>1757</v>
      </c>
      <c r="N202" s="382">
        <v>10542</v>
      </c>
    </row>
    <row r="203" spans="1:14" s="383" customFormat="1" hidden="1" outlineLevel="3" x14ac:dyDescent="0.25">
      <c r="A203" s="363" t="s">
        <v>2514</v>
      </c>
      <c r="B203" s="381" t="s">
        <v>341</v>
      </c>
      <c r="C203" s="381" t="s">
        <v>352</v>
      </c>
      <c r="D203" s="100" t="s">
        <v>305</v>
      </c>
      <c r="E203" s="149">
        <v>1</v>
      </c>
      <c r="F203" s="220">
        <f>N203/SUM($N$177:$N$180)*301142*(1.023*1.005-2.3%*15%)*6.99/6</f>
        <v>42664</v>
      </c>
      <c r="G203" s="145">
        <f t="shared" si="222"/>
        <v>1.1279999999999999</v>
      </c>
      <c r="H203" s="146">
        <f>F203*G203</f>
        <v>48125</v>
      </c>
      <c r="I203" s="145">
        <f>Дефляторы!$D$25</f>
        <v>1.052</v>
      </c>
      <c r="J203" s="146">
        <f>H203*I203</f>
        <v>50628</v>
      </c>
      <c r="K203" s="146">
        <f>H203+(J203-H203)*(1-30/100)</f>
        <v>49877</v>
      </c>
      <c r="L203" s="382"/>
      <c r="M203" s="382">
        <v>1284</v>
      </c>
      <c r="N203" s="382">
        <v>7704</v>
      </c>
    </row>
    <row r="204" spans="1:14" s="383" customFormat="1" ht="126" hidden="1" outlineLevel="3" x14ac:dyDescent="0.25">
      <c r="A204" s="363" t="s">
        <v>2515</v>
      </c>
      <c r="B204" s="381" t="s">
        <v>341</v>
      </c>
      <c r="C204" s="381" t="s">
        <v>347</v>
      </c>
      <c r="D204" s="100" t="s">
        <v>305</v>
      </c>
      <c r="E204" s="149">
        <v>2</v>
      </c>
      <c r="F204" s="220">
        <f>N204/SUM($N$177:$N$180)*301142*(1.023*1.005-2.3%*15%)*6.99/6</f>
        <v>158759</v>
      </c>
      <c r="G204" s="145">
        <f t="shared" si="222"/>
        <v>1.1279999999999999</v>
      </c>
      <c r="H204" s="146">
        <f>F204*G204</f>
        <v>179080</v>
      </c>
      <c r="I204" s="145">
        <f>Дефляторы!$D$25</f>
        <v>1.052</v>
      </c>
      <c r="J204" s="146">
        <f>H204*I204</f>
        <v>188392</v>
      </c>
      <c r="K204" s="146">
        <f>H204+(J204-H204)*(1-30/100)</f>
        <v>185598</v>
      </c>
      <c r="L204" s="396" t="s">
        <v>727</v>
      </c>
      <c r="M204" s="382">
        <v>2389</v>
      </c>
      <c r="N204" s="382">
        <v>28668</v>
      </c>
    </row>
    <row r="205" spans="1:14" s="383" customFormat="1" outlineLevel="2" collapsed="1" x14ac:dyDescent="0.25">
      <c r="A205" s="132" t="s">
        <v>581</v>
      </c>
      <c r="B205" s="320"/>
      <c r="C205" s="320" t="s">
        <v>2391</v>
      </c>
      <c r="D205" s="134" t="s">
        <v>408</v>
      </c>
      <c r="E205" s="90">
        <v>1</v>
      </c>
      <c r="F205" s="90">
        <f>SUM(F206:F210)</f>
        <v>489542</v>
      </c>
      <c r="G205" s="135">
        <f t="shared" si="222"/>
        <v>1.1279999999999999</v>
      </c>
      <c r="H205" s="90">
        <f>SUM(H206:H210)</f>
        <v>552203</v>
      </c>
      <c r="I205" s="135">
        <f>Дефляторы!$D$25</f>
        <v>1.052</v>
      </c>
      <c r="J205" s="90">
        <f>SUM(J206:J210)</f>
        <v>580918</v>
      </c>
      <c r="K205" s="90">
        <f>SUM(K206:K210)</f>
        <v>572303</v>
      </c>
      <c r="L205" s="382"/>
      <c r="M205" s="382"/>
      <c r="N205" s="382"/>
    </row>
    <row r="206" spans="1:14" s="383" customFormat="1" hidden="1" outlineLevel="3" x14ac:dyDescent="0.25">
      <c r="A206" s="363" t="s">
        <v>1995</v>
      </c>
      <c r="B206" s="381" t="s">
        <v>688</v>
      </c>
      <c r="C206" s="381" t="s">
        <v>725</v>
      </c>
      <c r="D206" s="100" t="s">
        <v>305</v>
      </c>
      <c r="E206" s="149">
        <v>1</v>
      </c>
      <c r="F206" s="220">
        <f>N206/($N$176+$N$182+$N$188+$N$200+$N$206)*143108*(1.023*1.005-2.3%*15%)*6.99</f>
        <v>130058</v>
      </c>
      <c r="G206" s="145">
        <f t="shared" si="222"/>
        <v>1.1279999999999999</v>
      </c>
      <c r="H206" s="146">
        <f t="shared" si="227"/>
        <v>146705</v>
      </c>
      <c r="I206" s="145">
        <f>Дефляторы!$D$25</f>
        <v>1.052</v>
      </c>
      <c r="J206" s="146">
        <f t="shared" si="228"/>
        <v>154334</v>
      </c>
      <c r="K206" s="146">
        <f t="shared" si="229"/>
        <v>152045</v>
      </c>
      <c r="L206" s="382"/>
      <c r="M206" s="382">
        <v>4456</v>
      </c>
      <c r="N206" s="382">
        <f t="shared" si="226"/>
        <v>4456</v>
      </c>
    </row>
    <row r="207" spans="1:14" s="383" customFormat="1" hidden="1" outlineLevel="3" x14ac:dyDescent="0.25">
      <c r="A207" s="363" t="s">
        <v>1996</v>
      </c>
      <c r="B207" s="381" t="s">
        <v>341</v>
      </c>
      <c r="C207" s="381" t="s">
        <v>726</v>
      </c>
      <c r="D207" s="100" t="s">
        <v>305</v>
      </c>
      <c r="E207" s="149">
        <v>1</v>
      </c>
      <c r="F207" s="220">
        <f>N207/SUM($N$177:$N$180)*301142*(1.023*1.005-2.3%*15%)*6.99/6</f>
        <v>99681</v>
      </c>
      <c r="G207" s="145">
        <f t="shared" si="222"/>
        <v>1.1279999999999999</v>
      </c>
      <c r="H207" s="146">
        <f>F207*G207</f>
        <v>112440</v>
      </c>
      <c r="I207" s="145">
        <f>Дефляторы!$D$25</f>
        <v>1.052</v>
      </c>
      <c r="J207" s="146">
        <f>H207*I207</f>
        <v>118287</v>
      </c>
      <c r="K207" s="146">
        <f>H207+(J207-H207)*(1-30/100)</f>
        <v>116533</v>
      </c>
      <c r="L207" s="382"/>
      <c r="M207" s="382">
        <v>3000</v>
      </c>
      <c r="N207" s="382">
        <v>18000</v>
      </c>
    </row>
    <row r="208" spans="1:14" s="383" customFormat="1" hidden="1" outlineLevel="3" x14ac:dyDescent="0.25">
      <c r="A208" s="363" t="s">
        <v>1997</v>
      </c>
      <c r="B208" s="381" t="s">
        <v>341</v>
      </c>
      <c r="C208" s="381" t="s">
        <v>350</v>
      </c>
      <c r="D208" s="100" t="s">
        <v>305</v>
      </c>
      <c r="E208" s="149">
        <v>1</v>
      </c>
      <c r="F208" s="220">
        <f>N208/SUM($N$177:$N$180)*301142*(1.023*1.005-2.3%*15%)*6.99/6</f>
        <v>58380</v>
      </c>
      <c r="G208" s="145">
        <f t="shared" si="222"/>
        <v>1.1279999999999999</v>
      </c>
      <c r="H208" s="146">
        <f>F208*G208</f>
        <v>65853</v>
      </c>
      <c r="I208" s="145">
        <f>Дефляторы!$D$25</f>
        <v>1.052</v>
      </c>
      <c r="J208" s="146">
        <f>H208*I208</f>
        <v>69277</v>
      </c>
      <c r="K208" s="146">
        <f>H208+(J208-H208)*(1-30/100)</f>
        <v>68250</v>
      </c>
      <c r="L208" s="382"/>
      <c r="M208" s="382">
        <v>1757</v>
      </c>
      <c r="N208" s="382">
        <v>10542</v>
      </c>
    </row>
    <row r="209" spans="1:14" s="383" customFormat="1" hidden="1" outlineLevel="3" x14ac:dyDescent="0.25">
      <c r="A209" s="363" t="s">
        <v>1998</v>
      </c>
      <c r="B209" s="381" t="s">
        <v>341</v>
      </c>
      <c r="C209" s="381" t="s">
        <v>352</v>
      </c>
      <c r="D209" s="100" t="s">
        <v>305</v>
      </c>
      <c r="E209" s="149">
        <v>1</v>
      </c>
      <c r="F209" s="220">
        <f>N209/SUM($N$177:$N$180)*301142*(1.023*1.005-2.3%*15%)*6.99/6</f>
        <v>42664</v>
      </c>
      <c r="G209" s="145">
        <f t="shared" si="222"/>
        <v>1.1279999999999999</v>
      </c>
      <c r="H209" s="146">
        <f>F209*G209</f>
        <v>48125</v>
      </c>
      <c r="I209" s="145">
        <f>Дефляторы!$D$25</f>
        <v>1.052</v>
      </c>
      <c r="J209" s="146">
        <f>H209*I209</f>
        <v>50628</v>
      </c>
      <c r="K209" s="146">
        <f>H209+(J209-H209)*(1-30/100)</f>
        <v>49877</v>
      </c>
      <c r="L209" s="382"/>
      <c r="M209" s="382">
        <v>1284</v>
      </c>
      <c r="N209" s="382">
        <v>7704</v>
      </c>
    </row>
    <row r="210" spans="1:14" s="383" customFormat="1" ht="126" hidden="1" outlineLevel="3" x14ac:dyDescent="0.25">
      <c r="A210" s="363" t="s">
        <v>1999</v>
      </c>
      <c r="B210" s="381" t="s">
        <v>341</v>
      </c>
      <c r="C210" s="381" t="s">
        <v>347</v>
      </c>
      <c r="D210" s="100" t="s">
        <v>305</v>
      </c>
      <c r="E210" s="149">
        <v>2</v>
      </c>
      <c r="F210" s="220">
        <f>N210/SUM($N$177:$N$180)*301142*(1.023*1.005-2.3%*15%)*6.99/6</f>
        <v>158759</v>
      </c>
      <c r="G210" s="145">
        <f t="shared" si="222"/>
        <v>1.1279999999999999</v>
      </c>
      <c r="H210" s="146">
        <f>F210*G210</f>
        <v>179080</v>
      </c>
      <c r="I210" s="145">
        <f>Дефляторы!$D$25</f>
        <v>1.052</v>
      </c>
      <c r="J210" s="146">
        <f>H210*I210</f>
        <v>188392</v>
      </c>
      <c r="K210" s="146">
        <f>H210+(J210-H210)*(1-30/100)</f>
        <v>185598</v>
      </c>
      <c r="L210" s="396" t="s">
        <v>727</v>
      </c>
      <c r="M210" s="382">
        <v>2389</v>
      </c>
      <c r="N210" s="382">
        <v>28668</v>
      </c>
    </row>
    <row r="211" spans="1:14" s="385" customFormat="1" ht="31.5" outlineLevel="2" collapsed="1" x14ac:dyDescent="0.25">
      <c r="A211" s="132" t="s">
        <v>2031</v>
      </c>
      <c r="B211" s="320" t="s">
        <v>154</v>
      </c>
      <c r="C211" s="133" t="s">
        <v>2526</v>
      </c>
      <c r="D211" s="134" t="s">
        <v>292</v>
      </c>
      <c r="E211" s="90">
        <v>1</v>
      </c>
      <c r="F211" s="90">
        <f>SUM(F212:F231)</f>
        <v>109675309</v>
      </c>
      <c r="G211" s="135">
        <f t="shared" si="222"/>
        <v>1.1279999999999999</v>
      </c>
      <c r="H211" s="90">
        <f>SUM(H212:H231)</f>
        <v>123713749</v>
      </c>
      <c r="I211" s="135">
        <f>Дефляторы!$D$25</f>
        <v>1.052</v>
      </c>
      <c r="J211" s="90">
        <f>SUM(J212:J231)</f>
        <v>130146865</v>
      </c>
      <c r="K211" s="90">
        <f>SUM(K212:K231)</f>
        <v>128216931</v>
      </c>
    </row>
    <row r="212" spans="1:14" s="399" customFormat="1" hidden="1" outlineLevel="3" x14ac:dyDescent="0.25">
      <c r="A212" s="369"/>
      <c r="B212" s="408"/>
      <c r="C212" s="390" t="s">
        <v>811</v>
      </c>
      <c r="D212" s="150"/>
      <c r="E212" s="151"/>
      <c r="F212" s="455"/>
      <c r="G212" s="152"/>
      <c r="H212" s="153"/>
      <c r="I212" s="145"/>
      <c r="J212" s="153"/>
      <c r="K212" s="153"/>
      <c r="L212" s="409"/>
      <c r="M212" s="398"/>
      <c r="N212" s="398"/>
    </row>
    <row r="213" spans="1:14" s="383" customFormat="1" ht="31.5" hidden="1" outlineLevel="3" x14ac:dyDescent="0.25">
      <c r="A213" s="363" t="s">
        <v>2516</v>
      </c>
      <c r="B213" s="381" t="s">
        <v>818</v>
      </c>
      <c r="C213" s="381" t="s">
        <v>812</v>
      </c>
      <c r="D213" s="100" t="s">
        <v>377</v>
      </c>
      <c r="E213" s="168">
        <v>128.5</v>
      </c>
      <c r="F213" s="220">
        <f>2802255*(1.023*1.005-2.3%*15%)*6.99+15</f>
        <v>20070910</v>
      </c>
      <c r="G213" s="174">
        <f t="shared" ref="G213:G219" si="230">$G$831</f>
        <v>1.1279999999999999</v>
      </c>
      <c r="H213" s="146">
        <f t="shared" ref="H213:H219" si="231">F213*G213</f>
        <v>22639986</v>
      </c>
      <c r="I213" s="145">
        <f>Дефляторы!$D$25</f>
        <v>1.052</v>
      </c>
      <c r="J213" s="146">
        <f>H213*I213</f>
        <v>23817265</v>
      </c>
      <c r="K213" s="146">
        <f t="shared" ref="K213:K231" si="232">H213+(J213-H213)*(1-30/100)</f>
        <v>23464081</v>
      </c>
      <c r="L213" s="396"/>
      <c r="M213" s="382"/>
      <c r="N213" s="382"/>
    </row>
    <row r="214" spans="1:14" s="383" customFormat="1" hidden="1" outlineLevel="3" x14ac:dyDescent="0.25">
      <c r="A214" s="363" t="s">
        <v>2517</v>
      </c>
      <c r="B214" s="381" t="s">
        <v>819</v>
      </c>
      <c r="C214" s="381" t="s">
        <v>813</v>
      </c>
      <c r="D214" s="100" t="s">
        <v>408</v>
      </c>
      <c r="E214" s="149">
        <v>27</v>
      </c>
      <c r="F214" s="220">
        <f>1674188*(1.023*1.005-2.3%*15%)*6.99</f>
        <v>11991218</v>
      </c>
      <c r="G214" s="174">
        <f t="shared" si="230"/>
        <v>1.1279999999999999</v>
      </c>
      <c r="H214" s="146">
        <f t="shared" si="231"/>
        <v>13526094</v>
      </c>
      <c r="I214" s="145">
        <f>Дефляторы!$D$25</f>
        <v>1.052</v>
      </c>
      <c r="J214" s="146">
        <f t="shared" ref="J214:J231" si="233">H214*I214</f>
        <v>14229451</v>
      </c>
      <c r="K214" s="146">
        <f t="shared" si="232"/>
        <v>14018444</v>
      </c>
      <c r="L214" s="396"/>
      <c r="M214" s="382"/>
      <c r="N214" s="382"/>
    </row>
    <row r="215" spans="1:14" s="399" customFormat="1" hidden="1" outlineLevel="3" x14ac:dyDescent="0.25">
      <c r="A215" s="363" t="s">
        <v>2518</v>
      </c>
      <c r="B215" s="381" t="s">
        <v>820</v>
      </c>
      <c r="C215" s="381" t="s">
        <v>814</v>
      </c>
      <c r="D215" s="100" t="s">
        <v>408</v>
      </c>
      <c r="E215" s="149">
        <v>8</v>
      </c>
      <c r="F215" s="220">
        <f>1073167*(1.023*1.005-2.3%*15%)*6.99</f>
        <v>7686460</v>
      </c>
      <c r="G215" s="174">
        <f t="shared" si="230"/>
        <v>1.1279999999999999</v>
      </c>
      <c r="H215" s="146">
        <f t="shared" si="231"/>
        <v>8670327</v>
      </c>
      <c r="I215" s="145">
        <f>Дефляторы!$D$25</f>
        <v>1.052</v>
      </c>
      <c r="J215" s="146">
        <f t="shared" si="233"/>
        <v>9121184</v>
      </c>
      <c r="K215" s="146">
        <f t="shared" si="232"/>
        <v>8985927</v>
      </c>
      <c r="L215" s="409"/>
      <c r="M215" s="398"/>
      <c r="N215" s="398"/>
    </row>
    <row r="216" spans="1:14" s="399" customFormat="1" hidden="1" outlineLevel="3" x14ac:dyDescent="0.25">
      <c r="A216" s="363" t="s">
        <v>2519</v>
      </c>
      <c r="B216" s="381" t="s">
        <v>822</v>
      </c>
      <c r="C216" s="381" t="s">
        <v>815</v>
      </c>
      <c r="D216" s="100" t="s">
        <v>408</v>
      </c>
      <c r="E216" s="99">
        <v>31</v>
      </c>
      <c r="F216" s="220">
        <f>4671332*(1.023*1.005-2.3%*15%)*6.99</f>
        <v>33457987</v>
      </c>
      <c r="G216" s="174">
        <f t="shared" si="230"/>
        <v>1.1279999999999999</v>
      </c>
      <c r="H216" s="146">
        <f t="shared" si="231"/>
        <v>37740609</v>
      </c>
      <c r="I216" s="145">
        <f>Дефляторы!$D$25</f>
        <v>1.052</v>
      </c>
      <c r="J216" s="146">
        <f t="shared" si="233"/>
        <v>39703121</v>
      </c>
      <c r="K216" s="146">
        <f t="shared" si="232"/>
        <v>39114367</v>
      </c>
      <c r="L216" s="396" t="s">
        <v>821</v>
      </c>
      <c r="M216" s="398"/>
      <c r="N216" s="398"/>
    </row>
    <row r="217" spans="1:14" s="399" customFormat="1" hidden="1" outlineLevel="3" x14ac:dyDescent="0.25">
      <c r="A217" s="363" t="s">
        <v>2520</v>
      </c>
      <c r="B217" s="381" t="s">
        <v>823</v>
      </c>
      <c r="C217" s="381" t="s">
        <v>816</v>
      </c>
      <c r="D217" s="100" t="s">
        <v>408</v>
      </c>
      <c r="E217" s="149">
        <v>8</v>
      </c>
      <c r="F217" s="220">
        <f>1337842*(1.023*1.005-2.3%*15%)*6.99</f>
        <v>9582171</v>
      </c>
      <c r="G217" s="174">
        <f t="shared" si="230"/>
        <v>1.1279999999999999</v>
      </c>
      <c r="H217" s="146">
        <f t="shared" si="231"/>
        <v>10808689</v>
      </c>
      <c r="I217" s="145">
        <f>Дефляторы!$D$25</f>
        <v>1.052</v>
      </c>
      <c r="J217" s="146">
        <f t="shared" si="233"/>
        <v>11370741</v>
      </c>
      <c r="K217" s="146">
        <f t="shared" si="232"/>
        <v>11202125</v>
      </c>
      <c r="L217" s="409"/>
      <c r="M217" s="398"/>
      <c r="N217" s="398"/>
    </row>
    <row r="218" spans="1:14" s="399" customFormat="1" hidden="1" outlineLevel="3" x14ac:dyDescent="0.25">
      <c r="A218" s="363" t="s">
        <v>2521</v>
      </c>
      <c r="B218" s="381" t="s">
        <v>825</v>
      </c>
      <c r="C218" s="381" t="s">
        <v>817</v>
      </c>
      <c r="D218" s="100" t="s">
        <v>377</v>
      </c>
      <c r="E218" s="149">
        <v>42</v>
      </c>
      <c r="F218" s="220">
        <f>152109*(1.023*1.005-2.3%*15%)*6.99</f>
        <v>1089467</v>
      </c>
      <c r="G218" s="174">
        <f t="shared" si="230"/>
        <v>1.1279999999999999</v>
      </c>
      <c r="H218" s="146">
        <f t="shared" si="231"/>
        <v>1228919</v>
      </c>
      <c r="I218" s="145">
        <f>Дефляторы!$D$25</f>
        <v>1.052</v>
      </c>
      <c r="J218" s="146">
        <f t="shared" si="233"/>
        <v>1292823</v>
      </c>
      <c r="K218" s="146">
        <f t="shared" si="232"/>
        <v>1273652</v>
      </c>
      <c r="L218" s="409"/>
      <c r="M218" s="398"/>
      <c r="N218" s="398"/>
    </row>
    <row r="219" spans="1:14" s="399" customFormat="1" ht="31.5" hidden="1" outlineLevel="3" x14ac:dyDescent="0.25">
      <c r="A219" s="363" t="s">
        <v>2522</v>
      </c>
      <c r="B219" s="391" t="s">
        <v>826</v>
      </c>
      <c r="C219" s="391" t="s">
        <v>824</v>
      </c>
      <c r="D219" s="161" t="s">
        <v>404</v>
      </c>
      <c r="E219" s="99">
        <v>5740</v>
      </c>
      <c r="F219" s="220">
        <f>261916*(1.023*1.005-2.3%*15%)*6.99</f>
        <v>1875949</v>
      </c>
      <c r="G219" s="163">
        <f t="shared" si="230"/>
        <v>1.1279999999999999</v>
      </c>
      <c r="H219" s="164">
        <f t="shared" si="231"/>
        <v>2116070</v>
      </c>
      <c r="I219" s="145">
        <f>Дефляторы!$D$25</f>
        <v>1.052</v>
      </c>
      <c r="J219" s="164">
        <f t="shared" si="233"/>
        <v>2226106</v>
      </c>
      <c r="K219" s="146">
        <f t="shared" si="232"/>
        <v>2193095</v>
      </c>
      <c r="L219" s="396" t="s">
        <v>836</v>
      </c>
      <c r="M219" s="398"/>
      <c r="N219" s="398"/>
    </row>
    <row r="220" spans="1:14" s="399" customFormat="1" hidden="1" outlineLevel="3" x14ac:dyDescent="0.25">
      <c r="A220" s="369"/>
      <c r="B220" s="408"/>
      <c r="C220" s="390" t="s">
        <v>827</v>
      </c>
      <c r="D220" s="150"/>
      <c r="E220" s="151"/>
      <c r="F220" s="455"/>
      <c r="G220" s="174"/>
      <c r="H220" s="146"/>
      <c r="I220" s="145"/>
      <c r="J220" s="146"/>
      <c r="K220" s="146"/>
      <c r="L220" s="409"/>
      <c r="M220" s="398"/>
      <c r="N220" s="398"/>
    </row>
    <row r="221" spans="1:14" s="383" customFormat="1" ht="31.5" hidden="1" outlineLevel="3" x14ac:dyDescent="0.25">
      <c r="A221" s="363" t="s">
        <v>2523</v>
      </c>
      <c r="B221" s="381" t="s">
        <v>830</v>
      </c>
      <c r="C221" s="381" t="s">
        <v>828</v>
      </c>
      <c r="D221" s="100" t="s">
        <v>377</v>
      </c>
      <c r="E221" s="168">
        <f>41.5</f>
        <v>41.5</v>
      </c>
      <c r="F221" s="220">
        <f>906858*(1.023*1.005-2.3%*15%)*6.99</f>
        <v>6495287</v>
      </c>
      <c r="G221" s="174">
        <f t="shared" ref="G221:G226" si="234">$G$831</f>
        <v>1.1279999999999999</v>
      </c>
      <c r="H221" s="146">
        <f t="shared" ref="H221:H226" si="235">F221*G221</f>
        <v>7326684</v>
      </c>
      <c r="I221" s="145">
        <f>Дефляторы!$D$25</f>
        <v>1.052</v>
      </c>
      <c r="J221" s="146">
        <f t="shared" si="233"/>
        <v>7707672</v>
      </c>
      <c r="K221" s="146">
        <f t="shared" si="232"/>
        <v>7593376</v>
      </c>
      <c r="L221" s="396"/>
      <c r="M221" s="382"/>
      <c r="N221" s="382"/>
    </row>
    <row r="222" spans="1:14" s="383" customFormat="1" hidden="1" outlineLevel="3" x14ac:dyDescent="0.25">
      <c r="A222" s="363" t="s">
        <v>2524</v>
      </c>
      <c r="B222" s="381" t="s">
        <v>831</v>
      </c>
      <c r="C222" s="381" t="s">
        <v>829</v>
      </c>
      <c r="D222" s="100" t="s">
        <v>408</v>
      </c>
      <c r="E222" s="149">
        <v>8</v>
      </c>
      <c r="F222" s="220">
        <f>537430*(1.023*1.005-2.3%*15%)*6.99</f>
        <v>3849293</v>
      </c>
      <c r="G222" s="174">
        <f t="shared" si="234"/>
        <v>1.1279999999999999</v>
      </c>
      <c r="H222" s="146">
        <f t="shared" si="235"/>
        <v>4342003</v>
      </c>
      <c r="I222" s="145">
        <f>Дефляторы!$D$25</f>
        <v>1.052</v>
      </c>
      <c r="J222" s="146">
        <f t="shared" si="233"/>
        <v>4567787</v>
      </c>
      <c r="K222" s="146">
        <f t="shared" si="232"/>
        <v>4500052</v>
      </c>
      <c r="L222" s="396"/>
      <c r="M222" s="382"/>
      <c r="N222" s="382"/>
    </row>
    <row r="223" spans="1:14" s="383" customFormat="1" hidden="1" outlineLevel="3" x14ac:dyDescent="0.25">
      <c r="A223" s="363" t="s">
        <v>2525</v>
      </c>
      <c r="B223" s="381" t="s">
        <v>832</v>
      </c>
      <c r="C223" s="381" t="s">
        <v>814</v>
      </c>
      <c r="D223" s="100" t="s">
        <v>408</v>
      </c>
      <c r="E223" s="149">
        <v>4</v>
      </c>
      <c r="F223" s="220">
        <f>306068*(1.023*1.005-2.3%*15%)*6.99</f>
        <v>2192184</v>
      </c>
      <c r="G223" s="174">
        <f t="shared" si="234"/>
        <v>1.1279999999999999</v>
      </c>
      <c r="H223" s="146">
        <f t="shared" si="235"/>
        <v>2472784</v>
      </c>
      <c r="I223" s="145">
        <f>Дефляторы!$D$25</f>
        <v>1.052</v>
      </c>
      <c r="J223" s="146">
        <f t="shared" si="233"/>
        <v>2601369</v>
      </c>
      <c r="K223" s="146">
        <f t="shared" si="232"/>
        <v>2562794</v>
      </c>
      <c r="L223" s="396"/>
      <c r="M223" s="382"/>
      <c r="N223" s="382"/>
    </row>
    <row r="224" spans="1:14" s="383" customFormat="1" hidden="1" outlineLevel="3" x14ac:dyDescent="0.25">
      <c r="A224" s="363" t="s">
        <v>2528</v>
      </c>
      <c r="B224" s="381" t="s">
        <v>833</v>
      </c>
      <c r="C224" s="381" t="s">
        <v>815</v>
      </c>
      <c r="D224" s="100" t="s">
        <v>408</v>
      </c>
      <c r="E224" s="149">
        <v>10</v>
      </c>
      <c r="F224" s="220">
        <f>858564*(1.023*1.005-2.3%*15%)*6.99</f>
        <v>6149386</v>
      </c>
      <c r="G224" s="174">
        <f t="shared" si="234"/>
        <v>1.1279999999999999</v>
      </c>
      <c r="H224" s="146">
        <f t="shared" si="235"/>
        <v>6936507</v>
      </c>
      <c r="I224" s="145">
        <f>Дефляторы!$D$25</f>
        <v>1.052</v>
      </c>
      <c r="J224" s="146">
        <f t="shared" si="233"/>
        <v>7297205</v>
      </c>
      <c r="K224" s="146">
        <f t="shared" si="232"/>
        <v>7188996</v>
      </c>
      <c r="L224" s="396"/>
      <c r="M224" s="382"/>
      <c r="N224" s="382"/>
    </row>
    <row r="225" spans="1:15" s="383" customFormat="1" hidden="1" outlineLevel="3" x14ac:dyDescent="0.25">
      <c r="A225" s="363" t="s">
        <v>2529</v>
      </c>
      <c r="B225" s="381" t="s">
        <v>834</v>
      </c>
      <c r="C225" s="381" t="s">
        <v>816</v>
      </c>
      <c r="D225" s="100" t="s">
        <v>408</v>
      </c>
      <c r="E225" s="149">
        <v>4</v>
      </c>
      <c r="F225" s="220">
        <f>380777*(1.023*1.005-2.3%*15%)*6.99</f>
        <v>2727280</v>
      </c>
      <c r="G225" s="174">
        <f t="shared" si="234"/>
        <v>1.1279999999999999</v>
      </c>
      <c r="H225" s="146">
        <f t="shared" si="235"/>
        <v>3076372</v>
      </c>
      <c r="I225" s="145">
        <f>Дефляторы!$D$25</f>
        <v>1.052</v>
      </c>
      <c r="J225" s="146">
        <f t="shared" si="233"/>
        <v>3236343</v>
      </c>
      <c r="K225" s="146">
        <f t="shared" si="232"/>
        <v>3188352</v>
      </c>
      <c r="L225" s="396"/>
      <c r="M225" s="382"/>
      <c r="N225" s="382"/>
    </row>
    <row r="226" spans="1:15" s="383" customFormat="1" ht="31.5" hidden="1" outlineLevel="3" x14ac:dyDescent="0.25">
      <c r="A226" s="363" t="s">
        <v>2530</v>
      </c>
      <c r="B226" s="381" t="s">
        <v>835</v>
      </c>
      <c r="C226" s="381" t="s">
        <v>824</v>
      </c>
      <c r="D226" s="100" t="s">
        <v>404</v>
      </c>
      <c r="E226" s="149">
        <v>3760</v>
      </c>
      <c r="F226" s="220">
        <f>171569*(1.023*1.005-2.3%*15%)*6.99</f>
        <v>1228847</v>
      </c>
      <c r="G226" s="174">
        <f t="shared" si="234"/>
        <v>1.1279999999999999</v>
      </c>
      <c r="H226" s="146">
        <f t="shared" si="235"/>
        <v>1386139</v>
      </c>
      <c r="I226" s="145">
        <f>Дефляторы!$D$25</f>
        <v>1.052</v>
      </c>
      <c r="J226" s="146">
        <f t="shared" si="233"/>
        <v>1458218</v>
      </c>
      <c r="K226" s="146">
        <f t="shared" si="232"/>
        <v>1436594</v>
      </c>
      <c r="L226" s="396"/>
      <c r="M226" s="382"/>
      <c r="N226" s="382"/>
    </row>
    <row r="227" spans="1:15" s="383" customFormat="1" hidden="1" outlineLevel="3" x14ac:dyDescent="0.25">
      <c r="A227" s="363"/>
      <c r="B227" s="381"/>
      <c r="C227" s="390" t="s">
        <v>837</v>
      </c>
      <c r="D227" s="100"/>
      <c r="E227" s="149"/>
      <c r="F227" s="220"/>
      <c r="G227" s="174"/>
      <c r="H227" s="146"/>
      <c r="I227" s="145"/>
      <c r="J227" s="146"/>
      <c r="K227" s="146"/>
      <c r="L227" s="396"/>
      <c r="M227" s="382"/>
      <c r="N227" s="382"/>
    </row>
    <row r="228" spans="1:15" s="383" customFormat="1" hidden="1" outlineLevel="3" x14ac:dyDescent="0.25">
      <c r="A228" s="363"/>
      <c r="B228" s="381"/>
      <c r="C228" s="390" t="s">
        <v>838</v>
      </c>
      <c r="D228" s="100"/>
      <c r="E228" s="149"/>
      <c r="F228" s="220"/>
      <c r="G228" s="174"/>
      <c r="H228" s="146"/>
      <c r="I228" s="145"/>
      <c r="J228" s="146"/>
      <c r="K228" s="146"/>
      <c r="L228" s="396"/>
      <c r="M228" s="382"/>
      <c r="N228" s="382"/>
    </row>
    <row r="229" spans="1:15" s="383" customFormat="1" ht="31.5" hidden="1" outlineLevel="3" x14ac:dyDescent="0.25">
      <c r="A229" s="363" t="s">
        <v>2531</v>
      </c>
      <c r="B229" s="381" t="s">
        <v>842</v>
      </c>
      <c r="C229" s="381" t="s">
        <v>839</v>
      </c>
      <c r="D229" s="100" t="s">
        <v>300</v>
      </c>
      <c r="E229" s="149">
        <v>1115</v>
      </c>
      <c r="F229" s="220">
        <f>133953*(1.023*1.005-2.3%*15%)*6.99</f>
        <v>959426</v>
      </c>
      <c r="G229" s="174">
        <f t="shared" ref="G229:G236" si="236">$G$831</f>
        <v>1.1279999999999999</v>
      </c>
      <c r="H229" s="146">
        <f>F229*G229</f>
        <v>1082233</v>
      </c>
      <c r="I229" s="145">
        <f>Дефляторы!$D$25</f>
        <v>1.052</v>
      </c>
      <c r="J229" s="146">
        <f t="shared" si="233"/>
        <v>1138509</v>
      </c>
      <c r="K229" s="146">
        <f t="shared" si="232"/>
        <v>1121626</v>
      </c>
      <c r="L229" s="396"/>
      <c r="M229" s="382"/>
      <c r="N229" s="382"/>
    </row>
    <row r="230" spans="1:15" s="383" customFormat="1" ht="31.5" hidden="1" outlineLevel="3" x14ac:dyDescent="0.25">
      <c r="A230" s="363" t="s">
        <v>2532</v>
      </c>
      <c r="B230" s="381" t="s">
        <v>843</v>
      </c>
      <c r="C230" s="381" t="s">
        <v>840</v>
      </c>
      <c r="D230" s="100" t="s">
        <v>300</v>
      </c>
      <c r="E230" s="149">
        <v>185</v>
      </c>
      <c r="F230" s="220">
        <f>34830*(1.023*1.005-2.3%*15%)*6.99</f>
        <v>249467</v>
      </c>
      <c r="G230" s="174">
        <f t="shared" si="236"/>
        <v>1.1279999999999999</v>
      </c>
      <c r="H230" s="146">
        <f>F230*G230</f>
        <v>281399</v>
      </c>
      <c r="I230" s="145">
        <f>Дефляторы!$D$25</f>
        <v>1.052</v>
      </c>
      <c r="J230" s="146">
        <f t="shared" si="233"/>
        <v>296032</v>
      </c>
      <c r="K230" s="146">
        <f t="shared" si="232"/>
        <v>291642</v>
      </c>
      <c r="L230" s="396"/>
      <c r="M230" s="382"/>
      <c r="N230" s="382"/>
    </row>
    <row r="231" spans="1:15" s="383" customFormat="1" ht="31.5" hidden="1" outlineLevel="3" x14ac:dyDescent="0.25">
      <c r="A231" s="363" t="s">
        <v>2533</v>
      </c>
      <c r="B231" s="381" t="s">
        <v>844</v>
      </c>
      <c r="C231" s="381" t="s">
        <v>841</v>
      </c>
      <c r="D231" s="100" t="s">
        <v>300</v>
      </c>
      <c r="E231" s="149">
        <v>895</v>
      </c>
      <c r="F231" s="220">
        <f>9770*(1.023*1.005-2.3%*15%)*6.99</f>
        <v>69977</v>
      </c>
      <c r="G231" s="174">
        <f t="shared" si="236"/>
        <v>1.1279999999999999</v>
      </c>
      <c r="H231" s="146">
        <f>F231*G231</f>
        <v>78934</v>
      </c>
      <c r="I231" s="145">
        <f>Дефляторы!$D$25</f>
        <v>1.052</v>
      </c>
      <c r="J231" s="146">
        <f t="shared" si="233"/>
        <v>83039</v>
      </c>
      <c r="K231" s="146">
        <f t="shared" si="232"/>
        <v>81808</v>
      </c>
      <c r="L231" s="396"/>
      <c r="M231" s="382"/>
      <c r="N231" s="382"/>
    </row>
    <row r="232" spans="1:15" s="378" customFormat="1" ht="47.25" outlineLevel="2" x14ac:dyDescent="0.25">
      <c r="A232" s="132" t="s">
        <v>2032</v>
      </c>
      <c r="B232" s="320" t="s">
        <v>304</v>
      </c>
      <c r="C232" s="320" t="s">
        <v>707</v>
      </c>
      <c r="D232" s="173" t="s">
        <v>408</v>
      </c>
      <c r="E232" s="90">
        <v>1</v>
      </c>
      <c r="F232" s="90">
        <f>105070*(1.023*1.005-2.3%*15%)*6.99</f>
        <v>752554</v>
      </c>
      <c r="G232" s="135">
        <f t="shared" si="236"/>
        <v>1.1279999999999999</v>
      </c>
      <c r="H232" s="136">
        <f>F232*G232</f>
        <v>848881</v>
      </c>
      <c r="I232" s="135">
        <f>Дефляторы!$D$25</f>
        <v>1.052</v>
      </c>
      <c r="J232" s="136">
        <f>H232*I232</f>
        <v>893023</v>
      </c>
      <c r="K232" s="136">
        <f>H232+(J232-H232)*(1-30/100)</f>
        <v>879780</v>
      </c>
      <c r="L232" s="376"/>
      <c r="M232" s="126">
        <v>12794</v>
      </c>
      <c r="N232" s="376"/>
    </row>
    <row r="233" spans="1:15" s="385" customFormat="1" outlineLevel="2" collapsed="1" x14ac:dyDescent="0.25">
      <c r="A233" s="132" t="s">
        <v>2036</v>
      </c>
      <c r="B233" s="320"/>
      <c r="C233" s="133" t="s">
        <v>2527</v>
      </c>
      <c r="D233" s="134" t="s">
        <v>292</v>
      </c>
      <c r="E233" s="90">
        <v>1</v>
      </c>
      <c r="F233" s="90">
        <f>SUM(F234:F235)</f>
        <v>712108</v>
      </c>
      <c r="G233" s="135">
        <f t="shared" si="236"/>
        <v>1.1279999999999999</v>
      </c>
      <c r="H233" s="90">
        <f>SUM(H234:H235)</f>
        <v>803258</v>
      </c>
      <c r="I233" s="135">
        <f>Дефляторы!$D$25</f>
        <v>1.052</v>
      </c>
      <c r="J233" s="90">
        <f>SUM(J234:J235)</f>
        <v>845028</v>
      </c>
      <c r="K233" s="90">
        <f>SUM(K234:K235)</f>
        <v>832497</v>
      </c>
    </row>
    <row r="234" spans="1:15" s="383" customFormat="1" ht="22.5" hidden="1" customHeight="1" outlineLevel="3" x14ac:dyDescent="0.25">
      <c r="A234" s="363" t="s">
        <v>2037</v>
      </c>
      <c r="B234" s="381" t="s">
        <v>307</v>
      </c>
      <c r="C234" s="381" t="s">
        <v>708</v>
      </c>
      <c r="D234" s="100" t="s">
        <v>305</v>
      </c>
      <c r="E234" s="149">
        <v>28</v>
      </c>
      <c r="F234" s="220">
        <f>97608*(1.023*1.005-2.3%*15%)*6.99+0*4.09</f>
        <v>699108</v>
      </c>
      <c r="G234" s="145">
        <f t="shared" si="236"/>
        <v>1.1279999999999999</v>
      </c>
      <c r="H234" s="146">
        <f>F234*G234</f>
        <v>788594</v>
      </c>
      <c r="I234" s="145">
        <f>Дефляторы!$D$25</f>
        <v>1.052</v>
      </c>
      <c r="J234" s="146">
        <f>H234*I234</f>
        <v>829601</v>
      </c>
      <c r="K234" s="146">
        <f>H234+(J234-H234)*(1-30/100)</f>
        <v>817299</v>
      </c>
      <c r="L234" s="410" t="s">
        <v>2405</v>
      </c>
      <c r="M234" s="168">
        <v>823.2</v>
      </c>
      <c r="N234" s="382">
        <f>E234*M234</f>
        <v>23049.599999999999</v>
      </c>
      <c r="O234" s="397">
        <f>(97608-51003)*(1.023*1.005-2.3%*15%)*6.99*1.2</f>
        <v>400565</v>
      </c>
    </row>
    <row r="235" spans="1:15" s="383" customFormat="1" ht="24.75" hidden="1" customHeight="1" outlineLevel="3" x14ac:dyDescent="0.25">
      <c r="A235" s="363" t="s">
        <v>2038</v>
      </c>
      <c r="B235" s="381" t="s">
        <v>311</v>
      </c>
      <c r="C235" s="381" t="s">
        <v>309</v>
      </c>
      <c r="D235" s="100" t="s">
        <v>305</v>
      </c>
      <c r="E235" s="149">
        <v>1</v>
      </c>
      <c r="F235" s="220">
        <f>1815*(1.023*1.005-2.3%*15%)*6.99+0*4.09</f>
        <v>13000</v>
      </c>
      <c r="G235" s="145">
        <f t="shared" si="236"/>
        <v>1.1279999999999999</v>
      </c>
      <c r="H235" s="146">
        <f>F235*G235</f>
        <v>14664</v>
      </c>
      <c r="I235" s="145">
        <f>Дефляторы!$D$25</f>
        <v>1.052</v>
      </c>
      <c r="J235" s="146">
        <f>H235*I235</f>
        <v>15427</v>
      </c>
      <c r="K235" s="146">
        <f>H235+(J235-H235)*(1-30/100)</f>
        <v>15198</v>
      </c>
      <c r="L235" s="411" t="s">
        <v>2406</v>
      </c>
      <c r="M235" s="168">
        <v>475.5</v>
      </c>
      <c r="N235" s="382">
        <f>E235*M235</f>
        <v>475.5</v>
      </c>
      <c r="O235" s="397">
        <f>(1815-1542)*(1.023*1.005-2.3%*15%)*6.99*1.2</f>
        <v>2346</v>
      </c>
    </row>
    <row r="236" spans="1:15" s="358" customFormat="1" ht="31.5" outlineLevel="1" collapsed="1" x14ac:dyDescent="0.25">
      <c r="A236" s="132" t="s">
        <v>452</v>
      </c>
      <c r="B236" s="320" t="s">
        <v>144</v>
      </c>
      <c r="C236" s="320" t="s">
        <v>1786</v>
      </c>
      <c r="D236" s="134" t="s">
        <v>292</v>
      </c>
      <c r="E236" s="90">
        <v>1</v>
      </c>
      <c r="F236" s="90">
        <f>SUM(F237:F247)</f>
        <v>2166987</v>
      </c>
      <c r="G236" s="135">
        <f t="shared" si="236"/>
        <v>1.1279999999999999</v>
      </c>
      <c r="H236" s="90">
        <f>SUM(H237:H247)</f>
        <v>2444361</v>
      </c>
      <c r="I236" s="135">
        <f>Дефляторы!$D$25</f>
        <v>1.052</v>
      </c>
      <c r="J236" s="90">
        <f>SUM(J237:J247)</f>
        <v>2571468</v>
      </c>
      <c r="K236" s="90">
        <f>SUM(K237:K247)</f>
        <v>2533337</v>
      </c>
      <c r="L236" s="407"/>
      <c r="M236" s="389"/>
      <c r="N236" s="389"/>
    </row>
    <row r="237" spans="1:15" s="383" customFormat="1" hidden="1" outlineLevel="2" x14ac:dyDescent="0.25">
      <c r="A237" s="95"/>
      <c r="B237" s="381"/>
      <c r="C237" s="390" t="s">
        <v>367</v>
      </c>
      <c r="D237" s="100"/>
      <c r="E237" s="149"/>
      <c r="F237" s="149"/>
      <c r="G237" s="145"/>
      <c r="H237" s="146"/>
      <c r="I237" s="145"/>
      <c r="J237" s="146"/>
      <c r="K237" s="146"/>
      <c r="L237" s="382"/>
      <c r="M237" s="382"/>
      <c r="N237" s="382"/>
    </row>
    <row r="238" spans="1:15" s="383" customFormat="1" ht="31.5" hidden="1" outlineLevel="2" x14ac:dyDescent="0.25">
      <c r="A238" s="364" t="s">
        <v>453</v>
      </c>
      <c r="B238" s="381" t="s">
        <v>369</v>
      </c>
      <c r="C238" s="381" t="s">
        <v>356</v>
      </c>
      <c r="D238" s="100" t="s">
        <v>300</v>
      </c>
      <c r="E238" s="149">
        <v>332</v>
      </c>
      <c r="F238" s="220">
        <f>65647*(1.023*1.005-2.3%*15%)*6.99-87</f>
        <v>470104</v>
      </c>
      <c r="G238" s="145">
        <f t="shared" ref="G238:G243" si="237">$G$831</f>
        <v>1.1279999999999999</v>
      </c>
      <c r="H238" s="146">
        <f t="shared" ref="H238:H243" si="238">F238*G238</f>
        <v>530277</v>
      </c>
      <c r="I238" s="145">
        <f>Дефляторы!$D$25</f>
        <v>1.052</v>
      </c>
      <c r="J238" s="146">
        <f t="shared" ref="J238:J247" si="239">H238*I238</f>
        <v>557851</v>
      </c>
      <c r="K238" s="146">
        <f t="shared" ref="K238:K247" si="240">H238+(J238-H238)*(1-30/100)</f>
        <v>549579</v>
      </c>
      <c r="L238" s="382"/>
      <c r="M238" s="382"/>
      <c r="N238" s="382"/>
    </row>
    <row r="239" spans="1:15" s="383" customFormat="1" ht="31.5" hidden="1" outlineLevel="2" x14ac:dyDescent="0.25">
      <c r="A239" s="364" t="s">
        <v>456</v>
      </c>
      <c r="B239" s="381" t="s">
        <v>772</v>
      </c>
      <c r="C239" s="381" t="s">
        <v>656</v>
      </c>
      <c r="D239" s="100" t="s">
        <v>300</v>
      </c>
      <c r="E239" s="168">
        <v>232.4</v>
      </c>
      <c r="F239" s="220">
        <f>(5022+2772+405)*(1.023*1.005-2.3%*15%)*6.99</f>
        <v>58725</v>
      </c>
      <c r="G239" s="145">
        <f t="shared" si="237"/>
        <v>1.1279999999999999</v>
      </c>
      <c r="H239" s="146">
        <f t="shared" si="238"/>
        <v>66242</v>
      </c>
      <c r="I239" s="145">
        <f>Дефляторы!$D$25</f>
        <v>1.052</v>
      </c>
      <c r="J239" s="146">
        <f t="shared" si="239"/>
        <v>69687</v>
      </c>
      <c r="K239" s="146">
        <f t="shared" si="240"/>
        <v>68654</v>
      </c>
      <c r="L239" s="382"/>
      <c r="M239" s="382"/>
      <c r="N239" s="382"/>
    </row>
    <row r="240" spans="1:15" s="383" customFormat="1" hidden="1" outlineLevel="2" x14ac:dyDescent="0.25">
      <c r="A240" s="364" t="s">
        <v>470</v>
      </c>
      <c r="B240" s="381" t="s">
        <v>372</v>
      </c>
      <c r="C240" s="381" t="s">
        <v>460</v>
      </c>
      <c r="D240" s="100" t="s">
        <v>300</v>
      </c>
      <c r="E240" s="168">
        <v>99.6</v>
      </c>
      <c r="F240" s="220">
        <f>1669*(1.023*1.005-2.3%*15%)*6.99</f>
        <v>11954</v>
      </c>
      <c r="G240" s="145">
        <f t="shared" si="237"/>
        <v>1.1279999999999999</v>
      </c>
      <c r="H240" s="146">
        <f t="shared" si="238"/>
        <v>13484</v>
      </c>
      <c r="I240" s="145">
        <f>Дефляторы!$D$25</f>
        <v>1.052</v>
      </c>
      <c r="J240" s="146">
        <f t="shared" si="239"/>
        <v>14185</v>
      </c>
      <c r="K240" s="146">
        <f t="shared" si="240"/>
        <v>13975</v>
      </c>
      <c r="L240" s="382"/>
      <c r="M240" s="382"/>
      <c r="N240" s="382"/>
    </row>
    <row r="241" spans="1:14" s="383" customFormat="1" hidden="1" outlineLevel="2" x14ac:dyDescent="0.25">
      <c r="A241" s="364" t="s">
        <v>476</v>
      </c>
      <c r="B241" s="381" t="s">
        <v>375</v>
      </c>
      <c r="C241" s="381" t="s">
        <v>359</v>
      </c>
      <c r="D241" s="100" t="s">
        <v>300</v>
      </c>
      <c r="E241" s="168">
        <v>99.6</v>
      </c>
      <c r="F241" s="220">
        <f>(339+239+1021)*(1.023*1.005-2.3%*15%)*6.99</f>
        <v>11453</v>
      </c>
      <c r="G241" s="145">
        <f t="shared" si="237"/>
        <v>1.1279999999999999</v>
      </c>
      <c r="H241" s="146">
        <f t="shared" si="238"/>
        <v>12919</v>
      </c>
      <c r="I241" s="145">
        <f>Дефляторы!$D$25</f>
        <v>1.052</v>
      </c>
      <c r="J241" s="146">
        <f t="shared" si="239"/>
        <v>13591</v>
      </c>
      <c r="K241" s="146">
        <f t="shared" si="240"/>
        <v>13389</v>
      </c>
      <c r="L241" s="382"/>
      <c r="M241" s="382"/>
      <c r="N241" s="382"/>
    </row>
    <row r="242" spans="1:14" s="383" customFormat="1" ht="31.5" hidden="1" outlineLevel="2" x14ac:dyDescent="0.25">
      <c r="A242" s="364" t="s">
        <v>483</v>
      </c>
      <c r="B242" s="381" t="s">
        <v>774</v>
      </c>
      <c r="C242" s="381" t="s">
        <v>773</v>
      </c>
      <c r="D242" s="100" t="s">
        <v>377</v>
      </c>
      <c r="E242" s="149">
        <v>60</v>
      </c>
      <c r="F242" s="220">
        <f>(60/190*(864+5408+10382)+789)*(1.023*1.005-2.3%*15%)*6.99</f>
        <v>43319</v>
      </c>
      <c r="G242" s="145">
        <f t="shared" si="237"/>
        <v>1.1279999999999999</v>
      </c>
      <c r="H242" s="146">
        <f t="shared" si="238"/>
        <v>48864</v>
      </c>
      <c r="I242" s="145">
        <f>Дефляторы!$D$25</f>
        <v>1.052</v>
      </c>
      <c r="J242" s="146">
        <f t="shared" si="239"/>
        <v>51405</v>
      </c>
      <c r="K242" s="146">
        <f t="shared" si="240"/>
        <v>50643</v>
      </c>
      <c r="L242" s="382"/>
      <c r="M242" s="382"/>
      <c r="N242" s="382"/>
    </row>
    <row r="243" spans="1:14" s="383" customFormat="1" ht="31.5" hidden="1" outlineLevel="2" x14ac:dyDescent="0.25">
      <c r="A243" s="364" t="s">
        <v>484</v>
      </c>
      <c r="B243" s="381" t="s">
        <v>776</v>
      </c>
      <c r="C243" s="381" t="s">
        <v>775</v>
      </c>
      <c r="D243" s="100" t="s">
        <v>377</v>
      </c>
      <c r="E243" s="149">
        <v>130</v>
      </c>
      <c r="F243" s="220">
        <f>(130/190*(864+5408+10382)+6269)*(1.023*1.005-2.3%*15%)*6.99</f>
        <v>126516</v>
      </c>
      <c r="G243" s="145">
        <f t="shared" si="237"/>
        <v>1.1279999999999999</v>
      </c>
      <c r="H243" s="146">
        <f t="shared" si="238"/>
        <v>142710</v>
      </c>
      <c r="I243" s="145">
        <f>Дефляторы!$D$25</f>
        <v>1.052</v>
      </c>
      <c r="J243" s="146">
        <f t="shared" si="239"/>
        <v>150131</v>
      </c>
      <c r="K243" s="146">
        <f t="shared" si="240"/>
        <v>147905</v>
      </c>
      <c r="L243" s="382"/>
      <c r="M243" s="382"/>
      <c r="N243" s="382"/>
    </row>
    <row r="244" spans="1:14" s="383" customFormat="1" hidden="1" outlineLevel="2" x14ac:dyDescent="0.25">
      <c r="A244" s="364"/>
      <c r="B244" s="381"/>
      <c r="C244" s="390" t="s">
        <v>379</v>
      </c>
      <c r="D244" s="100"/>
      <c r="E244" s="149"/>
      <c r="F244" s="220"/>
      <c r="G244" s="145"/>
      <c r="H244" s="146"/>
      <c r="I244" s="145">
        <f>Дефляторы!$D$25</f>
        <v>1.052</v>
      </c>
      <c r="J244" s="146">
        <f t="shared" si="239"/>
        <v>0</v>
      </c>
      <c r="K244" s="146">
        <f t="shared" si="240"/>
        <v>0</v>
      </c>
      <c r="L244" s="382"/>
      <c r="M244" s="382"/>
      <c r="N244" s="382"/>
    </row>
    <row r="245" spans="1:14" s="383" customFormat="1" ht="31.5" hidden="1" outlineLevel="2" x14ac:dyDescent="0.25">
      <c r="A245" s="364" t="s">
        <v>485</v>
      </c>
      <c r="B245" s="381" t="s">
        <v>381</v>
      </c>
      <c r="C245" s="381" t="s">
        <v>778</v>
      </c>
      <c r="D245" s="100" t="s">
        <v>377</v>
      </c>
      <c r="E245" s="149">
        <v>120</v>
      </c>
      <c r="F245" s="220">
        <f>(1923+123008)*(1.023*1.005-2.3%*15%)*6.99</f>
        <v>894807</v>
      </c>
      <c r="G245" s="145">
        <f t="shared" ref="G245:G260" si="241">$G$831</f>
        <v>1.1279999999999999</v>
      </c>
      <c r="H245" s="146">
        <f>F245*G245</f>
        <v>1009342</v>
      </c>
      <c r="I245" s="145">
        <f>Дефляторы!$D$25</f>
        <v>1.052</v>
      </c>
      <c r="J245" s="146">
        <f t="shared" si="239"/>
        <v>1061828</v>
      </c>
      <c r="K245" s="146">
        <f t="shared" si="240"/>
        <v>1046082</v>
      </c>
      <c r="L245" s="382"/>
      <c r="M245" s="382"/>
      <c r="N245" s="382"/>
    </row>
    <row r="246" spans="1:14" s="383" customFormat="1" ht="31.5" hidden="1" outlineLevel="2" x14ac:dyDescent="0.25">
      <c r="A246" s="364" t="s">
        <v>2366</v>
      </c>
      <c r="B246" s="381" t="s">
        <v>383</v>
      </c>
      <c r="C246" s="381" t="s">
        <v>777</v>
      </c>
      <c r="D246" s="100" t="s">
        <v>377</v>
      </c>
      <c r="E246" s="149">
        <v>120</v>
      </c>
      <c r="F246" s="220">
        <f>(1239+35765)*(1.023*1.005-2.3%*15%)*6.99</f>
        <v>265038</v>
      </c>
      <c r="G246" s="145">
        <f t="shared" si="241"/>
        <v>1.1279999999999999</v>
      </c>
      <c r="H246" s="146">
        <f>F246*G246</f>
        <v>298963</v>
      </c>
      <c r="I246" s="145">
        <f>Дефляторы!$D$25</f>
        <v>1.052</v>
      </c>
      <c r="J246" s="146">
        <f t="shared" si="239"/>
        <v>314509</v>
      </c>
      <c r="K246" s="146">
        <f t="shared" si="240"/>
        <v>309845</v>
      </c>
      <c r="L246" s="382"/>
      <c r="M246" s="382"/>
      <c r="N246" s="382"/>
    </row>
    <row r="247" spans="1:14" s="383" customFormat="1" ht="31.5" hidden="1" outlineLevel="2" x14ac:dyDescent="0.25">
      <c r="A247" s="364" t="s">
        <v>2367</v>
      </c>
      <c r="B247" s="381" t="s">
        <v>385</v>
      </c>
      <c r="C247" s="381" t="s">
        <v>386</v>
      </c>
      <c r="D247" s="100" t="s">
        <v>377</v>
      </c>
      <c r="E247" s="149">
        <v>830</v>
      </c>
      <c r="F247" s="220">
        <f>(13357+26444)*(1.023*1.005-2.3%*15%)*6.99</f>
        <v>285071</v>
      </c>
      <c r="G247" s="145">
        <f t="shared" si="241"/>
        <v>1.1279999999999999</v>
      </c>
      <c r="H247" s="146">
        <f>F247*G247</f>
        <v>321560</v>
      </c>
      <c r="I247" s="145">
        <f>Дефляторы!$D$25</f>
        <v>1.052</v>
      </c>
      <c r="J247" s="146">
        <f t="shared" si="239"/>
        <v>338281</v>
      </c>
      <c r="K247" s="146">
        <f t="shared" si="240"/>
        <v>333265</v>
      </c>
      <c r="L247" s="382"/>
      <c r="M247" s="382"/>
      <c r="N247" s="382"/>
    </row>
    <row r="248" spans="1:14" s="385" customFormat="1" outlineLevel="1" collapsed="1" x14ac:dyDescent="0.25">
      <c r="A248" s="132" t="s">
        <v>490</v>
      </c>
      <c r="B248" s="320" t="s">
        <v>152</v>
      </c>
      <c r="C248" s="133" t="s">
        <v>599</v>
      </c>
      <c r="D248" s="134" t="s">
        <v>292</v>
      </c>
      <c r="E248" s="90">
        <v>1</v>
      </c>
      <c r="F248" s="90">
        <f>SUM(F249:F257)</f>
        <v>5350166</v>
      </c>
      <c r="G248" s="135">
        <f t="shared" si="241"/>
        <v>1.1279999999999999</v>
      </c>
      <c r="H248" s="90">
        <f>SUM(H249:H257)</f>
        <v>6034988</v>
      </c>
      <c r="I248" s="135">
        <f>Дефляторы!$D$25</f>
        <v>1.052</v>
      </c>
      <c r="J248" s="90">
        <f>SUM(J249:J257)</f>
        <v>6348808</v>
      </c>
      <c r="K248" s="90">
        <f>SUM(K249:K257)</f>
        <v>6254664</v>
      </c>
    </row>
    <row r="249" spans="1:14" s="383" customFormat="1" hidden="1" outlineLevel="2" x14ac:dyDescent="0.25">
      <c r="A249" s="363" t="s">
        <v>491</v>
      </c>
      <c r="B249" s="381" t="s">
        <v>799</v>
      </c>
      <c r="C249" s="381" t="s">
        <v>1830</v>
      </c>
      <c r="D249" s="100" t="s">
        <v>292</v>
      </c>
      <c r="E249" s="149">
        <v>1</v>
      </c>
      <c r="F249" s="220">
        <f>12743*(1.023*1.005-2.3%*15%)*6.99+435177*4.09+67</f>
        <v>1871211</v>
      </c>
      <c r="G249" s="145">
        <f t="shared" si="241"/>
        <v>1.1279999999999999</v>
      </c>
      <c r="H249" s="146">
        <f t="shared" ref="H249:H250" si="242">F249*G249</f>
        <v>2110726</v>
      </c>
      <c r="I249" s="145">
        <f>Дефляторы!$D$25</f>
        <v>1.052</v>
      </c>
      <c r="J249" s="146">
        <f>H249*I249</f>
        <v>2220484</v>
      </c>
      <c r="K249" s="146">
        <f>H249+(J249-H249)*(1-30/100)</f>
        <v>2187557</v>
      </c>
      <c r="L249" s="382"/>
      <c r="M249" s="382"/>
      <c r="N249" s="382"/>
    </row>
    <row r="250" spans="1:14" s="383" customFormat="1" hidden="1" outlineLevel="2" x14ac:dyDescent="0.25">
      <c r="A250" s="363" t="s">
        <v>495</v>
      </c>
      <c r="B250" s="381" t="s">
        <v>800</v>
      </c>
      <c r="C250" s="381" t="s">
        <v>1831</v>
      </c>
      <c r="D250" s="100" t="s">
        <v>292</v>
      </c>
      <c r="E250" s="149">
        <v>1</v>
      </c>
      <c r="F250" s="220">
        <f>1949*(1.023*1.005-2.3%*15%)*6.99+2938*4.09</f>
        <v>25976</v>
      </c>
      <c r="G250" s="145">
        <f t="shared" si="241"/>
        <v>1.1279999999999999</v>
      </c>
      <c r="H250" s="146">
        <f t="shared" si="242"/>
        <v>29301</v>
      </c>
      <c r="I250" s="145">
        <f>Дефляторы!$D$25</f>
        <v>1.052</v>
      </c>
      <c r="J250" s="146">
        <f>H250*I250</f>
        <v>30825</v>
      </c>
      <c r="K250" s="146">
        <f>H250+(J250-H250)*(1-30/100)</f>
        <v>30368</v>
      </c>
      <c r="L250" s="382"/>
      <c r="M250" s="382"/>
      <c r="N250" s="382"/>
    </row>
    <row r="251" spans="1:14" s="383" customFormat="1" hidden="1" outlineLevel="2" x14ac:dyDescent="0.25">
      <c r="A251" s="363" t="s">
        <v>586</v>
      </c>
      <c r="B251" s="381" t="s">
        <v>801</v>
      </c>
      <c r="C251" s="381" t="s">
        <v>1827</v>
      </c>
      <c r="D251" s="100" t="s">
        <v>292</v>
      </c>
      <c r="E251" s="149">
        <v>1</v>
      </c>
      <c r="F251" s="220">
        <f>14098*(1.023*1.005-2.3%*15%)*6.99+142193*4.09</f>
        <v>682545</v>
      </c>
      <c r="G251" s="145">
        <f t="shared" si="241"/>
        <v>1.1279999999999999</v>
      </c>
      <c r="H251" s="146">
        <f>F251*G251</f>
        <v>769911</v>
      </c>
      <c r="I251" s="145">
        <f>Дефляторы!$D$25</f>
        <v>1.052</v>
      </c>
      <c r="J251" s="146">
        <f>H251*I251</f>
        <v>809946</v>
      </c>
      <c r="K251" s="146">
        <f>H251+(J251-H251)*(1-30/100)</f>
        <v>797936</v>
      </c>
      <c r="L251" s="382"/>
      <c r="M251" s="382"/>
      <c r="N251" s="382"/>
    </row>
    <row r="252" spans="1:14" s="383" customFormat="1" hidden="1" outlineLevel="2" x14ac:dyDescent="0.25">
      <c r="A252" s="363" t="s">
        <v>588</v>
      </c>
      <c r="B252" s="381" t="s">
        <v>802</v>
      </c>
      <c r="C252" s="381" t="s">
        <v>1828</v>
      </c>
      <c r="D252" s="100" t="s">
        <v>292</v>
      </c>
      <c r="E252" s="149">
        <v>1</v>
      </c>
      <c r="F252" s="220">
        <f>2216*(1.023*1.005-2.3%*15%)*6.99+3400*4.09</f>
        <v>29778</v>
      </c>
      <c r="G252" s="145">
        <f t="shared" si="241"/>
        <v>1.1279999999999999</v>
      </c>
      <c r="H252" s="146">
        <f>F252*G252</f>
        <v>33590</v>
      </c>
      <c r="I252" s="145">
        <f>Дефляторы!$D$25</f>
        <v>1.052</v>
      </c>
      <c r="J252" s="146">
        <f>H252*I252</f>
        <v>35337</v>
      </c>
      <c r="K252" s="146">
        <f>H252+(J252-H252)*(1-30/100)</f>
        <v>34813</v>
      </c>
      <c r="L252" s="382"/>
      <c r="M252" s="382"/>
      <c r="N252" s="382"/>
    </row>
    <row r="253" spans="1:14" s="383" customFormat="1" ht="31.5" hidden="1" outlineLevel="2" x14ac:dyDescent="0.25">
      <c r="A253" s="363" t="s">
        <v>590</v>
      </c>
      <c r="B253" s="381" t="s">
        <v>804</v>
      </c>
      <c r="C253" s="381" t="s">
        <v>1833</v>
      </c>
      <c r="D253" s="100" t="s">
        <v>292</v>
      </c>
      <c r="E253" s="149">
        <v>1</v>
      </c>
      <c r="F253" s="220">
        <f>19076*(1.023*1.005-2.3%*15%)*6.99+162324*4.09</f>
        <v>800535</v>
      </c>
      <c r="G253" s="145">
        <f t="shared" si="241"/>
        <v>1.1279999999999999</v>
      </c>
      <c r="H253" s="146">
        <f t="shared" ref="H253" si="243">F253*G253</f>
        <v>903003</v>
      </c>
      <c r="I253" s="145">
        <f>Дефляторы!$D$25</f>
        <v>1.052</v>
      </c>
      <c r="J253" s="146">
        <f t="shared" ref="J253" si="244">H253*I253</f>
        <v>949959</v>
      </c>
      <c r="K253" s="146">
        <f t="shared" ref="K253" si="245">H253+(J253-H253)*(1-30/100)</f>
        <v>935872</v>
      </c>
      <c r="L253" s="396"/>
      <c r="M253" s="382"/>
      <c r="N253" s="382"/>
    </row>
    <row r="254" spans="1:14" s="383" customFormat="1" hidden="1" outlineLevel="2" x14ac:dyDescent="0.25">
      <c r="A254" s="363" t="s">
        <v>593</v>
      </c>
      <c r="B254" s="381" t="s">
        <v>805</v>
      </c>
      <c r="C254" s="381" t="s">
        <v>1834</v>
      </c>
      <c r="D254" s="100" t="s">
        <v>292</v>
      </c>
      <c r="E254" s="149">
        <v>1</v>
      </c>
      <c r="F254" s="220">
        <f>3005*(1.023*1.005-2.3%*15%)*6.99+3644*4.09</f>
        <v>36427</v>
      </c>
      <c r="G254" s="145">
        <f t="shared" si="241"/>
        <v>1.1279999999999999</v>
      </c>
      <c r="H254" s="146">
        <f t="shared" ref="H254" si="246">F254*G254</f>
        <v>41090</v>
      </c>
      <c r="I254" s="145">
        <f>Дефляторы!$D$25</f>
        <v>1.052</v>
      </c>
      <c r="J254" s="146">
        <f t="shared" ref="J254" si="247">H254*I254</f>
        <v>43227</v>
      </c>
      <c r="K254" s="146">
        <f t="shared" ref="K254" si="248">H254+(J254-H254)*(1-30/100)</f>
        <v>42586</v>
      </c>
      <c r="L254" s="396"/>
      <c r="M254" s="382"/>
      <c r="N254" s="382"/>
    </row>
    <row r="255" spans="1:14" s="383" customFormat="1" hidden="1" outlineLevel="2" x14ac:dyDescent="0.25">
      <c r="A255" s="363" t="s">
        <v>595</v>
      </c>
      <c r="B255" s="381" t="s">
        <v>807</v>
      </c>
      <c r="C255" s="381" t="s">
        <v>806</v>
      </c>
      <c r="D255" s="100" t="s">
        <v>292</v>
      </c>
      <c r="E255" s="149">
        <v>1</v>
      </c>
      <c r="F255" s="220">
        <f>129307*(1.023*1.005-2.3%*15%)*6.99+226856*4.09</f>
        <v>1853991</v>
      </c>
      <c r="G255" s="145">
        <f t="shared" si="241"/>
        <v>1.1279999999999999</v>
      </c>
      <c r="H255" s="146">
        <f t="shared" ref="H255" si="249">F255*G255</f>
        <v>2091302</v>
      </c>
      <c r="I255" s="145">
        <f>Дефляторы!$D$25</f>
        <v>1.052</v>
      </c>
      <c r="J255" s="146">
        <f t="shared" ref="J255" si="250">H255*I255</f>
        <v>2200050</v>
      </c>
      <c r="K255" s="146">
        <f t="shared" ref="K255" si="251">H255+(J255-H255)*(1-30/100)</f>
        <v>2167426</v>
      </c>
      <c r="L255" s="396"/>
      <c r="M255" s="382"/>
      <c r="N255" s="382"/>
    </row>
    <row r="256" spans="1:14" s="383" customFormat="1" hidden="1" outlineLevel="2" x14ac:dyDescent="0.25">
      <c r="A256" s="363" t="s">
        <v>597</v>
      </c>
      <c r="B256" s="381" t="s">
        <v>809</v>
      </c>
      <c r="C256" s="381" t="s">
        <v>1832</v>
      </c>
      <c r="D256" s="100" t="s">
        <v>292</v>
      </c>
      <c r="E256" s="149">
        <v>1</v>
      </c>
      <c r="F256" s="220">
        <f>1603*(1.023*1.005-2.3%*15%)*6.99+2312*4.09</f>
        <v>20937</v>
      </c>
      <c r="G256" s="145">
        <f t="shared" si="241"/>
        <v>1.1279999999999999</v>
      </c>
      <c r="H256" s="146">
        <f t="shared" ref="H256" si="252">F256*G256</f>
        <v>23617</v>
      </c>
      <c r="I256" s="145">
        <f>Дефляторы!$D$25</f>
        <v>1.052</v>
      </c>
      <c r="J256" s="146">
        <f>H256*I256</f>
        <v>24845</v>
      </c>
      <c r="K256" s="146">
        <f t="shared" ref="K256" si="253">H256+(J256-H256)*(1-30/100)</f>
        <v>24477</v>
      </c>
      <c r="L256" s="382"/>
      <c r="M256" s="382"/>
      <c r="N256" s="382"/>
    </row>
    <row r="257" spans="1:14" s="383" customFormat="1" hidden="1" outlineLevel="2" x14ac:dyDescent="0.25">
      <c r="A257" s="363" t="s">
        <v>600</v>
      </c>
      <c r="B257" s="381" t="s">
        <v>810</v>
      </c>
      <c r="C257" s="381" t="s">
        <v>1829</v>
      </c>
      <c r="D257" s="100" t="s">
        <v>292</v>
      </c>
      <c r="E257" s="149">
        <v>1</v>
      </c>
      <c r="F257" s="220">
        <f>2696*(1.023*1.005-2.3%*15%)*6.99+2312*4.09</f>
        <v>28766</v>
      </c>
      <c r="G257" s="145">
        <f t="shared" si="241"/>
        <v>1.1279999999999999</v>
      </c>
      <c r="H257" s="146">
        <f t="shared" ref="H257" si="254">F257*G257</f>
        <v>32448</v>
      </c>
      <c r="I257" s="145">
        <f>Дефляторы!$D$25</f>
        <v>1.052</v>
      </c>
      <c r="J257" s="146">
        <f t="shared" ref="J257" si="255">H257*I257</f>
        <v>34135</v>
      </c>
      <c r="K257" s="146">
        <f t="shared" ref="K257" si="256">H257+(J257-H257)*(1-30/100)</f>
        <v>33629</v>
      </c>
      <c r="L257" s="382"/>
      <c r="M257" s="382"/>
      <c r="N257" s="382"/>
    </row>
    <row r="258" spans="1:14" s="383" customFormat="1" ht="31.5" outlineLevel="1" x14ac:dyDescent="0.25">
      <c r="A258" s="132" t="s">
        <v>497</v>
      </c>
      <c r="B258" s="320" t="s">
        <v>156</v>
      </c>
      <c r="C258" s="320" t="s">
        <v>1844</v>
      </c>
      <c r="D258" s="134" t="s">
        <v>292</v>
      </c>
      <c r="E258" s="90">
        <v>1</v>
      </c>
      <c r="F258" s="90">
        <f>8732*(1.023*1.005-2.3%*15%)*6.99-14</f>
        <v>62528</v>
      </c>
      <c r="G258" s="135">
        <f t="shared" si="241"/>
        <v>1.1279999999999999</v>
      </c>
      <c r="H258" s="136">
        <f t="shared" ref="H258" si="257">F258*G258</f>
        <v>70532</v>
      </c>
      <c r="I258" s="135">
        <f>Дефляторы!$D$25</f>
        <v>1.052</v>
      </c>
      <c r="J258" s="136">
        <f t="shared" ref="J258" si="258">H258*I258</f>
        <v>74200</v>
      </c>
      <c r="K258" s="136">
        <f t="shared" ref="K258" si="259">H258+(J258-H258)*(1-30/100)</f>
        <v>73100</v>
      </c>
      <c r="L258" s="396"/>
      <c r="M258" s="382"/>
      <c r="N258" s="382"/>
    </row>
    <row r="259" spans="1:14" s="444" customFormat="1" outlineLevel="1" x14ac:dyDescent="0.25">
      <c r="A259" s="179" t="s">
        <v>504</v>
      </c>
      <c r="B259" s="422"/>
      <c r="C259" s="435" t="s">
        <v>2368</v>
      </c>
      <c r="D259" s="125" t="s">
        <v>292</v>
      </c>
      <c r="E259" s="126">
        <v>1</v>
      </c>
      <c r="F259" s="126">
        <f>F260+F283+F304+F320+F337+F377+F428+F462+F463</f>
        <v>207095621</v>
      </c>
      <c r="G259" s="127">
        <f t="shared" si="241"/>
        <v>1.1279999999999999</v>
      </c>
      <c r="H259" s="126">
        <f>H260+H283+H304+H320+H337+H377+H428+H462+H463</f>
        <v>233603858</v>
      </c>
      <c r="I259" s="127">
        <f>Дефляторы!$D$25</f>
        <v>1.052</v>
      </c>
      <c r="J259" s="126">
        <f>J260+J283+J304+J320+J337+J377+J428+J462+J463</f>
        <v>245751260</v>
      </c>
      <c r="K259" s="126">
        <f>K260+K283+K304+K320+K337+K377+K428+K462+K463</f>
        <v>242107047</v>
      </c>
    </row>
    <row r="260" spans="1:14" s="385" customFormat="1" outlineLevel="2" collapsed="1" x14ac:dyDescent="0.25">
      <c r="A260" s="132" t="s">
        <v>505</v>
      </c>
      <c r="B260" s="320"/>
      <c r="C260" s="133" t="s">
        <v>2369</v>
      </c>
      <c r="D260" s="134" t="s">
        <v>292</v>
      </c>
      <c r="E260" s="90">
        <v>1</v>
      </c>
      <c r="F260" s="90">
        <f>SUM(F261:F281)</f>
        <v>1523662</v>
      </c>
      <c r="G260" s="135">
        <f t="shared" si="241"/>
        <v>1.1279999999999999</v>
      </c>
      <c r="H260" s="90">
        <f>SUM(H261:H281)</f>
        <v>1718691</v>
      </c>
      <c r="I260" s="135">
        <f>Дефляторы!$D$25</f>
        <v>1.052</v>
      </c>
      <c r="J260" s="90">
        <f>SUM(J261:J281)</f>
        <v>1808065</v>
      </c>
      <c r="K260" s="90">
        <f>SUM(K261:K281)</f>
        <v>1781254</v>
      </c>
    </row>
    <row r="261" spans="1:14" s="383" customFormat="1" ht="47.25" hidden="1" outlineLevel="3" x14ac:dyDescent="0.25">
      <c r="A261" s="363"/>
      <c r="B261" s="381"/>
      <c r="C261" s="381" t="s">
        <v>1650</v>
      </c>
      <c r="D261" s="100"/>
      <c r="E261" s="100"/>
      <c r="F261" s="149"/>
      <c r="G261" s="145"/>
      <c r="H261" s="146"/>
      <c r="I261" s="145">
        <f>Дефляторы!$D$25</f>
        <v>1.052</v>
      </c>
      <c r="J261" s="146"/>
      <c r="K261" s="146"/>
      <c r="L261" s="382"/>
      <c r="M261" s="382"/>
      <c r="N261" s="382"/>
    </row>
    <row r="262" spans="1:14" s="383" customFormat="1" hidden="1" outlineLevel="3" x14ac:dyDescent="0.25">
      <c r="A262" s="363"/>
      <c r="B262" s="381"/>
      <c r="C262" s="381" t="s">
        <v>1651</v>
      </c>
      <c r="D262" s="100"/>
      <c r="E262" s="100"/>
      <c r="F262" s="149"/>
      <c r="G262" s="145"/>
      <c r="H262" s="146"/>
      <c r="I262" s="145">
        <f>Дефляторы!$D$25</f>
        <v>1.052</v>
      </c>
      <c r="J262" s="146"/>
      <c r="K262" s="146"/>
      <c r="L262" s="382"/>
      <c r="M262" s="382"/>
      <c r="N262" s="382"/>
    </row>
    <row r="263" spans="1:14" s="383" customFormat="1" ht="31.5" hidden="1" outlineLevel="3" x14ac:dyDescent="0.25">
      <c r="A263" s="363" t="s">
        <v>2085</v>
      </c>
      <c r="B263" s="381" t="s">
        <v>1652</v>
      </c>
      <c r="C263" s="381" t="s">
        <v>356</v>
      </c>
      <c r="D263" s="100" t="s">
        <v>300</v>
      </c>
      <c r="E263" s="100">
        <f>157</f>
        <v>157</v>
      </c>
      <c r="F263" s="220">
        <f>(31307)*(1.023*1.005-2.3%*15%)*6.99+0*4.09</f>
        <v>224234</v>
      </c>
      <c r="G263" s="145">
        <f>$G$831</f>
        <v>1.1279999999999999</v>
      </c>
      <c r="H263" s="146">
        <f t="shared" ref="H263" si="260">F263*G263</f>
        <v>252936</v>
      </c>
      <c r="I263" s="145">
        <f>Дефляторы!$D$25</f>
        <v>1.052</v>
      </c>
      <c r="J263" s="146">
        <f t="shared" ref="J263" si="261">H263*I263</f>
        <v>266089</v>
      </c>
      <c r="K263" s="146">
        <f t="shared" ref="K263" si="262">H263+(J263-H263)*(1-30/100)</f>
        <v>262143</v>
      </c>
      <c r="L263" s="382"/>
      <c r="M263" s="382"/>
      <c r="N263" s="382"/>
    </row>
    <row r="264" spans="1:14" s="383" customFormat="1" hidden="1" outlineLevel="3" x14ac:dyDescent="0.25">
      <c r="A264" s="363" t="s">
        <v>2086</v>
      </c>
      <c r="B264" s="381" t="s">
        <v>1653</v>
      </c>
      <c r="C264" s="381" t="s">
        <v>1625</v>
      </c>
      <c r="D264" s="100" t="s">
        <v>300</v>
      </c>
      <c r="E264" s="100">
        <f>157</f>
        <v>157</v>
      </c>
      <c r="F264" s="220">
        <f>(2663)*(1.023*1.005-2.3%*15%)*6.99+0*4.09</f>
        <v>19073</v>
      </c>
      <c r="G264" s="145">
        <f>$G$831</f>
        <v>1.1279999999999999</v>
      </c>
      <c r="H264" s="146">
        <f t="shared" ref="H264" si="263">F264*G264</f>
        <v>21514</v>
      </c>
      <c r="I264" s="145">
        <f>Дефляторы!$D$25</f>
        <v>1.052</v>
      </c>
      <c r="J264" s="146">
        <f t="shared" ref="J264" si="264">H264*I264</f>
        <v>22633</v>
      </c>
      <c r="K264" s="146">
        <f t="shared" ref="K264" si="265">H264+(J264-H264)*(1-30/100)</f>
        <v>22297</v>
      </c>
      <c r="L264" s="382"/>
      <c r="M264" s="382"/>
      <c r="N264" s="382"/>
    </row>
    <row r="265" spans="1:14" s="383" customFormat="1" ht="47.25" hidden="1" outlineLevel="3" x14ac:dyDescent="0.25">
      <c r="A265" s="363" t="s">
        <v>2087</v>
      </c>
      <c r="B265" s="381" t="s">
        <v>1654</v>
      </c>
      <c r="C265" s="381" t="s">
        <v>1627</v>
      </c>
      <c r="D265" s="100" t="s">
        <v>300</v>
      </c>
      <c r="E265" s="100">
        <v>39</v>
      </c>
      <c r="F265" s="220">
        <f>(1318)*(1.023*1.005-2.3%*15%)*6.99+0*4.09</f>
        <v>9440</v>
      </c>
      <c r="G265" s="145">
        <f>$G$831</f>
        <v>1.1279999999999999</v>
      </c>
      <c r="H265" s="146">
        <f t="shared" ref="H265" si="266">F265*G265</f>
        <v>10648</v>
      </c>
      <c r="I265" s="145">
        <f>Дефляторы!$D$25</f>
        <v>1.052</v>
      </c>
      <c r="J265" s="146">
        <f t="shared" ref="J265" si="267">H265*I265</f>
        <v>11202</v>
      </c>
      <c r="K265" s="146">
        <f t="shared" ref="K265" si="268">H265+(J265-H265)*(1-30/100)</f>
        <v>11036</v>
      </c>
      <c r="L265" s="382" t="s">
        <v>1645</v>
      </c>
      <c r="M265" s="382"/>
      <c r="N265" s="382"/>
    </row>
    <row r="266" spans="1:14" s="383" customFormat="1" ht="31.5" hidden="1" outlineLevel="3" x14ac:dyDescent="0.25">
      <c r="A266" s="363" t="s">
        <v>2088</v>
      </c>
      <c r="B266" s="381" t="s">
        <v>1655</v>
      </c>
      <c r="C266" s="381" t="s">
        <v>1051</v>
      </c>
      <c r="D266" s="100" t="s">
        <v>300</v>
      </c>
      <c r="E266" s="100">
        <v>118</v>
      </c>
      <c r="F266" s="220">
        <f>(1519)*(1.023*1.005-2.3%*15%)*6.99+0*4.09</f>
        <v>10880</v>
      </c>
      <c r="G266" s="145">
        <f>$G$831</f>
        <v>1.1279999999999999</v>
      </c>
      <c r="H266" s="146">
        <f t="shared" ref="H266" si="269">F266*G266</f>
        <v>12273</v>
      </c>
      <c r="I266" s="145">
        <f>Дефляторы!$D$25</f>
        <v>1.052</v>
      </c>
      <c r="J266" s="146">
        <f t="shared" ref="J266" si="270">H266*I266</f>
        <v>12911</v>
      </c>
      <c r="K266" s="146">
        <f t="shared" ref="K266" si="271">H266+(J266-H266)*(1-30/100)</f>
        <v>12720</v>
      </c>
      <c r="L266" s="382"/>
      <c r="M266" s="382"/>
      <c r="N266" s="382"/>
    </row>
    <row r="267" spans="1:14" s="383" customFormat="1" hidden="1" outlineLevel="3" x14ac:dyDescent="0.25">
      <c r="A267" s="363"/>
      <c r="B267" s="381"/>
      <c r="C267" s="381" t="s">
        <v>1656</v>
      </c>
      <c r="D267" s="100"/>
      <c r="E267" s="100"/>
      <c r="F267" s="149"/>
      <c r="G267" s="145"/>
      <c r="H267" s="146"/>
      <c r="I267" s="145">
        <f>Дефляторы!$D$25</f>
        <v>1.052</v>
      </c>
      <c r="J267" s="146"/>
      <c r="K267" s="146"/>
      <c r="L267" s="382"/>
      <c r="M267" s="382"/>
      <c r="N267" s="382"/>
    </row>
    <row r="268" spans="1:14" s="383" customFormat="1" ht="31.5" hidden="1" outlineLevel="3" x14ac:dyDescent="0.25">
      <c r="A268" s="363" t="s">
        <v>2089</v>
      </c>
      <c r="B268" s="381" t="s">
        <v>1657</v>
      </c>
      <c r="C268" s="381" t="s">
        <v>356</v>
      </c>
      <c r="D268" s="100" t="s">
        <v>300</v>
      </c>
      <c r="E268" s="100">
        <f>18</f>
        <v>18</v>
      </c>
      <c r="F268" s="220">
        <f>(3589)*(1.023*1.005-2.3%*15%)*6.99+0*4.09</f>
        <v>25706</v>
      </c>
      <c r="G268" s="145">
        <f t="shared" ref="G268:G275" si="272">$G$831</f>
        <v>1.1279999999999999</v>
      </c>
      <c r="H268" s="146">
        <f t="shared" ref="H268" si="273">F268*G268</f>
        <v>28996</v>
      </c>
      <c r="I268" s="145">
        <f>Дефляторы!$D$25</f>
        <v>1.052</v>
      </c>
      <c r="J268" s="146">
        <f t="shared" ref="J268" si="274">H268*I268</f>
        <v>30504</v>
      </c>
      <c r="K268" s="146">
        <f t="shared" ref="K268" si="275">H268+(J268-H268)*(1-30/100)</f>
        <v>30052</v>
      </c>
      <c r="L268" s="382"/>
      <c r="M268" s="382"/>
      <c r="N268" s="382"/>
    </row>
    <row r="269" spans="1:14" s="383" customFormat="1" hidden="1" outlineLevel="3" x14ac:dyDescent="0.25">
      <c r="A269" s="363" t="s">
        <v>2090</v>
      </c>
      <c r="B269" s="381" t="s">
        <v>1658</v>
      </c>
      <c r="C269" s="381" t="s">
        <v>1625</v>
      </c>
      <c r="D269" s="100" t="s">
        <v>300</v>
      </c>
      <c r="E269" s="100">
        <v>18</v>
      </c>
      <c r="F269" s="220">
        <f>(306)*(1.023*1.005-2.3%*15%)*6.99+0*4.09</f>
        <v>2192</v>
      </c>
      <c r="G269" s="145">
        <f t="shared" si="272"/>
        <v>1.1279999999999999</v>
      </c>
      <c r="H269" s="146">
        <f t="shared" ref="H269" si="276">F269*G269</f>
        <v>2473</v>
      </c>
      <c r="I269" s="145">
        <f>Дефляторы!$D$25</f>
        <v>1.052</v>
      </c>
      <c r="J269" s="146">
        <f t="shared" ref="J269" si="277">H269*I269</f>
        <v>2602</v>
      </c>
      <c r="K269" s="146">
        <f t="shared" ref="K269" si="278">H269+(J269-H269)*(1-30/100)</f>
        <v>2563</v>
      </c>
      <c r="L269" s="382"/>
      <c r="M269" s="382"/>
      <c r="N269" s="382"/>
    </row>
    <row r="270" spans="1:14" s="383" customFormat="1" ht="47.25" hidden="1" outlineLevel="3" x14ac:dyDescent="0.25">
      <c r="A270" s="363" t="s">
        <v>2091</v>
      </c>
      <c r="B270" s="381" t="s">
        <v>1659</v>
      </c>
      <c r="C270" s="381" t="s">
        <v>1627</v>
      </c>
      <c r="D270" s="100" t="s">
        <v>300</v>
      </c>
      <c r="E270" s="100">
        <v>12</v>
      </c>
      <c r="F270" s="220">
        <f>(406)*(1.023*1.005-2.3%*15%)*6.99+0*4.09</f>
        <v>2908</v>
      </c>
      <c r="G270" s="145">
        <f t="shared" si="272"/>
        <v>1.1279999999999999</v>
      </c>
      <c r="H270" s="146">
        <f t="shared" ref="H270" si="279">F270*G270</f>
        <v>3280</v>
      </c>
      <c r="I270" s="145">
        <f>Дефляторы!$D$25</f>
        <v>1.052</v>
      </c>
      <c r="J270" s="146">
        <f t="shared" ref="J270" si="280">H270*I270</f>
        <v>3451</v>
      </c>
      <c r="K270" s="146">
        <f t="shared" ref="K270" si="281">H270+(J270-H270)*(1-30/100)</f>
        <v>3400</v>
      </c>
      <c r="L270" s="382" t="s">
        <v>1645</v>
      </c>
      <c r="M270" s="382"/>
      <c r="N270" s="382"/>
    </row>
    <row r="271" spans="1:14" s="383" customFormat="1" ht="31.5" hidden="1" outlineLevel="3" x14ac:dyDescent="0.25">
      <c r="A271" s="363" t="s">
        <v>2092</v>
      </c>
      <c r="B271" s="381" t="s">
        <v>1660</v>
      </c>
      <c r="C271" s="381" t="s">
        <v>1051</v>
      </c>
      <c r="D271" s="100" t="s">
        <v>300</v>
      </c>
      <c r="E271" s="100">
        <v>6</v>
      </c>
      <c r="F271" s="220">
        <f>(77)*(1.023*1.005-2.3%*15%)*6.99+0*4.09</f>
        <v>552</v>
      </c>
      <c r="G271" s="145">
        <f t="shared" si="272"/>
        <v>1.1279999999999999</v>
      </c>
      <c r="H271" s="146">
        <f t="shared" ref="H271" si="282">F271*G271</f>
        <v>623</v>
      </c>
      <c r="I271" s="145">
        <f>Дефляторы!$D$25</f>
        <v>1.052</v>
      </c>
      <c r="J271" s="146">
        <f t="shared" ref="J271" si="283">H271*I271</f>
        <v>655</v>
      </c>
      <c r="K271" s="146">
        <f t="shared" ref="K271" si="284">H271+(J271-H271)*(1-30/100)</f>
        <v>645</v>
      </c>
      <c r="L271" s="382"/>
      <c r="M271" s="382"/>
      <c r="N271" s="382"/>
    </row>
    <row r="272" spans="1:14" s="383" customFormat="1" hidden="1" outlineLevel="3" x14ac:dyDescent="0.25">
      <c r="A272" s="363" t="s">
        <v>2093</v>
      </c>
      <c r="B272" s="381" t="s">
        <v>1661</v>
      </c>
      <c r="C272" s="381" t="s">
        <v>1630</v>
      </c>
      <c r="D272" s="100" t="s">
        <v>300</v>
      </c>
      <c r="E272" s="100">
        <f>4.8</f>
        <v>4.8</v>
      </c>
      <c r="F272" s="220">
        <f>(20991)*(1.023*1.005-2.3%*15%)*6.99+0*4.09</f>
        <v>150346</v>
      </c>
      <c r="G272" s="145">
        <f t="shared" si="272"/>
        <v>1.1279999999999999</v>
      </c>
      <c r="H272" s="146">
        <f t="shared" ref="H272" si="285">F272*G272</f>
        <v>169590</v>
      </c>
      <c r="I272" s="145">
        <f>Дефляторы!$D$25</f>
        <v>1.052</v>
      </c>
      <c r="J272" s="146">
        <f t="shared" ref="J272" si="286">H272*I272</f>
        <v>178409</v>
      </c>
      <c r="K272" s="146">
        <f t="shared" ref="K272" si="287">H272+(J272-H272)*(1-30/100)</f>
        <v>175763</v>
      </c>
      <c r="L272" s="382"/>
      <c r="M272" s="382"/>
      <c r="N272" s="382"/>
    </row>
    <row r="273" spans="1:14" s="383" customFormat="1" hidden="1" outlineLevel="3" x14ac:dyDescent="0.25">
      <c r="A273" s="363" t="s">
        <v>2094</v>
      </c>
      <c r="B273" s="381" t="s">
        <v>1663</v>
      </c>
      <c r="C273" s="381" t="s">
        <v>1662</v>
      </c>
      <c r="D273" s="100" t="s">
        <v>300</v>
      </c>
      <c r="E273" s="100">
        <f>2.7*2</f>
        <v>5.4</v>
      </c>
      <c r="F273" s="220">
        <f>(14563)*(1.023*1.005-2.3%*15%)*6.99+0*4.09</f>
        <v>104306</v>
      </c>
      <c r="G273" s="145">
        <f t="shared" si="272"/>
        <v>1.1279999999999999</v>
      </c>
      <c r="H273" s="146">
        <f t="shared" ref="H273" si="288">F273*G273</f>
        <v>117657</v>
      </c>
      <c r="I273" s="145">
        <f>Дефляторы!$D$25</f>
        <v>1.052</v>
      </c>
      <c r="J273" s="146">
        <f t="shared" ref="J273" si="289">H273*I273</f>
        <v>123775</v>
      </c>
      <c r="K273" s="146">
        <f t="shared" ref="K273" si="290">H273+(J273-H273)*(1-30/100)</f>
        <v>121940</v>
      </c>
      <c r="L273" s="382"/>
      <c r="M273" s="382"/>
      <c r="N273" s="382"/>
    </row>
    <row r="274" spans="1:14" s="383" customFormat="1" hidden="1" outlineLevel="3" x14ac:dyDescent="0.25">
      <c r="A274" s="363" t="s">
        <v>2534</v>
      </c>
      <c r="B274" s="381" t="s">
        <v>1665</v>
      </c>
      <c r="C274" s="381" t="s">
        <v>1664</v>
      </c>
      <c r="D274" s="100" t="s">
        <v>408</v>
      </c>
      <c r="E274" s="100">
        <v>1</v>
      </c>
      <c r="F274" s="220">
        <f>(4431)*(1.023*1.005-2.3%*15%)*6.99+0*4.09</f>
        <v>31737</v>
      </c>
      <c r="G274" s="145">
        <f t="shared" si="272"/>
        <v>1.1279999999999999</v>
      </c>
      <c r="H274" s="146">
        <f t="shared" ref="H274" si="291">F274*G274</f>
        <v>35799</v>
      </c>
      <c r="I274" s="145">
        <f>Дефляторы!$D$25</f>
        <v>1.052</v>
      </c>
      <c r="J274" s="146">
        <f t="shared" ref="J274" si="292">H274*I274</f>
        <v>37661</v>
      </c>
      <c r="K274" s="146">
        <f t="shared" ref="K274" si="293">H274+(J274-H274)*(1-30/100)</f>
        <v>37102</v>
      </c>
      <c r="L274" s="382"/>
      <c r="M274" s="382"/>
      <c r="N274" s="382"/>
    </row>
    <row r="275" spans="1:14" s="383" customFormat="1" ht="94.5" hidden="1" outlineLevel="3" x14ac:dyDescent="0.25">
      <c r="A275" s="363" t="s">
        <v>2535</v>
      </c>
      <c r="B275" s="381" t="s">
        <v>1620</v>
      </c>
      <c r="C275" s="381" t="s">
        <v>1619</v>
      </c>
      <c r="D275" s="100" t="s">
        <v>408</v>
      </c>
      <c r="E275" s="100">
        <v>1</v>
      </c>
      <c r="F275" s="220">
        <f>(1043)*(1.023*1.005-2.3%*15%)*6.99+112828*4.09</f>
        <v>468937</v>
      </c>
      <c r="G275" s="145">
        <f t="shared" si="272"/>
        <v>1.1279999999999999</v>
      </c>
      <c r="H275" s="146">
        <f>F275*G275</f>
        <v>528961</v>
      </c>
      <c r="I275" s="145">
        <f>Дефляторы!$D$25</f>
        <v>1.052</v>
      </c>
      <c r="J275" s="146">
        <f>H275*I275</f>
        <v>556467</v>
      </c>
      <c r="K275" s="146">
        <f>H275+(J275-H275)*(1-30/100)</f>
        <v>548215</v>
      </c>
      <c r="L275" s="382"/>
      <c r="M275" s="382"/>
      <c r="N275" s="382"/>
    </row>
    <row r="276" spans="1:14" s="383" customFormat="1" ht="31.5" hidden="1" outlineLevel="3" x14ac:dyDescent="0.25">
      <c r="A276" s="363"/>
      <c r="B276" s="381"/>
      <c r="C276" s="390" t="s">
        <v>1755</v>
      </c>
      <c r="D276" s="100"/>
      <c r="E276" s="100"/>
      <c r="F276" s="149"/>
      <c r="G276" s="145"/>
      <c r="H276" s="146"/>
      <c r="I276" s="145">
        <f>Дефляторы!$D$25</f>
        <v>1.052</v>
      </c>
      <c r="J276" s="146"/>
      <c r="K276" s="146"/>
      <c r="L276" s="382"/>
      <c r="M276" s="382"/>
      <c r="N276" s="382"/>
    </row>
    <row r="277" spans="1:14" s="383" customFormat="1" ht="31.5" hidden="1" outlineLevel="3" x14ac:dyDescent="0.25">
      <c r="A277" s="363" t="s">
        <v>2536</v>
      </c>
      <c r="B277" s="381" t="s">
        <v>1756</v>
      </c>
      <c r="C277" s="381" t="s">
        <v>356</v>
      </c>
      <c r="D277" s="100" t="s">
        <v>300</v>
      </c>
      <c r="E277" s="100">
        <v>58</v>
      </c>
      <c r="F277" s="220">
        <f>(11566)*(1.023*1.005-2.3%*15%)*6.99+0*4.09</f>
        <v>82840</v>
      </c>
      <c r="G277" s="145">
        <f t="shared" ref="G277:G283" si="294">$G$831</f>
        <v>1.1279999999999999</v>
      </c>
      <c r="H277" s="146">
        <f t="shared" ref="H277" si="295">F277*G277</f>
        <v>93444</v>
      </c>
      <c r="I277" s="145">
        <f>Дефляторы!$D$25</f>
        <v>1.052</v>
      </c>
      <c r="J277" s="146">
        <f t="shared" ref="J277" si="296">H277*I277</f>
        <v>98303</v>
      </c>
      <c r="K277" s="146">
        <f t="shared" ref="K277" si="297">H277+(J277-H277)*(1-30/100)</f>
        <v>96845</v>
      </c>
      <c r="L277" s="382"/>
      <c r="M277" s="382"/>
      <c r="N277" s="382"/>
    </row>
    <row r="278" spans="1:14" s="383" customFormat="1" hidden="1" outlineLevel="3" x14ac:dyDescent="0.25">
      <c r="A278" s="363" t="s">
        <v>2537</v>
      </c>
      <c r="B278" s="381" t="s">
        <v>1757</v>
      </c>
      <c r="C278" s="381" t="s">
        <v>1758</v>
      </c>
      <c r="D278" s="100" t="s">
        <v>404</v>
      </c>
      <c r="E278" s="100">
        <v>290</v>
      </c>
      <c r="F278" s="220">
        <f>(12)*(1.023*1.005-2.3%*15%)*6.99+0*4.09</f>
        <v>86</v>
      </c>
      <c r="G278" s="145">
        <f t="shared" si="294"/>
        <v>1.1279999999999999</v>
      </c>
      <c r="H278" s="146">
        <f t="shared" ref="H278" si="298">F278*G278</f>
        <v>97</v>
      </c>
      <c r="I278" s="145">
        <f>Дефляторы!$D$25</f>
        <v>1.052</v>
      </c>
      <c r="J278" s="146">
        <f t="shared" ref="J278" si="299">H278*I278</f>
        <v>102</v>
      </c>
      <c r="K278" s="146">
        <f t="shared" ref="K278" si="300">H278+(J278-H278)*(1-30/100)</f>
        <v>101</v>
      </c>
      <c r="L278" s="382"/>
      <c r="M278" s="382"/>
      <c r="N278" s="382"/>
    </row>
    <row r="279" spans="1:14" s="383" customFormat="1" ht="31.5" hidden="1" outlineLevel="3" x14ac:dyDescent="0.25">
      <c r="A279" s="363" t="s">
        <v>2538</v>
      </c>
      <c r="B279" s="381" t="s">
        <v>1760</v>
      </c>
      <c r="C279" s="390" t="s">
        <v>1759</v>
      </c>
      <c r="D279" s="100" t="s">
        <v>292</v>
      </c>
      <c r="E279" s="100">
        <v>1</v>
      </c>
      <c r="F279" s="220">
        <f>(4138)*(1.023*1.005-2.3%*15%)*6.99+0*4.09</f>
        <v>29638</v>
      </c>
      <c r="G279" s="145">
        <f t="shared" si="294"/>
        <v>1.1279999999999999</v>
      </c>
      <c r="H279" s="146">
        <f t="shared" ref="H279" si="301">F279*G279</f>
        <v>33432</v>
      </c>
      <c r="I279" s="145">
        <f>Дефляторы!$D$25</f>
        <v>1.052</v>
      </c>
      <c r="J279" s="146">
        <f t="shared" ref="J279" si="302">H279*I279</f>
        <v>35170</v>
      </c>
      <c r="K279" s="146">
        <f t="shared" ref="K279" si="303">H279+(J279-H279)*(1-30/100)</f>
        <v>34649</v>
      </c>
      <c r="L279" s="382"/>
      <c r="M279" s="382"/>
      <c r="N279" s="382"/>
    </row>
    <row r="280" spans="1:14" s="383" customFormat="1" hidden="1" outlineLevel="3" x14ac:dyDescent="0.25">
      <c r="A280" s="363" t="s">
        <v>2539</v>
      </c>
      <c r="B280" s="381" t="s">
        <v>793</v>
      </c>
      <c r="C280" s="381" t="s">
        <v>2451</v>
      </c>
      <c r="D280" s="100" t="s">
        <v>292</v>
      </c>
      <c r="E280" s="149">
        <v>1</v>
      </c>
      <c r="F280" s="220">
        <f>(15028*(1.023*1.005-2.3%*15%)*6.99+210588*4.09)/3</f>
        <v>322981</v>
      </c>
      <c r="G280" s="145">
        <f t="shared" si="294"/>
        <v>1.1279999999999999</v>
      </c>
      <c r="H280" s="146">
        <f t="shared" ref="H280" si="304">F280*G280</f>
        <v>364323</v>
      </c>
      <c r="I280" s="145">
        <f>Дефляторы!$D$25</f>
        <v>1.052</v>
      </c>
      <c r="J280" s="146">
        <f t="shared" ref="J280" si="305">H280*I280</f>
        <v>383268</v>
      </c>
      <c r="K280" s="146">
        <f t="shared" ref="K280" si="306">H280+(J280-H280)*(1-30/100)</f>
        <v>377585</v>
      </c>
      <c r="L280" s="396"/>
      <c r="M280" s="382"/>
      <c r="N280" s="382"/>
    </row>
    <row r="281" spans="1:14" s="383" customFormat="1" hidden="1" outlineLevel="3" collapsed="1" x14ac:dyDescent="0.25">
      <c r="A281" s="363" t="s">
        <v>2563</v>
      </c>
      <c r="B281" s="381" t="s">
        <v>188</v>
      </c>
      <c r="C281" s="381" t="s">
        <v>585</v>
      </c>
      <c r="D281" s="100" t="s">
        <v>292</v>
      </c>
      <c r="E281" s="149">
        <v>1</v>
      </c>
      <c r="F281" s="220">
        <f>SUM(F282:F282)</f>
        <v>37806</v>
      </c>
      <c r="G281" s="145">
        <f t="shared" si="294"/>
        <v>1.1279999999999999</v>
      </c>
      <c r="H281" s="149">
        <f>SUM(H282:H282)</f>
        <v>42645</v>
      </c>
      <c r="I281" s="145">
        <f>Дефляторы!$D$25</f>
        <v>1.052</v>
      </c>
      <c r="J281" s="149">
        <f>SUM(J282:J282)</f>
        <v>44863</v>
      </c>
      <c r="K281" s="149">
        <f>SUM(K282:K282)</f>
        <v>44198</v>
      </c>
      <c r="L281" s="382"/>
      <c r="M281" s="382"/>
      <c r="N281" s="382"/>
    </row>
    <row r="282" spans="1:14" s="383" customFormat="1" ht="31.5" hidden="1" outlineLevel="4" x14ac:dyDescent="0.25">
      <c r="A282" s="363" t="s">
        <v>2564</v>
      </c>
      <c r="B282" s="381" t="s">
        <v>1306</v>
      </c>
      <c r="C282" s="381" t="s">
        <v>1305</v>
      </c>
      <c r="D282" s="100" t="s">
        <v>292</v>
      </c>
      <c r="E282" s="149">
        <v>1</v>
      </c>
      <c r="F282" s="220">
        <f>(4853)*(1.023*1.005-2.3%*15%)*6.99+745*4.09</f>
        <v>37806</v>
      </c>
      <c r="G282" s="145">
        <f t="shared" si="294"/>
        <v>1.1279999999999999</v>
      </c>
      <c r="H282" s="146">
        <f t="shared" ref="H282" si="307">F282*G282</f>
        <v>42645</v>
      </c>
      <c r="I282" s="145">
        <f>Дефляторы!$D$25</f>
        <v>1.052</v>
      </c>
      <c r="J282" s="146">
        <f t="shared" ref="J282" si="308">H282*I282</f>
        <v>44863</v>
      </c>
      <c r="K282" s="146">
        <f t="shared" ref="K282" si="309">H282+(J282-H282)*(1-30/100)</f>
        <v>44198</v>
      </c>
      <c r="L282" s="382"/>
      <c r="M282" s="382"/>
      <c r="N282" s="382"/>
    </row>
    <row r="283" spans="1:14" s="385" customFormat="1" outlineLevel="2" collapsed="1" x14ac:dyDescent="0.25">
      <c r="A283" s="132" t="s">
        <v>507</v>
      </c>
      <c r="B283" s="320"/>
      <c r="C283" s="133" t="s">
        <v>2370</v>
      </c>
      <c r="D283" s="134" t="s">
        <v>292</v>
      </c>
      <c r="E283" s="90">
        <v>1</v>
      </c>
      <c r="F283" s="90">
        <f>SUM(F284:F301)</f>
        <v>3424344</v>
      </c>
      <c r="G283" s="135">
        <f t="shared" si="294"/>
        <v>1.1279999999999999</v>
      </c>
      <c r="H283" s="90">
        <f>SUM(H284:H301)</f>
        <v>3862659</v>
      </c>
      <c r="I283" s="135">
        <f>Дефляторы!$D$25</f>
        <v>1.052</v>
      </c>
      <c r="J283" s="90">
        <f>SUM(J284:J301)</f>
        <v>4063517</v>
      </c>
      <c r="K283" s="90">
        <f>SUM(K284:K301)</f>
        <v>4003260</v>
      </c>
    </row>
    <row r="284" spans="1:14" s="383" customFormat="1" hidden="1" outlineLevel="3" x14ac:dyDescent="0.25">
      <c r="A284" s="95"/>
      <c r="B284" s="381"/>
      <c r="C284" s="390" t="s">
        <v>1632</v>
      </c>
      <c r="D284" s="100"/>
      <c r="E284" s="100"/>
      <c r="F284" s="149"/>
      <c r="G284" s="145"/>
      <c r="H284" s="146"/>
      <c r="I284" s="145"/>
      <c r="J284" s="146"/>
      <c r="K284" s="146"/>
      <c r="L284" s="382"/>
      <c r="M284" s="382"/>
      <c r="N284" s="382"/>
    </row>
    <row r="285" spans="1:14" s="383" customFormat="1" hidden="1" outlineLevel="3" x14ac:dyDescent="0.25">
      <c r="A285" s="95"/>
      <c r="B285" s="381"/>
      <c r="C285" s="381" t="s">
        <v>367</v>
      </c>
      <c r="D285" s="100"/>
      <c r="E285" s="100"/>
      <c r="F285" s="149"/>
      <c r="G285" s="145"/>
      <c r="H285" s="146"/>
      <c r="I285" s="145"/>
      <c r="J285" s="146"/>
      <c r="K285" s="146"/>
      <c r="L285" s="382"/>
      <c r="M285" s="382"/>
      <c r="N285" s="382"/>
    </row>
    <row r="286" spans="1:14" s="383" customFormat="1" ht="31.5" hidden="1" outlineLevel="3" x14ac:dyDescent="0.25">
      <c r="A286" s="363" t="s">
        <v>2095</v>
      </c>
      <c r="B286" s="381" t="s">
        <v>1633</v>
      </c>
      <c r="C286" s="381" t="s">
        <v>356</v>
      </c>
      <c r="D286" s="100" t="s">
        <v>300</v>
      </c>
      <c r="E286" s="100">
        <f>486.4</f>
        <v>486.4</v>
      </c>
      <c r="F286" s="220">
        <f>(96993)*(1.023*1.005-2.3%*15%)*6.99+0*4.09</f>
        <v>694703</v>
      </c>
      <c r="G286" s="145">
        <f t="shared" ref="G286:G292" si="310">$G$831</f>
        <v>1.1279999999999999</v>
      </c>
      <c r="H286" s="146">
        <f t="shared" ref="H286" si="311">F286*G286</f>
        <v>783625</v>
      </c>
      <c r="I286" s="145">
        <f>Дефляторы!$D$25</f>
        <v>1.052</v>
      </c>
      <c r="J286" s="146">
        <f t="shared" ref="J286" si="312">H286*I286</f>
        <v>824374</v>
      </c>
      <c r="K286" s="146">
        <f t="shared" ref="K286" si="313">H286+(J286-H286)*(1-30/100)</f>
        <v>812149</v>
      </c>
      <c r="L286" s="382"/>
      <c r="M286" s="382"/>
      <c r="N286" s="382"/>
    </row>
    <row r="287" spans="1:14" s="383" customFormat="1" hidden="1" outlineLevel="3" x14ac:dyDescent="0.25">
      <c r="A287" s="363" t="s">
        <v>2540</v>
      </c>
      <c r="B287" s="381" t="s">
        <v>1634</v>
      </c>
      <c r="C287" s="381" t="s">
        <v>1625</v>
      </c>
      <c r="D287" s="100" t="s">
        <v>300</v>
      </c>
      <c r="E287" s="100">
        <f>324.9</f>
        <v>324.89999999999998</v>
      </c>
      <c r="F287" s="220">
        <f>(5514)*(1.023*1.005-2.3%*15%)*6.99+0*4.09</f>
        <v>39494</v>
      </c>
      <c r="G287" s="145">
        <f t="shared" si="310"/>
        <v>1.1279999999999999</v>
      </c>
      <c r="H287" s="146">
        <f t="shared" ref="H287" si="314">F287*G287</f>
        <v>44549</v>
      </c>
      <c r="I287" s="145">
        <f>Дефляторы!$D$25</f>
        <v>1.052</v>
      </c>
      <c r="J287" s="146">
        <f t="shared" ref="J287" si="315">H287*I287</f>
        <v>46866</v>
      </c>
      <c r="K287" s="146">
        <f t="shared" ref="K287" si="316">H287+(J287-H287)*(1-30/100)</f>
        <v>46171</v>
      </c>
      <c r="L287" s="382"/>
      <c r="M287" s="382"/>
      <c r="N287" s="382"/>
    </row>
    <row r="288" spans="1:14" s="383" customFormat="1" ht="47.25" hidden="1" outlineLevel="3" x14ac:dyDescent="0.25">
      <c r="A288" s="363" t="s">
        <v>2541</v>
      </c>
      <c r="B288" s="381" t="s">
        <v>1635</v>
      </c>
      <c r="C288" s="381" t="s">
        <v>1627</v>
      </c>
      <c r="D288" s="100" t="s">
        <v>300</v>
      </c>
      <c r="E288" s="100">
        <f>161.5</f>
        <v>161.5</v>
      </c>
      <c r="F288" s="220">
        <f>(5470)*(1.023*1.005-2.3%*15%)*6.99+0*4.09</f>
        <v>39178</v>
      </c>
      <c r="G288" s="145">
        <f t="shared" si="310"/>
        <v>1.1279999999999999</v>
      </c>
      <c r="H288" s="146">
        <f t="shared" ref="H288" si="317">F288*G288</f>
        <v>44193</v>
      </c>
      <c r="I288" s="145">
        <f>Дефляторы!$D$25</f>
        <v>1.052</v>
      </c>
      <c r="J288" s="146">
        <f t="shared" ref="J288" si="318">H288*I288</f>
        <v>46491</v>
      </c>
      <c r="K288" s="146">
        <f t="shared" ref="K288" si="319">H288+(J288-H288)*(1-30/100)</f>
        <v>45802</v>
      </c>
      <c r="L288" s="382"/>
      <c r="M288" s="382"/>
      <c r="N288" s="382"/>
    </row>
    <row r="289" spans="1:14" s="383" customFormat="1" ht="31.5" hidden="1" outlineLevel="3" x14ac:dyDescent="0.25">
      <c r="A289" s="363" t="s">
        <v>2542</v>
      </c>
      <c r="B289" s="381" t="s">
        <v>1636</v>
      </c>
      <c r="C289" s="381" t="s">
        <v>1051</v>
      </c>
      <c r="D289" s="100" t="s">
        <v>300</v>
      </c>
      <c r="E289" s="100">
        <f>324.9</f>
        <v>324.89999999999998</v>
      </c>
      <c r="F289" s="220">
        <f>(4180)*(1.023*1.005-2.3%*15%)*6.99+0*4.09</f>
        <v>29939</v>
      </c>
      <c r="G289" s="145">
        <f t="shared" si="310"/>
        <v>1.1279999999999999</v>
      </c>
      <c r="H289" s="146">
        <f t="shared" ref="H289" si="320">F289*G289</f>
        <v>33771</v>
      </c>
      <c r="I289" s="145">
        <f>Дефляторы!$D$25</f>
        <v>1.052</v>
      </c>
      <c r="J289" s="146">
        <f t="shared" ref="J289" si="321">H289*I289</f>
        <v>35527</v>
      </c>
      <c r="K289" s="146">
        <f t="shared" ref="K289" si="322">H289+(J289-H289)*(1-30/100)</f>
        <v>35000</v>
      </c>
      <c r="L289" s="382"/>
      <c r="M289" s="382"/>
      <c r="N289" s="382"/>
    </row>
    <row r="290" spans="1:14" s="383" customFormat="1" hidden="1" outlineLevel="3" x14ac:dyDescent="0.25">
      <c r="A290" s="363" t="s">
        <v>2543</v>
      </c>
      <c r="B290" s="381" t="s">
        <v>1638</v>
      </c>
      <c r="C290" s="381" t="s">
        <v>1637</v>
      </c>
      <c r="D290" s="100" t="s">
        <v>300</v>
      </c>
      <c r="E290" s="100">
        <f>62.2</f>
        <v>62.2</v>
      </c>
      <c r="F290" s="220">
        <f>(801)*(1.023*1.005-2.3%*15%)*6.99+0*4.09</f>
        <v>5737</v>
      </c>
      <c r="G290" s="145">
        <f t="shared" si="310"/>
        <v>1.1279999999999999</v>
      </c>
      <c r="H290" s="146">
        <f t="shared" ref="H290" si="323">F290*G290</f>
        <v>6471</v>
      </c>
      <c r="I290" s="145">
        <f>Дефляторы!$D$25</f>
        <v>1.052</v>
      </c>
      <c r="J290" s="146">
        <f t="shared" ref="J290" si="324">H290*I290</f>
        <v>6807</v>
      </c>
      <c r="K290" s="146">
        <f t="shared" ref="K290" si="325">H290+(J290-H290)*(1-30/100)</f>
        <v>6706</v>
      </c>
      <c r="L290" s="382"/>
      <c r="M290" s="382"/>
      <c r="N290" s="382"/>
    </row>
    <row r="291" spans="1:14" s="383" customFormat="1" hidden="1" outlineLevel="3" x14ac:dyDescent="0.25">
      <c r="A291" s="363" t="s">
        <v>2544</v>
      </c>
      <c r="B291" s="381" t="s">
        <v>1640</v>
      </c>
      <c r="C291" s="381" t="s">
        <v>1639</v>
      </c>
      <c r="D291" s="100" t="s">
        <v>292</v>
      </c>
      <c r="E291" s="149">
        <v>1</v>
      </c>
      <c r="F291" s="220">
        <f>(182397)*(1.023*1.005-2.3%*15%)*6.99+0*4.09</f>
        <v>1306402</v>
      </c>
      <c r="G291" s="145">
        <f t="shared" si="310"/>
        <v>1.1279999999999999</v>
      </c>
      <c r="H291" s="146">
        <f t="shared" ref="H291" si="326">F291*G291</f>
        <v>1473621</v>
      </c>
      <c r="I291" s="145">
        <f>Дефляторы!$D$25</f>
        <v>1.052</v>
      </c>
      <c r="J291" s="146">
        <f t="shared" ref="J291" si="327">H291*I291</f>
        <v>1550249</v>
      </c>
      <c r="K291" s="146">
        <f t="shared" ref="K291" si="328">H291+(J291-H291)*(1-30/100)</f>
        <v>1527261</v>
      </c>
      <c r="L291" s="382"/>
      <c r="M291" s="382"/>
      <c r="N291" s="382"/>
    </row>
    <row r="292" spans="1:14" s="383" customFormat="1" ht="63" hidden="1" outlineLevel="3" x14ac:dyDescent="0.25">
      <c r="A292" s="363" t="s">
        <v>2545</v>
      </c>
      <c r="B292" s="381" t="s">
        <v>1622</v>
      </c>
      <c r="C292" s="381" t="s">
        <v>1621</v>
      </c>
      <c r="D292" s="100" t="s">
        <v>408</v>
      </c>
      <c r="E292" s="149">
        <v>1</v>
      </c>
      <c r="F292" s="220">
        <f>(1746)*(1.023*1.005-2.3%*15%)*6.99+112181*4.09</f>
        <v>471326</v>
      </c>
      <c r="G292" s="145">
        <f t="shared" si="310"/>
        <v>1.1279999999999999</v>
      </c>
      <c r="H292" s="146">
        <f t="shared" ref="H292" si="329">F292*G292</f>
        <v>531656</v>
      </c>
      <c r="I292" s="145">
        <f>Дефляторы!$D$25</f>
        <v>1.052</v>
      </c>
      <c r="J292" s="146">
        <f t="shared" ref="J292" si="330">H292*I292</f>
        <v>559302</v>
      </c>
      <c r="K292" s="146">
        <f t="shared" ref="K292" si="331">H292+(J292-H292)*(1-30/100)</f>
        <v>551008</v>
      </c>
      <c r="L292" s="382"/>
      <c r="M292" s="382"/>
      <c r="N292" s="382"/>
    </row>
    <row r="293" spans="1:14" s="383" customFormat="1" ht="31.5" hidden="1" outlineLevel="3" x14ac:dyDescent="0.25">
      <c r="A293" s="363"/>
      <c r="B293" s="381"/>
      <c r="C293" s="390" t="s">
        <v>1761</v>
      </c>
      <c r="D293" s="100"/>
      <c r="E293" s="100"/>
      <c r="F293" s="149"/>
      <c r="G293" s="145"/>
      <c r="H293" s="146"/>
      <c r="I293" s="145">
        <f>Дефляторы!$D$25</f>
        <v>1.052</v>
      </c>
      <c r="J293" s="146"/>
      <c r="K293" s="146"/>
      <c r="L293" s="382"/>
      <c r="M293" s="382"/>
      <c r="N293" s="382"/>
    </row>
    <row r="294" spans="1:14" s="383" customFormat="1" ht="31.5" hidden="1" outlineLevel="3" x14ac:dyDescent="0.25">
      <c r="A294" s="363" t="s">
        <v>2546</v>
      </c>
      <c r="B294" s="381" t="s">
        <v>1762</v>
      </c>
      <c r="C294" s="381" t="s">
        <v>356</v>
      </c>
      <c r="D294" s="100" t="s">
        <v>300</v>
      </c>
      <c r="E294" s="100">
        <v>219</v>
      </c>
      <c r="F294" s="220">
        <f>(43671)*(1.023*1.005-2.3%*15%)*6.99+0*4.09</f>
        <v>312790</v>
      </c>
      <c r="G294" s="145">
        <f t="shared" ref="G294:G304" si="332">$G$831</f>
        <v>1.1279999999999999</v>
      </c>
      <c r="H294" s="146">
        <f t="shared" ref="H294" si="333">F294*G294</f>
        <v>352827</v>
      </c>
      <c r="I294" s="145">
        <f>Дефляторы!$D$25</f>
        <v>1.052</v>
      </c>
      <c r="J294" s="146">
        <f t="shared" ref="J294" si="334">H294*I294</f>
        <v>371174</v>
      </c>
      <c r="K294" s="146">
        <f t="shared" ref="K294" si="335">H294+(J294-H294)*(1-30/100)</f>
        <v>365670</v>
      </c>
      <c r="L294" s="382"/>
      <c r="M294" s="382"/>
      <c r="N294" s="382"/>
    </row>
    <row r="295" spans="1:14" s="383" customFormat="1" hidden="1" outlineLevel="3" x14ac:dyDescent="0.25">
      <c r="A295" s="363" t="s">
        <v>2547</v>
      </c>
      <c r="B295" s="381" t="s">
        <v>1763</v>
      </c>
      <c r="C295" s="381" t="s">
        <v>1493</v>
      </c>
      <c r="D295" s="100" t="s">
        <v>300</v>
      </c>
      <c r="E295" s="100">
        <v>62</v>
      </c>
      <c r="F295" s="220">
        <f>(793)*(1.023*1.005-2.3%*15%)*6.99+0*4.09</f>
        <v>5680</v>
      </c>
      <c r="G295" s="145">
        <f t="shared" si="332"/>
        <v>1.1279999999999999</v>
      </c>
      <c r="H295" s="146">
        <f t="shared" ref="H295" si="336">F295*G295</f>
        <v>6407</v>
      </c>
      <c r="I295" s="145">
        <f>Дефляторы!$D$25</f>
        <v>1.052</v>
      </c>
      <c r="J295" s="146">
        <f t="shared" ref="J295" si="337">H295*I295</f>
        <v>6740</v>
      </c>
      <c r="K295" s="146">
        <f t="shared" ref="K295" si="338">H295+(J295-H295)*(1-30/100)</f>
        <v>6640</v>
      </c>
      <c r="L295" s="382"/>
      <c r="M295" s="382"/>
      <c r="N295" s="382"/>
    </row>
    <row r="296" spans="1:14" s="383" customFormat="1" ht="47.25" hidden="1" outlineLevel="3" x14ac:dyDescent="0.25">
      <c r="A296" s="363" t="s">
        <v>2548</v>
      </c>
      <c r="B296" s="381" t="s">
        <v>1764</v>
      </c>
      <c r="C296" s="381" t="s">
        <v>1765</v>
      </c>
      <c r="D296" s="100" t="s">
        <v>300</v>
      </c>
      <c r="E296" s="100">
        <v>187</v>
      </c>
      <c r="F296" s="220">
        <f>(7734)*(1.023*1.005-2.3%*15%)*6.99+0*4.09</f>
        <v>55394</v>
      </c>
      <c r="G296" s="145">
        <f t="shared" si="332"/>
        <v>1.1279999999999999</v>
      </c>
      <c r="H296" s="146">
        <f t="shared" ref="H296" si="339">F296*G296</f>
        <v>62484</v>
      </c>
      <c r="I296" s="145">
        <f>Дефляторы!$D$25</f>
        <v>1.052</v>
      </c>
      <c r="J296" s="146">
        <f t="shared" ref="J296" si="340">H296*I296</f>
        <v>65733</v>
      </c>
      <c r="K296" s="146">
        <f t="shared" ref="K296" si="341">H296+(J296-H296)*(1-30/100)</f>
        <v>64758</v>
      </c>
      <c r="L296" s="382"/>
      <c r="M296" s="382"/>
      <c r="N296" s="382"/>
    </row>
    <row r="297" spans="1:14" s="383" customFormat="1" hidden="1" outlineLevel="3" x14ac:dyDescent="0.25">
      <c r="A297" s="363" t="s">
        <v>2549</v>
      </c>
      <c r="B297" s="381" t="s">
        <v>1766</v>
      </c>
      <c r="C297" s="381" t="s">
        <v>1749</v>
      </c>
      <c r="D297" s="100" t="s">
        <v>300</v>
      </c>
      <c r="E297" s="100">
        <v>62</v>
      </c>
      <c r="F297" s="220">
        <f>(617)*(1.023*1.005-2.3%*15%)*6.99+0*4.09</f>
        <v>4419</v>
      </c>
      <c r="G297" s="145">
        <f t="shared" si="332"/>
        <v>1.1279999999999999</v>
      </c>
      <c r="H297" s="146">
        <f t="shared" ref="H297" si="342">F297*G297</f>
        <v>4985</v>
      </c>
      <c r="I297" s="145">
        <f>Дефляторы!$D$25</f>
        <v>1.052</v>
      </c>
      <c r="J297" s="146">
        <f t="shared" ref="J297" si="343">H297*I297</f>
        <v>5244</v>
      </c>
      <c r="K297" s="146">
        <f t="shared" ref="K297" si="344">H297+(J297-H297)*(1-30/100)</f>
        <v>5166</v>
      </c>
      <c r="L297" s="382"/>
      <c r="M297" s="382"/>
      <c r="N297" s="382"/>
    </row>
    <row r="298" spans="1:14" s="383" customFormat="1" hidden="1" outlineLevel="3" x14ac:dyDescent="0.25">
      <c r="A298" s="363" t="s">
        <v>2550</v>
      </c>
      <c r="B298" s="381" t="s">
        <v>1767</v>
      </c>
      <c r="C298" s="381" t="s">
        <v>1753</v>
      </c>
      <c r="D298" s="100" t="s">
        <v>404</v>
      </c>
      <c r="E298" s="100">
        <v>1016</v>
      </c>
      <c r="F298" s="220">
        <f>(43)*(1.023*1.005-2.3%*15%)*6.99+0*4.09</f>
        <v>308</v>
      </c>
      <c r="G298" s="145">
        <f t="shared" si="332"/>
        <v>1.1279999999999999</v>
      </c>
      <c r="H298" s="146">
        <f t="shared" ref="H298" si="345">F298*G298</f>
        <v>347</v>
      </c>
      <c r="I298" s="145">
        <f>Дефляторы!$D$25</f>
        <v>1.052</v>
      </c>
      <c r="J298" s="146">
        <f t="shared" ref="J298" si="346">H298*I298</f>
        <v>365</v>
      </c>
      <c r="K298" s="146">
        <f t="shared" ref="K298" si="347">H298+(J298-H298)*(1-30/100)</f>
        <v>360</v>
      </c>
      <c r="L298" s="382"/>
      <c r="M298" s="382"/>
      <c r="N298" s="382"/>
    </row>
    <row r="299" spans="1:14" s="383" customFormat="1" ht="31.5" hidden="1" outlineLevel="3" x14ac:dyDescent="0.25">
      <c r="A299" s="363" t="s">
        <v>2551</v>
      </c>
      <c r="B299" s="381" t="s">
        <v>1769</v>
      </c>
      <c r="C299" s="390" t="s">
        <v>1768</v>
      </c>
      <c r="D299" s="100" t="s">
        <v>292</v>
      </c>
      <c r="E299" s="149">
        <v>1</v>
      </c>
      <c r="F299" s="220">
        <f>(9761)*(1.023*1.005-2.3%*15%)*6.99+0*4.09</f>
        <v>69912</v>
      </c>
      <c r="G299" s="145">
        <f t="shared" si="332"/>
        <v>1.1279999999999999</v>
      </c>
      <c r="H299" s="146">
        <f t="shared" ref="H299:H300" si="348">F299*G299</f>
        <v>78861</v>
      </c>
      <c r="I299" s="145">
        <f>Дефляторы!$D$25</f>
        <v>1.052</v>
      </c>
      <c r="J299" s="146">
        <f t="shared" ref="J299:J300" si="349">H299*I299</f>
        <v>82962</v>
      </c>
      <c r="K299" s="146">
        <f t="shared" ref="K299:K300" si="350">H299+(J299-H299)*(1-30/100)</f>
        <v>81732</v>
      </c>
      <c r="L299" s="382"/>
      <c r="M299" s="382"/>
      <c r="N299" s="382"/>
    </row>
    <row r="300" spans="1:14" s="383" customFormat="1" hidden="1" outlineLevel="3" x14ac:dyDescent="0.25">
      <c r="A300" s="363" t="s">
        <v>2552</v>
      </c>
      <c r="B300" s="381" t="s">
        <v>793</v>
      </c>
      <c r="C300" s="381" t="s">
        <v>2452</v>
      </c>
      <c r="D300" s="100" t="s">
        <v>292</v>
      </c>
      <c r="E300" s="149">
        <v>1</v>
      </c>
      <c r="F300" s="220">
        <f>(15028*(1.023*1.005-2.3%*15%)*6.99+210588*4.09)/3</f>
        <v>322981</v>
      </c>
      <c r="G300" s="145">
        <f t="shared" si="332"/>
        <v>1.1279999999999999</v>
      </c>
      <c r="H300" s="146">
        <f t="shared" si="348"/>
        <v>364323</v>
      </c>
      <c r="I300" s="145">
        <f>Дефляторы!$D$25</f>
        <v>1.052</v>
      </c>
      <c r="J300" s="146">
        <f t="shared" si="349"/>
        <v>383268</v>
      </c>
      <c r="K300" s="146">
        <f t="shared" si="350"/>
        <v>377585</v>
      </c>
      <c r="L300" s="396"/>
      <c r="M300" s="382"/>
      <c r="N300" s="382"/>
    </row>
    <row r="301" spans="1:14" s="383" customFormat="1" hidden="1" outlineLevel="3" collapsed="1" x14ac:dyDescent="0.25">
      <c r="A301" s="363" t="s">
        <v>2565</v>
      </c>
      <c r="B301" s="381" t="s">
        <v>188</v>
      </c>
      <c r="C301" s="381" t="s">
        <v>585</v>
      </c>
      <c r="D301" s="100" t="s">
        <v>292</v>
      </c>
      <c r="E301" s="149">
        <v>1</v>
      </c>
      <c r="F301" s="220">
        <f>SUM(F302:F303)</f>
        <v>66081</v>
      </c>
      <c r="G301" s="145">
        <f t="shared" si="332"/>
        <v>1.1279999999999999</v>
      </c>
      <c r="H301" s="149">
        <f>SUM(H302:H303)</f>
        <v>74539</v>
      </c>
      <c r="I301" s="145">
        <f>Дефляторы!$D$25</f>
        <v>1.052</v>
      </c>
      <c r="J301" s="149">
        <f>SUM(J302:J303)</f>
        <v>78415</v>
      </c>
      <c r="K301" s="149">
        <f>SUM(K302:K303)</f>
        <v>77252</v>
      </c>
      <c r="L301" s="382"/>
      <c r="M301" s="382"/>
      <c r="N301" s="382"/>
    </row>
    <row r="302" spans="1:14" s="383" customFormat="1" ht="31.5" hidden="1" outlineLevel="4" x14ac:dyDescent="0.25">
      <c r="A302" s="363" t="s">
        <v>2566</v>
      </c>
      <c r="B302" s="381" t="s">
        <v>1306</v>
      </c>
      <c r="C302" s="381" t="s">
        <v>1305</v>
      </c>
      <c r="D302" s="100" t="s">
        <v>292</v>
      </c>
      <c r="E302" s="149">
        <v>1</v>
      </c>
      <c r="F302" s="220">
        <f>(6733)*(1.023*1.005-2.3%*15%)*6.99+1600*4.09+61</f>
        <v>54829</v>
      </c>
      <c r="G302" s="145">
        <f t="shared" si="332"/>
        <v>1.1279999999999999</v>
      </c>
      <c r="H302" s="146">
        <f t="shared" ref="H302:H303" si="351">F302*G302</f>
        <v>61847</v>
      </c>
      <c r="I302" s="145">
        <f>Дефляторы!$D$25</f>
        <v>1.052</v>
      </c>
      <c r="J302" s="146">
        <f t="shared" ref="J302:J303" si="352">H302*I302</f>
        <v>65063</v>
      </c>
      <c r="K302" s="146">
        <f t="shared" ref="K302:K303" si="353">H302+(J302-H302)*(1-30/100)</f>
        <v>64098</v>
      </c>
      <c r="L302" s="382"/>
      <c r="M302" s="382"/>
      <c r="N302" s="382"/>
    </row>
    <row r="303" spans="1:14" s="383" customFormat="1" ht="31.5" hidden="1" outlineLevel="4" x14ac:dyDescent="0.25">
      <c r="A303" s="363" t="s">
        <v>2567</v>
      </c>
      <c r="B303" s="381" t="s">
        <v>1308</v>
      </c>
      <c r="C303" s="381" t="s">
        <v>1307</v>
      </c>
      <c r="D303" s="100" t="s">
        <v>292</v>
      </c>
      <c r="E303" s="149">
        <v>1</v>
      </c>
      <c r="F303" s="220">
        <f>(1523)*(1.023*1.005-2.3%*15%)*6.99+84*4.09</f>
        <v>11252</v>
      </c>
      <c r="G303" s="145">
        <f t="shared" si="332"/>
        <v>1.1279999999999999</v>
      </c>
      <c r="H303" s="146">
        <f t="shared" si="351"/>
        <v>12692</v>
      </c>
      <c r="I303" s="145">
        <f>Дефляторы!$D$25</f>
        <v>1.052</v>
      </c>
      <c r="J303" s="146">
        <f t="shared" si="352"/>
        <v>13352</v>
      </c>
      <c r="K303" s="146">
        <f t="shared" si="353"/>
        <v>13154</v>
      </c>
      <c r="L303" s="382"/>
      <c r="M303" s="382"/>
      <c r="N303" s="382"/>
    </row>
    <row r="304" spans="1:14" s="385" customFormat="1" ht="31.5" outlineLevel="2" collapsed="1" x14ac:dyDescent="0.25">
      <c r="A304" s="132" t="s">
        <v>2553</v>
      </c>
      <c r="B304" s="320"/>
      <c r="C304" s="133" t="s">
        <v>2371</v>
      </c>
      <c r="D304" s="134" t="s">
        <v>292</v>
      </c>
      <c r="E304" s="90">
        <v>1</v>
      </c>
      <c r="F304" s="90">
        <f>SUM(F305:F317)</f>
        <v>26262590</v>
      </c>
      <c r="G304" s="135">
        <f t="shared" si="332"/>
        <v>1.1279999999999999</v>
      </c>
      <c r="H304" s="90">
        <f>SUM(H305:H317)</f>
        <v>29624202</v>
      </c>
      <c r="I304" s="135">
        <f>Дефляторы!$D$25</f>
        <v>1.052</v>
      </c>
      <c r="J304" s="90">
        <f>SUM(J305:J317)</f>
        <v>31164660</v>
      </c>
      <c r="K304" s="90">
        <f>SUM(K305:K317)</f>
        <v>30702522</v>
      </c>
    </row>
    <row r="305" spans="1:14" s="383" customFormat="1" ht="31.5" hidden="1" outlineLevel="3" x14ac:dyDescent="0.25">
      <c r="A305" s="363"/>
      <c r="B305" s="381"/>
      <c r="C305" s="390" t="s">
        <v>1641</v>
      </c>
      <c r="D305" s="100"/>
      <c r="E305" s="100"/>
      <c r="F305" s="149"/>
      <c r="G305" s="145"/>
      <c r="H305" s="146"/>
      <c r="I305" s="145">
        <f>Дефляторы!$D$25</f>
        <v>1.052</v>
      </c>
      <c r="J305" s="146"/>
      <c r="K305" s="146"/>
      <c r="L305" s="382"/>
      <c r="M305" s="382"/>
      <c r="N305" s="382"/>
    </row>
    <row r="306" spans="1:14" s="383" customFormat="1" hidden="1" outlineLevel="3" x14ac:dyDescent="0.25">
      <c r="A306" s="363"/>
      <c r="B306" s="381"/>
      <c r="C306" s="381" t="s">
        <v>367</v>
      </c>
      <c r="D306" s="100"/>
      <c r="E306" s="100"/>
      <c r="F306" s="149"/>
      <c r="G306" s="145"/>
      <c r="H306" s="146"/>
      <c r="I306" s="145">
        <f>Дефляторы!$D$25</f>
        <v>1.052</v>
      </c>
      <c r="J306" s="146"/>
      <c r="K306" s="146"/>
      <c r="L306" s="382"/>
      <c r="M306" s="382"/>
      <c r="N306" s="382"/>
    </row>
    <row r="307" spans="1:14" s="383" customFormat="1" ht="31.5" hidden="1" outlineLevel="3" x14ac:dyDescent="0.25">
      <c r="A307" s="363" t="s">
        <v>2554</v>
      </c>
      <c r="B307" s="381" t="s">
        <v>1642</v>
      </c>
      <c r="C307" s="381" t="s">
        <v>356</v>
      </c>
      <c r="D307" s="100" t="s">
        <v>300</v>
      </c>
      <c r="E307" s="100">
        <f>320+66.2</f>
        <v>386.2</v>
      </c>
      <c r="F307" s="220">
        <f>(77012)*(1.023*1.005-2.3%*15%)*6.99+0*4.09</f>
        <v>551591</v>
      </c>
      <c r="G307" s="145">
        <f t="shared" ref="G307:G312" si="354">$G$831</f>
        <v>1.1279999999999999</v>
      </c>
      <c r="H307" s="146">
        <f t="shared" ref="H307" si="355">F307*G307</f>
        <v>622195</v>
      </c>
      <c r="I307" s="145">
        <f>Дефляторы!$D$25</f>
        <v>1.052</v>
      </c>
      <c r="J307" s="146">
        <f t="shared" ref="J307" si="356">H307*I307</f>
        <v>654549</v>
      </c>
      <c r="K307" s="146">
        <f t="shared" ref="K307" si="357">H307+(J307-H307)*(1-30/100)</f>
        <v>644843</v>
      </c>
      <c r="L307" s="382"/>
      <c r="M307" s="382"/>
      <c r="N307" s="382"/>
    </row>
    <row r="308" spans="1:14" s="383" customFormat="1" hidden="1" outlineLevel="3" x14ac:dyDescent="0.25">
      <c r="A308" s="363" t="s">
        <v>2555</v>
      </c>
      <c r="B308" s="381" t="s">
        <v>1643</v>
      </c>
      <c r="C308" s="381" t="s">
        <v>1625</v>
      </c>
      <c r="D308" s="100" t="s">
        <v>300</v>
      </c>
      <c r="E308" s="100">
        <f>320+66.2</f>
        <v>386.2</v>
      </c>
      <c r="F308" s="220">
        <f>(6554)*(1.023*1.005-2.3%*15%)*6.99+0*4.09</f>
        <v>46942</v>
      </c>
      <c r="G308" s="145">
        <f t="shared" si="354"/>
        <v>1.1279999999999999</v>
      </c>
      <c r="H308" s="146">
        <f t="shared" ref="H308" si="358">F308*G308</f>
        <v>52951</v>
      </c>
      <c r="I308" s="145">
        <f>Дефляторы!$D$25</f>
        <v>1.052</v>
      </c>
      <c r="J308" s="146">
        <f t="shared" ref="J308" si="359">H308*I308</f>
        <v>55704</v>
      </c>
      <c r="K308" s="146">
        <f t="shared" ref="K308" si="360">H308+(J308-H308)*(1-30/100)</f>
        <v>54878</v>
      </c>
      <c r="L308" s="382"/>
      <c r="M308" s="382"/>
      <c r="N308" s="382"/>
    </row>
    <row r="309" spans="1:14" s="383" customFormat="1" ht="47.25" hidden="1" outlineLevel="3" x14ac:dyDescent="0.25">
      <c r="A309" s="363" t="s">
        <v>2556</v>
      </c>
      <c r="B309" s="381" t="s">
        <v>1644</v>
      </c>
      <c r="C309" s="381" t="s">
        <v>1627</v>
      </c>
      <c r="D309" s="100" t="s">
        <v>300</v>
      </c>
      <c r="E309" s="100">
        <f>65.8</f>
        <v>65.8</v>
      </c>
      <c r="F309" s="220">
        <f>(2228)*(1.023*1.005-2.3%*15%)*6.99+0*4.09</f>
        <v>15958</v>
      </c>
      <c r="G309" s="145">
        <f t="shared" si="354"/>
        <v>1.1279999999999999</v>
      </c>
      <c r="H309" s="146">
        <f t="shared" ref="H309" si="361">F309*G309</f>
        <v>18001</v>
      </c>
      <c r="I309" s="145">
        <f>Дефляторы!$D$25</f>
        <v>1.052</v>
      </c>
      <c r="J309" s="146">
        <f t="shared" ref="J309" si="362">H309*I309</f>
        <v>18937</v>
      </c>
      <c r="K309" s="146">
        <f t="shared" ref="K309" si="363">H309+(J309-H309)*(1-30/100)</f>
        <v>18656</v>
      </c>
      <c r="L309" s="382" t="s">
        <v>1645</v>
      </c>
      <c r="M309" s="382"/>
      <c r="N309" s="382"/>
    </row>
    <row r="310" spans="1:14" s="383" customFormat="1" ht="31.5" hidden="1" outlineLevel="3" x14ac:dyDescent="0.25">
      <c r="A310" s="363" t="s">
        <v>2557</v>
      </c>
      <c r="B310" s="381" t="s">
        <v>1646</v>
      </c>
      <c r="C310" s="381" t="s">
        <v>1051</v>
      </c>
      <c r="D310" s="100" t="s">
        <v>300</v>
      </c>
      <c r="E310" s="100">
        <f>320.4</f>
        <v>320.39999999999998</v>
      </c>
      <c r="F310" s="220">
        <f>(4123)*(1.023*1.005-2.3%*15%)*6.99+0*4.09</f>
        <v>29531</v>
      </c>
      <c r="G310" s="145">
        <f t="shared" si="354"/>
        <v>1.1279999999999999</v>
      </c>
      <c r="H310" s="146">
        <f t="shared" ref="H310" si="364">F310*G310</f>
        <v>33311</v>
      </c>
      <c r="I310" s="145">
        <f>Дефляторы!$D$25</f>
        <v>1.052</v>
      </c>
      <c r="J310" s="146">
        <f t="shared" ref="J310" si="365">H310*I310</f>
        <v>35043</v>
      </c>
      <c r="K310" s="146">
        <f t="shared" ref="K310" si="366">H310+(J310-H310)*(1-30/100)</f>
        <v>34523</v>
      </c>
      <c r="L310" s="382"/>
      <c r="M310" s="382"/>
      <c r="N310" s="382"/>
    </row>
    <row r="311" spans="1:14" s="383" customFormat="1" hidden="1" outlineLevel="3" x14ac:dyDescent="0.25">
      <c r="A311" s="363" t="s">
        <v>2558</v>
      </c>
      <c r="B311" s="381" t="s">
        <v>1647</v>
      </c>
      <c r="C311" s="381" t="s">
        <v>1630</v>
      </c>
      <c r="D311" s="100" t="s">
        <v>300</v>
      </c>
      <c r="E311" s="100">
        <f>53.04</f>
        <v>53.04</v>
      </c>
      <c r="F311" s="220">
        <f>(198554)*(1.023*1.005-2.3%*15%)*6.99+0*4.09</f>
        <v>1422125</v>
      </c>
      <c r="G311" s="145">
        <f t="shared" si="354"/>
        <v>1.1279999999999999</v>
      </c>
      <c r="H311" s="146">
        <f t="shared" ref="H311" si="367">F311*G311</f>
        <v>1604157</v>
      </c>
      <c r="I311" s="145">
        <f>Дефляторы!$D$25</f>
        <v>1.052</v>
      </c>
      <c r="J311" s="146">
        <f t="shared" ref="J311" si="368">H311*I311</f>
        <v>1687573</v>
      </c>
      <c r="K311" s="146">
        <f t="shared" ref="K311" si="369">H311+(J311-H311)*(1-30/100)</f>
        <v>1662548</v>
      </c>
      <c r="L311" s="382"/>
      <c r="M311" s="382"/>
      <c r="N311" s="382"/>
    </row>
    <row r="312" spans="1:14" s="383" customFormat="1" hidden="1" outlineLevel="3" x14ac:dyDescent="0.25">
      <c r="A312" s="363" t="s">
        <v>2559</v>
      </c>
      <c r="B312" s="381" t="s">
        <v>1649</v>
      </c>
      <c r="C312" s="381" t="s">
        <v>1648</v>
      </c>
      <c r="D312" s="100" t="s">
        <v>300</v>
      </c>
      <c r="E312" s="100">
        <f>5.76</f>
        <v>5.76</v>
      </c>
      <c r="F312" s="220">
        <f>(29176)*(1.023*1.005-2.3%*15%)*6.99+0*4.09</f>
        <v>208970</v>
      </c>
      <c r="G312" s="145">
        <f t="shared" si="354"/>
        <v>1.1279999999999999</v>
      </c>
      <c r="H312" s="146">
        <f t="shared" ref="H312" si="370">F312*G312</f>
        <v>235718</v>
      </c>
      <c r="I312" s="145">
        <f>Дефляторы!$D$25</f>
        <v>1.052</v>
      </c>
      <c r="J312" s="146">
        <f t="shared" ref="J312" si="371">H312*I312</f>
        <v>247975</v>
      </c>
      <c r="K312" s="146">
        <f t="shared" ref="K312" si="372">H312+(J312-H312)*(1-30/100)</f>
        <v>244298</v>
      </c>
      <c r="L312" s="382"/>
      <c r="M312" s="382"/>
      <c r="N312" s="382"/>
    </row>
    <row r="313" spans="1:14" s="383" customFormat="1" hidden="1" outlineLevel="3" x14ac:dyDescent="0.25">
      <c r="A313" s="363"/>
      <c r="B313" s="381"/>
      <c r="C313" s="381" t="s">
        <v>1614</v>
      </c>
      <c r="D313" s="100"/>
      <c r="E313" s="100"/>
      <c r="F313" s="149"/>
      <c r="G313" s="145"/>
      <c r="H313" s="146"/>
      <c r="I313" s="145">
        <f>Дефляторы!$D$25</f>
        <v>1.052</v>
      </c>
      <c r="J313" s="146"/>
      <c r="K313" s="146"/>
      <c r="L313" s="382"/>
      <c r="M313" s="382"/>
      <c r="N313" s="382"/>
    </row>
    <row r="314" spans="1:14" s="383" customFormat="1" ht="63" hidden="1" outlineLevel="3" x14ac:dyDescent="0.25">
      <c r="A314" s="363" t="s">
        <v>2560</v>
      </c>
      <c r="B314" s="381" t="s">
        <v>1616</v>
      </c>
      <c r="C314" s="381" t="s">
        <v>1615</v>
      </c>
      <c r="D314" s="100" t="s">
        <v>408</v>
      </c>
      <c r="E314" s="149">
        <v>2</v>
      </c>
      <c r="F314" s="220">
        <f>(3489)*(1.023*1.005-2.3%*15%)*6.99+5297474*4.09-2</f>
        <v>21691656</v>
      </c>
      <c r="G314" s="145">
        <f t="shared" ref="G314:G320" si="373">$G$831</f>
        <v>1.1279999999999999</v>
      </c>
      <c r="H314" s="146">
        <f t="shared" ref="H314" si="374">F314*G314</f>
        <v>24468188</v>
      </c>
      <c r="I314" s="145">
        <f>Дефляторы!$D$25</f>
        <v>1.052</v>
      </c>
      <c r="J314" s="146">
        <f t="shared" ref="J314" si="375">H314*I314</f>
        <v>25740534</v>
      </c>
      <c r="K314" s="146">
        <f t="shared" ref="K314" si="376">H314+(J314-H314)*(1-30/100)</f>
        <v>25358830</v>
      </c>
      <c r="L314" s="382"/>
      <c r="M314" s="382"/>
      <c r="N314" s="382"/>
    </row>
    <row r="315" spans="1:14" s="383" customFormat="1" ht="110.25" hidden="1" outlineLevel="3" x14ac:dyDescent="0.25">
      <c r="A315" s="363" t="s">
        <v>2561</v>
      </c>
      <c r="B315" s="381" t="s">
        <v>1618</v>
      </c>
      <c r="C315" s="381" t="s">
        <v>1617</v>
      </c>
      <c r="D315" s="100" t="s">
        <v>408</v>
      </c>
      <c r="E315" s="149">
        <v>1</v>
      </c>
      <c r="F315" s="220">
        <f>(1392)*(1.023*1.005-2.3%*15%)*6.99+461654*4.09</f>
        <v>1898135</v>
      </c>
      <c r="G315" s="145">
        <f t="shared" si="373"/>
        <v>1.1279999999999999</v>
      </c>
      <c r="H315" s="146">
        <f t="shared" ref="H315:H316" si="377">F315*G315</f>
        <v>2141096</v>
      </c>
      <c r="I315" s="145">
        <f>Дефляторы!$D$25</f>
        <v>1.052</v>
      </c>
      <c r="J315" s="146">
        <f t="shared" ref="J315:J316" si="378">H315*I315</f>
        <v>2252433</v>
      </c>
      <c r="K315" s="146">
        <f t="shared" ref="K315:K316" si="379">H315+(J315-H315)*(1-30/100)</f>
        <v>2219032</v>
      </c>
      <c r="L315" s="382"/>
      <c r="M315" s="382"/>
      <c r="N315" s="382"/>
    </row>
    <row r="316" spans="1:14" s="383" customFormat="1" hidden="1" outlineLevel="3" x14ac:dyDescent="0.25">
      <c r="A316" s="363" t="s">
        <v>2562</v>
      </c>
      <c r="B316" s="381" t="s">
        <v>793</v>
      </c>
      <c r="C316" s="381" t="s">
        <v>2453</v>
      </c>
      <c r="D316" s="100" t="s">
        <v>292</v>
      </c>
      <c r="E316" s="149">
        <v>1</v>
      </c>
      <c r="F316" s="220">
        <f>(15028*(1.023*1.005-2.3%*15%)*6.99+210588*4.09)/3</f>
        <v>322981</v>
      </c>
      <c r="G316" s="145">
        <f t="shared" si="373"/>
        <v>1.1279999999999999</v>
      </c>
      <c r="H316" s="146">
        <f t="shared" si="377"/>
        <v>364323</v>
      </c>
      <c r="I316" s="145">
        <f>Дефляторы!$D$25</f>
        <v>1.052</v>
      </c>
      <c r="J316" s="146">
        <f t="shared" si="378"/>
        <v>383268</v>
      </c>
      <c r="K316" s="146">
        <f t="shared" si="379"/>
        <v>377585</v>
      </c>
      <c r="L316" s="396"/>
      <c r="M316" s="382"/>
      <c r="N316" s="382"/>
    </row>
    <row r="317" spans="1:14" s="383" customFormat="1" ht="31.5" hidden="1" outlineLevel="3" collapsed="1" x14ac:dyDescent="0.25">
      <c r="A317" s="363" t="s">
        <v>2568</v>
      </c>
      <c r="B317" s="381" t="s">
        <v>188</v>
      </c>
      <c r="C317" s="381" t="s">
        <v>189</v>
      </c>
      <c r="D317" s="100" t="s">
        <v>292</v>
      </c>
      <c r="E317" s="149">
        <v>1</v>
      </c>
      <c r="F317" s="220">
        <f>SUM(F318:F319)</f>
        <v>74701</v>
      </c>
      <c r="G317" s="145">
        <f t="shared" si="373"/>
        <v>1.1279999999999999</v>
      </c>
      <c r="H317" s="149">
        <f>SUM(H318:H319)</f>
        <v>84262</v>
      </c>
      <c r="I317" s="145">
        <f>Дефляторы!$D$25</f>
        <v>1.052</v>
      </c>
      <c r="J317" s="149">
        <f>SUM(J318:J319)</f>
        <v>88644</v>
      </c>
      <c r="K317" s="149">
        <f>SUM(K318:K319)</f>
        <v>87329</v>
      </c>
      <c r="L317" s="382"/>
      <c r="M317" s="382"/>
      <c r="N317" s="382"/>
    </row>
    <row r="318" spans="1:14" s="383" customFormat="1" ht="31.5" hidden="1" outlineLevel="4" x14ac:dyDescent="0.25">
      <c r="A318" s="363" t="s">
        <v>2569</v>
      </c>
      <c r="B318" s="381" t="s">
        <v>1306</v>
      </c>
      <c r="C318" s="381" t="s">
        <v>1305</v>
      </c>
      <c r="D318" s="100" t="s">
        <v>292</v>
      </c>
      <c r="E318" s="149">
        <v>1</v>
      </c>
      <c r="F318" s="220">
        <f>(7881)*(1.023*1.005-2.3%*15%)*6.99+1697*4.09+61</f>
        <v>63449</v>
      </c>
      <c r="G318" s="145">
        <f t="shared" si="373"/>
        <v>1.1279999999999999</v>
      </c>
      <c r="H318" s="146">
        <f t="shared" ref="H318" si="380">F318*G318</f>
        <v>71570</v>
      </c>
      <c r="I318" s="145">
        <f>Дефляторы!$D$25</f>
        <v>1.052</v>
      </c>
      <c r="J318" s="146">
        <f t="shared" ref="J318" si="381">H318*I318</f>
        <v>75292</v>
      </c>
      <c r="K318" s="146">
        <f t="shared" ref="K318" si="382">H318+(J318-H318)*(1-30/100)</f>
        <v>74175</v>
      </c>
      <c r="L318" s="382"/>
      <c r="M318" s="382"/>
      <c r="N318" s="382"/>
    </row>
    <row r="319" spans="1:14" s="383" customFormat="1" ht="31.5" hidden="1" outlineLevel="4" x14ac:dyDescent="0.25">
      <c r="A319" s="363" t="s">
        <v>2570</v>
      </c>
      <c r="B319" s="381" t="s">
        <v>1308</v>
      </c>
      <c r="C319" s="381" t="s">
        <v>1307</v>
      </c>
      <c r="D319" s="100" t="s">
        <v>292</v>
      </c>
      <c r="E319" s="149">
        <v>1</v>
      </c>
      <c r="F319" s="220">
        <f>(1523)*(1.023*1.005-2.3%*15%)*6.99+84*4.09</f>
        <v>11252</v>
      </c>
      <c r="G319" s="145">
        <f t="shared" si="373"/>
        <v>1.1279999999999999</v>
      </c>
      <c r="H319" s="146">
        <f t="shared" ref="H319" si="383">F319*G319</f>
        <v>12692</v>
      </c>
      <c r="I319" s="145">
        <f>Дефляторы!$D$25</f>
        <v>1.052</v>
      </c>
      <c r="J319" s="146">
        <f t="shared" ref="J319" si="384">H319*I319</f>
        <v>13352</v>
      </c>
      <c r="K319" s="146">
        <f t="shared" ref="K319" si="385">H319+(J319-H319)*(1-30/100)</f>
        <v>13154</v>
      </c>
      <c r="L319" s="382"/>
      <c r="M319" s="382"/>
      <c r="N319" s="382"/>
    </row>
    <row r="320" spans="1:14" s="385" customFormat="1" outlineLevel="2" collapsed="1" x14ac:dyDescent="0.25">
      <c r="A320" s="132" t="s">
        <v>2571</v>
      </c>
      <c r="B320" s="320"/>
      <c r="C320" s="133" t="s">
        <v>2372</v>
      </c>
      <c r="D320" s="134" t="s">
        <v>292</v>
      </c>
      <c r="E320" s="90">
        <v>1</v>
      </c>
      <c r="F320" s="90">
        <f>SUM(F321:F336)</f>
        <v>3260716</v>
      </c>
      <c r="G320" s="135">
        <f t="shared" si="373"/>
        <v>1.1279999999999999</v>
      </c>
      <c r="H320" s="90">
        <f>SUM(H321:H336)</f>
        <v>3678087</v>
      </c>
      <c r="I320" s="135">
        <f>Дефляторы!$D$25</f>
        <v>1.052</v>
      </c>
      <c r="J320" s="90">
        <f>SUM(J321:J336)</f>
        <v>3869348</v>
      </c>
      <c r="K320" s="90">
        <f>SUM(K321:K336)</f>
        <v>3811970</v>
      </c>
    </row>
    <row r="321" spans="1:14" s="383" customFormat="1" ht="31.5" hidden="1" outlineLevel="3" x14ac:dyDescent="0.25">
      <c r="A321" s="363"/>
      <c r="B321" s="381"/>
      <c r="C321" s="390" t="s">
        <v>1623</v>
      </c>
      <c r="D321" s="100"/>
      <c r="E321" s="100"/>
      <c r="F321" s="149"/>
      <c r="G321" s="145"/>
      <c r="H321" s="146"/>
      <c r="I321" s="145">
        <f>Дефляторы!$D$25</f>
        <v>1.052</v>
      </c>
      <c r="J321" s="146"/>
      <c r="K321" s="146"/>
      <c r="L321" s="382"/>
      <c r="M321" s="382"/>
      <c r="N321" s="382"/>
    </row>
    <row r="322" spans="1:14" s="383" customFormat="1" hidden="1" outlineLevel="3" x14ac:dyDescent="0.25">
      <c r="A322" s="363"/>
      <c r="B322" s="381"/>
      <c r="C322" s="381" t="s">
        <v>367</v>
      </c>
      <c r="D322" s="100"/>
      <c r="E322" s="100"/>
      <c r="F322" s="149"/>
      <c r="G322" s="145"/>
      <c r="H322" s="146"/>
      <c r="I322" s="145">
        <f>Дефляторы!$D$25</f>
        <v>1.052</v>
      </c>
      <c r="J322" s="146"/>
      <c r="K322" s="146"/>
      <c r="L322" s="382"/>
      <c r="M322" s="382"/>
      <c r="N322" s="382"/>
    </row>
    <row r="323" spans="1:14" s="383" customFormat="1" ht="31.5" hidden="1" outlineLevel="3" x14ac:dyDescent="0.25">
      <c r="A323" s="363" t="s">
        <v>2572</v>
      </c>
      <c r="B323" s="381" t="s">
        <v>1624</v>
      </c>
      <c r="C323" s="381" t="s">
        <v>356</v>
      </c>
      <c r="D323" s="100" t="s">
        <v>300</v>
      </c>
      <c r="E323" s="100">
        <f>122.5</f>
        <v>122.5</v>
      </c>
      <c r="F323" s="220">
        <f>(24427)*(1.023*1.005-2.3%*15%)*6.99+0*4.09+13</f>
        <v>174969</v>
      </c>
      <c r="G323" s="145">
        <f t="shared" ref="G323:G337" si="386">$G$831</f>
        <v>1.1279999999999999</v>
      </c>
      <c r="H323" s="146">
        <f t="shared" ref="H323" si="387">F323*G323</f>
        <v>197365</v>
      </c>
      <c r="I323" s="145">
        <f>Дефляторы!$D$25</f>
        <v>1.052</v>
      </c>
      <c r="J323" s="146">
        <f t="shared" ref="J323" si="388">H323*I323</f>
        <v>207628</v>
      </c>
      <c r="K323" s="146">
        <f t="shared" ref="K323" si="389">H323+(J323-H323)*(1-30/100)</f>
        <v>204549</v>
      </c>
      <c r="L323" s="382"/>
      <c r="M323" s="382"/>
      <c r="N323" s="382"/>
    </row>
    <row r="324" spans="1:14" s="383" customFormat="1" hidden="1" outlineLevel="3" x14ac:dyDescent="0.25">
      <c r="A324" s="363" t="s">
        <v>2573</v>
      </c>
      <c r="B324" s="381" t="s">
        <v>1626</v>
      </c>
      <c r="C324" s="381" t="s">
        <v>1625</v>
      </c>
      <c r="D324" s="100" t="s">
        <v>300</v>
      </c>
      <c r="E324" s="100">
        <f>85.6</f>
        <v>85.6</v>
      </c>
      <c r="F324" s="220">
        <f>(1451)*(1.023*1.005-2.3%*15%)*6.99+0*4.09</f>
        <v>10393</v>
      </c>
      <c r="G324" s="145">
        <f t="shared" si="386"/>
        <v>1.1279999999999999</v>
      </c>
      <c r="H324" s="146">
        <f t="shared" ref="H324" si="390">F324*G324</f>
        <v>11723</v>
      </c>
      <c r="I324" s="145">
        <f>Дефляторы!$D$25</f>
        <v>1.052</v>
      </c>
      <c r="J324" s="146">
        <f t="shared" ref="J324" si="391">H324*I324</f>
        <v>12333</v>
      </c>
      <c r="K324" s="146">
        <f t="shared" ref="K324" si="392">H324+(J324-H324)*(1-30/100)</f>
        <v>12150</v>
      </c>
      <c r="L324" s="382"/>
      <c r="M324" s="382"/>
      <c r="N324" s="382"/>
    </row>
    <row r="325" spans="1:14" s="383" customFormat="1" ht="47.25" hidden="1" outlineLevel="3" x14ac:dyDescent="0.25">
      <c r="A325" s="363" t="s">
        <v>2574</v>
      </c>
      <c r="B325" s="381" t="s">
        <v>1628</v>
      </c>
      <c r="C325" s="381" t="s">
        <v>1627</v>
      </c>
      <c r="D325" s="100" t="s">
        <v>300</v>
      </c>
      <c r="E325" s="100">
        <f>36.9</f>
        <v>36.9</v>
      </c>
      <c r="F325" s="220">
        <f>(1250)*(1.023*1.005-2.3%*15%)*6.99+0*4.09</f>
        <v>8953</v>
      </c>
      <c r="G325" s="145">
        <f t="shared" si="386"/>
        <v>1.1279999999999999</v>
      </c>
      <c r="H325" s="146">
        <f t="shared" ref="H325" si="393">F325*G325</f>
        <v>10099</v>
      </c>
      <c r="I325" s="145">
        <f>Дефляторы!$D$25</f>
        <v>1.052</v>
      </c>
      <c r="J325" s="146">
        <f t="shared" ref="J325" si="394">H325*I325</f>
        <v>10624</v>
      </c>
      <c r="K325" s="146">
        <f t="shared" ref="K325" si="395">H325+(J325-H325)*(1-30/100)</f>
        <v>10467</v>
      </c>
      <c r="L325" s="382"/>
      <c r="M325" s="382"/>
      <c r="N325" s="382"/>
    </row>
    <row r="326" spans="1:14" s="383" customFormat="1" ht="31.5" hidden="1" outlineLevel="3" x14ac:dyDescent="0.25">
      <c r="A326" s="363" t="s">
        <v>2575</v>
      </c>
      <c r="B326" s="381" t="s">
        <v>1629</v>
      </c>
      <c r="C326" s="381" t="s">
        <v>1051</v>
      </c>
      <c r="D326" s="100" t="s">
        <v>300</v>
      </c>
      <c r="E326" s="100">
        <f>85.6</f>
        <v>85.6</v>
      </c>
      <c r="F326" s="220">
        <f>(1103)*(1.023*1.005-2.3%*15%)*6.99+0*4.09</f>
        <v>7900</v>
      </c>
      <c r="G326" s="145">
        <f t="shared" si="386"/>
        <v>1.1279999999999999</v>
      </c>
      <c r="H326" s="146">
        <f t="shared" ref="H326" si="396">F326*G326</f>
        <v>8911</v>
      </c>
      <c r="I326" s="145">
        <f>Дефляторы!$D$25</f>
        <v>1.052</v>
      </c>
      <c r="J326" s="146">
        <f t="shared" ref="J326" si="397">H326*I326</f>
        <v>9374</v>
      </c>
      <c r="K326" s="146">
        <f t="shared" ref="K326" si="398">H326+(J326-H326)*(1-30/100)</f>
        <v>9235</v>
      </c>
      <c r="L326" s="382"/>
      <c r="M326" s="382"/>
      <c r="N326" s="382"/>
    </row>
    <row r="327" spans="1:14" s="383" customFormat="1" hidden="1" outlineLevel="3" x14ac:dyDescent="0.25">
      <c r="A327" s="363" t="s">
        <v>2576</v>
      </c>
      <c r="B327" s="381" t="s">
        <v>1631</v>
      </c>
      <c r="C327" s="381" t="s">
        <v>1630</v>
      </c>
      <c r="D327" s="100" t="s">
        <v>300</v>
      </c>
      <c r="E327" s="100">
        <f>17.51</f>
        <v>17.510000000000002</v>
      </c>
      <c r="F327" s="220">
        <f>(70955)*(1.023*1.005-2.3%*15%)*6.99+0*4.09</f>
        <v>508209</v>
      </c>
      <c r="G327" s="145">
        <f t="shared" si="386"/>
        <v>1.1279999999999999</v>
      </c>
      <c r="H327" s="146">
        <f t="shared" ref="H327" si="399">F327*G327</f>
        <v>573260</v>
      </c>
      <c r="I327" s="145">
        <f>Дефляторы!$D$25</f>
        <v>1.052</v>
      </c>
      <c r="J327" s="146">
        <f t="shared" ref="J327" si="400">H327*I327</f>
        <v>603070</v>
      </c>
      <c r="K327" s="146">
        <f t="shared" ref="K327" si="401">H327+(J327-H327)*(1-30/100)</f>
        <v>594127</v>
      </c>
      <c r="L327" s="382"/>
      <c r="M327" s="382"/>
      <c r="N327" s="382"/>
    </row>
    <row r="328" spans="1:14" s="383" customFormat="1" ht="220.5" hidden="1" outlineLevel="3" x14ac:dyDescent="0.25">
      <c r="A328" s="363" t="s">
        <v>2577</v>
      </c>
      <c r="B328" s="381" t="s">
        <v>1723</v>
      </c>
      <c r="C328" s="381" t="s">
        <v>1722</v>
      </c>
      <c r="D328" s="100" t="s">
        <v>408</v>
      </c>
      <c r="E328" s="100">
        <v>2</v>
      </c>
      <c r="F328" s="220">
        <f>(26423)*(1.023*1.005-2.3%*15%)*6.99+344336*4.09</f>
        <v>1597587</v>
      </c>
      <c r="G328" s="145">
        <f t="shared" si="386"/>
        <v>1.1279999999999999</v>
      </c>
      <c r="H328" s="146">
        <f t="shared" ref="H328" si="402">F328*G328</f>
        <v>1802078</v>
      </c>
      <c r="I328" s="145">
        <f>Дефляторы!$D$25</f>
        <v>1.052</v>
      </c>
      <c r="J328" s="146">
        <f t="shared" ref="J328" si="403">H328*I328</f>
        <v>1895786</v>
      </c>
      <c r="K328" s="146">
        <f t="shared" ref="K328" si="404">H328+(J328-H328)*(1-30/100)</f>
        <v>1867674</v>
      </c>
      <c r="L328" s="382"/>
      <c r="M328" s="382"/>
      <c r="N328" s="382"/>
    </row>
    <row r="329" spans="1:14" s="383" customFormat="1" ht="126" hidden="1" outlineLevel="3" x14ac:dyDescent="0.25">
      <c r="A329" s="363" t="s">
        <v>2578</v>
      </c>
      <c r="B329" s="381" t="s">
        <v>1724</v>
      </c>
      <c r="C329" s="381" t="s">
        <v>1725</v>
      </c>
      <c r="D329" s="100" t="s">
        <v>408</v>
      </c>
      <c r="E329" s="100">
        <v>1</v>
      </c>
      <c r="F329" s="220">
        <f>(8120)*(1.023*1.005-2.3%*15%)*6.99+29763*4.09</f>
        <v>179889</v>
      </c>
      <c r="G329" s="145">
        <f t="shared" si="386"/>
        <v>1.1279999999999999</v>
      </c>
      <c r="H329" s="146">
        <f t="shared" ref="H329" si="405">F329*G329</f>
        <v>202915</v>
      </c>
      <c r="I329" s="145">
        <f>Дефляторы!$D$25</f>
        <v>1.052</v>
      </c>
      <c r="J329" s="146">
        <f t="shared" ref="J329" si="406">H329*I329</f>
        <v>213467</v>
      </c>
      <c r="K329" s="146">
        <f t="shared" ref="K329" si="407">H329+(J329-H329)*(1-30/100)</f>
        <v>210301</v>
      </c>
      <c r="L329" s="382"/>
      <c r="M329" s="382"/>
      <c r="N329" s="382"/>
    </row>
    <row r="330" spans="1:14" s="383" customFormat="1" ht="47.25" hidden="1" outlineLevel="3" x14ac:dyDescent="0.25">
      <c r="A330" s="363" t="s">
        <v>2579</v>
      </c>
      <c r="B330" s="381" t="s">
        <v>1726</v>
      </c>
      <c r="C330" s="381" t="s">
        <v>1727</v>
      </c>
      <c r="D330" s="100" t="s">
        <v>408</v>
      </c>
      <c r="E330" s="100">
        <v>1</v>
      </c>
      <c r="F330" s="220">
        <f>(4834)*(1.023*1.005-2.3%*15%)*6.99+124188*4.09</f>
        <v>542552</v>
      </c>
      <c r="G330" s="145">
        <f t="shared" si="386"/>
        <v>1.1279999999999999</v>
      </c>
      <c r="H330" s="146">
        <f t="shared" ref="H330" si="408">F330*G330</f>
        <v>611999</v>
      </c>
      <c r="I330" s="145">
        <f>Дефляторы!$D$25</f>
        <v>1.052</v>
      </c>
      <c r="J330" s="146">
        <f t="shared" ref="J330" si="409">H330*I330</f>
        <v>643823</v>
      </c>
      <c r="K330" s="146">
        <f t="shared" ref="K330" si="410">H330+(J330-H330)*(1-30/100)</f>
        <v>634276</v>
      </c>
      <c r="L330" s="382"/>
      <c r="M330" s="382"/>
      <c r="N330" s="382"/>
    </row>
    <row r="331" spans="1:14" s="383" customFormat="1" hidden="1" outlineLevel="3" x14ac:dyDescent="0.25">
      <c r="A331" s="363" t="s">
        <v>2580</v>
      </c>
      <c r="B331" s="381" t="s">
        <v>1728</v>
      </c>
      <c r="C331" s="381" t="s">
        <v>1729</v>
      </c>
      <c r="D331" s="100" t="s">
        <v>408</v>
      </c>
      <c r="E331" s="100">
        <v>2</v>
      </c>
      <c r="F331" s="220">
        <f>(20605)*(1.023*1.005-2.3%*15%)*6.99+0*4.09</f>
        <v>147581</v>
      </c>
      <c r="G331" s="145">
        <f t="shared" si="386"/>
        <v>1.1279999999999999</v>
      </c>
      <c r="H331" s="146">
        <f t="shared" ref="H331" si="411">F331*G331</f>
        <v>166471</v>
      </c>
      <c r="I331" s="145">
        <f>Дефляторы!$D$25</f>
        <v>1.052</v>
      </c>
      <c r="J331" s="146">
        <f t="shared" ref="J331" si="412">H331*I331</f>
        <v>175127</v>
      </c>
      <c r="K331" s="146">
        <f t="shared" ref="K331" si="413">H331+(J331-H331)*(1-30/100)</f>
        <v>172530</v>
      </c>
      <c r="L331" s="382"/>
      <c r="M331" s="382"/>
      <c r="N331" s="382"/>
    </row>
    <row r="332" spans="1:14" s="383" customFormat="1" hidden="1" outlineLevel="3" x14ac:dyDescent="0.25">
      <c r="A332" s="363" t="s">
        <v>2581</v>
      </c>
      <c r="B332" s="381" t="s">
        <v>1731</v>
      </c>
      <c r="C332" s="381" t="s">
        <v>1730</v>
      </c>
      <c r="D332" s="100" t="s">
        <v>408</v>
      </c>
      <c r="E332" s="100">
        <v>2</v>
      </c>
      <c r="F332" s="220">
        <f>(129)*(1.023*1.005-2.3%*15%)*6.99+0*4.09</f>
        <v>924</v>
      </c>
      <c r="G332" s="145">
        <f t="shared" si="386"/>
        <v>1.1279999999999999</v>
      </c>
      <c r="H332" s="146">
        <f t="shared" ref="H332" si="414">F332*G332</f>
        <v>1042</v>
      </c>
      <c r="I332" s="145">
        <f>Дефляторы!$D$25</f>
        <v>1.052</v>
      </c>
      <c r="J332" s="146">
        <f t="shared" ref="J332" si="415">H332*I332</f>
        <v>1096</v>
      </c>
      <c r="K332" s="146">
        <f t="shared" ref="K332" si="416">H332+(J332-H332)*(1-30/100)</f>
        <v>1080</v>
      </c>
      <c r="L332" s="382"/>
      <c r="M332" s="382"/>
      <c r="N332" s="382"/>
    </row>
    <row r="333" spans="1:14" s="383" customFormat="1" ht="31.5" hidden="1" outlineLevel="3" x14ac:dyDescent="0.25">
      <c r="A333" s="363" t="s">
        <v>2582</v>
      </c>
      <c r="B333" s="381" t="s">
        <v>1733</v>
      </c>
      <c r="C333" s="381" t="s">
        <v>1732</v>
      </c>
      <c r="D333" s="100" t="s">
        <v>408</v>
      </c>
      <c r="E333" s="100">
        <v>4</v>
      </c>
      <c r="F333" s="220">
        <f>(5067)*(1.023*1.005-2.3%*15%)*6.99+0*4.09</f>
        <v>36292</v>
      </c>
      <c r="G333" s="145">
        <f t="shared" si="386"/>
        <v>1.1279999999999999</v>
      </c>
      <c r="H333" s="146">
        <f t="shared" ref="H333" si="417">F333*G333</f>
        <v>40937</v>
      </c>
      <c r="I333" s="145">
        <f>Дефляторы!$D$25</f>
        <v>1.052</v>
      </c>
      <c r="J333" s="146">
        <f t="shared" ref="J333" si="418">H333*I333</f>
        <v>43066</v>
      </c>
      <c r="K333" s="146">
        <f t="shared" ref="K333" si="419">H333+(J333-H333)*(1-30/100)</f>
        <v>42427</v>
      </c>
      <c r="L333" s="382"/>
      <c r="M333" s="382"/>
      <c r="N333" s="382"/>
    </row>
    <row r="334" spans="1:14" s="383" customFormat="1" ht="31.5" hidden="1" outlineLevel="3" x14ac:dyDescent="0.25">
      <c r="A334" s="363" t="s">
        <v>2583</v>
      </c>
      <c r="B334" s="381" t="s">
        <v>1735</v>
      </c>
      <c r="C334" s="381" t="s">
        <v>1734</v>
      </c>
      <c r="D334" s="100" t="s">
        <v>408</v>
      </c>
      <c r="E334" s="100">
        <v>1</v>
      </c>
      <c r="F334" s="220">
        <f>(5386)*(1.023*1.005-2.3%*15%)*6.99+0*4.09</f>
        <v>38577</v>
      </c>
      <c r="G334" s="145">
        <f t="shared" si="386"/>
        <v>1.1279999999999999</v>
      </c>
      <c r="H334" s="146">
        <f t="shared" ref="H334" si="420">F334*G334</f>
        <v>43515</v>
      </c>
      <c r="I334" s="145">
        <f>Дефляторы!$D$25</f>
        <v>1.052</v>
      </c>
      <c r="J334" s="146">
        <f t="shared" ref="J334" si="421">H334*I334</f>
        <v>45778</v>
      </c>
      <c r="K334" s="146">
        <f t="shared" ref="K334" si="422">H334+(J334-H334)*(1-30/100)</f>
        <v>45099</v>
      </c>
      <c r="L334" s="382"/>
      <c r="M334" s="382"/>
      <c r="N334" s="382"/>
    </row>
    <row r="335" spans="1:14" s="383" customFormat="1" hidden="1" outlineLevel="3" x14ac:dyDescent="0.25">
      <c r="A335" s="363" t="s">
        <v>2584</v>
      </c>
      <c r="B335" s="381" t="s">
        <v>1737</v>
      </c>
      <c r="C335" s="381" t="s">
        <v>1736</v>
      </c>
      <c r="D335" s="100" t="s">
        <v>408</v>
      </c>
      <c r="E335" s="100">
        <v>5</v>
      </c>
      <c r="F335" s="220">
        <f>(805)*(1.023*1.005-2.3%*15%)*6.99+0*4.09</f>
        <v>5766</v>
      </c>
      <c r="G335" s="145">
        <f t="shared" si="386"/>
        <v>1.1279999999999999</v>
      </c>
      <c r="H335" s="146">
        <f t="shared" ref="H335" si="423">F335*G335</f>
        <v>6504</v>
      </c>
      <c r="I335" s="145">
        <f>Дефляторы!$D$25</f>
        <v>1.052</v>
      </c>
      <c r="J335" s="146">
        <f t="shared" ref="J335" si="424">H335*I335</f>
        <v>6842</v>
      </c>
      <c r="K335" s="146">
        <f t="shared" ref="K335" si="425">H335+(J335-H335)*(1-30/100)</f>
        <v>6741</v>
      </c>
      <c r="L335" s="382"/>
      <c r="M335" s="382"/>
      <c r="N335" s="382"/>
    </row>
    <row r="336" spans="1:14" s="383" customFormat="1" hidden="1" outlineLevel="3" x14ac:dyDescent="0.25">
      <c r="A336" s="363" t="s">
        <v>2585</v>
      </c>
      <c r="B336" s="381" t="s">
        <v>1739</v>
      </c>
      <c r="C336" s="381" t="s">
        <v>1738</v>
      </c>
      <c r="D336" s="100" t="s">
        <v>408</v>
      </c>
      <c r="E336" s="100">
        <v>1</v>
      </c>
      <c r="F336" s="220">
        <f>(157)*(1.023*1.005-2.3%*15%)*6.99+0*4.09</f>
        <v>1124</v>
      </c>
      <c r="G336" s="145">
        <f t="shared" si="386"/>
        <v>1.1279999999999999</v>
      </c>
      <c r="H336" s="146">
        <f t="shared" ref="H336" si="426">F336*G336</f>
        <v>1268</v>
      </c>
      <c r="I336" s="145">
        <f>Дефляторы!$D$25</f>
        <v>1.052</v>
      </c>
      <c r="J336" s="146">
        <f t="shared" ref="J336" si="427">H336*I336</f>
        <v>1334</v>
      </c>
      <c r="K336" s="146">
        <f t="shared" ref="K336" si="428">H336+(J336-H336)*(1-30/100)</f>
        <v>1314</v>
      </c>
      <c r="L336" s="382"/>
      <c r="M336" s="382"/>
      <c r="N336" s="382"/>
    </row>
    <row r="337" spans="1:14" s="358" customFormat="1" ht="31.5" outlineLevel="2" collapsed="1" x14ac:dyDescent="0.25">
      <c r="A337" s="132" t="s">
        <v>2586</v>
      </c>
      <c r="B337" s="320" t="s">
        <v>37</v>
      </c>
      <c r="C337" s="320" t="s">
        <v>38</v>
      </c>
      <c r="D337" s="134" t="s">
        <v>292</v>
      </c>
      <c r="E337" s="90">
        <v>1</v>
      </c>
      <c r="F337" s="90">
        <f>SUM(F338:F376)</f>
        <v>21302935</v>
      </c>
      <c r="G337" s="135">
        <f t="shared" si="386"/>
        <v>1.1279999999999999</v>
      </c>
      <c r="H337" s="90">
        <f>SUM(H338:H376)</f>
        <v>24029710</v>
      </c>
      <c r="I337" s="135">
        <f>Дефляторы!$D$25</f>
        <v>1.052</v>
      </c>
      <c r="J337" s="90">
        <f>SUM(J338:J376)</f>
        <v>25279256</v>
      </c>
      <c r="K337" s="90">
        <f>SUM(K338:K376)</f>
        <v>24904395</v>
      </c>
      <c r="L337" s="389"/>
      <c r="M337" s="389"/>
      <c r="N337" s="389"/>
    </row>
    <row r="338" spans="1:14" s="383" customFormat="1" hidden="1" outlineLevel="3" x14ac:dyDescent="0.25">
      <c r="A338" s="363"/>
      <c r="B338" s="381"/>
      <c r="C338" s="381" t="s">
        <v>367</v>
      </c>
      <c r="D338" s="100"/>
      <c r="E338" s="100"/>
      <c r="F338" s="149"/>
      <c r="G338" s="145"/>
      <c r="H338" s="146"/>
      <c r="I338" s="145">
        <f>Дефляторы!$D$25</f>
        <v>1.052</v>
      </c>
      <c r="J338" s="146"/>
      <c r="K338" s="146"/>
      <c r="L338" s="382"/>
      <c r="M338" s="382"/>
      <c r="N338" s="382"/>
    </row>
    <row r="339" spans="1:14" s="383" customFormat="1" ht="31.5" hidden="1" outlineLevel="3" x14ac:dyDescent="0.25">
      <c r="A339" s="363" t="s">
        <v>2587</v>
      </c>
      <c r="B339" s="381" t="s">
        <v>499</v>
      </c>
      <c r="C339" s="381" t="s">
        <v>356</v>
      </c>
      <c r="D339" s="100" t="s">
        <v>300</v>
      </c>
      <c r="E339" s="100">
        <f>844.67</f>
        <v>844.67</v>
      </c>
      <c r="F339" s="220">
        <f>(168436)*(1.023*1.005-2.3%*15%)*6.99+0*4.09-67</f>
        <v>1206340</v>
      </c>
      <c r="G339" s="145">
        <f t="shared" ref="G339:G345" si="429">$G$831</f>
        <v>1.1279999999999999</v>
      </c>
      <c r="H339" s="146">
        <f t="shared" ref="H339:H345" si="430">F339*G339</f>
        <v>1360752</v>
      </c>
      <c r="I339" s="145">
        <f>Дефляторы!$D$25</f>
        <v>1.052</v>
      </c>
      <c r="J339" s="146">
        <f t="shared" ref="J339:J345" si="431">H339*I339</f>
        <v>1431511</v>
      </c>
      <c r="K339" s="146">
        <f t="shared" ref="K339:K345" si="432">H339+(J339-H339)*(1-30/100)</f>
        <v>1410283</v>
      </c>
      <c r="L339" s="382"/>
      <c r="M339" s="382"/>
      <c r="N339" s="382"/>
    </row>
    <row r="340" spans="1:14" s="383" customFormat="1" hidden="1" outlineLevel="3" x14ac:dyDescent="0.25">
      <c r="A340" s="363" t="s">
        <v>2588</v>
      </c>
      <c r="B340" s="381" t="s">
        <v>1422</v>
      </c>
      <c r="C340" s="381" t="s">
        <v>398</v>
      </c>
      <c r="D340" s="100" t="s">
        <v>300</v>
      </c>
      <c r="E340" s="100">
        <f>312.69</f>
        <v>312.69</v>
      </c>
      <c r="F340" s="220">
        <f>(5425)*(1.023*1.005-2.3%*15%)*6.99+0*4.09</f>
        <v>38856</v>
      </c>
      <c r="G340" s="145">
        <f t="shared" si="429"/>
        <v>1.1279999999999999</v>
      </c>
      <c r="H340" s="146">
        <f t="shared" si="430"/>
        <v>43830</v>
      </c>
      <c r="I340" s="145">
        <f>Дефляторы!$D$25</f>
        <v>1.052</v>
      </c>
      <c r="J340" s="146">
        <f t="shared" si="431"/>
        <v>46109</v>
      </c>
      <c r="K340" s="146">
        <f t="shared" si="432"/>
        <v>45425</v>
      </c>
      <c r="L340" s="382"/>
      <c r="M340" s="382"/>
      <c r="N340" s="382"/>
    </row>
    <row r="341" spans="1:14" s="383" customFormat="1" ht="47.25" hidden="1" outlineLevel="3" x14ac:dyDescent="0.25">
      <c r="A341" s="363" t="s">
        <v>2589</v>
      </c>
      <c r="B341" s="381" t="s">
        <v>1423</v>
      </c>
      <c r="C341" s="381" t="s">
        <v>1402</v>
      </c>
      <c r="D341" s="100" t="s">
        <v>300</v>
      </c>
      <c r="E341" s="100">
        <f>278.58</f>
        <v>278.58</v>
      </c>
      <c r="F341" s="220">
        <f>(10103)*(1.023*1.005-2.3%*15%)*6.99+0*4.09</f>
        <v>72362</v>
      </c>
      <c r="G341" s="145">
        <f t="shared" si="429"/>
        <v>1.1279999999999999</v>
      </c>
      <c r="H341" s="146">
        <f t="shared" si="430"/>
        <v>81624</v>
      </c>
      <c r="I341" s="145">
        <f>Дефляторы!$D$25</f>
        <v>1.052</v>
      </c>
      <c r="J341" s="146">
        <f t="shared" si="431"/>
        <v>85868</v>
      </c>
      <c r="K341" s="146">
        <f t="shared" si="432"/>
        <v>84595</v>
      </c>
      <c r="L341" s="382"/>
      <c r="M341" s="382"/>
      <c r="N341" s="382"/>
    </row>
    <row r="342" spans="1:14" s="383" customFormat="1" ht="31.5" hidden="1" outlineLevel="3" x14ac:dyDescent="0.25">
      <c r="A342" s="363" t="s">
        <v>2590</v>
      </c>
      <c r="B342" s="381" t="s">
        <v>1424</v>
      </c>
      <c r="C342" s="381" t="s">
        <v>1405</v>
      </c>
      <c r="D342" s="100" t="s">
        <v>300</v>
      </c>
      <c r="E342" s="100">
        <f>168.93</f>
        <v>168.93</v>
      </c>
      <c r="F342" s="220">
        <f>(22506)*(1.023*1.005-2.3%*15%)*6.99+0*4.09</f>
        <v>161197</v>
      </c>
      <c r="G342" s="145">
        <f t="shared" si="429"/>
        <v>1.1279999999999999</v>
      </c>
      <c r="H342" s="146">
        <f t="shared" si="430"/>
        <v>181830</v>
      </c>
      <c r="I342" s="145">
        <f>Дефляторы!$D$25</f>
        <v>1.052</v>
      </c>
      <c r="J342" s="146">
        <f t="shared" si="431"/>
        <v>191285</v>
      </c>
      <c r="K342" s="146">
        <f t="shared" si="432"/>
        <v>188449</v>
      </c>
      <c r="L342" s="382"/>
      <c r="M342" s="382"/>
      <c r="N342" s="382"/>
    </row>
    <row r="343" spans="1:14" s="383" customFormat="1" hidden="1" outlineLevel="3" x14ac:dyDescent="0.25">
      <c r="A343" s="363" t="s">
        <v>2591</v>
      </c>
      <c r="B343" s="381" t="s">
        <v>1425</v>
      </c>
      <c r="C343" s="381" t="s">
        <v>1406</v>
      </c>
      <c r="D343" s="100" t="s">
        <v>300</v>
      </c>
      <c r="E343" s="100">
        <f>84.47</f>
        <v>84.47</v>
      </c>
      <c r="F343" s="220">
        <f>(10389)*(1.023*1.005-2.3%*15%)*6.99+0*4.09</f>
        <v>74410</v>
      </c>
      <c r="G343" s="145">
        <f t="shared" si="429"/>
        <v>1.1279999999999999</v>
      </c>
      <c r="H343" s="146">
        <f t="shared" si="430"/>
        <v>83934</v>
      </c>
      <c r="I343" s="145">
        <f>Дефляторы!$D$25</f>
        <v>1.052</v>
      </c>
      <c r="J343" s="146">
        <f t="shared" si="431"/>
        <v>88299</v>
      </c>
      <c r="K343" s="146">
        <f t="shared" si="432"/>
        <v>86990</v>
      </c>
      <c r="L343" s="382"/>
      <c r="M343" s="382"/>
      <c r="N343" s="382"/>
    </row>
    <row r="344" spans="1:14" s="383" customFormat="1" ht="31.5" hidden="1" outlineLevel="3" x14ac:dyDescent="0.25">
      <c r="A344" s="363" t="s">
        <v>2592</v>
      </c>
      <c r="B344" s="381" t="s">
        <v>1426</v>
      </c>
      <c r="C344" s="381" t="s">
        <v>750</v>
      </c>
      <c r="D344" s="100" t="s">
        <v>300</v>
      </c>
      <c r="E344" s="100">
        <f>566.09</f>
        <v>566.09</v>
      </c>
      <c r="F344" s="220">
        <f>(7654)*(1.023*1.005-2.3%*15%)*6.99+0*4.09</f>
        <v>54821</v>
      </c>
      <c r="G344" s="145">
        <f t="shared" si="429"/>
        <v>1.1279999999999999</v>
      </c>
      <c r="H344" s="146">
        <f t="shared" si="430"/>
        <v>61838</v>
      </c>
      <c r="I344" s="145">
        <f>Дефляторы!$D$25</f>
        <v>1.052</v>
      </c>
      <c r="J344" s="146">
        <f t="shared" si="431"/>
        <v>65054</v>
      </c>
      <c r="K344" s="146">
        <f t="shared" si="432"/>
        <v>64089</v>
      </c>
      <c r="L344" s="382"/>
      <c r="M344" s="382"/>
      <c r="N344" s="382"/>
    </row>
    <row r="345" spans="1:14" s="383" customFormat="1" ht="47.25" hidden="1" outlineLevel="3" x14ac:dyDescent="0.25">
      <c r="A345" s="363" t="s">
        <v>2593</v>
      </c>
      <c r="B345" s="381" t="s">
        <v>1428</v>
      </c>
      <c r="C345" s="381" t="s">
        <v>1427</v>
      </c>
      <c r="D345" s="100" t="s">
        <v>377</v>
      </c>
      <c r="E345" s="100">
        <v>2396</v>
      </c>
      <c r="F345" s="220">
        <f>(571892)*(1.023*1.005-2.3%*15%)*6.99+0*4.09</f>
        <v>4096124</v>
      </c>
      <c r="G345" s="145">
        <f t="shared" si="429"/>
        <v>1.1279999999999999</v>
      </c>
      <c r="H345" s="146">
        <f t="shared" si="430"/>
        <v>4620428</v>
      </c>
      <c r="I345" s="145">
        <f>Дефляторы!$D$25</f>
        <v>1.052</v>
      </c>
      <c r="J345" s="146">
        <f t="shared" si="431"/>
        <v>4860690</v>
      </c>
      <c r="K345" s="146">
        <f t="shared" si="432"/>
        <v>4788611</v>
      </c>
      <c r="L345" s="396" t="s">
        <v>1411</v>
      </c>
      <c r="M345" s="382"/>
      <c r="N345" s="382"/>
    </row>
    <row r="346" spans="1:14" s="383" customFormat="1" hidden="1" outlineLevel="3" x14ac:dyDescent="0.25">
      <c r="A346" s="363"/>
      <c r="B346" s="381"/>
      <c r="C346" s="381" t="s">
        <v>379</v>
      </c>
      <c r="D346" s="100"/>
      <c r="E346" s="100"/>
      <c r="F346" s="149"/>
      <c r="G346" s="145"/>
      <c r="H346" s="146"/>
      <c r="I346" s="145">
        <f>Дефляторы!$D$25</f>
        <v>1.052</v>
      </c>
      <c r="J346" s="146"/>
      <c r="K346" s="146"/>
      <c r="L346" s="382"/>
      <c r="M346" s="382"/>
      <c r="N346" s="382"/>
    </row>
    <row r="347" spans="1:14" s="383" customFormat="1" hidden="1" outlineLevel="3" x14ac:dyDescent="0.25">
      <c r="A347" s="363" t="s">
        <v>2594</v>
      </c>
      <c r="B347" s="381" t="s">
        <v>1430</v>
      </c>
      <c r="C347" s="381" t="s">
        <v>1429</v>
      </c>
      <c r="D347" s="100" t="s">
        <v>377</v>
      </c>
      <c r="E347" s="100">
        <v>10</v>
      </c>
      <c r="F347" s="220">
        <f>(1067)*(1.023*1.005-2.3%*15%)*6.99+0*4.09</f>
        <v>7642</v>
      </c>
      <c r="G347" s="145">
        <f t="shared" ref="G347:G377" si="433">$G$831</f>
        <v>1.1279999999999999</v>
      </c>
      <c r="H347" s="146">
        <f t="shared" ref="H347" si="434">F347*G347</f>
        <v>8620</v>
      </c>
      <c r="I347" s="145">
        <f>Дефляторы!$D$25</f>
        <v>1.052</v>
      </c>
      <c r="J347" s="146">
        <f t="shared" ref="J347" si="435">H347*I347</f>
        <v>9068</v>
      </c>
      <c r="K347" s="146">
        <f t="shared" ref="K347" si="436">H347+(J347-H347)*(1-30/100)</f>
        <v>8934</v>
      </c>
      <c r="L347" s="382"/>
      <c r="M347" s="382"/>
      <c r="N347" s="382"/>
    </row>
    <row r="348" spans="1:14" s="383" customFormat="1" ht="47.25" hidden="1" outlineLevel="3" x14ac:dyDescent="0.25">
      <c r="A348" s="363" t="s">
        <v>2595</v>
      </c>
      <c r="B348" s="381" t="s">
        <v>1432</v>
      </c>
      <c r="C348" s="381" t="s">
        <v>1431</v>
      </c>
      <c r="D348" s="100" t="s">
        <v>377</v>
      </c>
      <c r="E348" s="100">
        <v>180</v>
      </c>
      <c r="F348" s="220">
        <f>(45395)*(1.023*1.005-2.3%*15%)*6.99+0*4.09</f>
        <v>325138</v>
      </c>
      <c r="G348" s="145">
        <f t="shared" si="433"/>
        <v>1.1279999999999999</v>
      </c>
      <c r="H348" s="146">
        <f t="shared" ref="H348:H354" si="437">F348*G348</f>
        <v>366756</v>
      </c>
      <c r="I348" s="145">
        <f>Дефляторы!$D$25</f>
        <v>1.052</v>
      </c>
      <c r="J348" s="146">
        <f t="shared" ref="J348:J354" si="438">H348*I348</f>
        <v>385827</v>
      </c>
      <c r="K348" s="146">
        <f t="shared" ref="K348:K354" si="439">H348+(J348-H348)*(1-30/100)</f>
        <v>380106</v>
      </c>
      <c r="L348" s="382"/>
      <c r="M348" s="382"/>
      <c r="N348" s="382"/>
    </row>
    <row r="349" spans="1:14" s="383" customFormat="1" hidden="1" outlineLevel="3" x14ac:dyDescent="0.25">
      <c r="A349" s="363" t="s">
        <v>2596</v>
      </c>
      <c r="B349" s="381" t="s">
        <v>1435</v>
      </c>
      <c r="C349" s="381" t="s">
        <v>1433</v>
      </c>
      <c r="D349" s="100" t="s">
        <v>377</v>
      </c>
      <c r="E349" s="100">
        <v>7</v>
      </c>
      <c r="F349" s="220">
        <f>(4510)*(1.023*1.005-2.3%*15%)*6.99+0*4.09</f>
        <v>32302</v>
      </c>
      <c r="G349" s="145">
        <f t="shared" si="433"/>
        <v>1.1279999999999999</v>
      </c>
      <c r="H349" s="146">
        <f t="shared" si="437"/>
        <v>36437</v>
      </c>
      <c r="I349" s="145">
        <f>Дефляторы!$D$25</f>
        <v>1.052</v>
      </c>
      <c r="J349" s="146">
        <f t="shared" si="438"/>
        <v>38332</v>
      </c>
      <c r="K349" s="146">
        <f t="shared" si="439"/>
        <v>37764</v>
      </c>
      <c r="L349" s="382"/>
      <c r="M349" s="382"/>
      <c r="N349" s="382"/>
    </row>
    <row r="350" spans="1:14" s="383" customFormat="1" hidden="1" outlineLevel="3" x14ac:dyDescent="0.25">
      <c r="A350" s="363" t="s">
        <v>2597</v>
      </c>
      <c r="B350" s="381" t="s">
        <v>1436</v>
      </c>
      <c r="C350" s="381" t="s">
        <v>1434</v>
      </c>
      <c r="D350" s="100" t="s">
        <v>377</v>
      </c>
      <c r="E350" s="100">
        <v>1955</v>
      </c>
      <c r="F350" s="220">
        <f>(1027302)*(1.023*1.005-2.3%*15%)*6.99+0*4.09-41.27</f>
        <v>7357915</v>
      </c>
      <c r="G350" s="145">
        <f t="shared" si="433"/>
        <v>1.1279999999999999</v>
      </c>
      <c r="H350" s="146">
        <f t="shared" ref="H350" si="440">F350*G350</f>
        <v>8299728</v>
      </c>
      <c r="I350" s="145">
        <f>Дефляторы!$D$25</f>
        <v>1.052</v>
      </c>
      <c r="J350" s="146">
        <f t="shared" ref="J350" si="441">H350*I350</f>
        <v>8731314</v>
      </c>
      <c r="K350" s="146">
        <f t="shared" ref="K350" si="442">H350+(J350-H350)*(1-30/100)</f>
        <v>8601838</v>
      </c>
      <c r="L350" s="382"/>
      <c r="M350" s="382"/>
      <c r="N350" s="382"/>
    </row>
    <row r="351" spans="1:14" s="383" customFormat="1" hidden="1" outlineLevel="3" x14ac:dyDescent="0.25">
      <c r="A351" s="363" t="s">
        <v>2598</v>
      </c>
      <c r="B351" s="381" t="s">
        <v>1437</v>
      </c>
      <c r="C351" s="381" t="s">
        <v>1438</v>
      </c>
      <c r="D351" s="100" t="s">
        <v>377</v>
      </c>
      <c r="E351" s="100">
        <v>412</v>
      </c>
      <c r="F351" s="220">
        <f>(412559)*(1.023*1.005-2.3%*15%)*6.99+0*4.09</f>
        <v>2954916</v>
      </c>
      <c r="G351" s="145">
        <f t="shared" si="433"/>
        <v>1.1279999999999999</v>
      </c>
      <c r="H351" s="146">
        <f t="shared" ref="H351" si="443">F351*G351</f>
        <v>3333145</v>
      </c>
      <c r="I351" s="145">
        <f>Дефляторы!$D$25</f>
        <v>1.052</v>
      </c>
      <c r="J351" s="146">
        <f t="shared" ref="J351" si="444">H351*I351</f>
        <v>3506469</v>
      </c>
      <c r="K351" s="146">
        <f t="shared" ref="K351" si="445">H351+(J351-H351)*(1-30/100)</f>
        <v>3454472</v>
      </c>
      <c r="L351" s="382"/>
      <c r="M351" s="382"/>
      <c r="N351" s="382"/>
    </row>
    <row r="352" spans="1:14" s="383" customFormat="1" ht="31.5" hidden="1" outlineLevel="3" x14ac:dyDescent="0.25">
      <c r="A352" s="363" t="s">
        <v>2599</v>
      </c>
      <c r="B352" s="381" t="s">
        <v>1439</v>
      </c>
      <c r="C352" s="381" t="s">
        <v>1440</v>
      </c>
      <c r="D352" s="100" t="s">
        <v>377</v>
      </c>
      <c r="E352" s="100">
        <v>7</v>
      </c>
      <c r="F352" s="220">
        <f>(742)*(1.023*1.005-2.3%*15%)*6.99+0*4.09</f>
        <v>5315</v>
      </c>
      <c r="G352" s="145">
        <f t="shared" si="433"/>
        <v>1.1279999999999999</v>
      </c>
      <c r="H352" s="146">
        <f t="shared" si="437"/>
        <v>5995</v>
      </c>
      <c r="I352" s="145">
        <f>Дефляторы!$D$25</f>
        <v>1.052</v>
      </c>
      <c r="J352" s="146">
        <f t="shared" si="438"/>
        <v>6307</v>
      </c>
      <c r="K352" s="146">
        <f t="shared" si="439"/>
        <v>6213</v>
      </c>
      <c r="L352" s="382"/>
      <c r="M352" s="382"/>
      <c r="N352" s="382"/>
    </row>
    <row r="353" spans="1:14" s="383" customFormat="1" ht="31.5" hidden="1" outlineLevel="3" x14ac:dyDescent="0.25">
      <c r="A353" s="363" t="s">
        <v>2600</v>
      </c>
      <c r="B353" s="381" t="s">
        <v>1442</v>
      </c>
      <c r="C353" s="381" t="s">
        <v>1441</v>
      </c>
      <c r="D353" s="100" t="s">
        <v>377</v>
      </c>
      <c r="E353" s="100">
        <f>50</f>
        <v>50</v>
      </c>
      <c r="F353" s="220">
        <f>(5622)*(1.023*1.005-2.3%*15%)*6.99+0*4.09</f>
        <v>40267</v>
      </c>
      <c r="G353" s="145">
        <f t="shared" si="433"/>
        <v>1.1279999999999999</v>
      </c>
      <c r="H353" s="146">
        <f t="shared" si="437"/>
        <v>45421</v>
      </c>
      <c r="I353" s="145">
        <f>Дефляторы!$D$25</f>
        <v>1.052</v>
      </c>
      <c r="J353" s="146">
        <f t="shared" si="438"/>
        <v>47783</v>
      </c>
      <c r="K353" s="146">
        <f t="shared" si="439"/>
        <v>47074</v>
      </c>
      <c r="L353" s="382"/>
      <c r="M353" s="382"/>
      <c r="N353" s="382"/>
    </row>
    <row r="354" spans="1:14" s="383" customFormat="1" ht="31.5" hidden="1" outlineLevel="3" x14ac:dyDescent="0.25">
      <c r="A354" s="363" t="s">
        <v>2601</v>
      </c>
      <c r="B354" s="381" t="s">
        <v>1444</v>
      </c>
      <c r="C354" s="381" t="s">
        <v>1443</v>
      </c>
      <c r="D354" s="100" t="s">
        <v>377</v>
      </c>
      <c r="E354" s="100">
        <v>100</v>
      </c>
      <c r="F354" s="220">
        <f>(31596)*(1.023*1.005-2.3%*15%)*6.99+0*4.09</f>
        <v>226303</v>
      </c>
      <c r="G354" s="145">
        <f t="shared" si="433"/>
        <v>1.1279999999999999</v>
      </c>
      <c r="H354" s="146">
        <f t="shared" si="437"/>
        <v>255270</v>
      </c>
      <c r="I354" s="145">
        <f>Дефляторы!$D$25</f>
        <v>1.052</v>
      </c>
      <c r="J354" s="146">
        <f t="shared" si="438"/>
        <v>268544</v>
      </c>
      <c r="K354" s="146">
        <f t="shared" si="439"/>
        <v>264562</v>
      </c>
      <c r="L354" s="382"/>
      <c r="M354" s="382"/>
      <c r="N354" s="382"/>
    </row>
    <row r="355" spans="1:14" s="383" customFormat="1" ht="47.25" hidden="1" outlineLevel="3" x14ac:dyDescent="0.25">
      <c r="A355" s="363" t="s">
        <v>2602</v>
      </c>
      <c r="B355" s="381" t="s">
        <v>1446</v>
      </c>
      <c r="C355" s="381" t="s">
        <v>1445</v>
      </c>
      <c r="D355" s="100" t="s">
        <v>377</v>
      </c>
      <c r="E355" s="100">
        <v>100</v>
      </c>
      <c r="F355" s="220">
        <f>(25026)*(1.023*1.005-2.3%*15%)*6.99+0*4.09</f>
        <v>179246</v>
      </c>
      <c r="G355" s="145">
        <f t="shared" si="433"/>
        <v>1.1279999999999999</v>
      </c>
      <c r="H355" s="146">
        <f t="shared" ref="H355" si="446">F355*G355</f>
        <v>202189</v>
      </c>
      <c r="I355" s="145">
        <f>Дефляторы!$D$25</f>
        <v>1.052</v>
      </c>
      <c r="J355" s="146">
        <f t="shared" ref="J355" si="447">H355*I355</f>
        <v>212703</v>
      </c>
      <c r="K355" s="146">
        <f t="shared" ref="K355" si="448">H355+(J355-H355)*(1-30/100)</f>
        <v>209549</v>
      </c>
      <c r="L355" s="382"/>
      <c r="M355" s="382"/>
      <c r="N355" s="382"/>
    </row>
    <row r="356" spans="1:14" s="383" customFormat="1" ht="47.25" hidden="1" outlineLevel="3" x14ac:dyDescent="0.25">
      <c r="A356" s="363" t="s">
        <v>2603</v>
      </c>
      <c r="B356" s="381" t="s">
        <v>1447</v>
      </c>
      <c r="C356" s="381" t="s">
        <v>1449</v>
      </c>
      <c r="D356" s="100" t="s">
        <v>377</v>
      </c>
      <c r="E356" s="100">
        <v>12</v>
      </c>
      <c r="F356" s="220">
        <f>(7708)*(1.023*1.005-2.3%*15%)*6.99+0*4.09</f>
        <v>55208</v>
      </c>
      <c r="G356" s="145">
        <f t="shared" si="433"/>
        <v>1.1279999999999999</v>
      </c>
      <c r="H356" s="146">
        <f t="shared" ref="H356" si="449">F356*G356</f>
        <v>62275</v>
      </c>
      <c r="I356" s="145">
        <f>Дефляторы!$D$25</f>
        <v>1.052</v>
      </c>
      <c r="J356" s="146">
        <f t="shared" ref="J356" si="450">H356*I356</f>
        <v>65513</v>
      </c>
      <c r="K356" s="146">
        <f t="shared" ref="K356" si="451">H356+(J356-H356)*(1-30/100)</f>
        <v>64542</v>
      </c>
      <c r="L356" s="382"/>
      <c r="M356" s="382"/>
      <c r="N356" s="382"/>
    </row>
    <row r="357" spans="1:14" s="383" customFormat="1" ht="47.25" hidden="1" outlineLevel="3" x14ac:dyDescent="0.25">
      <c r="A357" s="363" t="s">
        <v>2604</v>
      </c>
      <c r="B357" s="381" t="s">
        <v>1448</v>
      </c>
      <c r="C357" s="381" t="s">
        <v>1450</v>
      </c>
      <c r="D357" s="100" t="s">
        <v>377</v>
      </c>
      <c r="E357" s="100">
        <v>40</v>
      </c>
      <c r="F357" s="220">
        <f>(20941)*(1.023*1.005-2.3%*15%)*6.99+0*4.09</f>
        <v>149988</v>
      </c>
      <c r="G357" s="145">
        <f t="shared" si="433"/>
        <v>1.1279999999999999</v>
      </c>
      <c r="H357" s="146">
        <f t="shared" ref="H357" si="452">F357*G357</f>
        <v>169186</v>
      </c>
      <c r="I357" s="145">
        <f>Дефляторы!$D$25</f>
        <v>1.052</v>
      </c>
      <c r="J357" s="146">
        <f t="shared" ref="J357" si="453">H357*I357</f>
        <v>177984</v>
      </c>
      <c r="K357" s="146">
        <f t="shared" ref="K357" si="454">H357+(J357-H357)*(1-30/100)</f>
        <v>175345</v>
      </c>
      <c r="L357" s="382"/>
      <c r="M357" s="382"/>
      <c r="N357" s="382"/>
    </row>
    <row r="358" spans="1:14" s="383" customFormat="1" ht="47.25" hidden="1" outlineLevel="3" x14ac:dyDescent="0.25">
      <c r="A358" s="363" t="s">
        <v>2605</v>
      </c>
      <c r="B358" s="381" t="s">
        <v>1451</v>
      </c>
      <c r="C358" s="381" t="s">
        <v>1453</v>
      </c>
      <c r="D358" s="100" t="s">
        <v>377</v>
      </c>
      <c r="E358" s="100">
        <v>62</v>
      </c>
      <c r="F358" s="220">
        <f>(61954)*(1.023*1.005-2.3%*15%)*6.99+0*4.09</f>
        <v>443740</v>
      </c>
      <c r="G358" s="145">
        <f t="shared" si="433"/>
        <v>1.1279999999999999</v>
      </c>
      <c r="H358" s="146">
        <f t="shared" ref="H358:H359" si="455">F358*G358</f>
        <v>500539</v>
      </c>
      <c r="I358" s="145">
        <f>Дефляторы!$D$25</f>
        <v>1.052</v>
      </c>
      <c r="J358" s="146">
        <f t="shared" ref="J358:J359" si="456">H358*I358</f>
        <v>526567</v>
      </c>
      <c r="K358" s="146">
        <f t="shared" ref="K358:K359" si="457">H358+(J358-H358)*(1-30/100)</f>
        <v>518759</v>
      </c>
      <c r="L358" s="382"/>
      <c r="M358" s="382"/>
      <c r="N358" s="382"/>
    </row>
    <row r="359" spans="1:14" s="383" customFormat="1" ht="47.25" hidden="1" outlineLevel="3" x14ac:dyDescent="0.25">
      <c r="A359" s="363" t="s">
        <v>2606</v>
      </c>
      <c r="B359" s="381" t="s">
        <v>1452</v>
      </c>
      <c r="C359" s="381" t="s">
        <v>1454</v>
      </c>
      <c r="D359" s="100" t="s">
        <v>377</v>
      </c>
      <c r="E359" s="100">
        <v>120</v>
      </c>
      <c r="F359" s="220">
        <f>(128300)*(1.023*1.005-2.3%*15%)*6.99+0*4.09</f>
        <v>918937</v>
      </c>
      <c r="G359" s="145">
        <f t="shared" si="433"/>
        <v>1.1279999999999999</v>
      </c>
      <c r="H359" s="146">
        <f t="shared" si="455"/>
        <v>1036561</v>
      </c>
      <c r="I359" s="145">
        <f>Дефляторы!$D$25</f>
        <v>1.052</v>
      </c>
      <c r="J359" s="146">
        <f t="shared" si="456"/>
        <v>1090462</v>
      </c>
      <c r="K359" s="146">
        <f t="shared" si="457"/>
        <v>1074292</v>
      </c>
      <c r="L359" s="382"/>
      <c r="M359" s="382"/>
      <c r="N359" s="382"/>
    </row>
    <row r="360" spans="1:14" s="383" customFormat="1" hidden="1" outlineLevel="3" x14ac:dyDescent="0.25">
      <c r="A360" s="363" t="s">
        <v>2607</v>
      </c>
      <c r="B360" s="381" t="s">
        <v>1456</v>
      </c>
      <c r="C360" s="381" t="s">
        <v>1455</v>
      </c>
      <c r="D360" s="100" t="s">
        <v>300</v>
      </c>
      <c r="E360" s="100">
        <v>7.2</v>
      </c>
      <c r="F360" s="220">
        <f>(1295)*(1.023*1.005-2.3%*15%)*6.99+0*4.09</f>
        <v>9275</v>
      </c>
      <c r="G360" s="145">
        <f t="shared" si="433"/>
        <v>1.1279999999999999</v>
      </c>
      <c r="H360" s="146">
        <f t="shared" ref="H360" si="458">F360*G360</f>
        <v>10462</v>
      </c>
      <c r="I360" s="145">
        <f>Дефляторы!$D$25</f>
        <v>1.052</v>
      </c>
      <c r="J360" s="146">
        <f t="shared" ref="J360" si="459">H360*I360</f>
        <v>11006</v>
      </c>
      <c r="K360" s="146">
        <f t="shared" ref="K360" si="460">H360+(J360-H360)*(1-30/100)</f>
        <v>10843</v>
      </c>
      <c r="L360" s="382"/>
      <c r="M360" s="382"/>
      <c r="N360" s="382"/>
    </row>
    <row r="361" spans="1:14" s="383" customFormat="1" hidden="1" outlineLevel="3" x14ac:dyDescent="0.25">
      <c r="A361" s="363" t="s">
        <v>2608</v>
      </c>
      <c r="B361" s="381" t="s">
        <v>1463</v>
      </c>
      <c r="C361" s="381" t="s">
        <v>1457</v>
      </c>
      <c r="D361" s="100" t="s">
        <v>377</v>
      </c>
      <c r="E361" s="100">
        <v>33</v>
      </c>
      <c r="F361" s="220">
        <f>(21303)*(1.023*1.005-2.3%*15%)*6.99+0*4.09</f>
        <v>152581</v>
      </c>
      <c r="G361" s="145">
        <f t="shared" si="433"/>
        <v>1.1279999999999999</v>
      </c>
      <c r="H361" s="146">
        <f t="shared" ref="H361" si="461">F361*G361</f>
        <v>172111</v>
      </c>
      <c r="I361" s="145">
        <f>Дефляторы!$D$25</f>
        <v>1.052</v>
      </c>
      <c r="J361" s="146">
        <f t="shared" ref="J361" si="462">H361*I361</f>
        <v>181061</v>
      </c>
      <c r="K361" s="146">
        <f t="shared" ref="K361" si="463">H361+(J361-H361)*(1-30/100)</f>
        <v>178376</v>
      </c>
      <c r="L361" s="382"/>
      <c r="M361" s="382"/>
      <c r="N361" s="382"/>
    </row>
    <row r="362" spans="1:14" s="383" customFormat="1" hidden="1" outlineLevel="3" x14ac:dyDescent="0.25">
      <c r="A362" s="363" t="s">
        <v>2609</v>
      </c>
      <c r="B362" s="381" t="s">
        <v>1462</v>
      </c>
      <c r="C362" s="381" t="s">
        <v>1461</v>
      </c>
      <c r="D362" s="100" t="s">
        <v>377</v>
      </c>
      <c r="E362" s="100">
        <v>120</v>
      </c>
      <c r="F362" s="220">
        <f>(63211)*(1.023*1.005-2.3%*15%)*6.99+0*4.09</f>
        <v>452743</v>
      </c>
      <c r="G362" s="145">
        <f t="shared" si="433"/>
        <v>1.1279999999999999</v>
      </c>
      <c r="H362" s="146">
        <f t="shared" ref="H362" si="464">F362*G362</f>
        <v>510694</v>
      </c>
      <c r="I362" s="145">
        <f>Дефляторы!$D$25</f>
        <v>1.052</v>
      </c>
      <c r="J362" s="146">
        <f t="shared" ref="J362" si="465">H362*I362</f>
        <v>537250</v>
      </c>
      <c r="K362" s="146">
        <f t="shared" ref="K362" si="466">H362+(J362-H362)*(1-30/100)</f>
        <v>529283</v>
      </c>
      <c r="L362" s="382"/>
      <c r="M362" s="382"/>
      <c r="N362" s="382"/>
    </row>
    <row r="363" spans="1:14" s="383" customFormat="1" ht="31.5" hidden="1" outlineLevel="3" x14ac:dyDescent="0.25">
      <c r="A363" s="363" t="s">
        <v>2610</v>
      </c>
      <c r="B363" s="381" t="s">
        <v>1468</v>
      </c>
      <c r="C363" s="381" t="s">
        <v>1464</v>
      </c>
      <c r="D363" s="100" t="s">
        <v>408</v>
      </c>
      <c r="E363" s="100">
        <v>80</v>
      </c>
      <c r="F363" s="220">
        <f>(366)*(1.023*1.005-2.3%*15%)*6.99+0*4.09</f>
        <v>2621</v>
      </c>
      <c r="G363" s="145">
        <f t="shared" si="433"/>
        <v>1.1279999999999999</v>
      </c>
      <c r="H363" s="146">
        <f t="shared" ref="H363" si="467">F363*G363</f>
        <v>2956</v>
      </c>
      <c r="I363" s="145">
        <f>Дефляторы!$D$25</f>
        <v>1.052</v>
      </c>
      <c r="J363" s="146">
        <f t="shared" ref="J363" si="468">H363*I363</f>
        <v>3110</v>
      </c>
      <c r="K363" s="146">
        <f t="shared" ref="K363" si="469">H363+(J363-H363)*(1-30/100)</f>
        <v>3064</v>
      </c>
      <c r="L363" s="382"/>
      <c r="M363" s="382"/>
      <c r="N363" s="382"/>
    </row>
    <row r="364" spans="1:14" s="383" customFormat="1" ht="31.5" hidden="1" outlineLevel="3" x14ac:dyDescent="0.25">
      <c r="A364" s="363" t="s">
        <v>2611</v>
      </c>
      <c r="B364" s="381" t="s">
        <v>1469</v>
      </c>
      <c r="C364" s="381" t="s">
        <v>1465</v>
      </c>
      <c r="D364" s="100" t="s">
        <v>408</v>
      </c>
      <c r="E364" s="100">
        <v>80</v>
      </c>
      <c r="F364" s="220">
        <f>(457)*(1.023*1.005-2.3%*15%)*6.99+0*4.09</f>
        <v>3273</v>
      </c>
      <c r="G364" s="145">
        <f t="shared" si="433"/>
        <v>1.1279999999999999</v>
      </c>
      <c r="H364" s="146">
        <f t="shared" ref="H364" si="470">F364*G364</f>
        <v>3692</v>
      </c>
      <c r="I364" s="145">
        <f>Дефляторы!$D$25</f>
        <v>1.052</v>
      </c>
      <c r="J364" s="146">
        <f t="shared" ref="J364" si="471">H364*I364</f>
        <v>3884</v>
      </c>
      <c r="K364" s="146">
        <f t="shared" ref="K364" si="472">H364+(J364-H364)*(1-30/100)</f>
        <v>3826</v>
      </c>
      <c r="L364" s="382"/>
      <c r="M364" s="382"/>
      <c r="N364" s="382"/>
    </row>
    <row r="365" spans="1:14" s="383" customFormat="1" ht="31.5" hidden="1" outlineLevel="3" x14ac:dyDescent="0.25">
      <c r="A365" s="363" t="s">
        <v>2612</v>
      </c>
      <c r="B365" s="381" t="s">
        <v>1470</v>
      </c>
      <c r="C365" s="381" t="s">
        <v>1466</v>
      </c>
      <c r="D365" s="100" t="s">
        <v>408</v>
      </c>
      <c r="E365" s="100">
        <v>88</v>
      </c>
      <c r="F365" s="220">
        <f>(755)*(1.023*1.005-2.3%*15%)*6.99+0*4.09</f>
        <v>5408</v>
      </c>
      <c r="G365" s="145">
        <f t="shared" si="433"/>
        <v>1.1279999999999999</v>
      </c>
      <c r="H365" s="146">
        <f t="shared" ref="H365" si="473">F365*G365</f>
        <v>6100</v>
      </c>
      <c r="I365" s="145">
        <f>Дефляторы!$D$25</f>
        <v>1.052</v>
      </c>
      <c r="J365" s="146">
        <f t="shared" ref="J365" si="474">H365*I365</f>
        <v>6417</v>
      </c>
      <c r="K365" s="146">
        <f t="shared" ref="K365" si="475">H365+(J365-H365)*(1-30/100)</f>
        <v>6322</v>
      </c>
      <c r="L365" s="382"/>
      <c r="M365" s="382"/>
      <c r="N365" s="382"/>
    </row>
    <row r="366" spans="1:14" s="383" customFormat="1" ht="31.5" hidden="1" outlineLevel="3" x14ac:dyDescent="0.25">
      <c r="A366" s="363" t="s">
        <v>2613</v>
      </c>
      <c r="B366" s="381" t="s">
        <v>1471</v>
      </c>
      <c r="C366" s="381" t="s">
        <v>1467</v>
      </c>
      <c r="D366" s="100" t="s">
        <v>408</v>
      </c>
      <c r="E366" s="100">
        <v>96</v>
      </c>
      <c r="F366" s="220">
        <f>(1101)*(1.023*1.005-2.3%*15%)*6.99+0*4.09</f>
        <v>7886</v>
      </c>
      <c r="G366" s="145">
        <f t="shared" si="433"/>
        <v>1.1279999999999999</v>
      </c>
      <c r="H366" s="146">
        <f t="shared" ref="H366" si="476">F366*G366</f>
        <v>8895</v>
      </c>
      <c r="I366" s="145">
        <f>Дефляторы!$D$25</f>
        <v>1.052</v>
      </c>
      <c r="J366" s="146">
        <f t="shared" ref="J366" si="477">H366*I366</f>
        <v>9358</v>
      </c>
      <c r="K366" s="146">
        <f t="shared" ref="K366" si="478">H366+(J366-H366)*(1-30/100)</f>
        <v>9219</v>
      </c>
      <c r="L366" s="382"/>
      <c r="M366" s="382"/>
      <c r="N366" s="382"/>
    </row>
    <row r="367" spans="1:14" s="383" customFormat="1" hidden="1" outlineLevel="3" x14ac:dyDescent="0.25">
      <c r="A367" s="363" t="s">
        <v>2614</v>
      </c>
      <c r="B367" s="381" t="s">
        <v>1474</v>
      </c>
      <c r="C367" s="381" t="s">
        <v>1472</v>
      </c>
      <c r="D367" s="100" t="s">
        <v>408</v>
      </c>
      <c r="E367" s="100">
        <v>16</v>
      </c>
      <c r="F367" s="220">
        <f>(107116)*(1.023*1.005-2.3%*15%)*6.99+0*4.09</f>
        <v>767209</v>
      </c>
      <c r="G367" s="145">
        <f t="shared" si="433"/>
        <v>1.1279999999999999</v>
      </c>
      <c r="H367" s="146">
        <f t="shared" ref="H367" si="479">F367*G367</f>
        <v>865412</v>
      </c>
      <c r="I367" s="145">
        <f>Дефляторы!$D$25</f>
        <v>1.052</v>
      </c>
      <c r="J367" s="146">
        <f t="shared" ref="J367" si="480">H367*I367</f>
        <v>910413</v>
      </c>
      <c r="K367" s="146">
        <f t="shared" ref="K367" si="481">H367+(J367-H367)*(1-30/100)</f>
        <v>896913</v>
      </c>
      <c r="L367" s="382"/>
      <c r="M367" s="382"/>
      <c r="N367" s="382"/>
    </row>
    <row r="368" spans="1:14" s="383" customFormat="1" hidden="1" outlineLevel="3" x14ac:dyDescent="0.25">
      <c r="A368" s="363" t="s">
        <v>2615</v>
      </c>
      <c r="B368" s="381" t="s">
        <v>1475</v>
      </c>
      <c r="C368" s="381" t="s">
        <v>1473</v>
      </c>
      <c r="D368" s="100" t="s">
        <v>408</v>
      </c>
      <c r="E368" s="100">
        <v>8</v>
      </c>
      <c r="F368" s="220">
        <f>(20026)*(1.023*1.005-2.3%*15%)*6.99+0*4.09</f>
        <v>143434</v>
      </c>
      <c r="G368" s="145">
        <f t="shared" si="433"/>
        <v>1.1279999999999999</v>
      </c>
      <c r="H368" s="146">
        <f t="shared" ref="H368" si="482">F368*G368</f>
        <v>161794</v>
      </c>
      <c r="I368" s="145">
        <f>Дефляторы!$D$25</f>
        <v>1.052</v>
      </c>
      <c r="J368" s="146">
        <f t="shared" ref="J368" si="483">H368*I368</f>
        <v>170207</v>
      </c>
      <c r="K368" s="146">
        <f t="shared" ref="K368" si="484">H368+(J368-H368)*(1-30/100)</f>
        <v>167683</v>
      </c>
      <c r="L368" s="382"/>
      <c r="M368" s="382"/>
      <c r="N368" s="382"/>
    </row>
    <row r="369" spans="1:14" s="383" customFormat="1" hidden="1" outlineLevel="3" x14ac:dyDescent="0.25">
      <c r="A369" s="363" t="s">
        <v>2616</v>
      </c>
      <c r="B369" s="381" t="s">
        <v>1478</v>
      </c>
      <c r="C369" s="381" t="s">
        <v>1476</v>
      </c>
      <c r="D369" s="100" t="s">
        <v>408</v>
      </c>
      <c r="E369" s="100">
        <v>4</v>
      </c>
      <c r="F369" s="220">
        <f>(24765)*(1.023*1.005-2.3%*15%)*6.99+0*4.09</f>
        <v>177377</v>
      </c>
      <c r="G369" s="145">
        <f t="shared" si="433"/>
        <v>1.1279999999999999</v>
      </c>
      <c r="H369" s="146">
        <f t="shared" ref="H369" si="485">F369*G369</f>
        <v>200081</v>
      </c>
      <c r="I369" s="145">
        <f>Дефляторы!$D$25</f>
        <v>1.052</v>
      </c>
      <c r="J369" s="146">
        <f t="shared" ref="J369" si="486">H369*I369</f>
        <v>210485</v>
      </c>
      <c r="K369" s="146">
        <f t="shared" ref="K369" si="487">H369+(J369-H369)*(1-30/100)</f>
        <v>207364</v>
      </c>
      <c r="L369" s="382"/>
      <c r="M369" s="382"/>
      <c r="N369" s="382"/>
    </row>
    <row r="370" spans="1:14" s="383" customFormat="1" hidden="1" outlineLevel="3" x14ac:dyDescent="0.25">
      <c r="A370" s="363" t="s">
        <v>2617</v>
      </c>
      <c r="B370" s="381" t="s">
        <v>1479</v>
      </c>
      <c r="C370" s="381" t="s">
        <v>1477</v>
      </c>
      <c r="D370" s="100" t="s">
        <v>408</v>
      </c>
      <c r="E370" s="100">
        <v>16</v>
      </c>
      <c r="F370" s="220">
        <f>(102811)*(1.023*1.005-2.3%*15%)*6.99+0*4.09</f>
        <v>736374</v>
      </c>
      <c r="G370" s="145">
        <f t="shared" si="433"/>
        <v>1.1279999999999999</v>
      </c>
      <c r="H370" s="146">
        <f t="shared" ref="H370" si="488">F370*G370</f>
        <v>830630</v>
      </c>
      <c r="I370" s="145">
        <f>Дефляторы!$D$25</f>
        <v>1.052</v>
      </c>
      <c r="J370" s="146">
        <f t="shared" ref="J370" si="489">H370*I370</f>
        <v>873823</v>
      </c>
      <c r="K370" s="146">
        <f t="shared" ref="K370" si="490">H370+(J370-H370)*(1-30/100)</f>
        <v>860865</v>
      </c>
      <c r="L370" s="382"/>
      <c r="M370" s="382"/>
      <c r="N370" s="382"/>
    </row>
    <row r="371" spans="1:14" s="383" customFormat="1" ht="31.5" hidden="1" outlineLevel="3" x14ac:dyDescent="0.25">
      <c r="A371" s="363" t="s">
        <v>2618</v>
      </c>
      <c r="B371" s="381" t="s">
        <v>1481</v>
      </c>
      <c r="C371" s="381" t="s">
        <v>1480</v>
      </c>
      <c r="D371" s="100" t="s">
        <v>408</v>
      </c>
      <c r="E371" s="100">
        <v>8</v>
      </c>
      <c r="F371" s="220">
        <f>(11275)*(1.023*1.005-2.3%*15%)*6.99+0*4.09</f>
        <v>80756</v>
      </c>
      <c r="G371" s="145">
        <f t="shared" si="433"/>
        <v>1.1279999999999999</v>
      </c>
      <c r="H371" s="146">
        <f t="shared" ref="H371" si="491">F371*G371</f>
        <v>91093</v>
      </c>
      <c r="I371" s="145">
        <f>Дефляторы!$D$25</f>
        <v>1.052</v>
      </c>
      <c r="J371" s="146">
        <f t="shared" ref="J371" si="492">H371*I371</f>
        <v>95830</v>
      </c>
      <c r="K371" s="146">
        <f t="shared" ref="K371" si="493">H371+(J371-H371)*(1-30/100)</f>
        <v>94409</v>
      </c>
      <c r="L371" s="382"/>
      <c r="M371" s="382"/>
      <c r="N371" s="382"/>
    </row>
    <row r="372" spans="1:14" s="383" customFormat="1" hidden="1" outlineLevel="3" x14ac:dyDescent="0.25">
      <c r="A372" s="363" t="s">
        <v>2619</v>
      </c>
      <c r="B372" s="381" t="s">
        <v>1483</v>
      </c>
      <c r="C372" s="381" t="s">
        <v>1482</v>
      </c>
      <c r="D372" s="100" t="s">
        <v>408</v>
      </c>
      <c r="E372" s="100">
        <v>4</v>
      </c>
      <c r="F372" s="220">
        <f>(19239)*(1.023*1.005-2.3%*15%)*6.99+0*4.09</f>
        <v>137798</v>
      </c>
      <c r="G372" s="145">
        <f t="shared" si="433"/>
        <v>1.1279999999999999</v>
      </c>
      <c r="H372" s="146">
        <f t="shared" ref="H372" si="494">F372*G372</f>
        <v>155436</v>
      </c>
      <c r="I372" s="145">
        <f>Дефляторы!$D$25</f>
        <v>1.052</v>
      </c>
      <c r="J372" s="146">
        <f t="shared" ref="J372" si="495">H372*I372</f>
        <v>163519</v>
      </c>
      <c r="K372" s="146">
        <f t="shared" ref="K372" si="496">H372+(J372-H372)*(1-30/100)</f>
        <v>161094</v>
      </c>
      <c r="L372" s="382"/>
      <c r="M372" s="382"/>
      <c r="N372" s="382"/>
    </row>
    <row r="373" spans="1:14" s="383" customFormat="1" ht="31.5" hidden="1" outlineLevel="3" x14ac:dyDescent="0.25">
      <c r="A373" s="363" t="s">
        <v>2620</v>
      </c>
      <c r="B373" s="381" t="s">
        <v>1485</v>
      </c>
      <c r="C373" s="381" t="s">
        <v>1484</v>
      </c>
      <c r="D373" s="100" t="s">
        <v>408</v>
      </c>
      <c r="E373" s="100">
        <v>2</v>
      </c>
      <c r="F373" s="220">
        <f>(15735)*(1.023*1.005-2.3%*15%)*6.99+0*4.09</f>
        <v>112700</v>
      </c>
      <c r="G373" s="145">
        <f t="shared" si="433"/>
        <v>1.1279999999999999</v>
      </c>
      <c r="H373" s="146">
        <f t="shared" ref="H373" si="497">F373*G373</f>
        <v>127126</v>
      </c>
      <c r="I373" s="145">
        <f>Дефляторы!$D$25</f>
        <v>1.052</v>
      </c>
      <c r="J373" s="146">
        <f t="shared" ref="J373" si="498">H373*I373</f>
        <v>133737</v>
      </c>
      <c r="K373" s="146">
        <f t="shared" ref="K373" si="499">H373+(J373-H373)*(1-30/100)</f>
        <v>131754</v>
      </c>
      <c r="L373" s="382"/>
      <c r="M373" s="382"/>
      <c r="N373" s="382"/>
    </row>
    <row r="374" spans="1:14" s="383" customFormat="1" ht="31.5" hidden="1" outlineLevel="3" x14ac:dyDescent="0.25">
      <c r="A374" s="363" t="s">
        <v>2621</v>
      </c>
      <c r="B374" s="381" t="s">
        <v>1486</v>
      </c>
      <c r="C374" s="381" t="s">
        <v>1487</v>
      </c>
      <c r="D374" s="100" t="s">
        <v>408</v>
      </c>
      <c r="E374" s="100">
        <v>6</v>
      </c>
      <c r="F374" s="220">
        <f>(699)*(1.023*1.005-2.3%*15%)*6.99+361*4.09</f>
        <v>6483</v>
      </c>
      <c r="G374" s="145">
        <f t="shared" si="433"/>
        <v>1.1279999999999999</v>
      </c>
      <c r="H374" s="146">
        <f t="shared" ref="H374" si="500">F374*G374</f>
        <v>7313</v>
      </c>
      <c r="I374" s="145">
        <f>Дефляторы!$D$25</f>
        <v>1.052</v>
      </c>
      <c r="J374" s="146">
        <f t="shared" ref="J374" si="501">H374*I374</f>
        <v>7693</v>
      </c>
      <c r="K374" s="146">
        <f t="shared" ref="K374" si="502">H374+(J374-H374)*(1-30/100)</f>
        <v>7579</v>
      </c>
      <c r="L374" s="382"/>
      <c r="M374" s="382"/>
      <c r="N374" s="382"/>
    </row>
    <row r="375" spans="1:14" s="383" customFormat="1" ht="47.25" hidden="1" outlineLevel="3" x14ac:dyDescent="0.25">
      <c r="A375" s="363" t="s">
        <v>2622</v>
      </c>
      <c r="B375" s="381" t="s">
        <v>1488</v>
      </c>
      <c r="C375" s="381" t="s">
        <v>1489</v>
      </c>
      <c r="D375" s="100" t="s">
        <v>408</v>
      </c>
      <c r="E375" s="100">
        <v>2</v>
      </c>
      <c r="F375" s="220">
        <f>(62+6500)*(1.023*1.005-2.3%*15%)*6.99+0*4.09</f>
        <v>47000</v>
      </c>
      <c r="G375" s="145">
        <f t="shared" si="433"/>
        <v>1.1279999999999999</v>
      </c>
      <c r="H375" s="146">
        <f t="shared" ref="H375" si="503">F375*G375</f>
        <v>53016</v>
      </c>
      <c r="I375" s="145">
        <f>Дефляторы!$D$25</f>
        <v>1.052</v>
      </c>
      <c r="J375" s="146">
        <f t="shared" ref="J375" si="504">H375*I375</f>
        <v>55773</v>
      </c>
      <c r="K375" s="146">
        <f t="shared" ref="K375" si="505">H375+(J375-H375)*(1-30/100)</f>
        <v>54946</v>
      </c>
      <c r="L375" s="382"/>
      <c r="M375" s="382"/>
      <c r="N375" s="382"/>
    </row>
    <row r="376" spans="1:14" s="383" customFormat="1" ht="31.5" hidden="1" outlineLevel="3" x14ac:dyDescent="0.25">
      <c r="A376" s="363" t="s">
        <v>2623</v>
      </c>
      <c r="B376" s="381" t="s">
        <v>1491</v>
      </c>
      <c r="C376" s="381" t="s">
        <v>1490</v>
      </c>
      <c r="D376" s="100" t="s">
        <v>404</v>
      </c>
      <c r="E376" s="100">
        <f>111.2</f>
        <v>111.2</v>
      </c>
      <c r="F376" s="220">
        <f>(8236)*(1.023*1.005-2.3%*15%)*6.99+0*4.09</f>
        <v>58990</v>
      </c>
      <c r="G376" s="145">
        <f t="shared" si="433"/>
        <v>1.1279999999999999</v>
      </c>
      <c r="H376" s="146">
        <f t="shared" ref="H376" si="506">F376*G376</f>
        <v>66541</v>
      </c>
      <c r="I376" s="145">
        <f>Дефляторы!$D$25</f>
        <v>1.052</v>
      </c>
      <c r="J376" s="146">
        <f t="shared" ref="J376" si="507">H376*I376</f>
        <v>70001</v>
      </c>
      <c r="K376" s="146">
        <f t="shared" ref="K376" si="508">H376+(J376-H376)*(1-30/100)</f>
        <v>68963</v>
      </c>
      <c r="L376" s="382"/>
      <c r="M376" s="382"/>
      <c r="N376" s="382"/>
    </row>
    <row r="377" spans="1:14" s="383" customFormat="1" outlineLevel="2" collapsed="1" x14ac:dyDescent="0.25">
      <c r="A377" s="132" t="s">
        <v>2624</v>
      </c>
      <c r="B377" s="320" t="s">
        <v>239</v>
      </c>
      <c r="C377" s="320" t="s">
        <v>240</v>
      </c>
      <c r="D377" s="134" t="s">
        <v>292</v>
      </c>
      <c r="E377" s="90">
        <v>1</v>
      </c>
      <c r="F377" s="90">
        <f>SUM(F379:F427)</f>
        <v>71817612</v>
      </c>
      <c r="G377" s="135">
        <f t="shared" si="433"/>
        <v>1.1279999999999999</v>
      </c>
      <c r="H377" s="90">
        <f>SUM(H379:H427)</f>
        <v>81010265</v>
      </c>
      <c r="I377" s="135">
        <f>Дефляторы!$D$25</f>
        <v>1.052</v>
      </c>
      <c r="J377" s="90">
        <f>SUM(J379:J427)</f>
        <v>85222797</v>
      </c>
      <c r="K377" s="90">
        <f>SUM(K379:K427)</f>
        <v>83959041</v>
      </c>
      <c r="L377" s="382"/>
      <c r="M377" s="382"/>
      <c r="N377" s="382"/>
    </row>
    <row r="378" spans="1:14" s="383" customFormat="1" hidden="1" outlineLevel="3" x14ac:dyDescent="0.25">
      <c r="A378" s="363"/>
      <c r="B378" s="381"/>
      <c r="C378" s="381" t="s">
        <v>367</v>
      </c>
      <c r="D378" s="100"/>
      <c r="E378" s="100"/>
      <c r="F378" s="149"/>
      <c r="G378" s="145"/>
      <c r="H378" s="146"/>
      <c r="I378" s="145">
        <f>Дефляторы!$D$25</f>
        <v>1.052</v>
      </c>
      <c r="J378" s="146"/>
      <c r="K378" s="146"/>
      <c r="L378" s="382"/>
      <c r="M378" s="382"/>
      <c r="N378" s="382"/>
    </row>
    <row r="379" spans="1:14" s="383" customFormat="1" ht="31.5" hidden="1" outlineLevel="3" x14ac:dyDescent="0.25">
      <c r="A379" s="363" t="s">
        <v>2625</v>
      </c>
      <c r="B379" s="381" t="s">
        <v>1520</v>
      </c>
      <c r="C379" s="381" t="s">
        <v>510</v>
      </c>
      <c r="D379" s="100" t="s">
        <v>300</v>
      </c>
      <c r="E379" s="100">
        <f>22435</f>
        <v>22435</v>
      </c>
      <c r="F379" s="220">
        <f>(4473740)*(1.023*1.005-2.3%*15%)*6.99+0*4.09-62</f>
        <v>32042691</v>
      </c>
      <c r="G379" s="145">
        <f t="shared" ref="G379:G402" si="509">$G$831</f>
        <v>1.1279999999999999</v>
      </c>
      <c r="H379" s="146">
        <f t="shared" ref="H379" si="510">F379*G379</f>
        <v>36144155</v>
      </c>
      <c r="I379" s="145">
        <f>Дефляторы!$D$25</f>
        <v>1.052</v>
      </c>
      <c r="J379" s="146">
        <f t="shared" ref="J379" si="511">H379*I379</f>
        <v>38023651</v>
      </c>
      <c r="K379" s="146">
        <f t="shared" ref="K379" si="512">H379+(J379-H379)*(1-30/100)</f>
        <v>37459802</v>
      </c>
      <c r="L379" s="382"/>
      <c r="M379" s="382"/>
      <c r="N379" s="382"/>
    </row>
    <row r="380" spans="1:14" s="383" customFormat="1" ht="63" hidden="1" outlineLevel="3" x14ac:dyDescent="0.25">
      <c r="A380" s="363" t="s">
        <v>2626</v>
      </c>
      <c r="B380" s="381" t="s">
        <v>1523</v>
      </c>
      <c r="C380" s="381" t="s">
        <v>1521</v>
      </c>
      <c r="D380" s="100" t="s">
        <v>300</v>
      </c>
      <c r="E380" s="100">
        <f>20191.5</f>
        <v>20191.5</v>
      </c>
      <c r="F380" s="220">
        <f>(331083)*(1.023*1.005-2.3%*15%)*6.99+0*4.09</f>
        <v>2371352</v>
      </c>
      <c r="G380" s="145">
        <f t="shared" si="509"/>
        <v>1.1279999999999999</v>
      </c>
      <c r="H380" s="146">
        <f t="shared" ref="H380" si="513">F380*G380</f>
        <v>2674885</v>
      </c>
      <c r="I380" s="145">
        <f>Дефляторы!$D$25</f>
        <v>1.052</v>
      </c>
      <c r="J380" s="146">
        <f t="shared" ref="J380" si="514">H380*I380</f>
        <v>2813979</v>
      </c>
      <c r="K380" s="146">
        <f t="shared" ref="K380" si="515">H380+(J380-H380)*(1-30/100)</f>
        <v>2772251</v>
      </c>
      <c r="L380" s="382"/>
      <c r="M380" s="382"/>
      <c r="N380" s="382"/>
    </row>
    <row r="381" spans="1:14" s="383" customFormat="1" ht="31.5" hidden="1" outlineLevel="3" x14ac:dyDescent="0.25">
      <c r="A381" s="363" t="s">
        <v>2627</v>
      </c>
      <c r="B381" s="381" t="s">
        <v>1524</v>
      </c>
      <c r="C381" s="381" t="s">
        <v>1522</v>
      </c>
      <c r="D381" s="100" t="s">
        <v>300</v>
      </c>
      <c r="E381" s="100">
        <f>2243.5</f>
        <v>2243.5</v>
      </c>
      <c r="F381" s="220">
        <f>(229932)*(1.023*1.005-2.3%*15%)*6.99+0*4.09</f>
        <v>1646867</v>
      </c>
      <c r="G381" s="145">
        <f t="shared" si="509"/>
        <v>1.1279999999999999</v>
      </c>
      <c r="H381" s="146">
        <f t="shared" ref="H381" si="516">F381*G381</f>
        <v>1857666</v>
      </c>
      <c r="I381" s="145">
        <f>Дефляторы!$D$25</f>
        <v>1.052</v>
      </c>
      <c r="J381" s="146">
        <f t="shared" ref="J381" si="517">H381*I381</f>
        <v>1954265</v>
      </c>
      <c r="K381" s="146">
        <f t="shared" ref="K381" si="518">H381+(J381-H381)*(1-30/100)</f>
        <v>1925285</v>
      </c>
      <c r="L381" s="382"/>
      <c r="M381" s="382"/>
      <c r="N381" s="382"/>
    </row>
    <row r="382" spans="1:14" s="383" customFormat="1" hidden="1" outlineLevel="3" x14ac:dyDescent="0.25">
      <c r="A382" s="363" t="s">
        <v>2628</v>
      </c>
      <c r="B382" s="381" t="s">
        <v>1526</v>
      </c>
      <c r="C382" s="381" t="s">
        <v>1525</v>
      </c>
      <c r="D382" s="100" t="s">
        <v>300</v>
      </c>
      <c r="E382" s="100">
        <f>572.5</f>
        <v>572.5</v>
      </c>
      <c r="F382" s="220">
        <f>(114826)*(1.023*1.005-2.3%*15%)*6.99+0*4.09</f>
        <v>822431</v>
      </c>
      <c r="G382" s="145">
        <f t="shared" si="509"/>
        <v>1.1279999999999999</v>
      </c>
      <c r="H382" s="146">
        <f t="shared" ref="H382" si="519">F382*G382</f>
        <v>927702</v>
      </c>
      <c r="I382" s="145">
        <f>Дефляторы!$D$25</f>
        <v>1.052</v>
      </c>
      <c r="J382" s="146">
        <f t="shared" ref="J382" si="520">H382*I382</f>
        <v>975943</v>
      </c>
      <c r="K382" s="146">
        <f t="shared" ref="K382" si="521">H382+(J382-H382)*(1-30/100)</f>
        <v>961471</v>
      </c>
      <c r="L382" s="382"/>
      <c r="M382" s="382"/>
      <c r="N382" s="382"/>
    </row>
    <row r="383" spans="1:14" s="383" customFormat="1" ht="31.5" hidden="1" outlineLevel="3" x14ac:dyDescent="0.25">
      <c r="A383" s="363" t="s">
        <v>2629</v>
      </c>
      <c r="B383" s="381" t="s">
        <v>1528</v>
      </c>
      <c r="C383" s="381" t="s">
        <v>1529</v>
      </c>
      <c r="D383" s="100" t="s">
        <v>300</v>
      </c>
      <c r="E383" s="100">
        <f>2863.6</f>
        <v>2863.6</v>
      </c>
      <c r="F383" s="220">
        <f>(221455)*(1.023*1.005-2.3%*15%)*6.99+0*4.09</f>
        <v>1586151</v>
      </c>
      <c r="G383" s="145">
        <f t="shared" si="509"/>
        <v>1.1279999999999999</v>
      </c>
      <c r="H383" s="146">
        <f t="shared" ref="H383" si="522">F383*G383</f>
        <v>1789178</v>
      </c>
      <c r="I383" s="145">
        <f>Дефляторы!$D$25</f>
        <v>1.052</v>
      </c>
      <c r="J383" s="146">
        <f t="shared" ref="J383" si="523">H383*I383</f>
        <v>1882215</v>
      </c>
      <c r="K383" s="146">
        <f t="shared" ref="K383" si="524">H383+(J383-H383)*(1-30/100)</f>
        <v>1854304</v>
      </c>
      <c r="L383" s="382"/>
      <c r="M383" s="382"/>
      <c r="N383" s="382"/>
    </row>
    <row r="384" spans="1:14" s="383" customFormat="1" ht="31.5" hidden="1" outlineLevel="3" x14ac:dyDescent="0.25">
      <c r="A384" s="363" t="s">
        <v>2630</v>
      </c>
      <c r="B384" s="381" t="s">
        <v>1531</v>
      </c>
      <c r="C384" s="381" t="s">
        <v>1530</v>
      </c>
      <c r="D384" s="100" t="s">
        <v>300</v>
      </c>
      <c r="E384" s="100">
        <f>18444.7</f>
        <v>18444.7</v>
      </c>
      <c r="F384" s="220">
        <f>(277216)*(1.023*1.005-2.3%*15%)*6.99+0*4.09</f>
        <v>1985534</v>
      </c>
      <c r="G384" s="145">
        <f t="shared" si="509"/>
        <v>1.1279999999999999</v>
      </c>
      <c r="H384" s="146">
        <f t="shared" ref="H384" si="525">F384*G384</f>
        <v>2239682</v>
      </c>
      <c r="I384" s="145">
        <f>Дефляторы!$D$25</f>
        <v>1.052</v>
      </c>
      <c r="J384" s="146">
        <f t="shared" ref="J384" si="526">H384*I384</f>
        <v>2356145</v>
      </c>
      <c r="K384" s="146">
        <f t="shared" ref="K384" si="527">H384+(J384-H384)*(1-30/100)</f>
        <v>2321206</v>
      </c>
      <c r="L384" s="382"/>
      <c r="M384" s="382"/>
      <c r="N384" s="382"/>
    </row>
    <row r="385" spans="1:14" s="383" customFormat="1" hidden="1" outlineLevel="3" x14ac:dyDescent="0.25">
      <c r="A385" s="363" t="s">
        <v>2631</v>
      </c>
      <c r="B385" s="381" t="s">
        <v>1533</v>
      </c>
      <c r="C385" s="381" t="s">
        <v>1532</v>
      </c>
      <c r="D385" s="100" t="s">
        <v>300</v>
      </c>
      <c r="E385" s="100">
        <f>3990.3</f>
        <v>3990.3</v>
      </c>
      <c r="F385" s="220">
        <f>(55031)*(1.023*1.005-2.3%*15%)*6.99+0*4.09</f>
        <v>394154</v>
      </c>
      <c r="G385" s="145">
        <f t="shared" si="509"/>
        <v>1.1279999999999999</v>
      </c>
      <c r="H385" s="146">
        <f t="shared" ref="H385" si="528">F385*G385</f>
        <v>444606</v>
      </c>
      <c r="I385" s="145">
        <f>Дефляторы!$D$25</f>
        <v>1.052</v>
      </c>
      <c r="J385" s="146">
        <f t="shared" ref="J385" si="529">H385*I385</f>
        <v>467726</v>
      </c>
      <c r="K385" s="146">
        <f t="shared" ref="K385" si="530">H385+(J385-H385)*(1-30/100)</f>
        <v>460790</v>
      </c>
      <c r="L385" s="382"/>
      <c r="M385" s="382"/>
      <c r="N385" s="382"/>
    </row>
    <row r="386" spans="1:14" s="383" customFormat="1" ht="31.5" hidden="1" outlineLevel="3" x14ac:dyDescent="0.25">
      <c r="A386" s="363" t="s">
        <v>2632</v>
      </c>
      <c r="B386" s="381" t="s">
        <v>1534</v>
      </c>
      <c r="C386" s="381" t="s">
        <v>1535</v>
      </c>
      <c r="D386" s="100" t="s">
        <v>404</v>
      </c>
      <c r="E386" s="100">
        <v>5370</v>
      </c>
      <c r="F386" s="220">
        <f>(109770)*(1.023*1.005-2.3%*15%)*6.99+0*4.09</f>
        <v>786218</v>
      </c>
      <c r="G386" s="145">
        <f t="shared" si="509"/>
        <v>1.1279999999999999</v>
      </c>
      <c r="H386" s="146">
        <f t="shared" ref="H386" si="531">F386*G386</f>
        <v>886854</v>
      </c>
      <c r="I386" s="145">
        <f>Дефляторы!$D$25</f>
        <v>1.052</v>
      </c>
      <c r="J386" s="146">
        <f t="shared" ref="J386" si="532">H386*I386</f>
        <v>932970</v>
      </c>
      <c r="K386" s="146">
        <f t="shared" ref="K386" si="533">H386+(J386-H386)*(1-30/100)</f>
        <v>919135</v>
      </c>
      <c r="L386" s="382"/>
      <c r="M386" s="382"/>
      <c r="N386" s="382"/>
    </row>
    <row r="387" spans="1:14" s="383" customFormat="1" ht="31.5" hidden="1" outlineLevel="3" x14ac:dyDescent="0.25">
      <c r="A387" s="363" t="s">
        <v>2633</v>
      </c>
      <c r="B387" s="381" t="s">
        <v>1537</v>
      </c>
      <c r="C387" s="381" t="s">
        <v>1536</v>
      </c>
      <c r="D387" s="100" t="s">
        <v>404</v>
      </c>
      <c r="E387" s="100">
        <f>3*2*20</f>
        <v>120</v>
      </c>
      <c r="F387" s="220">
        <f>(22613)*(1.023*1.005-2.3%*15%)*6.99+0*4.09</f>
        <v>161964</v>
      </c>
      <c r="G387" s="145">
        <f t="shared" si="509"/>
        <v>1.1279999999999999</v>
      </c>
      <c r="H387" s="146">
        <f t="shared" ref="H387" si="534">F387*G387</f>
        <v>182695</v>
      </c>
      <c r="I387" s="145">
        <f>Дефляторы!$D$25</f>
        <v>1.052</v>
      </c>
      <c r="J387" s="146">
        <f t="shared" ref="J387" si="535">H387*I387</f>
        <v>192195</v>
      </c>
      <c r="K387" s="146">
        <f t="shared" ref="K387" si="536">H387+(J387-H387)*(1-30/100)</f>
        <v>189345</v>
      </c>
      <c r="L387" s="382"/>
      <c r="M387" s="382"/>
      <c r="N387" s="382"/>
    </row>
    <row r="388" spans="1:14" s="383" customFormat="1" ht="31.5" hidden="1" outlineLevel="3" x14ac:dyDescent="0.25">
      <c r="A388" s="363" t="s">
        <v>2634</v>
      </c>
      <c r="B388" s="381" t="s">
        <v>1539</v>
      </c>
      <c r="C388" s="381" t="s">
        <v>1538</v>
      </c>
      <c r="D388" s="100" t="s">
        <v>377</v>
      </c>
      <c r="E388" s="100">
        <f>105</f>
        <v>105</v>
      </c>
      <c r="F388" s="220">
        <f>(66198)*(1.023*1.005-2.3%*15%)*6.99+0*4.09</f>
        <v>474137</v>
      </c>
      <c r="G388" s="145">
        <f t="shared" si="509"/>
        <v>1.1279999999999999</v>
      </c>
      <c r="H388" s="146">
        <f t="shared" ref="H388" si="537">F388*G388</f>
        <v>534827</v>
      </c>
      <c r="I388" s="145">
        <f>Дефляторы!$D$25</f>
        <v>1.052</v>
      </c>
      <c r="J388" s="146">
        <f t="shared" ref="J388" si="538">H388*I388</f>
        <v>562638</v>
      </c>
      <c r="K388" s="146">
        <f t="shared" ref="K388" si="539">H388+(J388-H388)*(1-30/100)</f>
        <v>554295</v>
      </c>
      <c r="L388" s="382"/>
      <c r="M388" s="382"/>
      <c r="N388" s="382"/>
    </row>
    <row r="389" spans="1:14" s="383" customFormat="1" ht="31.5" hidden="1" outlineLevel="3" x14ac:dyDescent="0.25">
      <c r="A389" s="363" t="s">
        <v>2635</v>
      </c>
      <c r="B389" s="381" t="s">
        <v>1541</v>
      </c>
      <c r="C389" s="381" t="s">
        <v>1540</v>
      </c>
      <c r="D389" s="100" t="s">
        <v>377</v>
      </c>
      <c r="E389" s="100">
        <f>135</f>
        <v>135</v>
      </c>
      <c r="F389" s="220">
        <f>(343866)*(1.023*1.005-2.3%*15%)*6.99+0*4.09</f>
        <v>2462909</v>
      </c>
      <c r="G389" s="145">
        <f t="shared" si="509"/>
        <v>1.1279999999999999</v>
      </c>
      <c r="H389" s="146">
        <f t="shared" ref="H389" si="540">F389*G389</f>
        <v>2778161</v>
      </c>
      <c r="I389" s="145">
        <f>Дефляторы!$D$25</f>
        <v>1.052</v>
      </c>
      <c r="J389" s="146">
        <f t="shared" ref="J389" si="541">H389*I389</f>
        <v>2922625</v>
      </c>
      <c r="K389" s="146">
        <f t="shared" ref="K389" si="542">H389+(J389-H389)*(1-30/100)</f>
        <v>2879286</v>
      </c>
      <c r="L389" s="382"/>
      <c r="M389" s="382"/>
      <c r="N389" s="382"/>
    </row>
    <row r="390" spans="1:14" s="383" customFormat="1" ht="31.5" hidden="1" outlineLevel="3" x14ac:dyDescent="0.25">
      <c r="A390" s="363" t="s">
        <v>2636</v>
      </c>
      <c r="B390" s="381" t="s">
        <v>1543</v>
      </c>
      <c r="C390" s="381" t="s">
        <v>1542</v>
      </c>
      <c r="D390" s="100" t="s">
        <v>377</v>
      </c>
      <c r="E390" s="100">
        <f>55</f>
        <v>55</v>
      </c>
      <c r="F390" s="220">
        <f>(55321)*(1.023*1.005-2.3%*15%)*6.99+0*4.09</f>
        <v>396232</v>
      </c>
      <c r="G390" s="145">
        <f t="shared" si="509"/>
        <v>1.1279999999999999</v>
      </c>
      <c r="H390" s="146">
        <f t="shared" ref="H390" si="543">F390*G390</f>
        <v>446950</v>
      </c>
      <c r="I390" s="145">
        <f>Дефляторы!$D$25</f>
        <v>1.052</v>
      </c>
      <c r="J390" s="146">
        <f t="shared" ref="J390" si="544">H390*I390</f>
        <v>470191</v>
      </c>
      <c r="K390" s="146">
        <f t="shared" ref="K390" si="545">H390+(J390-H390)*(1-30/100)</f>
        <v>463219</v>
      </c>
      <c r="L390" s="382"/>
      <c r="M390" s="382"/>
      <c r="N390" s="382"/>
    </row>
    <row r="391" spans="1:14" s="383" customFormat="1" ht="31.5" hidden="1" outlineLevel="3" x14ac:dyDescent="0.25">
      <c r="A391" s="363" t="s">
        <v>2637</v>
      </c>
      <c r="B391" s="381" t="s">
        <v>1546</v>
      </c>
      <c r="C391" s="381" t="s">
        <v>1544</v>
      </c>
      <c r="D391" s="100" t="s">
        <v>377</v>
      </c>
      <c r="E391" s="100">
        <v>25</v>
      </c>
      <c r="F391" s="220">
        <f>(78606)*(1.023*1.005-2.3%*15%)*6.99+0*4.09</f>
        <v>563008</v>
      </c>
      <c r="G391" s="145">
        <f t="shared" si="509"/>
        <v>1.1279999999999999</v>
      </c>
      <c r="H391" s="146">
        <f t="shared" ref="H391" si="546">F391*G391</f>
        <v>635073</v>
      </c>
      <c r="I391" s="145">
        <f>Дефляторы!$D$25</f>
        <v>1.052</v>
      </c>
      <c r="J391" s="146">
        <f t="shared" ref="J391" si="547">H391*I391</f>
        <v>668097</v>
      </c>
      <c r="K391" s="146">
        <f t="shared" ref="K391" si="548">H391+(J391-H391)*(1-30/100)</f>
        <v>658190</v>
      </c>
      <c r="L391" s="382"/>
      <c r="M391" s="382"/>
      <c r="N391" s="382"/>
    </row>
    <row r="392" spans="1:14" s="383" customFormat="1" ht="31.5" hidden="1" outlineLevel="3" x14ac:dyDescent="0.25">
      <c r="A392" s="363" t="s">
        <v>2638</v>
      </c>
      <c r="B392" s="381" t="s">
        <v>1547</v>
      </c>
      <c r="C392" s="381" t="s">
        <v>1545</v>
      </c>
      <c r="D392" s="100" t="s">
        <v>377</v>
      </c>
      <c r="E392" s="100">
        <v>20</v>
      </c>
      <c r="F392" s="220">
        <f>(63009)*(1.023*1.005-2.3%*15%)*6.99+0*4.09</f>
        <v>451296</v>
      </c>
      <c r="G392" s="145">
        <f t="shared" si="509"/>
        <v>1.1279999999999999</v>
      </c>
      <c r="H392" s="146">
        <f t="shared" ref="H392" si="549">F392*G392</f>
        <v>509062</v>
      </c>
      <c r="I392" s="145">
        <f>Дефляторы!$D$25</f>
        <v>1.052</v>
      </c>
      <c r="J392" s="146">
        <f t="shared" ref="J392" si="550">H392*I392</f>
        <v>535533</v>
      </c>
      <c r="K392" s="146">
        <f t="shared" ref="K392" si="551">H392+(J392-H392)*(1-30/100)</f>
        <v>527592</v>
      </c>
      <c r="L392" s="382"/>
      <c r="M392" s="382"/>
      <c r="N392" s="382"/>
    </row>
    <row r="393" spans="1:14" s="383" customFormat="1" ht="47.25" hidden="1" outlineLevel="3" x14ac:dyDescent="0.25">
      <c r="A393" s="363" t="s">
        <v>2639</v>
      </c>
      <c r="B393" s="381" t="s">
        <v>1548</v>
      </c>
      <c r="C393" s="381" t="s">
        <v>1549</v>
      </c>
      <c r="D393" s="100" t="s">
        <v>377</v>
      </c>
      <c r="E393" s="100">
        <v>13</v>
      </c>
      <c r="F393" s="220">
        <f>(22484)*(1.023*1.005-2.3%*15%)*6.99+0*4.09</f>
        <v>161040</v>
      </c>
      <c r="G393" s="145">
        <f t="shared" si="509"/>
        <v>1.1279999999999999</v>
      </c>
      <c r="H393" s="146">
        <f t="shared" ref="H393" si="552">F393*G393</f>
        <v>181653</v>
      </c>
      <c r="I393" s="145">
        <f>Дефляторы!$D$25</f>
        <v>1.052</v>
      </c>
      <c r="J393" s="146">
        <f t="shared" ref="J393" si="553">H393*I393</f>
        <v>191099</v>
      </c>
      <c r="K393" s="146">
        <f t="shared" ref="K393" si="554">H393+(J393-H393)*(1-30/100)</f>
        <v>188265</v>
      </c>
      <c r="L393" s="382"/>
      <c r="M393" s="382"/>
      <c r="N393" s="382"/>
    </row>
    <row r="394" spans="1:14" s="383" customFormat="1" ht="47.25" hidden="1" outlineLevel="3" x14ac:dyDescent="0.25">
      <c r="A394" s="363" t="s">
        <v>2640</v>
      </c>
      <c r="B394" s="381" t="s">
        <v>1551</v>
      </c>
      <c r="C394" s="381" t="s">
        <v>1550</v>
      </c>
      <c r="D394" s="100" t="s">
        <v>377</v>
      </c>
      <c r="E394" s="100">
        <f>1895</f>
        <v>1895</v>
      </c>
      <c r="F394" s="220">
        <f>(396114)*(1.023*1.005-2.3%*15%)*6.99+0*4.09</f>
        <v>2837130</v>
      </c>
      <c r="G394" s="145">
        <f t="shared" si="509"/>
        <v>1.1279999999999999</v>
      </c>
      <c r="H394" s="146">
        <f t="shared" ref="H394" si="555">F394*G394</f>
        <v>3200283</v>
      </c>
      <c r="I394" s="145">
        <f>Дефляторы!$D$25</f>
        <v>1.052</v>
      </c>
      <c r="J394" s="146">
        <f t="shared" ref="J394" si="556">H394*I394</f>
        <v>3366698</v>
      </c>
      <c r="K394" s="146">
        <f t="shared" ref="K394" si="557">H394+(J394-H394)*(1-30/100)</f>
        <v>3316774</v>
      </c>
      <c r="L394" s="382"/>
      <c r="M394" s="382"/>
      <c r="N394" s="382"/>
    </row>
    <row r="395" spans="1:14" s="383" customFormat="1" ht="47.25" hidden="1" outlineLevel="3" x14ac:dyDescent="0.25">
      <c r="A395" s="363" t="s">
        <v>2641</v>
      </c>
      <c r="B395" s="381" t="s">
        <v>1551</v>
      </c>
      <c r="C395" s="381" t="s">
        <v>1552</v>
      </c>
      <c r="D395" s="100" t="s">
        <v>377</v>
      </c>
      <c r="E395" s="100">
        <v>3441</v>
      </c>
      <c r="F395" s="220">
        <f>(719272)*(1.023*1.005-2.3%*15%)*6.99+0*4.09</f>
        <v>5151720</v>
      </c>
      <c r="G395" s="145">
        <f t="shared" si="509"/>
        <v>1.1279999999999999</v>
      </c>
      <c r="H395" s="146">
        <f t="shared" ref="H395" si="558">F395*G395</f>
        <v>5811140</v>
      </c>
      <c r="I395" s="145">
        <f>Дефляторы!$D$25</f>
        <v>1.052</v>
      </c>
      <c r="J395" s="146">
        <f t="shared" ref="J395" si="559">H395*I395</f>
        <v>6113319</v>
      </c>
      <c r="K395" s="146">
        <f t="shared" ref="K395" si="560">H395+(J395-H395)*(1-30/100)</f>
        <v>6022665</v>
      </c>
      <c r="L395" s="382"/>
      <c r="M395" s="382"/>
      <c r="N395" s="382"/>
    </row>
    <row r="396" spans="1:14" s="383" customFormat="1" ht="31.5" hidden="1" outlineLevel="3" x14ac:dyDescent="0.25">
      <c r="A396" s="363" t="s">
        <v>2642</v>
      </c>
      <c r="B396" s="381" t="s">
        <v>1554</v>
      </c>
      <c r="C396" s="381" t="s">
        <v>1553</v>
      </c>
      <c r="D396" s="100" t="s">
        <v>377</v>
      </c>
      <c r="E396" s="100">
        <v>65</v>
      </c>
      <c r="F396" s="220">
        <f>(7002)*(1.023*1.005-2.3%*15%)*6.99+0*4.09</f>
        <v>50151</v>
      </c>
      <c r="G396" s="145">
        <f t="shared" si="509"/>
        <v>1.1279999999999999</v>
      </c>
      <c r="H396" s="146">
        <f t="shared" ref="H396" si="561">F396*G396</f>
        <v>56570</v>
      </c>
      <c r="I396" s="145">
        <f>Дефляторы!$D$25</f>
        <v>1.052</v>
      </c>
      <c r="J396" s="146">
        <f t="shared" ref="J396" si="562">H396*I396</f>
        <v>59512</v>
      </c>
      <c r="K396" s="146">
        <f t="shared" ref="K396" si="563">H396+(J396-H396)*(1-30/100)</f>
        <v>58629</v>
      </c>
      <c r="L396" s="382"/>
      <c r="M396" s="382"/>
      <c r="N396" s="382"/>
    </row>
    <row r="397" spans="1:14" s="383" customFormat="1" ht="31.5" hidden="1" outlineLevel="3" x14ac:dyDescent="0.25">
      <c r="A397" s="363" t="s">
        <v>2643</v>
      </c>
      <c r="B397" s="381" t="s">
        <v>1555</v>
      </c>
      <c r="C397" s="381" t="s">
        <v>1556</v>
      </c>
      <c r="D397" s="100" t="s">
        <v>377</v>
      </c>
      <c r="E397" s="100">
        <f>15</f>
        <v>15</v>
      </c>
      <c r="F397" s="220">
        <f>(3199)*(1.023*1.005-2.3%*15%)*6.99+0*4.09</f>
        <v>22913</v>
      </c>
      <c r="G397" s="145">
        <f t="shared" si="509"/>
        <v>1.1279999999999999</v>
      </c>
      <c r="H397" s="146">
        <f t="shared" ref="H397" si="564">F397*G397</f>
        <v>25846</v>
      </c>
      <c r="I397" s="145">
        <f>Дефляторы!$D$25</f>
        <v>1.052</v>
      </c>
      <c r="J397" s="146">
        <f t="shared" ref="J397" si="565">H397*I397</f>
        <v>27190</v>
      </c>
      <c r="K397" s="146">
        <f t="shared" ref="K397" si="566">H397+(J397-H397)*(1-30/100)</f>
        <v>26787</v>
      </c>
      <c r="L397" s="382"/>
      <c r="M397" s="382"/>
      <c r="N397" s="382"/>
    </row>
    <row r="398" spans="1:14" s="383" customFormat="1" ht="31.5" hidden="1" outlineLevel="3" x14ac:dyDescent="0.25">
      <c r="A398" s="363" t="s">
        <v>2644</v>
      </c>
      <c r="B398" s="381" t="s">
        <v>1558</v>
      </c>
      <c r="C398" s="381" t="s">
        <v>1557</v>
      </c>
      <c r="D398" s="100" t="s">
        <v>377</v>
      </c>
      <c r="E398" s="100">
        <f>25</f>
        <v>25</v>
      </c>
      <c r="F398" s="220">
        <f>(1143)*(1.023*1.005-2.3%*15%)*6.99+0*4.09</f>
        <v>8187</v>
      </c>
      <c r="G398" s="145">
        <f t="shared" si="509"/>
        <v>1.1279999999999999</v>
      </c>
      <c r="H398" s="146">
        <f t="shared" ref="H398" si="567">F398*G398</f>
        <v>9235</v>
      </c>
      <c r="I398" s="145">
        <f>Дефляторы!$D$25</f>
        <v>1.052</v>
      </c>
      <c r="J398" s="146">
        <f t="shared" ref="J398" si="568">H398*I398</f>
        <v>9715</v>
      </c>
      <c r="K398" s="146">
        <f t="shared" ref="K398" si="569">H398+(J398-H398)*(1-30/100)</f>
        <v>9571</v>
      </c>
      <c r="L398" s="382"/>
      <c r="M398" s="382"/>
      <c r="N398" s="382"/>
    </row>
    <row r="399" spans="1:14" s="383" customFormat="1" hidden="1" outlineLevel="3" x14ac:dyDescent="0.25">
      <c r="A399" s="363" t="s">
        <v>2645</v>
      </c>
      <c r="B399" s="381" t="s">
        <v>1560</v>
      </c>
      <c r="C399" s="381" t="s">
        <v>1559</v>
      </c>
      <c r="D399" s="100" t="s">
        <v>377</v>
      </c>
      <c r="E399" s="100">
        <v>24</v>
      </c>
      <c r="F399" s="220">
        <f>(10526)*(1.023*1.005-2.3%*15%)*6.99+0*4.09</f>
        <v>75392</v>
      </c>
      <c r="G399" s="145">
        <f t="shared" si="509"/>
        <v>1.1279999999999999</v>
      </c>
      <c r="H399" s="146">
        <f t="shared" ref="H399" si="570">F399*G399</f>
        <v>85042</v>
      </c>
      <c r="I399" s="145">
        <f>Дефляторы!$D$25</f>
        <v>1.052</v>
      </c>
      <c r="J399" s="146">
        <f t="shared" ref="J399" si="571">H399*I399</f>
        <v>89464</v>
      </c>
      <c r="K399" s="146">
        <f t="shared" ref="K399" si="572">H399+(J399-H399)*(1-30/100)</f>
        <v>88137</v>
      </c>
      <c r="L399" s="382"/>
      <c r="M399" s="382"/>
      <c r="N399" s="382"/>
    </row>
    <row r="400" spans="1:14" s="383" customFormat="1" hidden="1" outlineLevel="3" x14ac:dyDescent="0.25">
      <c r="A400" s="363" t="s">
        <v>2646</v>
      </c>
      <c r="B400" s="381" t="s">
        <v>1562</v>
      </c>
      <c r="C400" s="381" t="s">
        <v>1561</v>
      </c>
      <c r="D400" s="100" t="s">
        <v>377</v>
      </c>
      <c r="E400" s="100">
        <v>13</v>
      </c>
      <c r="F400" s="220">
        <f>(10357)*(1.023*1.005-2.3%*15%)*6.99+0*4.09</f>
        <v>74181</v>
      </c>
      <c r="G400" s="145">
        <f t="shared" si="509"/>
        <v>1.1279999999999999</v>
      </c>
      <c r="H400" s="146">
        <f t="shared" ref="H400" si="573">F400*G400</f>
        <v>83676</v>
      </c>
      <c r="I400" s="145">
        <f>Дефляторы!$D$25</f>
        <v>1.052</v>
      </c>
      <c r="J400" s="146">
        <f t="shared" ref="J400" si="574">H400*I400</f>
        <v>88027</v>
      </c>
      <c r="K400" s="146">
        <f t="shared" ref="K400" si="575">H400+(J400-H400)*(1-30/100)</f>
        <v>86722</v>
      </c>
      <c r="L400" s="382"/>
      <c r="M400" s="382"/>
      <c r="N400" s="382"/>
    </row>
    <row r="401" spans="1:14" s="383" customFormat="1" hidden="1" outlineLevel="3" x14ac:dyDescent="0.25">
      <c r="A401" s="363" t="s">
        <v>2647</v>
      </c>
      <c r="B401" s="381" t="s">
        <v>1563</v>
      </c>
      <c r="C401" s="381" t="s">
        <v>1564</v>
      </c>
      <c r="D401" s="100" t="s">
        <v>377</v>
      </c>
      <c r="E401" s="100">
        <v>18</v>
      </c>
      <c r="F401" s="220">
        <f>(9486)*(1.023*1.005-2.3%*15%)*6.99+0*4.09</f>
        <v>67943</v>
      </c>
      <c r="G401" s="145">
        <f t="shared" si="509"/>
        <v>1.1279999999999999</v>
      </c>
      <c r="H401" s="146">
        <f t="shared" ref="H401" si="576">F401*G401</f>
        <v>76640</v>
      </c>
      <c r="I401" s="145">
        <f>Дефляторы!$D$25</f>
        <v>1.052</v>
      </c>
      <c r="J401" s="146">
        <f t="shared" ref="J401" si="577">H401*I401</f>
        <v>80625</v>
      </c>
      <c r="K401" s="146">
        <f t="shared" ref="K401" si="578">H401+(J401-H401)*(1-30/100)</f>
        <v>79430</v>
      </c>
      <c r="L401" s="382"/>
      <c r="M401" s="382"/>
      <c r="N401" s="382"/>
    </row>
    <row r="402" spans="1:14" s="383" customFormat="1" hidden="1" outlineLevel="3" x14ac:dyDescent="0.25">
      <c r="A402" s="363" t="s">
        <v>2648</v>
      </c>
      <c r="B402" s="381" t="s">
        <v>1566</v>
      </c>
      <c r="C402" s="381" t="s">
        <v>1565</v>
      </c>
      <c r="D402" s="100" t="s">
        <v>300</v>
      </c>
      <c r="E402" s="100">
        <v>410</v>
      </c>
      <c r="F402" s="220">
        <f>(1280847)*(1.023*1.005-2.3%*15%)*6.99+0*4.09</f>
        <v>9173949</v>
      </c>
      <c r="G402" s="145">
        <f t="shared" si="509"/>
        <v>1.1279999999999999</v>
      </c>
      <c r="H402" s="146">
        <f t="shared" ref="H402" si="579">F402*G402</f>
        <v>10348214</v>
      </c>
      <c r="I402" s="145">
        <f>Дефляторы!$D$25</f>
        <v>1.052</v>
      </c>
      <c r="J402" s="146">
        <f t="shared" ref="J402" si="580">H402*I402</f>
        <v>10886321</v>
      </c>
      <c r="K402" s="146">
        <f t="shared" ref="K402" si="581">H402+(J402-H402)*(1-30/100)</f>
        <v>10724889</v>
      </c>
      <c r="L402" s="382"/>
      <c r="M402" s="382"/>
      <c r="N402" s="382"/>
    </row>
    <row r="403" spans="1:14" s="383" customFormat="1" hidden="1" outlineLevel="3" x14ac:dyDescent="0.25">
      <c r="A403" s="363"/>
      <c r="B403" s="381"/>
      <c r="C403" s="381" t="s">
        <v>1567</v>
      </c>
      <c r="D403" s="100"/>
      <c r="E403" s="100"/>
      <c r="F403" s="149"/>
      <c r="G403" s="145"/>
      <c r="H403" s="146"/>
      <c r="I403" s="145">
        <f>Дефляторы!$D$25</f>
        <v>1.052</v>
      </c>
      <c r="J403" s="146"/>
      <c r="K403" s="146"/>
      <c r="L403" s="382"/>
      <c r="M403" s="382"/>
      <c r="N403" s="382"/>
    </row>
    <row r="404" spans="1:14" s="383" customFormat="1" hidden="1" outlineLevel="3" x14ac:dyDescent="0.25">
      <c r="A404" s="363" t="s">
        <v>2649</v>
      </c>
      <c r="B404" s="381" t="s">
        <v>1569</v>
      </c>
      <c r="C404" s="381" t="s">
        <v>1568</v>
      </c>
      <c r="D404" s="100" t="s">
        <v>408</v>
      </c>
      <c r="E404" s="100">
        <v>2</v>
      </c>
      <c r="F404" s="220">
        <f>(737)*(1.023*1.005-2.3%*15%)*6.99+0*4.09</f>
        <v>5279</v>
      </c>
      <c r="G404" s="145">
        <f t="shared" ref="G404:G412" si="582">$G$831</f>
        <v>1.1279999999999999</v>
      </c>
      <c r="H404" s="146">
        <f t="shared" ref="H404" si="583">F404*G404</f>
        <v>5955</v>
      </c>
      <c r="I404" s="145">
        <f>Дефляторы!$D$25</f>
        <v>1.052</v>
      </c>
      <c r="J404" s="146">
        <f t="shared" ref="J404" si="584">H404*I404</f>
        <v>6265</v>
      </c>
      <c r="K404" s="146">
        <f t="shared" ref="K404" si="585">H404+(J404-H404)*(1-30/100)</f>
        <v>6172</v>
      </c>
      <c r="L404" s="382"/>
      <c r="M404" s="382"/>
      <c r="N404" s="382"/>
    </row>
    <row r="405" spans="1:14" s="383" customFormat="1" ht="31.5" hidden="1" outlineLevel="3" x14ac:dyDescent="0.25">
      <c r="A405" s="363" t="s">
        <v>2650</v>
      </c>
      <c r="B405" s="381" t="s">
        <v>1571</v>
      </c>
      <c r="C405" s="381" t="s">
        <v>1570</v>
      </c>
      <c r="D405" s="100" t="s">
        <v>408</v>
      </c>
      <c r="E405" s="100">
        <v>5</v>
      </c>
      <c r="F405" s="220">
        <f>(10867)*(1.023*1.005-2.3%*15%)*6.99+0*4.09</f>
        <v>77834</v>
      </c>
      <c r="G405" s="145">
        <f t="shared" si="582"/>
        <v>1.1279999999999999</v>
      </c>
      <c r="H405" s="146">
        <f t="shared" ref="H405:H406" si="586">F405*G405</f>
        <v>87797</v>
      </c>
      <c r="I405" s="145">
        <f>Дефляторы!$D$25</f>
        <v>1.052</v>
      </c>
      <c r="J405" s="146">
        <f t="shared" ref="J405:J406" si="587">H405*I405</f>
        <v>92362</v>
      </c>
      <c r="K405" s="146">
        <f t="shared" ref="K405:K406" si="588">H405+(J405-H405)*(1-30/100)</f>
        <v>90993</v>
      </c>
      <c r="L405" s="382" t="s">
        <v>1572</v>
      </c>
      <c r="M405" s="382"/>
      <c r="N405" s="382"/>
    </row>
    <row r="406" spans="1:14" s="383" customFormat="1" ht="31.5" hidden="1" outlineLevel="3" x14ac:dyDescent="0.25">
      <c r="A406" s="363" t="s">
        <v>2651</v>
      </c>
      <c r="B406" s="381" t="s">
        <v>1573</v>
      </c>
      <c r="C406" s="381" t="s">
        <v>1574</v>
      </c>
      <c r="D406" s="100" t="s">
        <v>408</v>
      </c>
      <c r="E406" s="100">
        <v>2</v>
      </c>
      <c r="F406" s="220">
        <f>(1937)*(1.023*1.005-2.3%*15%)*6.99+0*4.09</f>
        <v>13874</v>
      </c>
      <c r="G406" s="145">
        <f t="shared" si="582"/>
        <v>1.1279999999999999</v>
      </c>
      <c r="H406" s="146">
        <f t="shared" si="586"/>
        <v>15650</v>
      </c>
      <c r="I406" s="145">
        <f>Дефляторы!$D$25</f>
        <v>1.052</v>
      </c>
      <c r="J406" s="146">
        <f t="shared" si="587"/>
        <v>16464</v>
      </c>
      <c r="K406" s="146">
        <f t="shared" si="588"/>
        <v>16220</v>
      </c>
      <c r="L406" s="382"/>
      <c r="M406" s="382"/>
      <c r="N406" s="382"/>
    </row>
    <row r="407" spans="1:14" s="383" customFormat="1" hidden="1" outlineLevel="3" x14ac:dyDescent="0.25">
      <c r="A407" s="363" t="s">
        <v>2652</v>
      </c>
      <c r="B407" s="381" t="s">
        <v>1576</v>
      </c>
      <c r="C407" s="381" t="s">
        <v>1575</v>
      </c>
      <c r="D407" s="100" t="s">
        <v>408</v>
      </c>
      <c r="E407" s="100">
        <v>2</v>
      </c>
      <c r="F407" s="220">
        <f>(7342)*(1.023*1.005-2.3%*15%)*6.99+0*4.09</f>
        <v>52586</v>
      </c>
      <c r="G407" s="145">
        <f t="shared" si="582"/>
        <v>1.1279999999999999</v>
      </c>
      <c r="H407" s="146">
        <f t="shared" ref="H407" si="589">F407*G407</f>
        <v>59317</v>
      </c>
      <c r="I407" s="145">
        <f>Дефляторы!$D$25</f>
        <v>1.052</v>
      </c>
      <c r="J407" s="146">
        <f t="shared" ref="J407" si="590">H407*I407</f>
        <v>62401</v>
      </c>
      <c r="K407" s="146">
        <f t="shared" ref="K407" si="591">H407+(J407-H407)*(1-30/100)</f>
        <v>61476</v>
      </c>
      <c r="L407" s="382"/>
      <c r="M407" s="382"/>
      <c r="N407" s="382"/>
    </row>
    <row r="408" spans="1:14" s="383" customFormat="1" hidden="1" outlineLevel="3" x14ac:dyDescent="0.25">
      <c r="A408" s="363" t="s">
        <v>2653</v>
      </c>
      <c r="B408" s="381" t="s">
        <v>1578</v>
      </c>
      <c r="C408" s="381" t="s">
        <v>1577</v>
      </c>
      <c r="D408" s="100" t="s">
        <v>408</v>
      </c>
      <c r="E408" s="100">
        <v>1</v>
      </c>
      <c r="F408" s="220">
        <f>(1119)*(1.023*1.005-2.3%*15%)*6.99+0*4.09</f>
        <v>8015</v>
      </c>
      <c r="G408" s="145">
        <f t="shared" si="582"/>
        <v>1.1279999999999999</v>
      </c>
      <c r="H408" s="146">
        <f t="shared" ref="H408" si="592">F408*G408</f>
        <v>9041</v>
      </c>
      <c r="I408" s="145">
        <f>Дефляторы!$D$25</f>
        <v>1.052</v>
      </c>
      <c r="J408" s="146">
        <f t="shared" ref="J408" si="593">H408*I408</f>
        <v>9511</v>
      </c>
      <c r="K408" s="146">
        <f t="shared" ref="K408" si="594">H408+(J408-H408)*(1-30/100)</f>
        <v>9370</v>
      </c>
      <c r="L408" s="382"/>
      <c r="M408" s="382"/>
      <c r="N408" s="382"/>
    </row>
    <row r="409" spans="1:14" s="383" customFormat="1" hidden="1" outlineLevel="3" x14ac:dyDescent="0.25">
      <c r="A409" s="363" t="s">
        <v>2654</v>
      </c>
      <c r="B409" s="381" t="s">
        <v>1581</v>
      </c>
      <c r="C409" s="381" t="s">
        <v>1579</v>
      </c>
      <c r="D409" s="100" t="s">
        <v>408</v>
      </c>
      <c r="E409" s="100">
        <v>1</v>
      </c>
      <c r="F409" s="220">
        <f>(4523)*(1.023*1.005-2.3%*15%)*6.99+0*4.09</f>
        <v>32396</v>
      </c>
      <c r="G409" s="145">
        <f t="shared" si="582"/>
        <v>1.1279999999999999</v>
      </c>
      <c r="H409" s="146">
        <f t="shared" ref="H409" si="595">F409*G409</f>
        <v>36543</v>
      </c>
      <c r="I409" s="145">
        <f>Дефляторы!$D$25</f>
        <v>1.052</v>
      </c>
      <c r="J409" s="146">
        <f t="shared" ref="J409" si="596">H409*I409</f>
        <v>38443</v>
      </c>
      <c r="K409" s="146">
        <f t="shared" ref="K409" si="597">H409+(J409-H409)*(1-30/100)</f>
        <v>37873</v>
      </c>
      <c r="L409" s="382"/>
      <c r="M409" s="382"/>
      <c r="N409" s="382"/>
    </row>
    <row r="410" spans="1:14" s="383" customFormat="1" hidden="1" outlineLevel="3" x14ac:dyDescent="0.25">
      <c r="A410" s="363" t="s">
        <v>2655</v>
      </c>
      <c r="B410" s="381" t="s">
        <v>1582</v>
      </c>
      <c r="C410" s="381" t="s">
        <v>1580</v>
      </c>
      <c r="D410" s="100" t="s">
        <v>408</v>
      </c>
      <c r="E410" s="100">
        <v>1</v>
      </c>
      <c r="F410" s="220">
        <f>(2695)*(1.023*1.005-2.3%*15%)*6.99+0*4.09</f>
        <v>19303</v>
      </c>
      <c r="G410" s="145">
        <f t="shared" si="582"/>
        <v>1.1279999999999999</v>
      </c>
      <c r="H410" s="146">
        <f t="shared" ref="H410" si="598">F410*G410</f>
        <v>21774</v>
      </c>
      <c r="I410" s="145">
        <f>Дефляторы!$D$25</f>
        <v>1.052</v>
      </c>
      <c r="J410" s="146">
        <f t="shared" ref="J410" si="599">H410*I410</f>
        <v>22906</v>
      </c>
      <c r="K410" s="146">
        <f t="shared" ref="K410" si="600">H410+(J410-H410)*(1-30/100)</f>
        <v>22566</v>
      </c>
      <c r="L410" s="382"/>
      <c r="M410" s="382"/>
      <c r="N410" s="382"/>
    </row>
    <row r="411" spans="1:14" s="383" customFormat="1" ht="31.5" hidden="1" outlineLevel="3" x14ac:dyDescent="0.25">
      <c r="A411" s="363" t="s">
        <v>2656</v>
      </c>
      <c r="B411" s="381" t="s">
        <v>1584</v>
      </c>
      <c r="C411" s="381" t="s">
        <v>1583</v>
      </c>
      <c r="D411" s="100" t="s">
        <v>408</v>
      </c>
      <c r="E411" s="100">
        <v>2</v>
      </c>
      <c r="F411" s="220">
        <f>(5523)*(1.023*1.005-2.3%*15%)*6.99+0*4.09</f>
        <v>39558</v>
      </c>
      <c r="G411" s="145">
        <f t="shared" si="582"/>
        <v>1.1279999999999999</v>
      </c>
      <c r="H411" s="146">
        <f t="shared" ref="H411" si="601">F411*G411</f>
        <v>44621</v>
      </c>
      <c r="I411" s="145">
        <f>Дефляторы!$D$25</f>
        <v>1.052</v>
      </c>
      <c r="J411" s="146">
        <f t="shared" ref="J411" si="602">H411*I411</f>
        <v>46941</v>
      </c>
      <c r="K411" s="146">
        <f t="shared" ref="K411" si="603">H411+(J411-H411)*(1-30/100)</f>
        <v>46245</v>
      </c>
      <c r="L411" s="382"/>
      <c r="M411" s="382"/>
      <c r="N411" s="382"/>
    </row>
    <row r="412" spans="1:14" s="383" customFormat="1" ht="31.5" hidden="1" outlineLevel="3" x14ac:dyDescent="0.25">
      <c r="A412" s="363" t="s">
        <v>2657</v>
      </c>
      <c r="B412" s="381" t="s">
        <v>1586</v>
      </c>
      <c r="C412" s="381" t="s">
        <v>1585</v>
      </c>
      <c r="D412" s="100" t="s">
        <v>408</v>
      </c>
      <c r="E412" s="100">
        <v>2</v>
      </c>
      <c r="F412" s="220">
        <f>(3535)*(1.023*1.005-2.3%*15%)*6.99+0*4.09</f>
        <v>25319</v>
      </c>
      <c r="G412" s="145">
        <f t="shared" si="582"/>
        <v>1.1279999999999999</v>
      </c>
      <c r="H412" s="146">
        <f t="shared" ref="H412" si="604">F412*G412</f>
        <v>28560</v>
      </c>
      <c r="I412" s="145">
        <f>Дефляторы!$D$25</f>
        <v>1.052</v>
      </c>
      <c r="J412" s="146">
        <f t="shared" ref="J412" si="605">H412*I412</f>
        <v>30045</v>
      </c>
      <c r="K412" s="146">
        <f t="shared" ref="K412" si="606">H412+(J412-H412)*(1-30/100)</f>
        <v>29600</v>
      </c>
      <c r="L412" s="382"/>
      <c r="M412" s="382"/>
      <c r="N412" s="382"/>
    </row>
    <row r="413" spans="1:14" s="383" customFormat="1" hidden="1" outlineLevel="3" x14ac:dyDescent="0.25">
      <c r="A413" s="363"/>
      <c r="B413" s="381"/>
      <c r="C413" s="381" t="s">
        <v>1587</v>
      </c>
      <c r="D413" s="100"/>
      <c r="E413" s="100"/>
      <c r="F413" s="149"/>
      <c r="G413" s="145"/>
      <c r="H413" s="146"/>
      <c r="I413" s="145">
        <f>Дефляторы!$D$25</f>
        <v>1.052</v>
      </c>
      <c r="J413" s="146"/>
      <c r="K413" s="146"/>
      <c r="L413" s="382"/>
      <c r="M413" s="382"/>
      <c r="N413" s="382"/>
    </row>
    <row r="414" spans="1:14" s="383" customFormat="1" ht="63" hidden="1" outlineLevel="3" x14ac:dyDescent="0.25">
      <c r="A414" s="363" t="s">
        <v>2658</v>
      </c>
      <c r="B414" s="381" t="s">
        <v>1598</v>
      </c>
      <c r="C414" s="381" t="s">
        <v>1588</v>
      </c>
      <c r="D414" s="100" t="s">
        <v>408</v>
      </c>
      <c r="E414" s="100">
        <v>1</v>
      </c>
      <c r="F414" s="220">
        <f>(48059/11+30686+4863/11)*(1.023*1.005-2.3%*15%)*6.99+0*4.09</f>
        <v>254245</v>
      </c>
      <c r="G414" s="145">
        <f t="shared" ref="G414:G425" si="607">$G$831</f>
        <v>1.1279999999999999</v>
      </c>
      <c r="H414" s="146">
        <f t="shared" ref="H414" si="608">F414*G414</f>
        <v>286788</v>
      </c>
      <c r="I414" s="145">
        <f>Дефляторы!$D$25</f>
        <v>1.052</v>
      </c>
      <c r="J414" s="146">
        <f t="shared" ref="J414" si="609">H414*I414</f>
        <v>301701</v>
      </c>
      <c r="K414" s="146">
        <f t="shared" ref="K414" si="610">H414+(J414-H414)*(1-30/100)</f>
        <v>297227</v>
      </c>
      <c r="L414" s="382"/>
      <c r="M414" s="382"/>
      <c r="N414" s="382"/>
    </row>
    <row r="415" spans="1:14" s="383" customFormat="1" ht="47.25" hidden="1" outlineLevel="3" x14ac:dyDescent="0.25">
      <c r="A415" s="363" t="s">
        <v>2659</v>
      </c>
      <c r="B415" s="381" t="s">
        <v>1599</v>
      </c>
      <c r="C415" s="381" t="s">
        <v>1589</v>
      </c>
      <c r="D415" s="100" t="s">
        <v>408</v>
      </c>
      <c r="E415" s="100">
        <v>1</v>
      </c>
      <c r="F415" s="220">
        <f>(48059/11+84439+4863/11)*(1.023*1.005-2.3%*15%)*6.99+0*4.09</f>
        <v>639246</v>
      </c>
      <c r="G415" s="145">
        <f t="shared" si="607"/>
        <v>1.1279999999999999</v>
      </c>
      <c r="H415" s="146">
        <f t="shared" ref="H415" si="611">F415*G415</f>
        <v>721069</v>
      </c>
      <c r="I415" s="145">
        <f>Дефляторы!$D$25</f>
        <v>1.052</v>
      </c>
      <c r="J415" s="146">
        <f t="shared" ref="J415" si="612">H415*I415</f>
        <v>758565</v>
      </c>
      <c r="K415" s="146">
        <f t="shared" ref="K415" si="613">H415+(J415-H415)*(1-30/100)</f>
        <v>747316</v>
      </c>
      <c r="L415" s="382"/>
      <c r="M415" s="382"/>
      <c r="N415" s="382"/>
    </row>
    <row r="416" spans="1:14" s="383" customFormat="1" ht="47.25" hidden="1" outlineLevel="3" x14ac:dyDescent="0.25">
      <c r="A416" s="363" t="s">
        <v>2660</v>
      </c>
      <c r="B416" s="381" t="s">
        <v>1600</v>
      </c>
      <c r="C416" s="381" t="s">
        <v>1590</v>
      </c>
      <c r="D416" s="100" t="s">
        <v>408</v>
      </c>
      <c r="E416" s="100">
        <v>1</v>
      </c>
      <c r="F416" s="220">
        <f>(48059/11+84439+4863/11)*(1.023*1.005-2.3%*15%)*6.99+0*4.09</f>
        <v>639246</v>
      </c>
      <c r="G416" s="145">
        <f t="shared" si="607"/>
        <v>1.1279999999999999</v>
      </c>
      <c r="H416" s="146">
        <f t="shared" ref="H416" si="614">F416*G416</f>
        <v>721069</v>
      </c>
      <c r="I416" s="145">
        <f>Дефляторы!$D$25</f>
        <v>1.052</v>
      </c>
      <c r="J416" s="146">
        <f t="shared" ref="J416" si="615">H416*I416</f>
        <v>758565</v>
      </c>
      <c r="K416" s="146">
        <f t="shared" ref="K416" si="616">H416+(J416-H416)*(1-30/100)</f>
        <v>747316</v>
      </c>
      <c r="L416" s="382"/>
      <c r="M416" s="382"/>
      <c r="N416" s="382"/>
    </row>
    <row r="417" spans="1:14" s="383" customFormat="1" ht="78.75" hidden="1" outlineLevel="3" x14ac:dyDescent="0.25">
      <c r="A417" s="363" t="s">
        <v>2661</v>
      </c>
      <c r="B417" s="381" t="s">
        <v>1601</v>
      </c>
      <c r="C417" s="381" t="s">
        <v>1591</v>
      </c>
      <c r="D417" s="100" t="s">
        <v>408</v>
      </c>
      <c r="E417" s="100">
        <v>1</v>
      </c>
      <c r="F417" s="220">
        <f>(48059/11+44957+4863/11)*(1.023*1.005-2.3%*15%)*6.99+0*4.09</f>
        <v>356459</v>
      </c>
      <c r="G417" s="145">
        <f t="shared" si="607"/>
        <v>1.1279999999999999</v>
      </c>
      <c r="H417" s="146">
        <f t="shared" ref="H417" si="617">F417*G417</f>
        <v>402086</v>
      </c>
      <c r="I417" s="145">
        <f>Дефляторы!$D$25</f>
        <v>1.052</v>
      </c>
      <c r="J417" s="146">
        <f t="shared" ref="J417" si="618">H417*I417</f>
        <v>422994</v>
      </c>
      <c r="K417" s="146">
        <f t="shared" ref="K417" si="619">H417+(J417-H417)*(1-30/100)</f>
        <v>416722</v>
      </c>
      <c r="L417" s="382"/>
      <c r="M417" s="382"/>
      <c r="N417" s="382"/>
    </row>
    <row r="418" spans="1:14" s="383" customFormat="1" ht="47.25" hidden="1" outlineLevel="3" x14ac:dyDescent="0.25">
      <c r="A418" s="363" t="s">
        <v>2662</v>
      </c>
      <c r="B418" s="381" t="s">
        <v>1602</v>
      </c>
      <c r="C418" s="381" t="s">
        <v>1592</v>
      </c>
      <c r="D418" s="100" t="s">
        <v>408</v>
      </c>
      <c r="E418" s="100">
        <v>2</v>
      </c>
      <c r="F418" s="220">
        <f>(48059/11*2+89913+4863/11*2)*(1.023*1.005-2.3%*15%)*6.99+0*4.09</f>
        <v>712912</v>
      </c>
      <c r="G418" s="145">
        <f t="shared" si="607"/>
        <v>1.1279999999999999</v>
      </c>
      <c r="H418" s="146">
        <f t="shared" ref="H418" si="620">F418*G418</f>
        <v>804165</v>
      </c>
      <c r="I418" s="145">
        <f>Дефляторы!$D$25</f>
        <v>1.052</v>
      </c>
      <c r="J418" s="146">
        <f t="shared" ref="J418" si="621">H418*I418</f>
        <v>845982</v>
      </c>
      <c r="K418" s="146">
        <f t="shared" ref="K418" si="622">H418+(J418-H418)*(1-30/100)</f>
        <v>833437</v>
      </c>
      <c r="L418" s="382"/>
      <c r="M418" s="382"/>
      <c r="N418" s="382"/>
    </row>
    <row r="419" spans="1:14" s="383" customFormat="1" ht="47.25" hidden="1" outlineLevel="3" x14ac:dyDescent="0.25">
      <c r="A419" s="363" t="s">
        <v>2663</v>
      </c>
      <c r="B419" s="381" t="s">
        <v>1603</v>
      </c>
      <c r="C419" s="381" t="s">
        <v>1593</v>
      </c>
      <c r="D419" s="100" t="s">
        <v>408</v>
      </c>
      <c r="E419" s="100">
        <v>1</v>
      </c>
      <c r="F419" s="220">
        <f>(48059/11+44957+4863/11)*(1.023*1.005-2.3%*15%)*6.99+0*4.09</f>
        <v>356459</v>
      </c>
      <c r="G419" s="145">
        <f t="shared" si="607"/>
        <v>1.1279999999999999</v>
      </c>
      <c r="H419" s="146">
        <f t="shared" ref="H419" si="623">F419*G419</f>
        <v>402086</v>
      </c>
      <c r="I419" s="145">
        <f>Дефляторы!$D$25</f>
        <v>1.052</v>
      </c>
      <c r="J419" s="146">
        <f t="shared" ref="J419" si="624">H419*I419</f>
        <v>422994</v>
      </c>
      <c r="K419" s="146">
        <f t="shared" ref="K419" si="625">H419+(J419-H419)*(1-30/100)</f>
        <v>416722</v>
      </c>
      <c r="L419" s="382"/>
      <c r="M419" s="382"/>
      <c r="N419" s="382"/>
    </row>
    <row r="420" spans="1:14" s="383" customFormat="1" ht="47.25" hidden="1" outlineLevel="3" x14ac:dyDescent="0.25">
      <c r="A420" s="363" t="s">
        <v>2664</v>
      </c>
      <c r="B420" s="381" t="s">
        <v>1604</v>
      </c>
      <c r="C420" s="381" t="s">
        <v>1594</v>
      </c>
      <c r="D420" s="100" t="s">
        <v>408</v>
      </c>
      <c r="E420" s="100">
        <v>1</v>
      </c>
      <c r="F420" s="220">
        <f>(48059/11+30686+4863/11)*(1.023*1.005-2.3%*15%)*6.99+0*4.09</f>
        <v>254245</v>
      </c>
      <c r="G420" s="145">
        <f t="shared" si="607"/>
        <v>1.1279999999999999</v>
      </c>
      <c r="H420" s="146">
        <f t="shared" ref="H420" si="626">F420*G420</f>
        <v>286788</v>
      </c>
      <c r="I420" s="145">
        <f>Дефляторы!$D$25</f>
        <v>1.052</v>
      </c>
      <c r="J420" s="146">
        <f t="shared" ref="J420" si="627">H420*I420</f>
        <v>301701</v>
      </c>
      <c r="K420" s="146">
        <f t="shared" ref="K420" si="628">H420+(J420-H420)*(1-30/100)</f>
        <v>297227</v>
      </c>
      <c r="L420" s="382"/>
      <c r="M420" s="382"/>
      <c r="N420" s="382"/>
    </row>
    <row r="421" spans="1:14" s="383" customFormat="1" ht="47.25" hidden="1" outlineLevel="3" x14ac:dyDescent="0.25">
      <c r="A421" s="363" t="s">
        <v>2665</v>
      </c>
      <c r="B421" s="381" t="s">
        <v>1605</v>
      </c>
      <c r="C421" s="381" t="s">
        <v>1595</v>
      </c>
      <c r="D421" s="100" t="s">
        <v>408</v>
      </c>
      <c r="E421" s="100">
        <v>1</v>
      </c>
      <c r="F421" s="220">
        <f>(48059/11+44957+4863/11)*(1.023*1.005-2.3%*15%)*6.99+0*4.09</f>
        <v>356459</v>
      </c>
      <c r="G421" s="145">
        <f t="shared" si="607"/>
        <v>1.1279999999999999</v>
      </c>
      <c r="H421" s="146">
        <f t="shared" ref="H421" si="629">F421*G421</f>
        <v>402086</v>
      </c>
      <c r="I421" s="145">
        <f>Дефляторы!$D$25</f>
        <v>1.052</v>
      </c>
      <c r="J421" s="146">
        <f t="shared" ref="J421" si="630">H421*I421</f>
        <v>422994</v>
      </c>
      <c r="K421" s="146">
        <f t="shared" ref="K421" si="631">H421+(J421-H421)*(1-30/100)</f>
        <v>416722</v>
      </c>
      <c r="L421" s="382"/>
      <c r="M421" s="382"/>
      <c r="N421" s="382"/>
    </row>
    <row r="422" spans="1:14" s="383" customFormat="1" ht="47.25" hidden="1" outlineLevel="3" x14ac:dyDescent="0.25">
      <c r="A422" s="363" t="s">
        <v>2666</v>
      </c>
      <c r="B422" s="381" t="s">
        <v>1606</v>
      </c>
      <c r="C422" s="381" t="s">
        <v>1596</v>
      </c>
      <c r="D422" s="100" t="s">
        <v>408</v>
      </c>
      <c r="E422" s="100">
        <v>1</v>
      </c>
      <c r="F422" s="220">
        <f>(48059/11+29686+4863/11)*(1.023*1.005-2.3%*15%)*6.99+0*4.09</f>
        <v>247082</v>
      </c>
      <c r="G422" s="145">
        <f t="shared" si="607"/>
        <v>1.1279999999999999</v>
      </c>
      <c r="H422" s="146">
        <f t="shared" ref="H422" si="632">F422*G422</f>
        <v>278708</v>
      </c>
      <c r="I422" s="145">
        <f>Дефляторы!$D$25</f>
        <v>1.052</v>
      </c>
      <c r="J422" s="146">
        <f t="shared" ref="J422" si="633">H422*I422</f>
        <v>293201</v>
      </c>
      <c r="K422" s="146">
        <f t="shared" ref="K422" si="634">H422+(J422-H422)*(1-30/100)</f>
        <v>288853</v>
      </c>
      <c r="L422" s="382"/>
      <c r="M422" s="382"/>
      <c r="N422" s="382"/>
    </row>
    <row r="423" spans="1:14" s="383" customFormat="1" ht="78.75" hidden="1" outlineLevel="3" x14ac:dyDescent="0.25">
      <c r="A423" s="363" t="s">
        <v>2667</v>
      </c>
      <c r="B423" s="381" t="s">
        <v>1607</v>
      </c>
      <c r="C423" s="381" t="s">
        <v>1597</v>
      </c>
      <c r="D423" s="100" t="s">
        <v>408</v>
      </c>
      <c r="E423" s="100">
        <v>1</v>
      </c>
      <c r="F423" s="220">
        <f>(48059/11+29686+4863/11)*(1.023*1.005-2.3%*15%)*6.99+0*4.09</f>
        <v>247082</v>
      </c>
      <c r="G423" s="145">
        <f t="shared" si="607"/>
        <v>1.1279999999999999</v>
      </c>
      <c r="H423" s="146">
        <f t="shared" ref="H423" si="635">F423*G423</f>
        <v>278708</v>
      </c>
      <c r="I423" s="145">
        <f>Дефляторы!$D$25</f>
        <v>1.052</v>
      </c>
      <c r="J423" s="146">
        <f t="shared" ref="J423" si="636">H423*I423</f>
        <v>293201</v>
      </c>
      <c r="K423" s="146">
        <f t="shared" ref="K423" si="637">H423+(J423-H423)*(1-30/100)</f>
        <v>288853</v>
      </c>
      <c r="L423" s="382"/>
      <c r="M423" s="382"/>
      <c r="N423" s="382"/>
    </row>
    <row r="424" spans="1:14" s="383" customFormat="1" hidden="1" outlineLevel="3" x14ac:dyDescent="0.25">
      <c r="A424" s="363" t="s">
        <v>2668</v>
      </c>
      <c r="B424" s="381" t="s">
        <v>1608</v>
      </c>
      <c r="C424" s="381" t="s">
        <v>1559</v>
      </c>
      <c r="D424" s="100" t="s">
        <v>377</v>
      </c>
      <c r="E424" s="100">
        <v>7.2</v>
      </c>
      <c r="F424" s="220">
        <f>(3141)*(1.023*1.005-2.3%*15%)*6.99+0*4.09</f>
        <v>22497</v>
      </c>
      <c r="G424" s="145">
        <f t="shared" si="607"/>
        <v>1.1279999999999999</v>
      </c>
      <c r="H424" s="146">
        <f t="shared" ref="H424" si="638">F424*G424</f>
        <v>25377</v>
      </c>
      <c r="I424" s="145">
        <f>Дефляторы!$D$25</f>
        <v>1.052</v>
      </c>
      <c r="J424" s="146">
        <f t="shared" ref="J424" si="639">H424*I424</f>
        <v>26697</v>
      </c>
      <c r="K424" s="146">
        <f t="shared" ref="K424" si="640">H424+(J424-H424)*(1-30/100)</f>
        <v>26301</v>
      </c>
      <c r="L424" s="382"/>
      <c r="M424" s="382"/>
      <c r="N424" s="382"/>
    </row>
    <row r="425" spans="1:14" s="383" customFormat="1" ht="31.5" hidden="1" outlineLevel="3" x14ac:dyDescent="0.25">
      <c r="A425" s="363" t="s">
        <v>2669</v>
      </c>
      <c r="B425" s="381" t="s">
        <v>1610</v>
      </c>
      <c r="C425" s="381" t="s">
        <v>1609</v>
      </c>
      <c r="D425" s="100" t="s">
        <v>300</v>
      </c>
      <c r="E425" s="100">
        <v>12.6</v>
      </c>
      <c r="F425" s="220">
        <f>(38807)*(1.023*1.005-2.3%*15%)*6.99+0*4.09</f>
        <v>277952</v>
      </c>
      <c r="G425" s="145">
        <f t="shared" si="607"/>
        <v>1.1279999999999999</v>
      </c>
      <c r="H425" s="146">
        <f t="shared" ref="H425" si="641">F425*G425</f>
        <v>313530</v>
      </c>
      <c r="I425" s="145">
        <f>Дефляторы!$D$25</f>
        <v>1.052</v>
      </c>
      <c r="J425" s="146">
        <f t="shared" ref="J425" si="642">H425*I425</f>
        <v>329834</v>
      </c>
      <c r="K425" s="146">
        <f t="shared" ref="K425" si="643">H425+(J425-H425)*(1-30/100)</f>
        <v>324943</v>
      </c>
      <c r="L425" s="382"/>
      <c r="M425" s="382"/>
      <c r="N425" s="382"/>
    </row>
    <row r="426" spans="1:14" s="383" customFormat="1" hidden="1" outlineLevel="3" x14ac:dyDescent="0.25">
      <c r="A426" s="363"/>
      <c r="B426" s="381"/>
      <c r="C426" s="381" t="s">
        <v>1612</v>
      </c>
      <c r="D426" s="100"/>
      <c r="E426" s="100"/>
      <c r="F426" s="149"/>
      <c r="G426" s="145"/>
      <c r="H426" s="146"/>
      <c r="I426" s="145">
        <f>Дефляторы!$D$25</f>
        <v>1.052</v>
      </c>
      <c r="J426" s="146"/>
      <c r="K426" s="146"/>
      <c r="L426" s="382"/>
      <c r="M426" s="382"/>
      <c r="N426" s="382"/>
    </row>
    <row r="427" spans="1:14" s="383" customFormat="1" ht="31.5" hidden="1" outlineLevel="3" x14ac:dyDescent="0.25">
      <c r="A427" s="363" t="s">
        <v>2670</v>
      </c>
      <c r="B427" s="381" t="s">
        <v>1613</v>
      </c>
      <c r="C427" s="381" t="s">
        <v>1611</v>
      </c>
      <c r="D427" s="100" t="s">
        <v>377</v>
      </c>
      <c r="E427" s="100">
        <v>3547</v>
      </c>
      <c r="F427" s="220">
        <f>(476378)*(1.023*1.005-2.3%*15%)*6.99+0*4.09</f>
        <v>3412014</v>
      </c>
      <c r="G427" s="145">
        <f>$G$831</f>
        <v>1.1279999999999999</v>
      </c>
      <c r="H427" s="146">
        <f t="shared" ref="H427" si="644">F427*G427</f>
        <v>3848752</v>
      </c>
      <c r="I427" s="145">
        <f>Дефляторы!$D$25</f>
        <v>1.052</v>
      </c>
      <c r="J427" s="146">
        <f t="shared" ref="J427" si="645">H427*I427</f>
        <v>4048887</v>
      </c>
      <c r="K427" s="146">
        <f t="shared" ref="K427" si="646">H427+(J427-H427)*(1-30/100)</f>
        <v>3988847</v>
      </c>
      <c r="L427" s="382"/>
      <c r="M427" s="382"/>
      <c r="N427" s="382"/>
    </row>
    <row r="428" spans="1:14" s="446" customFormat="1" outlineLevel="2" collapsed="1" x14ac:dyDescent="0.25">
      <c r="A428" s="132" t="s">
        <v>2671</v>
      </c>
      <c r="B428" s="320" t="s">
        <v>51</v>
      </c>
      <c r="C428" s="320" t="s">
        <v>138</v>
      </c>
      <c r="D428" s="134" t="s">
        <v>292</v>
      </c>
      <c r="E428" s="90">
        <v>1</v>
      </c>
      <c r="F428" s="90">
        <f>SUM(F429:F461)</f>
        <v>63508328</v>
      </c>
      <c r="G428" s="135">
        <f>$G$831</f>
        <v>1.1279999999999999</v>
      </c>
      <c r="H428" s="90">
        <f>SUM(H429:H461)</f>
        <v>71637395</v>
      </c>
      <c r="I428" s="135">
        <f>Дефляторы!$D$25</f>
        <v>1.052</v>
      </c>
      <c r="J428" s="90">
        <f>SUM(J429:J461)</f>
        <v>75362540</v>
      </c>
      <c r="K428" s="90">
        <f>SUM(K429:K461)</f>
        <v>74244996</v>
      </c>
      <c r="L428" s="445"/>
      <c r="M428" s="445"/>
      <c r="N428" s="445"/>
    </row>
    <row r="429" spans="1:14" s="383" customFormat="1" hidden="1" outlineLevel="3" x14ac:dyDescent="0.25">
      <c r="A429" s="225"/>
      <c r="B429" s="381"/>
      <c r="C429" s="381" t="s">
        <v>367</v>
      </c>
      <c r="D429" s="100"/>
      <c r="E429" s="100"/>
      <c r="F429" s="149"/>
      <c r="G429" s="145"/>
      <c r="H429" s="146"/>
      <c r="I429" s="145">
        <f>Дефляторы!$D$25</f>
        <v>1.052</v>
      </c>
      <c r="J429" s="146"/>
      <c r="K429" s="146"/>
      <c r="L429" s="382"/>
      <c r="M429" s="382"/>
      <c r="N429" s="382"/>
    </row>
    <row r="430" spans="1:14" s="383" customFormat="1" ht="31.5" hidden="1" outlineLevel="3" x14ac:dyDescent="0.25">
      <c r="A430" s="225" t="s">
        <v>2672</v>
      </c>
      <c r="B430" s="381" t="s">
        <v>1666</v>
      </c>
      <c r="C430" s="381" t="s">
        <v>510</v>
      </c>
      <c r="D430" s="100" t="s">
        <v>300</v>
      </c>
      <c r="E430" s="100">
        <f>18918</f>
        <v>18918</v>
      </c>
      <c r="F430" s="220">
        <f>(3772419)*(1.023*1.005-2.3%*15%)*6.99+0*4.09+63</f>
        <v>27019668</v>
      </c>
      <c r="G430" s="145">
        <f t="shared" ref="G430:G447" si="647">$G$831</f>
        <v>1.1279999999999999</v>
      </c>
      <c r="H430" s="146">
        <f t="shared" ref="H430" si="648">F430*G430</f>
        <v>30478186</v>
      </c>
      <c r="I430" s="145">
        <f>Дефляторы!$D$25</f>
        <v>1.052</v>
      </c>
      <c r="J430" s="146">
        <f t="shared" ref="J430" si="649">H430*I430</f>
        <v>32063052</v>
      </c>
      <c r="K430" s="146">
        <f t="shared" ref="K430" si="650">H430+(J430-H430)*(1-30/100)</f>
        <v>31587592</v>
      </c>
      <c r="L430" s="382"/>
      <c r="M430" s="382"/>
      <c r="N430" s="382"/>
    </row>
    <row r="431" spans="1:14" s="383" customFormat="1" ht="47.25" hidden="1" outlineLevel="3" x14ac:dyDescent="0.25">
      <c r="A431" s="225" t="s">
        <v>2673</v>
      </c>
      <c r="B431" s="381" t="s">
        <v>1668</v>
      </c>
      <c r="C431" s="381" t="s">
        <v>1667</v>
      </c>
      <c r="D431" s="100" t="s">
        <v>300</v>
      </c>
      <c r="E431" s="100">
        <f>18918*0.9</f>
        <v>17026.2</v>
      </c>
      <c r="F431" s="220">
        <f>(325338)*(1.023*1.005-2.3%*15%)*6.99+0*4.09</f>
        <v>2330204</v>
      </c>
      <c r="G431" s="145">
        <f t="shared" si="647"/>
        <v>1.1279999999999999</v>
      </c>
      <c r="H431" s="146">
        <f t="shared" ref="H431" si="651">F431*G431</f>
        <v>2628470</v>
      </c>
      <c r="I431" s="145">
        <f>Дефляторы!$D$25</f>
        <v>1.052</v>
      </c>
      <c r="J431" s="146">
        <f t="shared" ref="J431" si="652">H431*I431</f>
        <v>2765150</v>
      </c>
      <c r="K431" s="146">
        <f t="shared" ref="K431" si="653">H431+(J431-H431)*(1-30/100)</f>
        <v>2724146</v>
      </c>
      <c r="L431" s="396" t="s">
        <v>1669</v>
      </c>
      <c r="M431" s="382"/>
      <c r="N431" s="382"/>
    </row>
    <row r="432" spans="1:14" s="383" customFormat="1" hidden="1" outlineLevel="3" x14ac:dyDescent="0.25">
      <c r="A432" s="225" t="s">
        <v>2674</v>
      </c>
      <c r="B432" s="381" t="s">
        <v>1670</v>
      </c>
      <c r="C432" s="381" t="s">
        <v>1671</v>
      </c>
      <c r="D432" s="100" t="s">
        <v>300</v>
      </c>
      <c r="E432" s="100">
        <f>18918*0.1</f>
        <v>1891.8</v>
      </c>
      <c r="F432" s="220">
        <f>(193887)*(1.023*1.005-2.3%*15%)*6.99+0*4.09</f>
        <v>1388698</v>
      </c>
      <c r="G432" s="145">
        <f t="shared" si="647"/>
        <v>1.1279999999999999</v>
      </c>
      <c r="H432" s="146">
        <f t="shared" ref="H432" si="654">F432*G432</f>
        <v>1566451</v>
      </c>
      <c r="I432" s="145">
        <f>Дефляторы!$D$25</f>
        <v>1.052</v>
      </c>
      <c r="J432" s="146">
        <f t="shared" ref="J432" si="655">H432*I432</f>
        <v>1647906</v>
      </c>
      <c r="K432" s="146">
        <f t="shared" ref="K432" si="656">H432+(J432-H432)*(1-30/100)</f>
        <v>1623470</v>
      </c>
      <c r="L432" s="382"/>
      <c r="M432" s="382"/>
      <c r="N432" s="382"/>
    </row>
    <row r="433" spans="1:14" s="383" customFormat="1" hidden="1" outlineLevel="3" x14ac:dyDescent="0.25">
      <c r="A433" s="225" t="s">
        <v>2675</v>
      </c>
      <c r="B433" s="381" t="s">
        <v>1672</v>
      </c>
      <c r="C433" s="381" t="s">
        <v>1525</v>
      </c>
      <c r="D433" s="100" t="s">
        <v>300</v>
      </c>
      <c r="E433" s="100">
        <f>461.5</f>
        <v>461.5</v>
      </c>
      <c r="F433" s="220">
        <f>(92561)*(1.023*1.005-2.3%*15%)*6.99+0*4.09</f>
        <v>662960</v>
      </c>
      <c r="G433" s="145">
        <f t="shared" si="647"/>
        <v>1.1279999999999999</v>
      </c>
      <c r="H433" s="146">
        <f t="shared" ref="H433" si="657">F433*G433</f>
        <v>747819</v>
      </c>
      <c r="I433" s="145">
        <f>Дефляторы!$D$25</f>
        <v>1.052</v>
      </c>
      <c r="J433" s="146">
        <f t="shared" ref="J433" si="658">H433*I433</f>
        <v>786706</v>
      </c>
      <c r="K433" s="146">
        <f t="shared" ref="K433" si="659">H433+(J433-H433)*(1-30/100)</f>
        <v>775040</v>
      </c>
      <c r="L433" s="382"/>
      <c r="M433" s="382"/>
      <c r="N433" s="382"/>
    </row>
    <row r="434" spans="1:14" s="383" customFormat="1" hidden="1" outlineLevel="3" x14ac:dyDescent="0.25">
      <c r="A434" s="225" t="s">
        <v>2676</v>
      </c>
      <c r="B434" s="381" t="s">
        <v>1673</v>
      </c>
      <c r="C434" s="381" t="s">
        <v>1527</v>
      </c>
      <c r="D434" s="100" t="s">
        <v>300</v>
      </c>
      <c r="E434" s="100">
        <f>2742</f>
        <v>2742</v>
      </c>
      <c r="F434" s="220">
        <f>(183247)*(1.023*1.005-2.3%*15%)*6.99+0*4.09</f>
        <v>1312490</v>
      </c>
      <c r="G434" s="145">
        <f t="shared" si="647"/>
        <v>1.1279999999999999</v>
      </c>
      <c r="H434" s="146">
        <f t="shared" ref="H434" si="660">F434*G434</f>
        <v>1480489</v>
      </c>
      <c r="I434" s="145">
        <f>Дефляторы!$D$25</f>
        <v>1.052</v>
      </c>
      <c r="J434" s="146">
        <f t="shared" ref="J434" si="661">H434*I434</f>
        <v>1557474</v>
      </c>
      <c r="K434" s="146">
        <f t="shared" ref="K434" si="662">H434+(J434-H434)*(1-30/100)</f>
        <v>1534379</v>
      </c>
      <c r="L434" s="382"/>
      <c r="M434" s="382"/>
      <c r="N434" s="382"/>
    </row>
    <row r="435" spans="1:14" s="383" customFormat="1" ht="31.5" hidden="1" outlineLevel="3" x14ac:dyDescent="0.25">
      <c r="A435" s="225" t="s">
        <v>2677</v>
      </c>
      <c r="B435" s="381" t="s">
        <v>1675</v>
      </c>
      <c r="C435" s="381" t="s">
        <v>1674</v>
      </c>
      <c r="D435" s="100" t="s">
        <v>300</v>
      </c>
      <c r="E435" s="100">
        <f>15571.1</f>
        <v>15571.1</v>
      </c>
      <c r="F435" s="220">
        <f>(234026)*(1.023*1.005-2.3%*15%)*6.99+0*4.09</f>
        <v>1676190</v>
      </c>
      <c r="G435" s="145">
        <f t="shared" si="647"/>
        <v>1.1279999999999999</v>
      </c>
      <c r="H435" s="146">
        <f t="shared" ref="H435" si="663">F435*G435</f>
        <v>1890742</v>
      </c>
      <c r="I435" s="145">
        <f>Дефляторы!$D$25</f>
        <v>1.052</v>
      </c>
      <c r="J435" s="146">
        <f t="shared" ref="J435" si="664">H435*I435</f>
        <v>1989061</v>
      </c>
      <c r="K435" s="146">
        <f t="shared" ref="K435" si="665">H435+(J435-H435)*(1-30/100)</f>
        <v>1959565</v>
      </c>
      <c r="L435" s="382"/>
      <c r="M435" s="382"/>
      <c r="N435" s="382"/>
    </row>
    <row r="436" spans="1:14" s="383" customFormat="1" hidden="1" outlineLevel="3" x14ac:dyDescent="0.25">
      <c r="A436" s="225" t="s">
        <v>2678</v>
      </c>
      <c r="B436" s="381" t="s">
        <v>1677</v>
      </c>
      <c r="C436" s="381" t="s">
        <v>1676</v>
      </c>
      <c r="D436" s="100" t="s">
        <v>404</v>
      </c>
      <c r="E436" s="100">
        <v>28</v>
      </c>
      <c r="F436" s="220">
        <f>(1406)*(1.023*1.005-2.3%*15%)*6.99+0*4.09</f>
        <v>10070</v>
      </c>
      <c r="G436" s="145">
        <f t="shared" si="647"/>
        <v>1.1279999999999999</v>
      </c>
      <c r="H436" s="146">
        <f t="shared" ref="H436" si="666">F436*G436</f>
        <v>11359</v>
      </c>
      <c r="I436" s="145">
        <f>Дефляторы!$D$25</f>
        <v>1.052</v>
      </c>
      <c r="J436" s="146">
        <f t="shared" ref="J436" si="667">H436*I436</f>
        <v>11950</v>
      </c>
      <c r="K436" s="146">
        <f t="shared" ref="K436" si="668">H436+(J436-H436)*(1-30/100)</f>
        <v>11773</v>
      </c>
      <c r="L436" s="382"/>
      <c r="M436" s="382"/>
      <c r="N436" s="382"/>
    </row>
    <row r="437" spans="1:14" s="383" customFormat="1" hidden="1" outlineLevel="3" x14ac:dyDescent="0.25">
      <c r="A437" s="225" t="s">
        <v>2679</v>
      </c>
      <c r="B437" s="381" t="s">
        <v>1679</v>
      </c>
      <c r="C437" s="381" t="s">
        <v>1678</v>
      </c>
      <c r="D437" s="100" t="s">
        <v>404</v>
      </c>
      <c r="E437" s="100">
        <v>5370</v>
      </c>
      <c r="F437" s="220">
        <f>(153476)*(1.023*1.005-2.3%*15%)*6.99+0*4.09</f>
        <v>1099258</v>
      </c>
      <c r="G437" s="145">
        <f t="shared" si="647"/>
        <v>1.1279999999999999</v>
      </c>
      <c r="H437" s="146">
        <f t="shared" ref="H437" si="669">F437*G437</f>
        <v>1239963</v>
      </c>
      <c r="I437" s="145">
        <f>Дефляторы!$D$25</f>
        <v>1.052</v>
      </c>
      <c r="J437" s="146">
        <f t="shared" ref="J437" si="670">H437*I437</f>
        <v>1304441</v>
      </c>
      <c r="K437" s="146">
        <f t="shared" ref="K437" si="671">H437+(J437-H437)*(1-30/100)</f>
        <v>1285098</v>
      </c>
      <c r="L437" s="382"/>
      <c r="M437" s="382"/>
      <c r="N437" s="382"/>
    </row>
    <row r="438" spans="1:14" s="383" customFormat="1" ht="31.5" hidden="1" outlineLevel="3" x14ac:dyDescent="0.25">
      <c r="A438" s="225" t="s">
        <v>2680</v>
      </c>
      <c r="B438" s="381" t="s">
        <v>1680</v>
      </c>
      <c r="C438" s="381" t="s">
        <v>1681</v>
      </c>
      <c r="D438" s="100" t="s">
        <v>300</v>
      </c>
      <c r="E438" s="100">
        <v>1.8</v>
      </c>
      <c r="F438" s="220">
        <f>(713)*(1.023*1.005-2.3%*15%)*6.99+0*4.09</f>
        <v>5107</v>
      </c>
      <c r="G438" s="145">
        <f t="shared" si="647"/>
        <v>1.1279999999999999</v>
      </c>
      <c r="H438" s="146">
        <f t="shared" ref="H438" si="672">F438*G438</f>
        <v>5761</v>
      </c>
      <c r="I438" s="145">
        <f>Дефляторы!$D$25</f>
        <v>1.052</v>
      </c>
      <c r="J438" s="146">
        <f t="shared" ref="J438" si="673">H438*I438</f>
        <v>6061</v>
      </c>
      <c r="K438" s="146">
        <f t="shared" ref="K438" si="674">H438+(J438-H438)*(1-30/100)</f>
        <v>5971</v>
      </c>
      <c r="L438" s="382"/>
      <c r="M438" s="382"/>
      <c r="N438" s="382"/>
    </row>
    <row r="439" spans="1:14" s="383" customFormat="1" ht="31.5" hidden="1" outlineLevel="3" x14ac:dyDescent="0.25">
      <c r="A439" s="363" t="s">
        <v>2681</v>
      </c>
      <c r="B439" s="381" t="s">
        <v>1683</v>
      </c>
      <c r="C439" s="381" t="s">
        <v>1682</v>
      </c>
      <c r="D439" s="100" t="s">
        <v>377</v>
      </c>
      <c r="E439" s="100">
        <v>1850</v>
      </c>
      <c r="F439" s="220">
        <f>(977924)*(1.023*1.005-2.3%*15%)*6.99+0*4.09</f>
        <v>7004291</v>
      </c>
      <c r="G439" s="145">
        <f t="shared" si="647"/>
        <v>1.1279999999999999</v>
      </c>
      <c r="H439" s="146">
        <f t="shared" ref="H439" si="675">F439*G439</f>
        <v>7900840</v>
      </c>
      <c r="I439" s="145">
        <f>Дефляторы!$D$25</f>
        <v>1.052</v>
      </c>
      <c r="J439" s="146">
        <f t="shared" ref="J439" si="676">H439*I439</f>
        <v>8311684</v>
      </c>
      <c r="K439" s="146">
        <f t="shared" ref="K439" si="677">H439+(J439-H439)*(1-30/100)</f>
        <v>8188431</v>
      </c>
      <c r="L439" s="382"/>
      <c r="M439" s="382"/>
      <c r="N439" s="382"/>
    </row>
    <row r="440" spans="1:14" s="383" customFormat="1" ht="31.5" hidden="1" outlineLevel="3" x14ac:dyDescent="0.25">
      <c r="A440" s="363" t="s">
        <v>2682</v>
      </c>
      <c r="B440" s="381" t="s">
        <v>1684</v>
      </c>
      <c r="C440" s="381" t="s">
        <v>1691</v>
      </c>
      <c r="D440" s="100" t="s">
        <v>377</v>
      </c>
      <c r="E440" s="100">
        <f>1416</f>
        <v>1416</v>
      </c>
      <c r="F440" s="220">
        <f>(748510)*(1.023*1.005-2.3%*15%)*6.99+0*4.09</f>
        <v>5361134</v>
      </c>
      <c r="G440" s="145">
        <f t="shared" si="647"/>
        <v>1.1279999999999999</v>
      </c>
      <c r="H440" s="146">
        <f t="shared" ref="H440" si="678">F440*G440</f>
        <v>6047359</v>
      </c>
      <c r="I440" s="145">
        <f>Дефляторы!$D$25</f>
        <v>1.052</v>
      </c>
      <c r="J440" s="146">
        <f t="shared" ref="J440" si="679">H440*I440</f>
        <v>6361822</v>
      </c>
      <c r="K440" s="146">
        <f t="shared" ref="K440" si="680">H440+(J440-H440)*(1-30/100)</f>
        <v>6267483</v>
      </c>
      <c r="L440" s="382"/>
      <c r="M440" s="382"/>
      <c r="N440" s="382"/>
    </row>
    <row r="441" spans="1:14" s="383" customFormat="1" ht="31.5" hidden="1" outlineLevel="3" x14ac:dyDescent="0.25">
      <c r="A441" s="363" t="s">
        <v>2683</v>
      </c>
      <c r="B441" s="381" t="s">
        <v>1685</v>
      </c>
      <c r="C441" s="381" t="s">
        <v>1692</v>
      </c>
      <c r="D441" s="100" t="s">
        <v>377</v>
      </c>
      <c r="E441" s="100">
        <v>1460</v>
      </c>
      <c r="F441" s="220">
        <f>(771766)*(1.023*1.005-2.3%*15%)*6.99+0*4.09</f>
        <v>5527703</v>
      </c>
      <c r="G441" s="145">
        <f t="shared" si="647"/>
        <v>1.1279999999999999</v>
      </c>
      <c r="H441" s="146">
        <f t="shared" ref="H441" si="681">F441*G441</f>
        <v>6235249</v>
      </c>
      <c r="I441" s="145">
        <f>Дефляторы!$D$25</f>
        <v>1.052</v>
      </c>
      <c r="J441" s="146">
        <f t="shared" ref="J441" si="682">H441*I441</f>
        <v>6559482</v>
      </c>
      <c r="K441" s="146">
        <f t="shared" ref="K441" si="683">H441+(J441-H441)*(1-30/100)</f>
        <v>6462212</v>
      </c>
      <c r="L441" s="382"/>
      <c r="M441" s="382"/>
      <c r="N441" s="382"/>
    </row>
    <row r="442" spans="1:14" s="383" customFormat="1" ht="31.5" hidden="1" outlineLevel="3" x14ac:dyDescent="0.25">
      <c r="A442" s="363" t="s">
        <v>2684</v>
      </c>
      <c r="B442" s="381" t="s">
        <v>1686</v>
      </c>
      <c r="C442" s="381" t="s">
        <v>1693</v>
      </c>
      <c r="D442" s="100" t="s">
        <v>377</v>
      </c>
      <c r="E442" s="100">
        <v>210</v>
      </c>
      <c r="F442" s="220">
        <f>(111006)*(1.023*1.005-2.3%*15%)*6.99+0*4.09</f>
        <v>795070</v>
      </c>
      <c r="G442" s="145">
        <f t="shared" si="647"/>
        <v>1.1279999999999999</v>
      </c>
      <c r="H442" s="146">
        <f t="shared" ref="H442" si="684">F442*G442</f>
        <v>896839</v>
      </c>
      <c r="I442" s="145">
        <f>Дефляторы!$D$25</f>
        <v>1.052</v>
      </c>
      <c r="J442" s="146">
        <f t="shared" ref="J442" si="685">H442*I442</f>
        <v>943475</v>
      </c>
      <c r="K442" s="146">
        <f t="shared" ref="K442" si="686">H442+(J442-H442)*(1-30/100)</f>
        <v>929484</v>
      </c>
      <c r="L442" s="382"/>
      <c r="M442" s="382"/>
      <c r="N442" s="382"/>
    </row>
    <row r="443" spans="1:14" s="383" customFormat="1" ht="31.5" hidden="1" outlineLevel="3" x14ac:dyDescent="0.25">
      <c r="A443" s="363" t="s">
        <v>2685</v>
      </c>
      <c r="B443" s="381" t="s">
        <v>1687</v>
      </c>
      <c r="C443" s="381" t="s">
        <v>1694</v>
      </c>
      <c r="D443" s="100" t="s">
        <v>377</v>
      </c>
      <c r="E443" s="100">
        <v>360</v>
      </c>
      <c r="F443" s="220">
        <f>(54674)*(1.023*1.005-2.3%*15%)*6.99+0*4.09</f>
        <v>391598</v>
      </c>
      <c r="G443" s="145">
        <f t="shared" si="647"/>
        <v>1.1279999999999999</v>
      </c>
      <c r="H443" s="146">
        <f t="shared" ref="H443" si="687">F443*G443</f>
        <v>441723</v>
      </c>
      <c r="I443" s="145">
        <f>Дефляторы!$D$25</f>
        <v>1.052</v>
      </c>
      <c r="J443" s="146">
        <f t="shared" ref="J443" si="688">H443*I443</f>
        <v>464693</v>
      </c>
      <c r="K443" s="146">
        <f t="shared" ref="K443" si="689">H443+(J443-H443)*(1-30/100)</f>
        <v>457802</v>
      </c>
      <c r="L443" s="382"/>
      <c r="M443" s="382"/>
      <c r="N443" s="382"/>
    </row>
    <row r="444" spans="1:14" s="383" customFormat="1" hidden="1" outlineLevel="3" x14ac:dyDescent="0.25">
      <c r="A444" s="363" t="s">
        <v>2686</v>
      </c>
      <c r="B444" s="381" t="s">
        <v>1688</v>
      </c>
      <c r="C444" s="381" t="s">
        <v>1695</v>
      </c>
      <c r="D444" s="100" t="s">
        <v>377</v>
      </c>
      <c r="E444" s="100">
        <v>12</v>
      </c>
      <c r="F444" s="220">
        <f>(1491)*(1.023*1.005-2.3%*15%)*6.99+0*4.09</f>
        <v>10679</v>
      </c>
      <c r="G444" s="145">
        <f t="shared" si="647"/>
        <v>1.1279999999999999</v>
      </c>
      <c r="H444" s="146">
        <f t="shared" ref="H444" si="690">F444*G444</f>
        <v>12046</v>
      </c>
      <c r="I444" s="145">
        <f>Дефляторы!$D$25</f>
        <v>1.052</v>
      </c>
      <c r="J444" s="146">
        <f t="shared" ref="J444" si="691">H444*I444</f>
        <v>12672</v>
      </c>
      <c r="K444" s="146">
        <f t="shared" ref="K444" si="692">H444+(J444-H444)*(1-30/100)</f>
        <v>12484</v>
      </c>
      <c r="L444" s="382"/>
      <c r="M444" s="382"/>
      <c r="N444" s="382"/>
    </row>
    <row r="445" spans="1:14" s="383" customFormat="1" ht="31.5" hidden="1" outlineLevel="3" x14ac:dyDescent="0.25">
      <c r="A445" s="363" t="s">
        <v>2687</v>
      </c>
      <c r="B445" s="381" t="s">
        <v>1689</v>
      </c>
      <c r="C445" s="381" t="s">
        <v>1696</v>
      </c>
      <c r="D445" s="100" t="s">
        <v>377</v>
      </c>
      <c r="E445" s="100">
        <v>12</v>
      </c>
      <c r="F445" s="220">
        <f>(2284)*(1.023*1.005-2.3%*15%)*6.99+0*4.09</f>
        <v>16359</v>
      </c>
      <c r="G445" s="145">
        <f t="shared" si="647"/>
        <v>1.1279999999999999</v>
      </c>
      <c r="H445" s="146">
        <f t="shared" ref="H445" si="693">F445*G445</f>
        <v>18453</v>
      </c>
      <c r="I445" s="145">
        <f>Дефляторы!$D$25</f>
        <v>1.052</v>
      </c>
      <c r="J445" s="146">
        <f t="shared" ref="J445" si="694">H445*I445</f>
        <v>19413</v>
      </c>
      <c r="K445" s="146">
        <f t="shared" ref="K445" si="695">H445+(J445-H445)*(1-30/100)</f>
        <v>19125</v>
      </c>
      <c r="L445" s="382"/>
      <c r="M445" s="382"/>
      <c r="N445" s="382"/>
    </row>
    <row r="446" spans="1:14" s="383" customFormat="1" hidden="1" outlineLevel="3" x14ac:dyDescent="0.25">
      <c r="A446" s="363" t="s">
        <v>2688</v>
      </c>
      <c r="B446" s="381" t="s">
        <v>1690</v>
      </c>
      <c r="C446" s="381" t="s">
        <v>1697</v>
      </c>
      <c r="D446" s="100" t="s">
        <v>377</v>
      </c>
      <c r="E446" s="100">
        <v>24</v>
      </c>
      <c r="F446" s="220">
        <f>(9003)*(1.023*1.005-2.3%*15%)*6.99+0*4.09</f>
        <v>64483</v>
      </c>
      <c r="G446" s="145">
        <f t="shared" si="647"/>
        <v>1.1279999999999999</v>
      </c>
      <c r="H446" s="146">
        <f t="shared" ref="H446" si="696">F446*G446</f>
        <v>72737</v>
      </c>
      <c r="I446" s="145">
        <f>Дефляторы!$D$25</f>
        <v>1.052</v>
      </c>
      <c r="J446" s="146">
        <f t="shared" ref="J446" si="697">H446*I446</f>
        <v>76519</v>
      </c>
      <c r="K446" s="146">
        <f t="shared" ref="K446" si="698">H446+(J446-H446)*(1-30/100)</f>
        <v>75384</v>
      </c>
      <c r="L446" s="382"/>
      <c r="M446" s="382"/>
      <c r="N446" s="382"/>
    </row>
    <row r="447" spans="1:14" s="383" customFormat="1" hidden="1" outlineLevel="3" x14ac:dyDescent="0.25">
      <c r="A447" s="363" t="s">
        <v>2689</v>
      </c>
      <c r="B447" s="381" t="s">
        <v>1699</v>
      </c>
      <c r="C447" s="381" t="s">
        <v>1698</v>
      </c>
      <c r="D447" s="100" t="s">
        <v>408</v>
      </c>
      <c r="E447" s="100">
        <v>2</v>
      </c>
      <c r="F447" s="220">
        <f>(5098)*(1.023*1.005-2.3%*15%)*6.99+0*4.09</f>
        <v>36514</v>
      </c>
      <c r="G447" s="145">
        <f t="shared" si="647"/>
        <v>1.1279999999999999</v>
      </c>
      <c r="H447" s="146">
        <f t="shared" ref="H447" si="699">F447*G447</f>
        <v>41188</v>
      </c>
      <c r="I447" s="145">
        <f>Дефляторы!$D$25</f>
        <v>1.052</v>
      </c>
      <c r="J447" s="146">
        <f t="shared" ref="J447" si="700">H447*I447</f>
        <v>43330</v>
      </c>
      <c r="K447" s="146">
        <f t="shared" ref="K447" si="701">H447+(J447-H447)*(1-30/100)</f>
        <v>42687</v>
      </c>
      <c r="L447" s="382"/>
      <c r="M447" s="382"/>
      <c r="N447" s="382"/>
    </row>
    <row r="448" spans="1:14" s="383" customFormat="1" hidden="1" outlineLevel="3" x14ac:dyDescent="0.25">
      <c r="A448" s="363"/>
      <c r="B448" s="381"/>
      <c r="C448" s="381" t="s">
        <v>1587</v>
      </c>
      <c r="D448" s="100"/>
      <c r="E448" s="100"/>
      <c r="F448" s="149"/>
      <c r="G448" s="145"/>
      <c r="H448" s="146"/>
      <c r="I448" s="145"/>
      <c r="J448" s="146"/>
      <c r="K448" s="146"/>
      <c r="L448" s="382"/>
      <c r="M448" s="382"/>
      <c r="N448" s="382"/>
    </row>
    <row r="449" spans="1:14" s="383" customFormat="1" hidden="1" outlineLevel="3" x14ac:dyDescent="0.25">
      <c r="A449" s="363"/>
      <c r="B449" s="381"/>
      <c r="C449" s="381" t="s">
        <v>1700</v>
      </c>
      <c r="D449" s="100"/>
      <c r="E449" s="100"/>
      <c r="F449" s="149"/>
      <c r="G449" s="145"/>
      <c r="H449" s="146"/>
      <c r="I449" s="145"/>
      <c r="J449" s="146"/>
      <c r="K449" s="146"/>
      <c r="L449" s="382"/>
      <c r="M449" s="382"/>
      <c r="N449" s="382"/>
    </row>
    <row r="450" spans="1:14" s="383" customFormat="1" ht="126" hidden="1" outlineLevel="3" x14ac:dyDescent="0.25">
      <c r="A450" s="363" t="s">
        <v>2690</v>
      </c>
      <c r="B450" s="381" t="s">
        <v>1702</v>
      </c>
      <c r="C450" s="381" t="s">
        <v>1701</v>
      </c>
      <c r="D450" s="100" t="s">
        <v>408</v>
      </c>
      <c r="E450" s="100">
        <v>1</v>
      </c>
      <c r="F450" s="220">
        <f>(26141)*(1.023*1.005-2.3%*15%)*6.99+0*4.09</f>
        <v>187233</v>
      </c>
      <c r="G450" s="145">
        <f t="shared" ref="G450:G459" si="702">$G$831</f>
        <v>1.1279999999999999</v>
      </c>
      <c r="H450" s="146">
        <f t="shared" ref="H450" si="703">F450*G450</f>
        <v>211199</v>
      </c>
      <c r="I450" s="145">
        <f>Дефляторы!$D$25</f>
        <v>1.052</v>
      </c>
      <c r="J450" s="146">
        <f t="shared" ref="J450" si="704">H450*I450</f>
        <v>222181</v>
      </c>
      <c r="K450" s="146">
        <f t="shared" ref="K450" si="705">H450+(J450-H450)*(1-30/100)</f>
        <v>218886</v>
      </c>
      <c r="L450" s="382"/>
      <c r="M450" s="382"/>
      <c r="N450" s="382"/>
    </row>
    <row r="451" spans="1:14" s="383" customFormat="1" ht="141.75" hidden="1" outlineLevel="3" x14ac:dyDescent="0.25">
      <c r="A451" s="363" t="s">
        <v>2691</v>
      </c>
      <c r="B451" s="381" t="s">
        <v>1704</v>
      </c>
      <c r="C451" s="381" t="s">
        <v>1703</v>
      </c>
      <c r="D451" s="100" t="s">
        <v>408</v>
      </c>
      <c r="E451" s="100">
        <v>1</v>
      </c>
      <c r="F451" s="220">
        <f>(26141)*(1.023*1.005-2.3%*15%)*6.99+0*4.09</f>
        <v>187233</v>
      </c>
      <c r="G451" s="145">
        <f t="shared" si="702"/>
        <v>1.1279999999999999</v>
      </c>
      <c r="H451" s="146">
        <f t="shared" ref="H451" si="706">F451*G451</f>
        <v>211199</v>
      </c>
      <c r="I451" s="145">
        <f>Дефляторы!$D$25</f>
        <v>1.052</v>
      </c>
      <c r="J451" s="146">
        <f t="shared" ref="J451" si="707">H451*I451</f>
        <v>222181</v>
      </c>
      <c r="K451" s="146">
        <f t="shared" ref="K451" si="708">H451+(J451-H451)*(1-30/100)</f>
        <v>218886</v>
      </c>
      <c r="L451" s="382"/>
      <c r="M451" s="382"/>
      <c r="N451" s="382"/>
    </row>
    <row r="452" spans="1:14" s="383" customFormat="1" ht="94.5" hidden="1" outlineLevel="3" x14ac:dyDescent="0.25">
      <c r="A452" s="363" t="s">
        <v>2692</v>
      </c>
      <c r="B452" s="381" t="s">
        <v>1706</v>
      </c>
      <c r="C452" s="381" t="s">
        <v>1705</v>
      </c>
      <c r="D452" s="100" t="s">
        <v>408</v>
      </c>
      <c r="E452" s="100">
        <v>1</v>
      </c>
      <c r="F452" s="220">
        <f>(61359)*(1.023*1.005-2.3%*15%)*6.99+0*4.09</f>
        <v>439478</v>
      </c>
      <c r="G452" s="145">
        <f t="shared" si="702"/>
        <v>1.1279999999999999</v>
      </c>
      <c r="H452" s="146">
        <f t="shared" ref="H452" si="709">F452*G452</f>
        <v>495731</v>
      </c>
      <c r="I452" s="145">
        <f>Дефляторы!$D$25</f>
        <v>1.052</v>
      </c>
      <c r="J452" s="146">
        <f t="shared" ref="J452" si="710">H452*I452</f>
        <v>521509</v>
      </c>
      <c r="K452" s="146">
        <f t="shared" ref="K452" si="711">H452+(J452-H452)*(1-30/100)</f>
        <v>513776</v>
      </c>
      <c r="L452" s="382"/>
      <c r="M452" s="382"/>
      <c r="N452" s="382"/>
    </row>
    <row r="453" spans="1:14" s="383" customFormat="1" ht="94.5" hidden="1" outlineLevel="3" x14ac:dyDescent="0.25">
      <c r="A453" s="363" t="s">
        <v>2693</v>
      </c>
      <c r="B453" s="381" t="s">
        <v>1707</v>
      </c>
      <c r="C453" s="381" t="s">
        <v>1710</v>
      </c>
      <c r="D453" s="100" t="s">
        <v>408</v>
      </c>
      <c r="E453" s="100">
        <v>2</v>
      </c>
      <c r="F453" s="220">
        <f>(122557)*(1.023*1.005-2.3%*15%)*6.99+0*4.09</f>
        <v>877803</v>
      </c>
      <c r="G453" s="145">
        <f t="shared" si="702"/>
        <v>1.1279999999999999</v>
      </c>
      <c r="H453" s="146">
        <f t="shared" ref="H453" si="712">F453*G453</f>
        <v>990162</v>
      </c>
      <c r="I453" s="145">
        <f>Дефляторы!$D$25</f>
        <v>1.052</v>
      </c>
      <c r="J453" s="146">
        <f t="shared" ref="J453" si="713">H453*I453</f>
        <v>1041650</v>
      </c>
      <c r="K453" s="146">
        <f t="shared" ref="K453" si="714">H453+(J453-H453)*(1-30/100)</f>
        <v>1026204</v>
      </c>
      <c r="L453" s="382"/>
      <c r="M453" s="382"/>
      <c r="N453" s="382"/>
    </row>
    <row r="454" spans="1:14" s="383" customFormat="1" ht="94.5" hidden="1" outlineLevel="3" x14ac:dyDescent="0.25">
      <c r="A454" s="363" t="s">
        <v>2694</v>
      </c>
      <c r="B454" s="381" t="s">
        <v>1708</v>
      </c>
      <c r="C454" s="381" t="s">
        <v>1711</v>
      </c>
      <c r="D454" s="100" t="s">
        <v>408</v>
      </c>
      <c r="E454" s="100">
        <v>14</v>
      </c>
      <c r="F454" s="220">
        <f>(460138)*(1.023*1.005-2.3%*15%)*6.99+0*4.09</f>
        <v>3295696</v>
      </c>
      <c r="G454" s="145">
        <f t="shared" si="702"/>
        <v>1.1279999999999999</v>
      </c>
      <c r="H454" s="146">
        <f t="shared" ref="H454" si="715">F454*G454</f>
        <v>3717545</v>
      </c>
      <c r="I454" s="145">
        <f>Дефляторы!$D$25</f>
        <v>1.052</v>
      </c>
      <c r="J454" s="146">
        <f t="shared" ref="J454" si="716">H454*I454</f>
        <v>3910857</v>
      </c>
      <c r="K454" s="146">
        <f t="shared" ref="K454" si="717">H454+(J454-H454)*(1-30/100)</f>
        <v>3852863</v>
      </c>
      <c r="L454" s="382"/>
      <c r="M454" s="382"/>
      <c r="N454" s="382"/>
    </row>
    <row r="455" spans="1:14" s="383" customFormat="1" ht="31.5" hidden="1" outlineLevel="3" x14ac:dyDescent="0.25">
      <c r="A455" s="363" t="s">
        <v>2695</v>
      </c>
      <c r="B455" s="381" t="s">
        <v>1709</v>
      </c>
      <c r="C455" s="381" t="s">
        <v>1712</v>
      </c>
      <c r="D455" s="100" t="s">
        <v>408</v>
      </c>
      <c r="E455" s="100">
        <v>19</v>
      </c>
      <c r="F455" s="220">
        <f>(8400)*(1.023*1.005-2.3%*15%)*6.99+0*4.09</f>
        <v>60164</v>
      </c>
      <c r="G455" s="145">
        <f t="shared" si="702"/>
        <v>1.1279999999999999</v>
      </c>
      <c r="H455" s="146">
        <f t="shared" ref="H455" si="718">F455*G455</f>
        <v>67865</v>
      </c>
      <c r="I455" s="145">
        <f>Дефляторы!$D$25</f>
        <v>1.052</v>
      </c>
      <c r="J455" s="146">
        <f t="shared" ref="J455" si="719">H455*I455</f>
        <v>71394</v>
      </c>
      <c r="K455" s="146">
        <f t="shared" ref="K455" si="720">H455+(J455-H455)*(1-30/100)</f>
        <v>70335</v>
      </c>
      <c r="L455" s="382"/>
      <c r="M455" s="382"/>
      <c r="N455" s="382"/>
    </row>
    <row r="456" spans="1:14" s="383" customFormat="1" ht="31.5" hidden="1" outlineLevel="3" x14ac:dyDescent="0.25">
      <c r="A456" s="363" t="s">
        <v>2696</v>
      </c>
      <c r="B456" s="381" t="s">
        <v>1714</v>
      </c>
      <c r="C456" s="381" t="s">
        <v>1713</v>
      </c>
      <c r="D456" s="100" t="s">
        <v>300</v>
      </c>
      <c r="E456" s="100">
        <v>4.5999999999999996</v>
      </c>
      <c r="F456" s="220">
        <f>(11509)*(1.023*1.005-2.3%*15%)*6.99+0*4.09</f>
        <v>82432</v>
      </c>
      <c r="G456" s="145">
        <f t="shared" si="702"/>
        <v>1.1279999999999999</v>
      </c>
      <c r="H456" s="146">
        <f t="shared" ref="H456" si="721">F456*G456</f>
        <v>92983</v>
      </c>
      <c r="I456" s="145">
        <f>Дефляторы!$D$25</f>
        <v>1.052</v>
      </c>
      <c r="J456" s="146">
        <f t="shared" ref="J456" si="722">H456*I456</f>
        <v>97818</v>
      </c>
      <c r="K456" s="146">
        <f t="shared" ref="K456" si="723">H456+(J456-H456)*(1-30/100)</f>
        <v>96368</v>
      </c>
      <c r="L456" s="382"/>
      <c r="M456" s="382"/>
      <c r="N456" s="382"/>
    </row>
    <row r="457" spans="1:14" s="383" customFormat="1" ht="31.5" hidden="1" outlineLevel="3" x14ac:dyDescent="0.25">
      <c r="A457" s="363" t="s">
        <v>2697</v>
      </c>
      <c r="B457" s="381" t="s">
        <v>1716</v>
      </c>
      <c r="C457" s="381" t="s">
        <v>1712</v>
      </c>
      <c r="D457" s="100" t="s">
        <v>408</v>
      </c>
      <c r="E457" s="100">
        <v>23</v>
      </c>
      <c r="F457" s="220">
        <f>(10169)*(1.023*1.005-2.3%*15%)*6.99+0*4.09</f>
        <v>72835</v>
      </c>
      <c r="G457" s="145">
        <f t="shared" si="702"/>
        <v>1.1279999999999999</v>
      </c>
      <c r="H457" s="146">
        <f t="shared" ref="H457" si="724">F457*G457</f>
        <v>82158</v>
      </c>
      <c r="I457" s="145">
        <f>Дефляторы!$D$25</f>
        <v>1.052</v>
      </c>
      <c r="J457" s="146">
        <f t="shared" ref="J457" si="725">H457*I457</f>
        <v>86430</v>
      </c>
      <c r="K457" s="146">
        <f t="shared" ref="K457" si="726">H457+(J457-H457)*(1-30/100)</f>
        <v>85148</v>
      </c>
      <c r="L457" s="382"/>
      <c r="M457" s="382"/>
      <c r="N457" s="382"/>
    </row>
    <row r="458" spans="1:14" s="383" customFormat="1" ht="31.5" hidden="1" outlineLevel="3" x14ac:dyDescent="0.25">
      <c r="A458" s="363" t="s">
        <v>2698</v>
      </c>
      <c r="B458" s="381" t="s">
        <v>1717</v>
      </c>
      <c r="C458" s="381" t="s">
        <v>1715</v>
      </c>
      <c r="D458" s="100" t="s">
        <v>408</v>
      </c>
      <c r="E458" s="100">
        <v>2</v>
      </c>
      <c r="F458" s="220">
        <f>(1184)*(1.023*1.005-2.3%*15%)*6.99+0*4.09</f>
        <v>8480</v>
      </c>
      <c r="G458" s="145">
        <f t="shared" si="702"/>
        <v>1.1279999999999999</v>
      </c>
      <c r="H458" s="146">
        <f t="shared" ref="H458" si="727">F458*G458</f>
        <v>9565</v>
      </c>
      <c r="I458" s="145">
        <f>Дефляторы!$D$25</f>
        <v>1.052</v>
      </c>
      <c r="J458" s="146">
        <f t="shared" ref="J458" si="728">H458*I458</f>
        <v>10062</v>
      </c>
      <c r="K458" s="146">
        <f t="shared" ref="K458" si="729">H458+(J458-H458)*(1-30/100)</f>
        <v>9913</v>
      </c>
      <c r="L458" s="382"/>
      <c r="M458" s="382"/>
      <c r="N458" s="382"/>
    </row>
    <row r="459" spans="1:14" s="383" customFormat="1" hidden="1" outlineLevel="3" x14ac:dyDescent="0.25">
      <c r="A459" s="363" t="s">
        <v>2699</v>
      </c>
      <c r="B459" s="381" t="s">
        <v>1719</v>
      </c>
      <c r="C459" s="381" t="s">
        <v>1718</v>
      </c>
      <c r="D459" s="100" t="s">
        <v>300</v>
      </c>
      <c r="E459" s="100">
        <v>20</v>
      </c>
      <c r="F459" s="220">
        <f>(16104)*(1.023*1.005-2.3%*15%)*6.99+0*4.09</f>
        <v>115343</v>
      </c>
      <c r="G459" s="145">
        <f t="shared" si="702"/>
        <v>1.1279999999999999</v>
      </c>
      <c r="H459" s="146">
        <f t="shared" ref="H459" si="730">F459*G459</f>
        <v>130107</v>
      </c>
      <c r="I459" s="145">
        <f>Дефляторы!$D$25</f>
        <v>1.052</v>
      </c>
      <c r="J459" s="146">
        <f t="shared" ref="J459" si="731">H459*I459</f>
        <v>136873</v>
      </c>
      <c r="K459" s="146">
        <f t="shared" ref="K459" si="732">H459+(J459-H459)*(1-30/100)</f>
        <v>134843</v>
      </c>
      <c r="L459" s="382"/>
      <c r="M459" s="382"/>
      <c r="N459" s="382"/>
    </row>
    <row r="460" spans="1:14" s="383" customFormat="1" hidden="1" outlineLevel="3" x14ac:dyDescent="0.25">
      <c r="A460" s="363"/>
      <c r="B460" s="381"/>
      <c r="C460" s="381" t="s">
        <v>1612</v>
      </c>
      <c r="D460" s="100"/>
      <c r="E460" s="100"/>
      <c r="F460" s="149"/>
      <c r="G460" s="145"/>
      <c r="H460" s="146"/>
      <c r="I460" s="145">
        <f>Дефляторы!$D$25</f>
        <v>1.052</v>
      </c>
      <c r="J460" s="146"/>
      <c r="K460" s="146"/>
      <c r="L460" s="382"/>
      <c r="M460" s="382"/>
      <c r="N460" s="382"/>
    </row>
    <row r="461" spans="1:14" s="383" customFormat="1" ht="31.5" hidden="1" outlineLevel="3" x14ac:dyDescent="0.25">
      <c r="A461" s="363" t="s">
        <v>2700</v>
      </c>
      <c r="B461" s="381" t="s">
        <v>1721</v>
      </c>
      <c r="C461" s="381" t="s">
        <v>1720</v>
      </c>
      <c r="D461" s="100" t="s">
        <v>377</v>
      </c>
      <c r="E461" s="100">
        <v>3650</v>
      </c>
      <c r="F461" s="220">
        <f>(484356)*(1.023*1.005-2.3%*15%)*6.99+0*4.09</f>
        <v>3469155</v>
      </c>
      <c r="G461" s="145">
        <f>$G$831</f>
        <v>1.1279999999999999</v>
      </c>
      <c r="H461" s="146">
        <f t="shared" ref="H461" si="733">F461*G461</f>
        <v>3913207</v>
      </c>
      <c r="I461" s="145">
        <f>Дефляторы!$D$25</f>
        <v>1.052</v>
      </c>
      <c r="J461" s="146">
        <f t="shared" ref="J461" si="734">H461*I461</f>
        <v>4116694</v>
      </c>
      <c r="K461" s="146">
        <f t="shared" ref="K461" si="735">H461+(J461-H461)*(1-30/100)</f>
        <v>4055648</v>
      </c>
      <c r="L461" s="382"/>
      <c r="M461" s="382"/>
      <c r="N461" s="382"/>
    </row>
    <row r="462" spans="1:14" s="383" customFormat="1" outlineLevel="2" x14ac:dyDescent="0.25">
      <c r="A462" s="132" t="s">
        <v>2701</v>
      </c>
      <c r="B462" s="320" t="s">
        <v>45</v>
      </c>
      <c r="C462" s="320" t="s">
        <v>46</v>
      </c>
      <c r="D462" s="134" t="s">
        <v>292</v>
      </c>
      <c r="E462" s="90">
        <v>1</v>
      </c>
      <c r="F462" s="90">
        <f>(18122+268877)*(1.023*1.005-2.3%*15%)*6.99+4903*4.09-5</f>
        <v>2075652</v>
      </c>
      <c r="G462" s="135">
        <f>$G$831</f>
        <v>1.1279999999999999</v>
      </c>
      <c r="H462" s="136">
        <f t="shared" ref="H462" si="736">F462*G462</f>
        <v>2341335</v>
      </c>
      <c r="I462" s="135">
        <f>Дефляторы!$D$25</f>
        <v>1.052</v>
      </c>
      <c r="J462" s="136">
        <f t="shared" ref="J462" si="737">H462*I462</f>
        <v>2463084</v>
      </c>
      <c r="K462" s="136">
        <f t="shared" ref="K462" si="738">H462+(J462-H462)*(1-30/100)</f>
        <v>2426559</v>
      </c>
      <c r="L462" s="382"/>
      <c r="M462" s="382"/>
      <c r="N462" s="382"/>
    </row>
    <row r="463" spans="1:14" s="383" customFormat="1" ht="31.5" outlineLevel="2" collapsed="1" x14ac:dyDescent="0.25">
      <c r="A463" s="132" t="s">
        <v>2702</v>
      </c>
      <c r="B463" s="320" t="s">
        <v>35</v>
      </c>
      <c r="C463" s="320" t="s">
        <v>36</v>
      </c>
      <c r="D463" s="134" t="s">
        <v>292</v>
      </c>
      <c r="E463" s="90">
        <v>1</v>
      </c>
      <c r="F463" s="90">
        <f>SUM(F465:F477)</f>
        <v>13919782</v>
      </c>
      <c r="G463" s="135">
        <f>$G$831</f>
        <v>1.1279999999999999</v>
      </c>
      <c r="H463" s="90">
        <f>SUM(H465:H477)</f>
        <v>15701514</v>
      </c>
      <c r="I463" s="135">
        <f>Дефляторы!$D$25</f>
        <v>1.052</v>
      </c>
      <c r="J463" s="90">
        <f>SUM(J465:J477)</f>
        <v>16517993</v>
      </c>
      <c r="K463" s="90">
        <f>SUM(K465:K477)</f>
        <v>16273050</v>
      </c>
      <c r="L463" s="382"/>
      <c r="M463" s="382"/>
      <c r="N463" s="382"/>
    </row>
    <row r="464" spans="1:14" s="383" customFormat="1" hidden="1" outlineLevel="3" x14ac:dyDescent="0.25">
      <c r="A464" s="363"/>
      <c r="B464" s="381"/>
      <c r="C464" s="381" t="s">
        <v>367</v>
      </c>
      <c r="D464" s="100"/>
      <c r="E464" s="100"/>
      <c r="F464" s="149"/>
      <c r="G464" s="145"/>
      <c r="H464" s="146"/>
      <c r="I464" s="145"/>
      <c r="J464" s="146"/>
      <c r="K464" s="146"/>
      <c r="L464" s="382"/>
      <c r="M464" s="382"/>
      <c r="N464" s="382"/>
    </row>
    <row r="465" spans="1:14" s="383" customFormat="1" ht="31.5" hidden="1" outlineLevel="3" x14ac:dyDescent="0.25">
      <c r="A465" s="363" t="s">
        <v>2703</v>
      </c>
      <c r="B465" s="381" t="s">
        <v>1400</v>
      </c>
      <c r="C465" s="381" t="s">
        <v>356</v>
      </c>
      <c r="D465" s="100" t="s">
        <v>300</v>
      </c>
      <c r="E465" s="100">
        <f>773.01</f>
        <v>773.01</v>
      </c>
      <c r="F465" s="149">
        <f>(154145)*(1.023*1.005-2.3%*15%)*6.99+0*4.09-13</f>
        <v>1104036</v>
      </c>
      <c r="G465" s="145">
        <f t="shared" ref="G465:G471" si="739">$G$831</f>
        <v>1.1279999999999999</v>
      </c>
      <c r="H465" s="146">
        <f t="shared" ref="H465" si="740">F465*G465</f>
        <v>1245353</v>
      </c>
      <c r="I465" s="145">
        <f>Дефляторы!$D$25</f>
        <v>1.052</v>
      </c>
      <c r="J465" s="146">
        <f t="shared" ref="J465" si="741">H465*I465</f>
        <v>1310111</v>
      </c>
      <c r="K465" s="146">
        <f t="shared" ref="K465" si="742">H465+(J465-H465)*(1-30/100)</f>
        <v>1290684</v>
      </c>
      <c r="L465" s="382"/>
      <c r="M465" s="382"/>
      <c r="N465" s="382"/>
    </row>
    <row r="466" spans="1:14" s="383" customFormat="1" hidden="1" outlineLevel="3" x14ac:dyDescent="0.25">
      <c r="A466" s="363" t="s">
        <v>2704</v>
      </c>
      <c r="B466" s="381" t="s">
        <v>1401</v>
      </c>
      <c r="C466" s="381" t="s">
        <v>398</v>
      </c>
      <c r="D466" s="100" t="s">
        <v>300</v>
      </c>
      <c r="E466" s="100">
        <f>287.91</f>
        <v>287.91000000000003</v>
      </c>
      <c r="F466" s="149">
        <f>(4995)*(1.023*1.005-2.3%*15%)*6.99+0*4.09</f>
        <v>35776</v>
      </c>
      <c r="G466" s="145">
        <f t="shared" si="739"/>
        <v>1.1279999999999999</v>
      </c>
      <c r="H466" s="146">
        <f t="shared" ref="H466" si="743">F466*G466</f>
        <v>40355</v>
      </c>
      <c r="I466" s="145">
        <f>Дефляторы!$D$25</f>
        <v>1.052</v>
      </c>
      <c r="J466" s="146">
        <f t="shared" ref="J466" si="744">H466*I466</f>
        <v>42453</v>
      </c>
      <c r="K466" s="146">
        <f t="shared" ref="K466" si="745">H466+(J466-H466)*(1-30/100)</f>
        <v>41824</v>
      </c>
      <c r="L466" s="382"/>
      <c r="M466" s="382"/>
      <c r="N466" s="382"/>
    </row>
    <row r="467" spans="1:14" s="383" customFormat="1" ht="47.25" hidden="1" outlineLevel="3" x14ac:dyDescent="0.25">
      <c r="A467" s="363" t="s">
        <v>2705</v>
      </c>
      <c r="B467" s="381" t="s">
        <v>1403</v>
      </c>
      <c r="C467" s="381" t="s">
        <v>1402</v>
      </c>
      <c r="D467" s="100" t="s">
        <v>300</v>
      </c>
      <c r="E467" s="100">
        <f>253.2</f>
        <v>253.2</v>
      </c>
      <c r="F467" s="149">
        <f>(9182)*(1.023*1.005-2.3%*15%)*6.99+0*4.09</f>
        <v>65765</v>
      </c>
      <c r="G467" s="145">
        <f t="shared" si="739"/>
        <v>1.1279999999999999</v>
      </c>
      <c r="H467" s="146">
        <f t="shared" ref="H467" si="746">F467*G467</f>
        <v>74183</v>
      </c>
      <c r="I467" s="145">
        <f>Дефляторы!$D$25</f>
        <v>1.052</v>
      </c>
      <c r="J467" s="146">
        <f t="shared" ref="J467" si="747">H467*I467</f>
        <v>78041</v>
      </c>
      <c r="K467" s="146">
        <f t="shared" ref="K467" si="748">H467+(J467-H467)*(1-30/100)</f>
        <v>76884</v>
      </c>
      <c r="L467" s="382"/>
      <c r="M467" s="382"/>
      <c r="N467" s="382"/>
    </row>
    <row r="468" spans="1:14" s="383" customFormat="1" ht="31.5" hidden="1" outlineLevel="3" x14ac:dyDescent="0.25">
      <c r="A468" s="363" t="s">
        <v>2706</v>
      </c>
      <c r="B468" s="381" t="s">
        <v>1404</v>
      </c>
      <c r="C468" s="381" t="s">
        <v>1405</v>
      </c>
      <c r="D468" s="100" t="s">
        <v>300</v>
      </c>
      <c r="E468" s="100">
        <f>154.6</f>
        <v>154.6</v>
      </c>
      <c r="F468" s="149">
        <f>(20599)*(1.023*1.005-2.3%*15%)*6.99+0*4.09</f>
        <v>147538</v>
      </c>
      <c r="G468" s="145">
        <f t="shared" si="739"/>
        <v>1.1279999999999999</v>
      </c>
      <c r="H468" s="146">
        <f t="shared" ref="H468" si="749">F468*G468</f>
        <v>166423</v>
      </c>
      <c r="I468" s="145">
        <f>Дефляторы!$D$25</f>
        <v>1.052</v>
      </c>
      <c r="J468" s="146">
        <f t="shared" ref="J468" si="750">H468*I468</f>
        <v>175077</v>
      </c>
      <c r="K468" s="146">
        <f t="shared" ref="K468" si="751">H468+(J468-H468)*(1-30/100)</f>
        <v>172481</v>
      </c>
      <c r="L468" s="382"/>
      <c r="M468" s="382"/>
      <c r="N468" s="382"/>
    </row>
    <row r="469" spans="1:14" s="383" customFormat="1" hidden="1" outlineLevel="3" x14ac:dyDescent="0.25">
      <c r="A469" s="363" t="s">
        <v>2707</v>
      </c>
      <c r="B469" s="381" t="s">
        <v>1407</v>
      </c>
      <c r="C469" s="381" t="s">
        <v>1406</v>
      </c>
      <c r="D469" s="100" t="s">
        <v>300</v>
      </c>
      <c r="E469" s="100">
        <f>77.3</f>
        <v>77.3</v>
      </c>
      <c r="F469" s="149">
        <f>(9506)*(1.023*1.005-2.3%*15%)*6.99+0*4.09</f>
        <v>68086</v>
      </c>
      <c r="G469" s="145">
        <f t="shared" si="739"/>
        <v>1.1279999999999999</v>
      </c>
      <c r="H469" s="146">
        <f t="shared" ref="H469" si="752">F469*G469</f>
        <v>76801</v>
      </c>
      <c r="I469" s="145">
        <f>Дефляторы!$D$25</f>
        <v>1.052</v>
      </c>
      <c r="J469" s="146">
        <f t="shared" ref="J469" si="753">H469*I469</f>
        <v>80795</v>
      </c>
      <c r="K469" s="146">
        <f t="shared" ref="K469" si="754">H469+(J469-H469)*(1-30/100)</f>
        <v>79597</v>
      </c>
      <c r="L469" s="382"/>
      <c r="M469" s="382"/>
      <c r="N469" s="382"/>
    </row>
    <row r="470" spans="1:14" s="383" customFormat="1" ht="31.5" hidden="1" outlineLevel="3" x14ac:dyDescent="0.25">
      <c r="A470" s="363" t="s">
        <v>2708</v>
      </c>
      <c r="B470" s="381" t="s">
        <v>1408</v>
      </c>
      <c r="C470" s="381" t="s">
        <v>750</v>
      </c>
      <c r="D470" s="100" t="s">
        <v>300</v>
      </c>
      <c r="E470" s="100">
        <f>519.81</f>
        <v>519.80999999999995</v>
      </c>
      <c r="F470" s="149">
        <f>(7030)*(1.023*1.005-2.3%*15%)*6.99+0*4.09</f>
        <v>50352</v>
      </c>
      <c r="G470" s="145">
        <f t="shared" si="739"/>
        <v>1.1279999999999999</v>
      </c>
      <c r="H470" s="146">
        <f t="shared" ref="H470" si="755">F470*G470</f>
        <v>56797</v>
      </c>
      <c r="I470" s="145">
        <f>Дефляторы!$D$25</f>
        <v>1.052</v>
      </c>
      <c r="J470" s="146">
        <f t="shared" ref="J470" si="756">H470*I470</f>
        <v>59750</v>
      </c>
      <c r="K470" s="146">
        <f t="shared" ref="K470" si="757">H470+(J470-H470)*(1-30/100)</f>
        <v>58864</v>
      </c>
      <c r="L470" s="382"/>
      <c r="M470" s="382"/>
      <c r="N470" s="382"/>
    </row>
    <row r="471" spans="1:14" s="383" customFormat="1" ht="47.25" hidden="1" outlineLevel="3" x14ac:dyDescent="0.25">
      <c r="A471" s="363" t="s">
        <v>2709</v>
      </c>
      <c r="B471" s="381" t="s">
        <v>1410</v>
      </c>
      <c r="C471" s="381" t="s">
        <v>1409</v>
      </c>
      <c r="D471" s="100" t="s">
        <v>377</v>
      </c>
      <c r="E471" s="100">
        <v>2110</v>
      </c>
      <c r="F471" s="149">
        <f>(1043596)*(1.023*1.005-2.3%*15%)*6.99+0*4.09</f>
        <v>7474661</v>
      </c>
      <c r="G471" s="145">
        <f t="shared" si="739"/>
        <v>1.1279999999999999</v>
      </c>
      <c r="H471" s="146">
        <f t="shared" ref="H471" si="758">F471*G471</f>
        <v>8431418</v>
      </c>
      <c r="I471" s="145">
        <f>Дефляторы!$D$25</f>
        <v>1.052</v>
      </c>
      <c r="J471" s="146">
        <f t="shared" ref="J471" si="759">H471*I471</f>
        <v>8869852</v>
      </c>
      <c r="K471" s="146">
        <f t="shared" ref="K471" si="760">H471+(J471-H471)*(1-30/100)</f>
        <v>8738322</v>
      </c>
      <c r="L471" s="396" t="s">
        <v>1411</v>
      </c>
      <c r="M471" s="382"/>
      <c r="N471" s="382"/>
    </row>
    <row r="472" spans="1:14" s="383" customFormat="1" hidden="1" outlineLevel="3" x14ac:dyDescent="0.25">
      <c r="A472" s="363"/>
      <c r="B472" s="381"/>
      <c r="C472" s="381" t="s">
        <v>379</v>
      </c>
      <c r="D472" s="100"/>
      <c r="E472" s="100"/>
      <c r="F472" s="149"/>
      <c r="G472" s="145"/>
      <c r="H472" s="146"/>
      <c r="I472" s="145"/>
      <c r="J472" s="146"/>
      <c r="K472" s="146"/>
      <c r="L472" s="382"/>
      <c r="M472" s="382"/>
      <c r="N472" s="382"/>
    </row>
    <row r="473" spans="1:14" s="383" customFormat="1" ht="47.25" hidden="1" outlineLevel="3" x14ac:dyDescent="0.25">
      <c r="A473" s="363" t="s">
        <v>2710</v>
      </c>
      <c r="B473" s="381" t="s">
        <v>1413</v>
      </c>
      <c r="C473" s="381" t="s">
        <v>1412</v>
      </c>
      <c r="D473" s="100" t="s">
        <v>377</v>
      </c>
      <c r="E473" s="100">
        <f>6330</f>
        <v>6330</v>
      </c>
      <c r="F473" s="149">
        <f>(640959)*(1.023*1.005-2.3%*15%)*6.99+0*4.09</f>
        <v>4590810</v>
      </c>
      <c r="G473" s="145">
        <f t="shared" ref="G473:G485" si="761">$G$831</f>
        <v>1.1279999999999999</v>
      </c>
      <c r="H473" s="146">
        <f t="shared" ref="H473" si="762">F473*G473</f>
        <v>5178434</v>
      </c>
      <c r="I473" s="145">
        <f>Дефляторы!$D$25</f>
        <v>1.052</v>
      </c>
      <c r="J473" s="146">
        <f t="shared" ref="J473" si="763">H473*I473</f>
        <v>5447713</v>
      </c>
      <c r="K473" s="146">
        <f t="shared" ref="K473" si="764">H473+(J473-H473)*(1-30/100)</f>
        <v>5366929</v>
      </c>
      <c r="L473" s="382"/>
      <c r="M473" s="382"/>
      <c r="N473" s="382"/>
    </row>
    <row r="474" spans="1:14" s="383" customFormat="1" ht="63" hidden="1" outlineLevel="3" x14ac:dyDescent="0.25">
      <c r="A474" s="363" t="s">
        <v>2711</v>
      </c>
      <c r="B474" s="381" t="s">
        <v>1415</v>
      </c>
      <c r="C474" s="381" t="s">
        <v>1414</v>
      </c>
      <c r="D474" s="100" t="s">
        <v>377</v>
      </c>
      <c r="E474" s="100">
        <v>240</v>
      </c>
      <c r="F474" s="149">
        <f>(24546)*(1.023*1.005-2.3%*15%)*6.99+0*4.09</f>
        <v>175808</v>
      </c>
      <c r="G474" s="145">
        <f t="shared" si="761"/>
        <v>1.1279999999999999</v>
      </c>
      <c r="H474" s="146">
        <f t="shared" ref="H474" si="765">F474*G474</f>
        <v>198311</v>
      </c>
      <c r="I474" s="145">
        <f>Дефляторы!$D$25</f>
        <v>1.052</v>
      </c>
      <c r="J474" s="146">
        <f t="shared" ref="J474" si="766">H474*I474</f>
        <v>208623</v>
      </c>
      <c r="K474" s="146">
        <f t="shared" ref="K474" si="767">H474+(J474-H474)*(1-30/100)</f>
        <v>205529</v>
      </c>
      <c r="L474" s="382"/>
      <c r="M474" s="382"/>
      <c r="N474" s="382"/>
    </row>
    <row r="475" spans="1:14" s="383" customFormat="1" ht="31.5" hidden="1" outlineLevel="3" x14ac:dyDescent="0.25">
      <c r="A475" s="363" t="s">
        <v>2712</v>
      </c>
      <c r="B475" s="381" t="s">
        <v>1417</v>
      </c>
      <c r="C475" s="381" t="s">
        <v>1416</v>
      </c>
      <c r="D475" s="100" t="s">
        <v>408</v>
      </c>
      <c r="E475" s="100">
        <v>8</v>
      </c>
      <c r="F475" s="149">
        <f>(13535)*(1.023*1.005-2.3%*15%)*6.99+0*4.09</f>
        <v>96943</v>
      </c>
      <c r="G475" s="145">
        <f t="shared" si="761"/>
        <v>1.1279999999999999</v>
      </c>
      <c r="H475" s="146">
        <f t="shared" ref="H475" si="768">F475*G475</f>
        <v>109352</v>
      </c>
      <c r="I475" s="145">
        <f>Дефляторы!$D$25</f>
        <v>1.052</v>
      </c>
      <c r="J475" s="146">
        <f t="shared" ref="J475" si="769">H475*I475</f>
        <v>115038</v>
      </c>
      <c r="K475" s="146">
        <f t="shared" ref="K475" si="770">H475+(J475-H475)*(1-30/100)</f>
        <v>113332</v>
      </c>
      <c r="L475" s="382"/>
      <c r="M475" s="382"/>
      <c r="N475" s="382"/>
    </row>
    <row r="476" spans="1:14" s="383" customFormat="1" ht="31.5" hidden="1" outlineLevel="3" x14ac:dyDescent="0.25">
      <c r="A476" s="363" t="s">
        <v>2713</v>
      </c>
      <c r="B476" s="381" t="s">
        <v>1419</v>
      </c>
      <c r="C476" s="381" t="s">
        <v>1418</v>
      </c>
      <c r="D476" s="100" t="s">
        <v>408</v>
      </c>
      <c r="E476" s="100">
        <v>8</v>
      </c>
      <c r="F476" s="149">
        <f>(13238)*(1.023*1.005-2.3%*15%)*6.99+0*4.09</f>
        <v>94816</v>
      </c>
      <c r="G476" s="145">
        <f t="shared" si="761"/>
        <v>1.1279999999999999</v>
      </c>
      <c r="H476" s="146">
        <f t="shared" ref="H476" si="771">F476*G476</f>
        <v>106952</v>
      </c>
      <c r="I476" s="145">
        <f>Дефляторы!$D$25</f>
        <v>1.052</v>
      </c>
      <c r="J476" s="146">
        <f t="shared" ref="J476" si="772">H476*I476</f>
        <v>112514</v>
      </c>
      <c r="K476" s="146">
        <f t="shared" ref="K476" si="773">H476+(J476-H476)*(1-30/100)</f>
        <v>110845</v>
      </c>
      <c r="L476" s="382"/>
      <c r="M476" s="382"/>
      <c r="N476" s="382"/>
    </row>
    <row r="477" spans="1:14" s="383" customFormat="1" ht="31.5" hidden="1" outlineLevel="3" x14ac:dyDescent="0.25">
      <c r="A477" s="363" t="s">
        <v>2714</v>
      </c>
      <c r="B477" s="381" t="s">
        <v>1421</v>
      </c>
      <c r="C477" s="381" t="s">
        <v>1420</v>
      </c>
      <c r="D477" s="100" t="s">
        <v>404</v>
      </c>
      <c r="E477" s="100">
        <f>28.64</f>
        <v>28.64</v>
      </c>
      <c r="F477" s="149">
        <f>(2121)*(1.023*1.005-2.3%*15%)*6.99+0*4.09</f>
        <v>15191</v>
      </c>
      <c r="G477" s="145">
        <f t="shared" si="761"/>
        <v>1.1279999999999999</v>
      </c>
      <c r="H477" s="146">
        <f t="shared" ref="H477" si="774">F477*G477</f>
        <v>17135</v>
      </c>
      <c r="I477" s="145">
        <f>Дефляторы!$D$25</f>
        <v>1.052</v>
      </c>
      <c r="J477" s="146">
        <f t="shared" ref="J477" si="775">H477*I477</f>
        <v>18026</v>
      </c>
      <c r="K477" s="146">
        <f t="shared" ref="K477" si="776">H477+(J477-H477)*(1-30/100)</f>
        <v>17759</v>
      </c>
      <c r="L477" s="382"/>
      <c r="M477" s="382"/>
      <c r="N477" s="382"/>
    </row>
    <row r="478" spans="1:14" s="383" customFormat="1" ht="31.5" outlineLevel="1" collapsed="1" x14ac:dyDescent="0.25">
      <c r="A478" s="132" t="s">
        <v>508</v>
      </c>
      <c r="B478" s="320"/>
      <c r="C478" s="320" t="s">
        <v>1745</v>
      </c>
      <c r="D478" s="134" t="s">
        <v>292</v>
      </c>
      <c r="E478" s="90">
        <v>1</v>
      </c>
      <c r="F478" s="90">
        <f>SUM(F479:F483)</f>
        <v>1615661</v>
      </c>
      <c r="G478" s="135">
        <f t="shared" si="761"/>
        <v>1.1279999999999999</v>
      </c>
      <c r="H478" s="90">
        <f>SUM(H479:H483)</f>
        <v>1822465</v>
      </c>
      <c r="I478" s="135">
        <f>Дефляторы!$D$25</f>
        <v>1.052</v>
      </c>
      <c r="J478" s="90">
        <f>SUM(J479:J483)</f>
        <v>1917234</v>
      </c>
      <c r="K478" s="90">
        <f>SUM(K479:K483)</f>
        <v>1888804</v>
      </c>
      <c r="L478" s="382"/>
      <c r="M478" s="382"/>
      <c r="N478" s="382"/>
    </row>
    <row r="479" spans="1:14" s="383" customFormat="1" ht="31.5" hidden="1" outlineLevel="2" x14ac:dyDescent="0.25">
      <c r="A479" s="225" t="s">
        <v>634</v>
      </c>
      <c r="B479" s="381" t="s">
        <v>1748</v>
      </c>
      <c r="C479" s="381" t="s">
        <v>356</v>
      </c>
      <c r="D479" s="100" t="s">
        <v>300</v>
      </c>
      <c r="E479" s="100">
        <v>792</v>
      </c>
      <c r="F479" s="220">
        <f>(157931)*(1.023*1.005-2.3%*15%)*6.99+0*4.09+7</f>
        <v>1131173</v>
      </c>
      <c r="G479" s="145">
        <f t="shared" si="761"/>
        <v>1.1279999999999999</v>
      </c>
      <c r="H479" s="146">
        <f t="shared" ref="H479" si="777">F479*G479</f>
        <v>1275963</v>
      </c>
      <c r="I479" s="145">
        <f>Дефляторы!$D$25</f>
        <v>1.052</v>
      </c>
      <c r="J479" s="146">
        <f t="shared" ref="J479" si="778">H479*I479</f>
        <v>1342313</v>
      </c>
      <c r="K479" s="146">
        <f t="shared" ref="K479" si="779">H479+(J479-H479)*(1-30/100)</f>
        <v>1322408</v>
      </c>
      <c r="L479" s="382"/>
      <c r="M479" s="382"/>
      <c r="N479" s="382"/>
    </row>
    <row r="480" spans="1:14" s="383" customFormat="1" hidden="1" outlineLevel="2" x14ac:dyDescent="0.25">
      <c r="A480" s="225" t="s">
        <v>647</v>
      </c>
      <c r="B480" s="381" t="s">
        <v>1752</v>
      </c>
      <c r="C480" s="381" t="s">
        <v>1493</v>
      </c>
      <c r="D480" s="100" t="s">
        <v>300</v>
      </c>
      <c r="E480" s="100">
        <v>792</v>
      </c>
      <c r="F480" s="220">
        <f>(10139)*(1.023*1.005-2.3%*15%)*6.99+0*4.09</f>
        <v>72620</v>
      </c>
      <c r="G480" s="145">
        <f t="shared" si="761"/>
        <v>1.1279999999999999</v>
      </c>
      <c r="H480" s="146">
        <f t="shared" ref="H480" si="780">F480*G480</f>
        <v>81915</v>
      </c>
      <c r="I480" s="145">
        <f>Дефляторы!$D$25</f>
        <v>1.052</v>
      </c>
      <c r="J480" s="146">
        <f t="shared" ref="J480" si="781">H480*I480</f>
        <v>86175</v>
      </c>
      <c r="K480" s="146">
        <f t="shared" ref="K480" si="782">H480+(J480-H480)*(1-30/100)</f>
        <v>84897</v>
      </c>
      <c r="L480" s="382"/>
      <c r="M480" s="382"/>
      <c r="N480" s="382"/>
    </row>
    <row r="481" spans="1:14" s="383" customFormat="1" hidden="1" outlineLevel="2" x14ac:dyDescent="0.25">
      <c r="A481" s="225" t="s">
        <v>2715</v>
      </c>
      <c r="B481" s="381" t="s">
        <v>1751</v>
      </c>
      <c r="C481" s="381" t="s">
        <v>1750</v>
      </c>
      <c r="D481" s="100" t="s">
        <v>300</v>
      </c>
      <c r="E481" s="100">
        <v>847</v>
      </c>
      <c r="F481" s="220">
        <f>(42317)*(1.023*1.005-2.3%*15%)*6.99+0*4.09</f>
        <v>303092</v>
      </c>
      <c r="G481" s="145">
        <f t="shared" si="761"/>
        <v>1.1279999999999999</v>
      </c>
      <c r="H481" s="146">
        <f t="shared" ref="H481" si="783">F481*G481</f>
        <v>341888</v>
      </c>
      <c r="I481" s="145">
        <f>Дефляторы!$D$25</f>
        <v>1.052</v>
      </c>
      <c r="J481" s="146">
        <f t="shared" ref="J481" si="784">H481*I481</f>
        <v>359666</v>
      </c>
      <c r="K481" s="146">
        <f t="shared" ref="K481" si="785">H481+(J481-H481)*(1-30/100)</f>
        <v>354333</v>
      </c>
      <c r="L481" s="382"/>
      <c r="M481" s="382"/>
      <c r="N481" s="382"/>
    </row>
    <row r="482" spans="1:14" s="383" customFormat="1" hidden="1" outlineLevel="2" x14ac:dyDescent="0.25">
      <c r="A482" s="225" t="s">
        <v>2716</v>
      </c>
      <c r="B482" s="381" t="s">
        <v>1754</v>
      </c>
      <c r="C482" s="381" t="s">
        <v>1753</v>
      </c>
      <c r="D482" s="100" t="s">
        <v>404</v>
      </c>
      <c r="E482" s="100">
        <f>5619</f>
        <v>5619</v>
      </c>
      <c r="F482" s="220">
        <f>(240)*(1.023*1.005-2.3%*15%)*6.99+0*4.09</f>
        <v>1719</v>
      </c>
      <c r="G482" s="145">
        <f t="shared" si="761"/>
        <v>1.1279999999999999</v>
      </c>
      <c r="H482" s="146">
        <f t="shared" ref="H482" si="786">F482*G482</f>
        <v>1939</v>
      </c>
      <c r="I482" s="145">
        <f>Дефляторы!$D$25</f>
        <v>1.052</v>
      </c>
      <c r="J482" s="146">
        <f t="shared" ref="J482" si="787">H482*I482</f>
        <v>2040</v>
      </c>
      <c r="K482" s="146">
        <f t="shared" ref="K482" si="788">H482+(J482-H482)*(1-30/100)</f>
        <v>2010</v>
      </c>
      <c r="L482" s="382"/>
      <c r="M482" s="382"/>
      <c r="N482" s="382"/>
    </row>
    <row r="483" spans="1:14" s="383" customFormat="1" ht="31.5" hidden="1" outlineLevel="2" x14ac:dyDescent="0.25">
      <c r="A483" s="225" t="s">
        <v>2717</v>
      </c>
      <c r="B483" s="381" t="s">
        <v>1747</v>
      </c>
      <c r="C483" s="381" t="s">
        <v>1746</v>
      </c>
      <c r="D483" s="100" t="s">
        <v>292</v>
      </c>
      <c r="E483" s="100">
        <v>1</v>
      </c>
      <c r="F483" s="220">
        <f>(14947)*(1.023*1.005-2.3%*15%)*6.99+0*4.09</f>
        <v>107057</v>
      </c>
      <c r="G483" s="145">
        <f t="shared" si="761"/>
        <v>1.1279999999999999</v>
      </c>
      <c r="H483" s="146">
        <f t="shared" ref="H483" si="789">F483*G483</f>
        <v>120760</v>
      </c>
      <c r="I483" s="145">
        <f>Дефляторы!$D$25</f>
        <v>1.052</v>
      </c>
      <c r="J483" s="146">
        <f t="shared" ref="J483" si="790">H483*I483</f>
        <v>127040</v>
      </c>
      <c r="K483" s="146">
        <f t="shared" ref="K483" si="791">H483+(J483-H483)*(1-30/100)</f>
        <v>125156</v>
      </c>
      <c r="L483" s="382"/>
      <c r="M483" s="382"/>
      <c r="N483" s="382"/>
    </row>
    <row r="484" spans="1:14" s="444" customFormat="1" outlineLevel="1" x14ac:dyDescent="0.25">
      <c r="A484" s="179" t="s">
        <v>509</v>
      </c>
      <c r="B484" s="422"/>
      <c r="C484" s="435" t="s">
        <v>2373</v>
      </c>
      <c r="D484" s="125" t="s">
        <v>292</v>
      </c>
      <c r="E484" s="126">
        <v>1</v>
      </c>
      <c r="F484" s="126">
        <f>F485+F494+F506+F518+F528+F532+F538+F547+F553+F555</f>
        <v>84628048</v>
      </c>
      <c r="G484" s="127">
        <f t="shared" si="761"/>
        <v>1.1279999999999999</v>
      </c>
      <c r="H484" s="126">
        <f>H485+H494+H506+H518+H528+H532+H538+H547+H553+H555</f>
        <v>95460439</v>
      </c>
      <c r="I484" s="127">
        <f>Дефляторы!$D$25</f>
        <v>1.052</v>
      </c>
      <c r="J484" s="126">
        <f>J485+J494+J506+J518+J528+J532+J538+J547+J553+J555</f>
        <v>100424383</v>
      </c>
      <c r="K484" s="126">
        <f>K485+K494+K506+K518+K528+K532+K538+K547+K553+K555</f>
        <v>98935200</v>
      </c>
    </row>
    <row r="485" spans="1:14" s="385" customFormat="1" outlineLevel="2" collapsed="1" x14ac:dyDescent="0.25">
      <c r="A485" s="132" t="s">
        <v>2718</v>
      </c>
      <c r="B485" s="320"/>
      <c r="C485" s="133" t="s">
        <v>2359</v>
      </c>
      <c r="D485" s="134" t="s">
        <v>292</v>
      </c>
      <c r="E485" s="90">
        <v>1</v>
      </c>
      <c r="F485" s="90">
        <f>SUM(F486:F493)</f>
        <v>20713331</v>
      </c>
      <c r="G485" s="135">
        <f t="shared" si="761"/>
        <v>1.1279999999999999</v>
      </c>
      <c r="H485" s="90">
        <f>SUM(H486:H493)</f>
        <v>23364638</v>
      </c>
      <c r="I485" s="135">
        <f>Дефляторы!$D$25</f>
        <v>1.052</v>
      </c>
      <c r="J485" s="90">
        <f>SUM(J486:J493)</f>
        <v>24579601</v>
      </c>
      <c r="K485" s="90">
        <f>SUM(K486:K493)</f>
        <v>24215112</v>
      </c>
    </row>
    <row r="486" spans="1:14" s="413" customFormat="1" hidden="1" outlineLevel="3" x14ac:dyDescent="0.25">
      <c r="A486" s="368"/>
      <c r="B486" s="406"/>
      <c r="C486" s="406" t="s">
        <v>2396</v>
      </c>
      <c r="D486" s="246"/>
      <c r="E486" s="247"/>
      <c r="F486" s="453"/>
      <c r="G486" s="248"/>
      <c r="H486" s="255"/>
      <c r="I486" s="248"/>
      <c r="J486" s="255"/>
      <c r="K486" s="255"/>
      <c r="L486" s="412"/>
      <c r="M486" s="412"/>
      <c r="N486" s="412"/>
    </row>
    <row r="487" spans="1:14" s="383" customFormat="1" hidden="1" outlineLevel="3" x14ac:dyDescent="0.25">
      <c r="A487" s="363"/>
      <c r="B487" s="381"/>
      <c r="C487" s="390" t="s">
        <v>2397</v>
      </c>
      <c r="D487" s="100"/>
      <c r="E487" s="149"/>
      <c r="F487" s="220"/>
      <c r="G487" s="145"/>
      <c r="H487" s="146"/>
      <c r="I487" s="145">
        <f>Дефляторы!$D$25</f>
        <v>1.052</v>
      </c>
      <c r="J487" s="146"/>
      <c r="K487" s="146"/>
      <c r="L487" s="382"/>
      <c r="M487" s="382"/>
      <c r="N487" s="382"/>
    </row>
    <row r="488" spans="1:14" s="383" customFormat="1" ht="31.5" hidden="1" outlineLevel="3" x14ac:dyDescent="0.25">
      <c r="A488" s="363" t="s">
        <v>2719</v>
      </c>
      <c r="B488" s="381" t="s">
        <v>355</v>
      </c>
      <c r="C488" s="381" t="s">
        <v>356</v>
      </c>
      <c r="D488" s="100" t="s">
        <v>300</v>
      </c>
      <c r="E488" s="149">
        <f>'Земляные работы'!$H$18*446/500</f>
        <v>7225</v>
      </c>
      <c r="F488" s="220">
        <f>'Земляные работы'!$H$18/'Земляные работы'!$H$19*4511030*(1.023*1.005-2.3%*15%)*6.99*446/500-2</f>
        <v>10319380</v>
      </c>
      <c r="G488" s="145">
        <f t="shared" ref="G488:G494" si="792">$G$831</f>
        <v>1.1279999999999999</v>
      </c>
      <c r="H488" s="146">
        <f t="shared" ref="H488:H493" si="793">F488*G488</f>
        <v>11640261</v>
      </c>
      <c r="I488" s="145">
        <f>Дефляторы!$D$25</f>
        <v>1.052</v>
      </c>
      <c r="J488" s="146">
        <f>H488*I488</f>
        <v>12245555</v>
      </c>
      <c r="K488" s="146">
        <f t="shared" ref="K488:K493" si="794">H488+(J488-H488)*(1-30/100)</f>
        <v>12063967</v>
      </c>
      <c r="L488" s="382"/>
      <c r="M488" s="382"/>
      <c r="N488" s="382"/>
    </row>
    <row r="489" spans="1:14" s="383" customFormat="1" ht="31.5" hidden="1" outlineLevel="3" x14ac:dyDescent="0.25">
      <c r="A489" s="363" t="s">
        <v>2720</v>
      </c>
      <c r="B489" s="381" t="s">
        <v>560</v>
      </c>
      <c r="C489" s="381" t="s">
        <v>656</v>
      </c>
      <c r="D489" s="100" t="s">
        <v>300</v>
      </c>
      <c r="E489" s="149">
        <f>'Земляные работы'!$H$18*446/500</f>
        <v>7225</v>
      </c>
      <c r="F489" s="220">
        <f>'Земляные работы'!$H$18/'Земляные работы'!$H$19*(370936+320904)*(1.023*1.005-2.3%*15%)*6.99*446/500</f>
        <v>1582645</v>
      </c>
      <c r="G489" s="145">
        <f t="shared" si="792"/>
        <v>1.1279999999999999</v>
      </c>
      <c r="H489" s="146">
        <f t="shared" si="793"/>
        <v>1785224</v>
      </c>
      <c r="I489" s="145">
        <f>Дефляторы!$D$25</f>
        <v>1.052</v>
      </c>
      <c r="J489" s="146">
        <f t="shared" ref="J489:J493" si="795">H489*I489</f>
        <v>1878056</v>
      </c>
      <c r="K489" s="146">
        <f t="shared" si="794"/>
        <v>1850206</v>
      </c>
      <c r="L489" s="382"/>
      <c r="M489" s="382"/>
      <c r="N489" s="382"/>
    </row>
    <row r="490" spans="1:14" s="394" customFormat="1" ht="31.5" hidden="1" outlineLevel="3" x14ac:dyDescent="0.25">
      <c r="A490" s="363" t="s">
        <v>2721</v>
      </c>
      <c r="B490" s="391" t="s">
        <v>561</v>
      </c>
      <c r="C490" s="391" t="s">
        <v>562</v>
      </c>
      <c r="D490" s="161" t="s">
        <v>300</v>
      </c>
      <c r="E490" s="162">
        <f>'Земляные работы'!$K$18*446/500</f>
        <v>361.3</v>
      </c>
      <c r="F490" s="220">
        <f>'Земляные работы'!$K$18/'Земляные работы'!$K$19*(139109+18545)*(1.023*1.005-2.3%*15%)*6.99*446/500</f>
        <v>360648</v>
      </c>
      <c r="G490" s="163">
        <f t="shared" si="792"/>
        <v>1.1279999999999999</v>
      </c>
      <c r="H490" s="164">
        <f t="shared" si="793"/>
        <v>406811</v>
      </c>
      <c r="I490" s="163">
        <f>Дефляторы!$D$25</f>
        <v>1.052</v>
      </c>
      <c r="J490" s="164">
        <f t="shared" si="795"/>
        <v>427965</v>
      </c>
      <c r="K490" s="164">
        <f t="shared" si="794"/>
        <v>421619</v>
      </c>
      <c r="L490" s="392" t="s">
        <v>563</v>
      </c>
      <c r="M490" s="392"/>
      <c r="N490" s="392"/>
    </row>
    <row r="491" spans="1:14" s="394" customFormat="1" hidden="1" outlineLevel="3" x14ac:dyDescent="0.25">
      <c r="A491" s="363" t="s">
        <v>2722</v>
      </c>
      <c r="B491" s="391" t="s">
        <v>564</v>
      </c>
      <c r="C491" s="391" t="s">
        <v>565</v>
      </c>
      <c r="D491" s="161" t="s">
        <v>300</v>
      </c>
      <c r="E491" s="162">
        <f>'Земляные работы'!$L$18*446/500</f>
        <v>361.3</v>
      </c>
      <c r="F491" s="220">
        <f>'Земляные работы'!$L$18/'Земляные работы'!$L$19*(39510)*(1.023*1.005-2.3%*15%)*6.99*446/500</f>
        <v>90383</v>
      </c>
      <c r="G491" s="163">
        <f t="shared" si="792"/>
        <v>1.1279999999999999</v>
      </c>
      <c r="H491" s="164">
        <f t="shared" si="793"/>
        <v>101952</v>
      </c>
      <c r="I491" s="163">
        <f>Дефляторы!$D$25</f>
        <v>1.052</v>
      </c>
      <c r="J491" s="164">
        <f t="shared" si="795"/>
        <v>107254</v>
      </c>
      <c r="K491" s="164">
        <f t="shared" si="794"/>
        <v>105663</v>
      </c>
      <c r="L491" s="392" t="s">
        <v>563</v>
      </c>
      <c r="M491" s="392"/>
      <c r="N491" s="392"/>
    </row>
    <row r="492" spans="1:14" s="383" customFormat="1" ht="31.5" hidden="1" outlineLevel="3" x14ac:dyDescent="0.25">
      <c r="A492" s="363" t="s">
        <v>2723</v>
      </c>
      <c r="B492" s="381" t="s">
        <v>567</v>
      </c>
      <c r="C492" s="381" t="s">
        <v>750</v>
      </c>
      <c r="D492" s="100" t="s">
        <v>300</v>
      </c>
      <c r="E492" s="168">
        <f>(20100.9*'Земляные работы'!$M$18/'Земляные работы'!$M$19+0.1)*446/500</f>
        <v>6422.4</v>
      </c>
      <c r="F492" s="220">
        <f>('Земляные работы'!$N$18/'Земляные работы'!$N$19)*(60641+30320+211146)*(1.023*1.005-2.3%*15%)*6.99*446/500</f>
        <v>660557</v>
      </c>
      <c r="G492" s="145">
        <f t="shared" si="792"/>
        <v>1.1279999999999999</v>
      </c>
      <c r="H492" s="146">
        <f t="shared" si="793"/>
        <v>745108</v>
      </c>
      <c r="I492" s="145">
        <f>Дефляторы!$D$25</f>
        <v>1.052</v>
      </c>
      <c r="J492" s="146">
        <f t="shared" si="795"/>
        <v>783854</v>
      </c>
      <c r="K492" s="146">
        <f t="shared" si="794"/>
        <v>772230</v>
      </c>
      <c r="L492" s="382" t="s">
        <v>360</v>
      </c>
      <c r="M492" s="382"/>
      <c r="N492" s="382"/>
    </row>
    <row r="493" spans="1:14" s="383" customFormat="1" hidden="1" outlineLevel="3" x14ac:dyDescent="0.25">
      <c r="A493" s="363" t="s">
        <v>2724</v>
      </c>
      <c r="B493" s="381" t="s">
        <v>766</v>
      </c>
      <c r="C493" s="381" t="s">
        <v>749</v>
      </c>
      <c r="D493" s="100" t="s">
        <v>408</v>
      </c>
      <c r="E493" s="149">
        <v>1</v>
      </c>
      <c r="F493" s="220">
        <f>1075018*(1.023*1.005-2.3%*15%)*6.99</f>
        <v>7699718</v>
      </c>
      <c r="G493" s="145">
        <f t="shared" si="792"/>
        <v>1.1279999999999999</v>
      </c>
      <c r="H493" s="146">
        <f t="shared" si="793"/>
        <v>8685282</v>
      </c>
      <c r="I493" s="145">
        <f>Дефляторы!$D$25</f>
        <v>1.052</v>
      </c>
      <c r="J493" s="146">
        <f t="shared" si="795"/>
        <v>9136917</v>
      </c>
      <c r="K493" s="146">
        <f t="shared" si="794"/>
        <v>9001427</v>
      </c>
      <c r="L493" s="382" t="s">
        <v>2398</v>
      </c>
      <c r="M493" s="382"/>
      <c r="N493" s="382"/>
    </row>
    <row r="494" spans="1:14" s="385" customFormat="1" outlineLevel="2" collapsed="1" x14ac:dyDescent="0.25">
      <c r="A494" s="132" t="s">
        <v>2725</v>
      </c>
      <c r="B494" s="320"/>
      <c r="C494" s="133" t="s">
        <v>2360</v>
      </c>
      <c r="D494" s="134" t="s">
        <v>292</v>
      </c>
      <c r="E494" s="90">
        <v>1</v>
      </c>
      <c r="F494" s="90">
        <f>SUM(F495:F505)</f>
        <v>7081429</v>
      </c>
      <c r="G494" s="135">
        <f t="shared" si="792"/>
        <v>1.1279999999999999</v>
      </c>
      <c r="H494" s="90">
        <f>SUM(H495:H505)</f>
        <v>7987852</v>
      </c>
      <c r="I494" s="135">
        <f>Дефляторы!$D$25</f>
        <v>1.052</v>
      </c>
      <c r="J494" s="90">
        <f>SUM(J495:J505)</f>
        <v>8403218</v>
      </c>
      <c r="K494" s="90">
        <f>SUM(K495:K505)</f>
        <v>8278609</v>
      </c>
    </row>
    <row r="495" spans="1:14" s="383" customFormat="1" hidden="1" outlineLevel="3" x14ac:dyDescent="0.25">
      <c r="A495" s="363"/>
      <c r="B495" s="381"/>
      <c r="C495" s="390" t="s">
        <v>367</v>
      </c>
      <c r="D495" s="100"/>
      <c r="E495" s="100"/>
      <c r="F495" s="149"/>
      <c r="G495" s="145"/>
      <c r="H495" s="146"/>
      <c r="I495" s="145"/>
      <c r="J495" s="146"/>
      <c r="K495" s="146"/>
      <c r="L495" s="382"/>
      <c r="M495" s="382"/>
      <c r="N495" s="382"/>
    </row>
    <row r="496" spans="1:14" s="383" customFormat="1" hidden="1" outlineLevel="3" x14ac:dyDescent="0.25">
      <c r="A496" s="363" t="s">
        <v>2726</v>
      </c>
      <c r="B496" s="381" t="s">
        <v>1007</v>
      </c>
      <c r="C496" s="381" t="s">
        <v>1006</v>
      </c>
      <c r="D496" s="100" t="s">
        <v>300</v>
      </c>
      <c r="E496" s="100">
        <v>110</v>
      </c>
      <c r="F496" s="220">
        <f>(18362)*(1.023*1.005-2.3%*15%)*6.99+0*4.09</f>
        <v>131516</v>
      </c>
      <c r="G496" s="145">
        <f>$G$831</f>
        <v>1.1279999999999999</v>
      </c>
      <c r="H496" s="146">
        <f t="shared" ref="H496" si="796">F496*G496</f>
        <v>148350</v>
      </c>
      <c r="I496" s="145">
        <f>Дефляторы!$D$25</f>
        <v>1.052</v>
      </c>
      <c r="J496" s="146">
        <f t="shared" ref="J496" si="797">H496*I496</f>
        <v>156064</v>
      </c>
      <c r="K496" s="146">
        <f t="shared" ref="K496" si="798">H496+(J496-H496)*(1-30/100)</f>
        <v>153750</v>
      </c>
      <c r="L496" s="382" t="s">
        <v>1008</v>
      </c>
      <c r="M496" s="382"/>
      <c r="N496" s="382"/>
    </row>
    <row r="497" spans="1:15" s="383" customFormat="1" ht="31.5" hidden="1" outlineLevel="3" x14ac:dyDescent="0.25">
      <c r="A497" s="363" t="s">
        <v>2727</v>
      </c>
      <c r="B497" s="381" t="s">
        <v>1009</v>
      </c>
      <c r="C497" s="381" t="s">
        <v>750</v>
      </c>
      <c r="D497" s="100" t="s">
        <v>300</v>
      </c>
      <c r="E497" s="100">
        <v>420</v>
      </c>
      <c r="F497" s="220">
        <f>(6023)*(1.023*1.005-2.3%*15%)*6.99+0*4.09</f>
        <v>43139</v>
      </c>
      <c r="G497" s="145">
        <f>$G$831</f>
        <v>1.1279999999999999</v>
      </c>
      <c r="H497" s="146">
        <f t="shared" ref="H497" si="799">F497*G497</f>
        <v>48661</v>
      </c>
      <c r="I497" s="145">
        <f>Дефляторы!$D$25</f>
        <v>1.052</v>
      </c>
      <c r="J497" s="146">
        <f t="shared" ref="J497" si="800">H497*I497</f>
        <v>51191</v>
      </c>
      <c r="K497" s="146">
        <f t="shared" ref="K497" si="801">H497+(J497-H497)*(1-30/100)</f>
        <v>50432</v>
      </c>
      <c r="L497" s="382"/>
      <c r="M497" s="382"/>
      <c r="N497" s="382"/>
    </row>
    <row r="498" spans="1:15" s="383" customFormat="1" hidden="1" outlineLevel="3" x14ac:dyDescent="0.25">
      <c r="A498" s="363"/>
      <c r="B498" s="381"/>
      <c r="C498" s="390" t="s">
        <v>1020</v>
      </c>
      <c r="D498" s="100"/>
      <c r="E498" s="100"/>
      <c r="F498" s="149"/>
      <c r="G498" s="145"/>
      <c r="H498" s="146"/>
      <c r="I498" s="145">
        <f>Дефляторы!$D$25</f>
        <v>1.052</v>
      </c>
      <c r="J498" s="146"/>
      <c r="K498" s="146"/>
      <c r="L498" s="382"/>
      <c r="M498" s="382"/>
      <c r="N498" s="382"/>
    </row>
    <row r="499" spans="1:15" s="383" customFormat="1" hidden="1" outlineLevel="3" x14ac:dyDescent="0.25">
      <c r="A499" s="363" t="s">
        <v>2728</v>
      </c>
      <c r="B499" s="381" t="s">
        <v>1011</v>
      </c>
      <c r="C499" s="381" t="s">
        <v>1021</v>
      </c>
      <c r="D499" s="100" t="s">
        <v>300</v>
      </c>
      <c r="E499" s="168">
        <f>237.9</f>
        <v>237.9</v>
      </c>
      <c r="F499" s="220">
        <f>(319411)*(1.023*1.005-2.3%*15%)*6.99+0*4.09</f>
        <v>2287752</v>
      </c>
      <c r="G499" s="145">
        <f t="shared" ref="G499:G506" si="802">$G$831</f>
        <v>1.1279999999999999</v>
      </c>
      <c r="H499" s="146">
        <f t="shared" ref="H499" si="803">F499*G499</f>
        <v>2580584</v>
      </c>
      <c r="I499" s="145">
        <f>Дефляторы!$D$25</f>
        <v>1.052</v>
      </c>
      <c r="J499" s="146">
        <f t="shared" ref="J499" si="804">H499*I499</f>
        <v>2714774</v>
      </c>
      <c r="K499" s="146">
        <f t="shared" ref="K499" si="805">H499+(J499-H499)*(1-30/100)</f>
        <v>2674517</v>
      </c>
      <c r="L499" s="382"/>
      <c r="M499" s="382"/>
      <c r="N499" s="382"/>
    </row>
    <row r="500" spans="1:15" s="383" customFormat="1" hidden="1" outlineLevel="3" x14ac:dyDescent="0.25">
      <c r="A500" s="363" t="s">
        <v>2729</v>
      </c>
      <c r="B500" s="381" t="s">
        <v>1013</v>
      </c>
      <c r="C500" s="381" t="s">
        <v>1022</v>
      </c>
      <c r="D500" s="100" t="s">
        <v>300</v>
      </c>
      <c r="E500" s="100">
        <f>52.1</f>
        <v>52.1</v>
      </c>
      <c r="F500" s="220">
        <f>(75676)*(1.023*1.005-2.3%*15%)*6.99+0*4.09</f>
        <v>542022</v>
      </c>
      <c r="G500" s="145">
        <f t="shared" si="802"/>
        <v>1.1279999999999999</v>
      </c>
      <c r="H500" s="146">
        <f t="shared" ref="H500" si="806">F500*G500</f>
        <v>611401</v>
      </c>
      <c r="I500" s="145">
        <f>Дефляторы!$D$25</f>
        <v>1.052</v>
      </c>
      <c r="J500" s="146">
        <f t="shared" ref="J500" si="807">H500*I500</f>
        <v>643194</v>
      </c>
      <c r="K500" s="146">
        <f t="shared" ref="K500" si="808">H500+(J500-H500)*(1-30/100)</f>
        <v>633656</v>
      </c>
      <c r="L500" s="382"/>
      <c r="M500" s="382"/>
      <c r="N500" s="382"/>
    </row>
    <row r="501" spans="1:15" s="383" customFormat="1" hidden="1" outlineLevel="3" x14ac:dyDescent="0.25">
      <c r="A501" s="363" t="s">
        <v>2730</v>
      </c>
      <c r="B501" s="381" t="s">
        <v>1014</v>
      </c>
      <c r="C501" s="381" t="s">
        <v>1012</v>
      </c>
      <c r="D501" s="100" t="s">
        <v>300</v>
      </c>
      <c r="E501" s="100">
        <f>45.6</f>
        <v>45.6</v>
      </c>
      <c r="F501" s="220">
        <f>(75718)*(1.023*1.005-2.3%*15%)*6.99+0*4.09</f>
        <v>542323</v>
      </c>
      <c r="G501" s="145">
        <f t="shared" si="802"/>
        <v>1.1279999999999999</v>
      </c>
      <c r="H501" s="146">
        <f t="shared" ref="H501" si="809">F501*G501</f>
        <v>611740</v>
      </c>
      <c r="I501" s="145">
        <f>Дефляторы!$D$25</f>
        <v>1.052</v>
      </c>
      <c r="J501" s="146">
        <f t="shared" ref="J501" si="810">H501*I501</f>
        <v>643550</v>
      </c>
      <c r="K501" s="146">
        <f t="shared" ref="K501" si="811">H501+(J501-H501)*(1-30/100)</f>
        <v>634007</v>
      </c>
      <c r="L501" s="382"/>
      <c r="M501" s="382"/>
      <c r="N501" s="382"/>
    </row>
    <row r="502" spans="1:15" s="383" customFormat="1" hidden="1" outlineLevel="3" x14ac:dyDescent="0.25">
      <c r="A502" s="363" t="s">
        <v>2731</v>
      </c>
      <c r="B502" s="381" t="s">
        <v>1015</v>
      </c>
      <c r="C502" s="381" t="s">
        <v>1023</v>
      </c>
      <c r="D502" s="100" t="s">
        <v>300</v>
      </c>
      <c r="E502" s="100">
        <f>27.6</f>
        <v>27.6</v>
      </c>
      <c r="F502" s="220">
        <f>(93327)*(1.023*1.005-2.3%*15%)*6.99+0*4.09</f>
        <v>668446</v>
      </c>
      <c r="G502" s="145">
        <f t="shared" si="802"/>
        <v>1.1279999999999999</v>
      </c>
      <c r="H502" s="146">
        <f t="shared" ref="H502" si="812">F502*G502</f>
        <v>754007</v>
      </c>
      <c r="I502" s="145">
        <f>Дефляторы!$D$25</f>
        <v>1.052</v>
      </c>
      <c r="J502" s="146">
        <f t="shared" ref="J502" si="813">H502*I502</f>
        <v>793215</v>
      </c>
      <c r="K502" s="146">
        <f t="shared" ref="K502" si="814">H502+(J502-H502)*(1-30/100)</f>
        <v>781453</v>
      </c>
      <c r="L502" s="382"/>
      <c r="M502" s="382"/>
      <c r="N502" s="382"/>
    </row>
    <row r="503" spans="1:15" s="383" customFormat="1" hidden="1" outlineLevel="3" x14ac:dyDescent="0.25">
      <c r="A503" s="363" t="s">
        <v>2732</v>
      </c>
      <c r="B503" s="381" t="s">
        <v>1017</v>
      </c>
      <c r="C503" s="381" t="s">
        <v>1016</v>
      </c>
      <c r="D503" s="100" t="s">
        <v>300</v>
      </c>
      <c r="E503" s="100">
        <f>116</f>
        <v>116</v>
      </c>
      <c r="F503" s="220">
        <f>(250290)*(1.023*1.005-2.3%*15%)*6.99+0*4.09</f>
        <v>1792679</v>
      </c>
      <c r="G503" s="145">
        <f t="shared" si="802"/>
        <v>1.1279999999999999</v>
      </c>
      <c r="H503" s="146">
        <f t="shared" ref="H503" si="815">F503*G503</f>
        <v>2022142</v>
      </c>
      <c r="I503" s="145">
        <f>Дефляторы!$D$25</f>
        <v>1.052</v>
      </c>
      <c r="J503" s="146">
        <f t="shared" ref="J503" si="816">H503*I503</f>
        <v>2127293</v>
      </c>
      <c r="K503" s="146">
        <f t="shared" ref="K503" si="817">H503+(J503-H503)*(1-30/100)</f>
        <v>2095748</v>
      </c>
      <c r="L503" s="382"/>
      <c r="M503" s="382"/>
      <c r="N503" s="382"/>
    </row>
    <row r="504" spans="1:15" s="383" customFormat="1" hidden="1" outlineLevel="3" x14ac:dyDescent="0.25">
      <c r="A504" s="363" t="s">
        <v>2733</v>
      </c>
      <c r="B504" s="381" t="s">
        <v>1018</v>
      </c>
      <c r="C504" s="381" t="s">
        <v>1024</v>
      </c>
      <c r="D504" s="100" t="s">
        <v>300</v>
      </c>
      <c r="E504" s="100">
        <f>28.3</f>
        <v>28.3</v>
      </c>
      <c r="F504" s="220">
        <f>(47432)*(1.023*1.005-2.3%*15%)*6.99+0*4.09</f>
        <v>339727</v>
      </c>
      <c r="G504" s="145">
        <f t="shared" si="802"/>
        <v>1.1279999999999999</v>
      </c>
      <c r="H504" s="146">
        <f t="shared" ref="H504" si="818">F504*G504</f>
        <v>383212</v>
      </c>
      <c r="I504" s="145">
        <f>Дефляторы!$D$25</f>
        <v>1.052</v>
      </c>
      <c r="J504" s="146">
        <f t="shared" ref="J504" si="819">H504*I504</f>
        <v>403139</v>
      </c>
      <c r="K504" s="146">
        <f t="shared" ref="K504" si="820">H504+(J504-H504)*(1-30/100)</f>
        <v>397161</v>
      </c>
      <c r="L504" s="382"/>
      <c r="M504" s="382"/>
      <c r="N504" s="382"/>
    </row>
    <row r="505" spans="1:15" s="383" customFormat="1" ht="31.5" hidden="1" outlineLevel="3" x14ac:dyDescent="0.25">
      <c r="A505" s="363" t="s">
        <v>2734</v>
      </c>
      <c r="B505" s="381" t="s">
        <v>1025</v>
      </c>
      <c r="C505" s="381" t="s">
        <v>1019</v>
      </c>
      <c r="D505" s="100" t="s">
        <v>292</v>
      </c>
      <c r="E505" s="100">
        <v>1</v>
      </c>
      <c r="F505" s="220">
        <f>(102455)*(1.023*1.005-2.3%*15%)*6.99+0*4.09</f>
        <v>733825</v>
      </c>
      <c r="G505" s="145">
        <f t="shared" si="802"/>
        <v>1.1279999999999999</v>
      </c>
      <c r="H505" s="146">
        <f t="shared" ref="H505" si="821">F505*G505</f>
        <v>827755</v>
      </c>
      <c r="I505" s="145">
        <f>Дефляторы!$D$25</f>
        <v>1.052</v>
      </c>
      <c r="J505" s="146">
        <f t="shared" ref="J505" si="822">H505*I505</f>
        <v>870798</v>
      </c>
      <c r="K505" s="146">
        <f t="shared" ref="K505" si="823">H505+(J505-H505)*(1-30/100)</f>
        <v>857885</v>
      </c>
      <c r="L505" s="382"/>
      <c r="M505" s="382"/>
      <c r="N505" s="382"/>
    </row>
    <row r="506" spans="1:15" s="385" customFormat="1" outlineLevel="2" collapsed="1" x14ac:dyDescent="0.25">
      <c r="A506" s="132" t="s">
        <v>2735</v>
      </c>
      <c r="B506" s="320"/>
      <c r="C506" s="133" t="s">
        <v>2361</v>
      </c>
      <c r="D506" s="134" t="s">
        <v>292</v>
      </c>
      <c r="E506" s="90">
        <v>1</v>
      </c>
      <c r="F506" s="90">
        <f>SUM(F507:F517)</f>
        <v>2345060</v>
      </c>
      <c r="G506" s="135">
        <f t="shared" si="802"/>
        <v>1.1279999999999999</v>
      </c>
      <c r="H506" s="90">
        <f>SUM(H507:H517)</f>
        <v>2645228</v>
      </c>
      <c r="I506" s="135">
        <f>Дефляторы!$D$25</f>
        <v>1.052</v>
      </c>
      <c r="J506" s="90">
        <f>SUM(J507:J517)</f>
        <v>2782781</v>
      </c>
      <c r="K506" s="90">
        <f>SUM(K507:K517)</f>
        <v>2741516</v>
      </c>
    </row>
    <row r="507" spans="1:15" s="358" customFormat="1" hidden="1" outlineLevel="3" x14ac:dyDescent="0.25">
      <c r="A507" s="368"/>
      <c r="B507" s="387"/>
      <c r="C507" s="390" t="s">
        <v>614</v>
      </c>
      <c r="D507" s="239"/>
      <c r="E507" s="240"/>
      <c r="F507" s="453"/>
      <c r="G507" s="241"/>
      <c r="H507" s="242"/>
      <c r="I507" s="241">
        <f>Дефляторы!$D$25</f>
        <v>1.052</v>
      </c>
      <c r="J507" s="242"/>
      <c r="K507" s="242"/>
      <c r="L507" s="389"/>
      <c r="M507" s="389"/>
      <c r="N507" s="389"/>
    </row>
    <row r="508" spans="1:15" s="383" customFormat="1" ht="102" hidden="1" customHeight="1" outlineLevel="3" x14ac:dyDescent="0.25">
      <c r="A508" s="363" t="s">
        <v>2736</v>
      </c>
      <c r="B508" s="381" t="s">
        <v>316</v>
      </c>
      <c r="C508" s="381" t="s">
        <v>312</v>
      </c>
      <c r="D508" s="100" t="s">
        <v>305</v>
      </c>
      <c r="E508" s="149">
        <v>1</v>
      </c>
      <c r="F508" s="220">
        <f>197776*(1.023*1.005-2.3%*15%)*6.99-19</f>
        <v>1416533</v>
      </c>
      <c r="G508" s="145">
        <f>$G$831</f>
        <v>1.1279999999999999</v>
      </c>
      <c r="H508" s="146">
        <f>F508*G508</f>
        <v>1597849</v>
      </c>
      <c r="I508" s="145">
        <f>Дефляторы!$D$25</f>
        <v>1.052</v>
      </c>
      <c r="J508" s="146">
        <f t="shared" ref="J508:J517" si="824">H508*I508</f>
        <v>1680937</v>
      </c>
      <c r="K508" s="146">
        <f t="shared" ref="K508:K517" si="825">H508+(J508-H508)*(1-30/100)</f>
        <v>1656011</v>
      </c>
      <c r="L508" s="396" t="s">
        <v>2407</v>
      </c>
      <c r="M508" s="149">
        <v>30000</v>
      </c>
      <c r="N508" s="382">
        <f>E508*M508</f>
        <v>30000</v>
      </c>
      <c r="O508" s="397">
        <f>(197776-158923)*(1.023*1.005-2.3%*15%)*6.99</f>
        <v>278281</v>
      </c>
    </row>
    <row r="509" spans="1:15" s="383" customFormat="1" ht="63" hidden="1" outlineLevel="3" x14ac:dyDescent="0.25">
      <c r="A509" s="363"/>
      <c r="B509" s="381"/>
      <c r="C509" s="381" t="s">
        <v>313</v>
      </c>
      <c r="D509" s="100"/>
      <c r="E509" s="149"/>
      <c r="F509" s="220"/>
      <c r="G509" s="145"/>
      <c r="H509" s="146"/>
      <c r="I509" s="145">
        <f>Дефляторы!$D$25</f>
        <v>1.052</v>
      </c>
      <c r="J509" s="146">
        <f t="shared" si="824"/>
        <v>0</v>
      </c>
      <c r="K509" s="146">
        <f t="shared" si="825"/>
        <v>0</v>
      </c>
      <c r="L509" s="396" t="s">
        <v>314</v>
      </c>
      <c r="M509" s="149">
        <f>9671</f>
        <v>9671</v>
      </c>
      <c r="N509" s="382"/>
    </row>
    <row r="510" spans="1:15" s="383" customFormat="1" ht="30.75" hidden="1" customHeight="1" outlineLevel="3" x14ac:dyDescent="0.25">
      <c r="A510" s="363" t="s">
        <v>2737</v>
      </c>
      <c r="B510" s="381" t="s">
        <v>326</v>
      </c>
      <c r="C510" s="381" t="s">
        <v>317</v>
      </c>
      <c r="D510" s="100" t="s">
        <v>305</v>
      </c>
      <c r="E510" s="149">
        <v>1</v>
      </c>
      <c r="F510" s="220">
        <f>M510/SUM($M$510:$M$513)*126361*(1.023*1.005-2.3%*15%)*6.99</f>
        <v>259764</v>
      </c>
      <c r="G510" s="145">
        <f>$G$831</f>
        <v>1.1279999999999999</v>
      </c>
      <c r="H510" s="146">
        <f>F510*G510</f>
        <v>293014</v>
      </c>
      <c r="I510" s="145">
        <f>Дефляторы!$D$25</f>
        <v>1.052</v>
      </c>
      <c r="J510" s="146">
        <f t="shared" si="824"/>
        <v>308251</v>
      </c>
      <c r="K510" s="146">
        <f t="shared" si="825"/>
        <v>303680</v>
      </c>
      <c r="L510" s="649" t="s">
        <v>2408</v>
      </c>
      <c r="M510" s="149">
        <v>7587</v>
      </c>
      <c r="N510" s="382">
        <f>E510*M510</f>
        <v>7587</v>
      </c>
      <c r="O510" s="397">
        <f>(37340-10755)*(1.023*1.005-2.3%*15%)*6.99*1.2</f>
        <v>228495</v>
      </c>
    </row>
    <row r="511" spans="1:15" s="383" customFormat="1" ht="48.75" hidden="1" customHeight="1" outlineLevel="3" x14ac:dyDescent="0.25">
      <c r="A511" s="363" t="s">
        <v>2738</v>
      </c>
      <c r="B511" s="381" t="s">
        <v>326</v>
      </c>
      <c r="C511" s="381" t="s">
        <v>319</v>
      </c>
      <c r="D511" s="100" t="s">
        <v>305</v>
      </c>
      <c r="E511" s="149">
        <v>1</v>
      </c>
      <c r="F511" s="220">
        <f>M511/SUM($M$510:$M$513)*126361*(1.023*1.005-2.3%*15%)*6.99</f>
        <v>7669</v>
      </c>
      <c r="G511" s="145">
        <f>$G$831</f>
        <v>1.1279999999999999</v>
      </c>
      <c r="H511" s="146">
        <f>F511*G511</f>
        <v>8651</v>
      </c>
      <c r="I511" s="145">
        <f>Дефляторы!$D$25</f>
        <v>1.052</v>
      </c>
      <c r="J511" s="146">
        <f t="shared" si="824"/>
        <v>9101</v>
      </c>
      <c r="K511" s="146">
        <f t="shared" si="825"/>
        <v>8966</v>
      </c>
      <c r="L511" s="650"/>
      <c r="M511" s="149">
        <v>224</v>
      </c>
      <c r="N511" s="382">
        <f>E511*M511</f>
        <v>224</v>
      </c>
    </row>
    <row r="512" spans="1:15" s="383" customFormat="1" ht="94.5" hidden="1" outlineLevel="3" x14ac:dyDescent="0.25">
      <c r="A512" s="363" t="s">
        <v>2739</v>
      </c>
      <c r="B512" s="381" t="s">
        <v>326</v>
      </c>
      <c r="C512" s="381" t="s">
        <v>321</v>
      </c>
      <c r="D512" s="100" t="s">
        <v>305</v>
      </c>
      <c r="E512" s="149">
        <v>1</v>
      </c>
      <c r="F512" s="220">
        <f>M512/SUM($M$510:$M$513)*126361*(1.023*1.005-2.3%*15%)*6.99</f>
        <v>211694</v>
      </c>
      <c r="G512" s="145">
        <f>$G$831</f>
        <v>1.1279999999999999</v>
      </c>
      <c r="H512" s="146">
        <f>F512*G512</f>
        <v>238791</v>
      </c>
      <c r="I512" s="145">
        <f>Дефляторы!$D$25</f>
        <v>1.052</v>
      </c>
      <c r="J512" s="146">
        <f t="shared" si="824"/>
        <v>251208</v>
      </c>
      <c r="K512" s="146">
        <f t="shared" si="825"/>
        <v>247483</v>
      </c>
      <c r="L512" s="396" t="s">
        <v>2409</v>
      </c>
      <c r="M512" s="149">
        <v>6183</v>
      </c>
      <c r="N512" s="382">
        <f>E512*M512</f>
        <v>6183</v>
      </c>
      <c r="O512" s="397">
        <f>(29556-9449)*(1.023*1.005-2.3%*15%)*6.99*1.2</f>
        <v>172817</v>
      </c>
    </row>
    <row r="513" spans="1:15" s="383" customFormat="1" ht="110.25" hidden="1" outlineLevel="3" x14ac:dyDescent="0.25">
      <c r="A513" s="363" t="s">
        <v>2740</v>
      </c>
      <c r="B513" s="381" t="s">
        <v>326</v>
      </c>
      <c r="C513" s="381" t="s">
        <v>323</v>
      </c>
      <c r="D513" s="100" t="s">
        <v>305</v>
      </c>
      <c r="E513" s="149">
        <v>1</v>
      </c>
      <c r="F513" s="220">
        <f>M513/SUM($M$510:$M$513)*126361*(1.023*1.005-2.3%*15%)*6.99</f>
        <v>425922</v>
      </c>
      <c r="G513" s="145">
        <f>$G$831</f>
        <v>1.1279999999999999</v>
      </c>
      <c r="H513" s="146">
        <f>F513*G513</f>
        <v>480440</v>
      </c>
      <c r="I513" s="145">
        <f>Дефляторы!$D$25</f>
        <v>1.052</v>
      </c>
      <c r="J513" s="146">
        <f t="shared" si="824"/>
        <v>505423</v>
      </c>
      <c r="K513" s="146">
        <f t="shared" si="825"/>
        <v>497928</v>
      </c>
      <c r="L513" s="396" t="s">
        <v>2410</v>
      </c>
      <c r="M513" s="149">
        <v>12440</v>
      </c>
      <c r="N513" s="382">
        <f>E513*M513</f>
        <v>12440</v>
      </c>
      <c r="O513" s="397">
        <f>(59468-19945)*(1.023*1.005-2.3%*15%)*6.99*1.2</f>
        <v>339696</v>
      </c>
    </row>
    <row r="514" spans="1:15" s="383" customFormat="1" hidden="1" outlineLevel="3" x14ac:dyDescent="0.25">
      <c r="A514" s="363"/>
      <c r="B514" s="381"/>
      <c r="C514" s="381" t="s">
        <v>324</v>
      </c>
      <c r="D514" s="100"/>
      <c r="E514" s="149"/>
      <c r="F514" s="220"/>
      <c r="G514" s="145"/>
      <c r="H514" s="146"/>
      <c r="I514" s="145">
        <f>Дефляторы!$D$25</f>
        <v>1.052</v>
      </c>
      <c r="J514" s="146">
        <f t="shared" si="824"/>
        <v>0</v>
      </c>
      <c r="K514" s="146">
        <f t="shared" si="825"/>
        <v>0</v>
      </c>
      <c r="L514" s="382"/>
      <c r="M514" s="149">
        <f>3732</f>
        <v>3732</v>
      </c>
      <c r="N514" s="382"/>
    </row>
    <row r="515" spans="1:15" s="383" customFormat="1" hidden="1" outlineLevel="3" x14ac:dyDescent="0.25">
      <c r="A515" s="363" t="s">
        <v>2741</v>
      </c>
      <c r="B515" s="381" t="s">
        <v>334</v>
      </c>
      <c r="C515" s="381" t="s">
        <v>327</v>
      </c>
      <c r="D515" s="100" t="s">
        <v>305</v>
      </c>
      <c r="E515" s="149">
        <v>2</v>
      </c>
      <c r="F515" s="220">
        <f>N515/SUM($N$515:$N$517)*3278*(1.023*1.005-2.3%*15%)*6.99</f>
        <v>7807</v>
      </c>
      <c r="G515" s="145">
        <f>$G$831</f>
        <v>1.1279999999999999</v>
      </c>
      <c r="H515" s="146">
        <f>F515*G515</f>
        <v>8806</v>
      </c>
      <c r="I515" s="145">
        <f>Дефляторы!$D$25</f>
        <v>1.052</v>
      </c>
      <c r="J515" s="146">
        <f t="shared" si="824"/>
        <v>9264</v>
      </c>
      <c r="K515" s="146">
        <f t="shared" si="825"/>
        <v>9127</v>
      </c>
      <c r="L515" s="382"/>
      <c r="M515" s="149">
        <v>340</v>
      </c>
      <c r="N515" s="382">
        <f>E515*M515</f>
        <v>680</v>
      </c>
    </row>
    <row r="516" spans="1:15" s="383" customFormat="1" hidden="1" outlineLevel="3" x14ac:dyDescent="0.25">
      <c r="A516" s="363" t="s">
        <v>2742</v>
      </c>
      <c r="B516" s="381" t="s">
        <v>334</v>
      </c>
      <c r="C516" s="381" t="s">
        <v>329</v>
      </c>
      <c r="D516" s="100" t="s">
        <v>305</v>
      </c>
      <c r="E516" s="149">
        <v>1</v>
      </c>
      <c r="F516" s="220">
        <f>N516/SUM($N$515:$N$517)*3278*(1.023*1.005-2.3%*15%)*6.99</f>
        <v>5740</v>
      </c>
      <c r="G516" s="145">
        <f>$G$831</f>
        <v>1.1279999999999999</v>
      </c>
      <c r="H516" s="146">
        <f>F516*G516</f>
        <v>6475</v>
      </c>
      <c r="I516" s="145">
        <f>Дефляторы!$D$25</f>
        <v>1.052</v>
      </c>
      <c r="J516" s="146">
        <f t="shared" si="824"/>
        <v>6812</v>
      </c>
      <c r="K516" s="146">
        <f t="shared" si="825"/>
        <v>6711</v>
      </c>
      <c r="L516" s="382"/>
      <c r="M516" s="382">
        <v>500</v>
      </c>
      <c r="N516" s="414">
        <f>E516*M516</f>
        <v>500</v>
      </c>
    </row>
    <row r="517" spans="1:15" s="383" customFormat="1" hidden="1" outlineLevel="3" x14ac:dyDescent="0.25">
      <c r="A517" s="363" t="s">
        <v>2743</v>
      </c>
      <c r="B517" s="381" t="s">
        <v>334</v>
      </c>
      <c r="C517" s="381" t="s">
        <v>331</v>
      </c>
      <c r="D517" s="100" t="s">
        <v>305</v>
      </c>
      <c r="E517" s="149">
        <v>1</v>
      </c>
      <c r="F517" s="220">
        <f>N517/SUM($N$515:$N$517)*3278*(1.023*1.005-2.3%*15%)*6.99</f>
        <v>9931</v>
      </c>
      <c r="G517" s="145">
        <f>$G$831</f>
        <v>1.1279999999999999</v>
      </c>
      <c r="H517" s="146">
        <f>F517*G517</f>
        <v>11202</v>
      </c>
      <c r="I517" s="145">
        <f>Дефляторы!$D$25</f>
        <v>1.052</v>
      </c>
      <c r="J517" s="146">
        <f t="shared" si="824"/>
        <v>11785</v>
      </c>
      <c r="K517" s="146">
        <f t="shared" si="825"/>
        <v>11610</v>
      </c>
      <c r="L517" s="382"/>
      <c r="M517" s="382">
        <v>865</v>
      </c>
      <c r="N517" s="414">
        <f>E517*M517</f>
        <v>865</v>
      </c>
    </row>
    <row r="518" spans="1:15" s="385" customFormat="1" outlineLevel="2" collapsed="1" x14ac:dyDescent="0.25">
      <c r="A518" s="132" t="s">
        <v>2744</v>
      </c>
      <c r="B518" s="320"/>
      <c r="C518" s="133" t="s">
        <v>2362</v>
      </c>
      <c r="D518" s="134" t="s">
        <v>292</v>
      </c>
      <c r="E518" s="90">
        <v>1</v>
      </c>
      <c r="F518" s="90">
        <f>SUM(F519:F527)</f>
        <v>15208845</v>
      </c>
      <c r="G518" s="135">
        <f>$G$831</f>
        <v>1.1279999999999999</v>
      </c>
      <c r="H518" s="90">
        <f>SUM(H519:H527)</f>
        <v>17155577</v>
      </c>
      <c r="I518" s="135">
        <f>Дефляторы!$D$25</f>
        <v>1.052</v>
      </c>
      <c r="J518" s="90">
        <f>SUM(J519:J527)</f>
        <v>18047668</v>
      </c>
      <c r="K518" s="90">
        <f>SUM(K519:K527)</f>
        <v>17780041</v>
      </c>
    </row>
    <row r="519" spans="1:15" s="383" customFormat="1" hidden="1" outlineLevel="3" x14ac:dyDescent="0.25">
      <c r="A519" s="363"/>
      <c r="B519" s="381"/>
      <c r="C519" s="390" t="s">
        <v>1026</v>
      </c>
      <c r="D519" s="100"/>
      <c r="E519" s="100"/>
      <c r="F519" s="149"/>
      <c r="G519" s="145"/>
      <c r="H519" s="146"/>
      <c r="I519" s="145">
        <f>Дефляторы!$D$25</f>
        <v>1.052</v>
      </c>
      <c r="J519" s="146"/>
      <c r="K519" s="146"/>
      <c r="L519" s="382"/>
      <c r="M519" s="382"/>
      <c r="N519" s="382"/>
    </row>
    <row r="520" spans="1:15" s="383" customFormat="1" ht="31.5" hidden="1" outlineLevel="3" x14ac:dyDescent="0.25">
      <c r="A520" s="363" t="s">
        <v>2745</v>
      </c>
      <c r="B520" s="381" t="s">
        <v>1029</v>
      </c>
      <c r="C520" s="381" t="s">
        <v>1027</v>
      </c>
      <c r="D520" s="100" t="s">
        <v>292</v>
      </c>
      <c r="E520" s="100">
        <v>1</v>
      </c>
      <c r="F520" s="220">
        <f>(32268)*(1.023*1.005-2.3%*15%)*6.99+0*4.09</f>
        <v>231117</v>
      </c>
      <c r="G520" s="145">
        <f t="shared" ref="G520:G539" si="826">$G$831</f>
        <v>1.1279999999999999</v>
      </c>
      <c r="H520" s="146">
        <f t="shared" ref="H520" si="827">F520*G520</f>
        <v>260700</v>
      </c>
      <c r="I520" s="145">
        <f>Дефляторы!$D$25</f>
        <v>1.052</v>
      </c>
      <c r="J520" s="146">
        <f t="shared" ref="J520" si="828">H520*I520</f>
        <v>274256</v>
      </c>
      <c r="K520" s="146">
        <f t="shared" ref="K520" si="829">H520+(J520-H520)*(1-30/100)</f>
        <v>270189</v>
      </c>
      <c r="L520" s="382" t="s">
        <v>1039</v>
      </c>
      <c r="M520" s="382"/>
      <c r="N520" s="382"/>
    </row>
    <row r="521" spans="1:15" s="383" customFormat="1" hidden="1" outlineLevel="3" x14ac:dyDescent="0.25">
      <c r="A521" s="363" t="s">
        <v>2746</v>
      </c>
      <c r="B521" s="391" t="s">
        <v>1030</v>
      </c>
      <c r="C521" s="391" t="s">
        <v>1028</v>
      </c>
      <c r="D521" s="161" t="s">
        <v>408</v>
      </c>
      <c r="E521" s="161">
        <v>918</v>
      </c>
      <c r="F521" s="220">
        <f>(305556)*(1.023*1.005-2.3%*15%)*6.99+0*4.09</f>
        <v>2188517</v>
      </c>
      <c r="G521" s="163">
        <f t="shared" si="826"/>
        <v>1.1279999999999999</v>
      </c>
      <c r="H521" s="164">
        <f t="shared" ref="H521:H522" si="830">F521*G521</f>
        <v>2468647</v>
      </c>
      <c r="I521" s="163">
        <f>Дефляторы!$D$25</f>
        <v>1.052</v>
      </c>
      <c r="J521" s="164">
        <f t="shared" ref="J521:J522" si="831">H521*I521</f>
        <v>2597017</v>
      </c>
      <c r="K521" s="164">
        <f t="shared" ref="K521:K522" si="832">H521+(J521-H521)*(1-30/100)</f>
        <v>2558506</v>
      </c>
      <c r="L521" s="382" t="s">
        <v>742</v>
      </c>
      <c r="M521" s="382"/>
      <c r="N521" s="382"/>
    </row>
    <row r="522" spans="1:15" s="383" customFormat="1" ht="31.5" hidden="1" outlineLevel="3" x14ac:dyDescent="0.25">
      <c r="A522" s="363" t="s">
        <v>2747</v>
      </c>
      <c r="B522" s="381" t="s">
        <v>1032</v>
      </c>
      <c r="C522" s="381" t="s">
        <v>1031</v>
      </c>
      <c r="D522" s="100" t="s">
        <v>292</v>
      </c>
      <c r="E522" s="100">
        <v>1</v>
      </c>
      <c r="F522" s="220">
        <f>(1160425)*(1.023*1.005-2.3%*15%)*6.99+0*4.09</f>
        <v>8311438</v>
      </c>
      <c r="G522" s="145">
        <f t="shared" si="826"/>
        <v>1.1279999999999999</v>
      </c>
      <c r="H522" s="146">
        <f t="shared" si="830"/>
        <v>9375302</v>
      </c>
      <c r="I522" s="145">
        <f>Дефляторы!$D$25</f>
        <v>1.052</v>
      </c>
      <c r="J522" s="146">
        <f t="shared" si="831"/>
        <v>9862818</v>
      </c>
      <c r="K522" s="146">
        <f t="shared" si="832"/>
        <v>9716563</v>
      </c>
      <c r="L522" s="396" t="s">
        <v>1038</v>
      </c>
      <c r="M522" s="382"/>
      <c r="N522" s="382"/>
    </row>
    <row r="523" spans="1:15" s="383" customFormat="1" hidden="1" outlineLevel="3" x14ac:dyDescent="0.25">
      <c r="A523" s="363" t="s">
        <v>2748</v>
      </c>
      <c r="B523" s="391" t="s">
        <v>1033</v>
      </c>
      <c r="C523" s="391" t="s">
        <v>1028</v>
      </c>
      <c r="D523" s="161" t="s">
        <v>408</v>
      </c>
      <c r="E523" s="161">
        <v>1200</v>
      </c>
      <c r="F523" s="220">
        <f>(399420)*(1.023*1.005-2.3%*15%)*6.99+0*4.09+7</f>
        <v>2860816</v>
      </c>
      <c r="G523" s="163">
        <f t="shared" si="826"/>
        <v>1.1279999999999999</v>
      </c>
      <c r="H523" s="164">
        <f t="shared" ref="H523:H524" si="833">F523*G523</f>
        <v>3227000</v>
      </c>
      <c r="I523" s="163">
        <f>Дефляторы!$D$25</f>
        <v>1.052</v>
      </c>
      <c r="J523" s="164">
        <f t="shared" ref="J523:J524" si="834">H523*I523</f>
        <v>3394804</v>
      </c>
      <c r="K523" s="164">
        <f t="shared" ref="K523:K524" si="835">H523+(J523-H523)*(1-30/100)</f>
        <v>3344463</v>
      </c>
      <c r="L523" s="382" t="s">
        <v>742</v>
      </c>
      <c r="M523" s="382"/>
      <c r="N523" s="382"/>
    </row>
    <row r="524" spans="1:15" s="383" customFormat="1" hidden="1" outlineLevel="3" x14ac:dyDescent="0.25">
      <c r="A524" s="363" t="s">
        <v>2749</v>
      </c>
      <c r="B524" s="381" t="s">
        <v>1035</v>
      </c>
      <c r="C524" s="381" t="s">
        <v>1034</v>
      </c>
      <c r="D524" s="100" t="s">
        <v>292</v>
      </c>
      <c r="E524" s="100">
        <v>1</v>
      </c>
      <c r="F524" s="220">
        <f>(7966)*(1.023*1.005-2.3%*15%)*6.99+0*4.09</f>
        <v>57056</v>
      </c>
      <c r="G524" s="145">
        <f t="shared" si="826"/>
        <v>1.1279999999999999</v>
      </c>
      <c r="H524" s="146">
        <f t="shared" si="833"/>
        <v>64359</v>
      </c>
      <c r="I524" s="145">
        <f>Дефляторы!$D$25</f>
        <v>1.052</v>
      </c>
      <c r="J524" s="146">
        <f t="shared" si="834"/>
        <v>67706</v>
      </c>
      <c r="K524" s="146">
        <f t="shared" si="835"/>
        <v>66702</v>
      </c>
      <c r="L524" s="382" t="s">
        <v>1040</v>
      </c>
      <c r="M524" s="382"/>
      <c r="N524" s="382"/>
    </row>
    <row r="525" spans="1:15" s="383" customFormat="1" hidden="1" outlineLevel="3" x14ac:dyDescent="0.25">
      <c r="A525" s="363" t="s">
        <v>2750</v>
      </c>
      <c r="B525" s="381" t="s">
        <v>1037</v>
      </c>
      <c r="C525" s="381" t="s">
        <v>1036</v>
      </c>
      <c r="D525" s="100" t="s">
        <v>637</v>
      </c>
      <c r="E525" s="100">
        <v>1.5</v>
      </c>
      <c r="F525" s="220">
        <f>(22414)*(1.023*1.005-2.3%*15%)*6.99+0*4.09</f>
        <v>160538</v>
      </c>
      <c r="G525" s="145">
        <f t="shared" si="826"/>
        <v>1.1279999999999999</v>
      </c>
      <c r="H525" s="146">
        <f t="shared" ref="H525" si="836">F525*G525</f>
        <v>181087</v>
      </c>
      <c r="I525" s="145">
        <f>Дефляторы!$D$25</f>
        <v>1.052</v>
      </c>
      <c r="J525" s="146">
        <f t="shared" ref="J525" si="837">H525*I525</f>
        <v>190504</v>
      </c>
      <c r="K525" s="146">
        <f t="shared" ref="K525" si="838">H525+(J525-H525)*(1-30/100)</f>
        <v>187679</v>
      </c>
      <c r="L525" s="382"/>
      <c r="M525" s="382"/>
      <c r="N525" s="382"/>
    </row>
    <row r="526" spans="1:15" s="383" customFormat="1" ht="47.25" hidden="1" outlineLevel="3" x14ac:dyDescent="0.25">
      <c r="A526" s="363" t="s">
        <v>2751</v>
      </c>
      <c r="B526" s="415" t="s">
        <v>1042</v>
      </c>
      <c r="C526" s="415" t="s">
        <v>1041</v>
      </c>
      <c r="D526" s="227" t="s">
        <v>404</v>
      </c>
      <c r="E526" s="227">
        <f>3951</f>
        <v>3951</v>
      </c>
      <c r="F526" s="220">
        <f>(57230)*(1.023*1.005-2.3%*15%)*6.99+0*4.09</f>
        <v>409905</v>
      </c>
      <c r="G526" s="224">
        <f t="shared" si="826"/>
        <v>1.1279999999999999</v>
      </c>
      <c r="H526" s="228">
        <f t="shared" ref="H526" si="839">F526*G526</f>
        <v>462373</v>
      </c>
      <c r="I526" s="224">
        <f>Дефляторы!$D$25</f>
        <v>1.052</v>
      </c>
      <c r="J526" s="228">
        <f t="shared" ref="J526" si="840">H526*I526</f>
        <v>486416</v>
      </c>
      <c r="K526" s="228">
        <f t="shared" ref="K526" si="841">H526+(J526-H526)*(1-30/100)</f>
        <v>479203</v>
      </c>
      <c r="L526" s="382" t="s">
        <v>1043</v>
      </c>
      <c r="M526" s="382"/>
      <c r="N526" s="382"/>
    </row>
    <row r="527" spans="1:15" s="383" customFormat="1" ht="63" hidden="1" outlineLevel="3" x14ac:dyDescent="0.25">
      <c r="A527" s="363" t="s">
        <v>2752</v>
      </c>
      <c r="B527" s="415" t="s">
        <v>1046</v>
      </c>
      <c r="C527" s="415" t="s">
        <v>1044</v>
      </c>
      <c r="D527" s="227" t="s">
        <v>404</v>
      </c>
      <c r="E527" s="227">
        <f>198</f>
        <v>198</v>
      </c>
      <c r="F527" s="220">
        <f>(138146)*(1.023*1.005-2.3%*15%)*6.99+0*4.09</f>
        <v>989458</v>
      </c>
      <c r="G527" s="224">
        <f t="shared" si="826"/>
        <v>1.1279999999999999</v>
      </c>
      <c r="H527" s="228">
        <f t="shared" ref="H527" si="842">F527*G527</f>
        <v>1116109</v>
      </c>
      <c r="I527" s="224">
        <f>Дефляторы!$D$25</f>
        <v>1.052</v>
      </c>
      <c r="J527" s="228">
        <f t="shared" ref="J527" si="843">H527*I527</f>
        <v>1174147</v>
      </c>
      <c r="K527" s="228">
        <f t="shared" ref="K527" si="844">H527+(J527-H527)*(1-30/100)</f>
        <v>1156736</v>
      </c>
      <c r="L527" s="382" t="s">
        <v>1045</v>
      </c>
      <c r="M527" s="382"/>
      <c r="N527" s="382"/>
    </row>
    <row r="528" spans="1:15" s="416" customFormat="1" outlineLevel="2" collapsed="1" x14ac:dyDescent="0.25">
      <c r="A528" s="132" t="s">
        <v>2753</v>
      </c>
      <c r="B528" s="320"/>
      <c r="C528" s="320" t="s">
        <v>1773</v>
      </c>
      <c r="D528" s="134" t="s">
        <v>292</v>
      </c>
      <c r="E528" s="90">
        <v>1</v>
      </c>
      <c r="F528" s="90">
        <f>SUM(F529:F531)</f>
        <v>4141344</v>
      </c>
      <c r="G528" s="135">
        <f t="shared" si="826"/>
        <v>1.1279999999999999</v>
      </c>
      <c r="H528" s="90">
        <f>SUM(H529:H531)</f>
        <v>4671436</v>
      </c>
      <c r="I528" s="135">
        <f>Дефляторы!$D$25</f>
        <v>1.052</v>
      </c>
      <c r="J528" s="90">
        <f>SUM(J529:J531)</f>
        <v>4914350</v>
      </c>
      <c r="K528" s="90">
        <f>SUM(K529:K531)</f>
        <v>4841476</v>
      </c>
      <c r="L528" s="324"/>
      <c r="M528" s="324"/>
      <c r="N528" s="324"/>
    </row>
    <row r="529" spans="1:14" s="383" customFormat="1" hidden="1" outlineLevel="3" x14ac:dyDescent="0.25">
      <c r="A529" s="363" t="s">
        <v>2754</v>
      </c>
      <c r="B529" s="381" t="s">
        <v>846</v>
      </c>
      <c r="C529" s="381" t="s">
        <v>414</v>
      </c>
      <c r="D529" s="100" t="s">
        <v>292</v>
      </c>
      <c r="E529" s="149">
        <v>1</v>
      </c>
      <c r="F529" s="220">
        <f>190285*(1.023*1.005-2.3%*15%)*6.99+0*4.09</f>
        <v>1362899</v>
      </c>
      <c r="G529" s="145">
        <f t="shared" si="826"/>
        <v>1.1279999999999999</v>
      </c>
      <c r="H529" s="146">
        <f t="shared" ref="H529" si="845">F529*G529</f>
        <v>1537350</v>
      </c>
      <c r="I529" s="145">
        <f>Дефляторы!$D$25</f>
        <v>1.052</v>
      </c>
      <c r="J529" s="146">
        <f t="shared" ref="J529" si="846">H529*I529</f>
        <v>1617292</v>
      </c>
      <c r="K529" s="146">
        <f t="shared" ref="K529" si="847">H529+(J529-H529)*(1-30/100)</f>
        <v>1593309</v>
      </c>
      <c r="L529" s="382" t="s">
        <v>847</v>
      </c>
      <c r="M529" s="382"/>
      <c r="N529" s="382"/>
    </row>
    <row r="530" spans="1:14" s="383" customFormat="1" hidden="1" outlineLevel="3" x14ac:dyDescent="0.25">
      <c r="A530" s="363" t="s">
        <v>2755</v>
      </c>
      <c r="B530" s="381" t="s">
        <v>848</v>
      </c>
      <c r="C530" s="381" t="s">
        <v>1772</v>
      </c>
      <c r="D530" s="100" t="s">
        <v>292</v>
      </c>
      <c r="E530" s="149">
        <v>1</v>
      </c>
      <c r="F530" s="220">
        <f>54471*(1.023*1.005-2.3%*15%)*6.99+0*4.09</f>
        <v>390144</v>
      </c>
      <c r="G530" s="145">
        <f t="shared" si="826"/>
        <v>1.1279999999999999</v>
      </c>
      <c r="H530" s="146">
        <f t="shared" ref="H530" si="848">F530*G530</f>
        <v>440082</v>
      </c>
      <c r="I530" s="145">
        <f>Дефляторы!$D$25</f>
        <v>1.052</v>
      </c>
      <c r="J530" s="146">
        <f t="shared" ref="J530" si="849">H530*I530</f>
        <v>462966</v>
      </c>
      <c r="K530" s="146">
        <f t="shared" ref="K530" si="850">H530+(J530-H530)*(1-30/100)</f>
        <v>456101</v>
      </c>
      <c r="L530" s="382"/>
      <c r="M530" s="382"/>
      <c r="N530" s="382"/>
    </row>
    <row r="531" spans="1:14" s="383" customFormat="1" hidden="1" outlineLevel="3" x14ac:dyDescent="0.25">
      <c r="A531" s="363" t="s">
        <v>2756</v>
      </c>
      <c r="B531" s="381" t="s">
        <v>849</v>
      </c>
      <c r="C531" s="381" t="s">
        <v>1773</v>
      </c>
      <c r="D531" s="100" t="s">
        <v>292</v>
      </c>
      <c r="E531" s="149">
        <v>1</v>
      </c>
      <c r="F531" s="220">
        <f>333456*(1.023*1.005-2.3%*15%)*6.99+0*4.09-47</f>
        <v>2388301</v>
      </c>
      <c r="G531" s="145">
        <f t="shared" si="826"/>
        <v>1.1279999999999999</v>
      </c>
      <c r="H531" s="146">
        <f t="shared" ref="H531" si="851">F531*G531</f>
        <v>2694004</v>
      </c>
      <c r="I531" s="145">
        <f>Дефляторы!$D$25</f>
        <v>1.052</v>
      </c>
      <c r="J531" s="146">
        <f t="shared" ref="J531" si="852">H531*I531</f>
        <v>2834092</v>
      </c>
      <c r="K531" s="146">
        <f t="shared" ref="K531" si="853">H531+(J531-H531)*(1-30/100)</f>
        <v>2792066</v>
      </c>
      <c r="L531" s="382"/>
      <c r="M531" s="382"/>
      <c r="N531" s="382"/>
    </row>
    <row r="532" spans="1:14" s="416" customFormat="1" outlineLevel="2" collapsed="1" x14ac:dyDescent="0.25">
      <c r="A532" s="132" t="s">
        <v>2757</v>
      </c>
      <c r="B532" s="320"/>
      <c r="C532" s="320" t="s">
        <v>2379</v>
      </c>
      <c r="D532" s="134" t="s">
        <v>292</v>
      </c>
      <c r="E532" s="90">
        <v>1</v>
      </c>
      <c r="F532" s="90">
        <f>SUM(F533:F537)</f>
        <v>1185377</v>
      </c>
      <c r="G532" s="135">
        <f t="shared" si="826"/>
        <v>1.1279999999999999</v>
      </c>
      <c r="H532" s="90">
        <f>SUM(H533:H537)</f>
        <v>1337105</v>
      </c>
      <c r="I532" s="135">
        <f>Дефляторы!$D$25</f>
        <v>1.052</v>
      </c>
      <c r="J532" s="90">
        <f>SUM(J533:J537)</f>
        <v>1406635</v>
      </c>
      <c r="K532" s="90">
        <f>SUM(K533:K537)</f>
        <v>1385775</v>
      </c>
      <c r="L532" s="324"/>
      <c r="M532" s="324"/>
      <c r="N532" s="324"/>
    </row>
    <row r="533" spans="1:14" s="383" customFormat="1" hidden="1" outlineLevel="3" x14ac:dyDescent="0.25">
      <c r="A533" s="363" t="s">
        <v>2758</v>
      </c>
      <c r="B533" s="381" t="s">
        <v>851</v>
      </c>
      <c r="C533" s="381" t="s">
        <v>850</v>
      </c>
      <c r="D533" s="100" t="s">
        <v>404</v>
      </c>
      <c r="E533" s="149">
        <v>72</v>
      </c>
      <c r="F533" s="220">
        <f>86505*(1.023*1.005-2.3%*15%)*6.99+0*4.09</f>
        <v>619584</v>
      </c>
      <c r="G533" s="145">
        <f t="shared" si="826"/>
        <v>1.1279999999999999</v>
      </c>
      <c r="H533" s="146">
        <f t="shared" ref="H533" si="854">F533*G533</f>
        <v>698891</v>
      </c>
      <c r="I533" s="145">
        <f>Дефляторы!$D$25</f>
        <v>1.052</v>
      </c>
      <c r="J533" s="146">
        <f t="shared" ref="J533" si="855">H533*I533</f>
        <v>735233</v>
      </c>
      <c r="K533" s="146">
        <f t="shared" ref="K533" si="856">H533+(J533-H533)*(1-30/100)</f>
        <v>724330</v>
      </c>
      <c r="L533" s="382"/>
      <c r="M533" s="382"/>
      <c r="N533" s="382"/>
    </row>
    <row r="534" spans="1:14" s="383" customFormat="1" hidden="1" outlineLevel="3" x14ac:dyDescent="0.25">
      <c r="A534" s="363" t="s">
        <v>2759</v>
      </c>
      <c r="B534" s="381" t="s">
        <v>854</v>
      </c>
      <c r="C534" s="381" t="s">
        <v>852</v>
      </c>
      <c r="D534" s="100" t="s">
        <v>292</v>
      </c>
      <c r="E534" s="149">
        <v>1</v>
      </c>
      <c r="F534" s="220">
        <f>69716*(1.023*1.005-2.3%*15%)*6.99+0*4.09</f>
        <v>499334</v>
      </c>
      <c r="G534" s="145">
        <f t="shared" si="826"/>
        <v>1.1279999999999999</v>
      </c>
      <c r="H534" s="146">
        <f t="shared" ref="H534" si="857">F534*G534</f>
        <v>563249</v>
      </c>
      <c r="I534" s="145">
        <f>Дефляторы!$D$25</f>
        <v>1.052</v>
      </c>
      <c r="J534" s="146">
        <f t="shared" ref="J534" si="858">H534*I534</f>
        <v>592538</v>
      </c>
      <c r="K534" s="146">
        <f t="shared" ref="K534" si="859">H534+(J534-H534)*(1-30/100)</f>
        <v>583751</v>
      </c>
      <c r="L534" s="382" t="s">
        <v>853</v>
      </c>
      <c r="M534" s="382"/>
      <c r="N534" s="382"/>
    </row>
    <row r="535" spans="1:14" s="383" customFormat="1" hidden="1" outlineLevel="3" x14ac:dyDescent="0.25">
      <c r="A535" s="363" t="s">
        <v>2760</v>
      </c>
      <c r="B535" s="381" t="s">
        <v>856</v>
      </c>
      <c r="C535" s="381" t="s">
        <v>855</v>
      </c>
      <c r="D535" s="100" t="s">
        <v>377</v>
      </c>
      <c r="E535" s="149">
        <v>25</v>
      </c>
      <c r="F535" s="220">
        <f>4693*(1.023*1.005-2.3%*15%)*6.99+0*4.09</f>
        <v>33613</v>
      </c>
      <c r="G535" s="145">
        <f t="shared" si="826"/>
        <v>1.1279999999999999</v>
      </c>
      <c r="H535" s="146">
        <f t="shared" ref="H535" si="860">F535*G535</f>
        <v>37915</v>
      </c>
      <c r="I535" s="145">
        <f>Дефляторы!$D$25</f>
        <v>1.052</v>
      </c>
      <c r="J535" s="146">
        <f t="shared" ref="J535" si="861">H535*I535</f>
        <v>39887</v>
      </c>
      <c r="K535" s="146">
        <f t="shared" ref="K535" si="862">H535+(J535-H535)*(1-30/100)</f>
        <v>39295</v>
      </c>
      <c r="L535" s="382"/>
      <c r="M535" s="382"/>
      <c r="N535" s="382"/>
    </row>
    <row r="536" spans="1:14" s="399" customFormat="1" ht="31.5" hidden="1" outlineLevel="3" x14ac:dyDescent="0.25">
      <c r="A536" s="363" t="s">
        <v>2761</v>
      </c>
      <c r="B536" s="381" t="s">
        <v>863</v>
      </c>
      <c r="C536" s="381" t="s">
        <v>864</v>
      </c>
      <c r="D536" s="143" t="s">
        <v>404</v>
      </c>
      <c r="E536" s="168">
        <v>55</v>
      </c>
      <c r="F536" s="220">
        <f>(2508)*(1.023*1.005-2.3%*15%)*6.99+0*4.09</f>
        <v>17963</v>
      </c>
      <c r="G536" s="145">
        <f t="shared" si="826"/>
        <v>1.1279999999999999</v>
      </c>
      <c r="H536" s="146">
        <f>F536*G536</f>
        <v>20262</v>
      </c>
      <c r="I536" s="145">
        <f>Дефляторы!$D$25</f>
        <v>1.052</v>
      </c>
      <c r="J536" s="146">
        <f>H536*I536</f>
        <v>21316</v>
      </c>
      <c r="K536" s="146">
        <f>H536+(J536-H536)*(1-30/100)</f>
        <v>21000</v>
      </c>
      <c r="L536" s="409"/>
      <c r="M536" s="398"/>
      <c r="N536" s="398"/>
    </row>
    <row r="537" spans="1:14" s="383" customFormat="1" hidden="1" outlineLevel="3" x14ac:dyDescent="0.25">
      <c r="A537" s="363" t="s">
        <v>2762</v>
      </c>
      <c r="B537" s="381" t="s">
        <v>858</v>
      </c>
      <c r="C537" s="381" t="s">
        <v>857</v>
      </c>
      <c r="D537" s="100" t="s">
        <v>404</v>
      </c>
      <c r="E537" s="168">
        <f>548.2</f>
        <v>548.20000000000005</v>
      </c>
      <c r="F537" s="220">
        <f>2078*(1.023*1.005-2.3%*15%)*6.99+0*4.09</f>
        <v>14883</v>
      </c>
      <c r="G537" s="145">
        <f t="shared" si="826"/>
        <v>1.1279999999999999</v>
      </c>
      <c r="H537" s="146">
        <f t="shared" ref="H537" si="863">F537*G537</f>
        <v>16788</v>
      </c>
      <c r="I537" s="145">
        <f>Дефляторы!$D$25</f>
        <v>1.052</v>
      </c>
      <c r="J537" s="146">
        <f t="shared" ref="J537" si="864">H537*I537</f>
        <v>17661</v>
      </c>
      <c r="K537" s="146">
        <f t="shared" ref="K537" si="865">H537+(J537-H537)*(1-30/100)</f>
        <v>17399</v>
      </c>
      <c r="L537" s="382"/>
      <c r="M537" s="382"/>
      <c r="N537" s="382"/>
    </row>
    <row r="538" spans="1:14" s="385" customFormat="1" outlineLevel="2" collapsed="1" x14ac:dyDescent="0.25">
      <c r="A538" s="132" t="s">
        <v>2763</v>
      </c>
      <c r="B538" s="320"/>
      <c r="C538" s="133" t="s">
        <v>2363</v>
      </c>
      <c r="D538" s="134" t="s">
        <v>292</v>
      </c>
      <c r="E538" s="90">
        <v>1</v>
      </c>
      <c r="F538" s="90">
        <f>F539+F546</f>
        <v>1129614</v>
      </c>
      <c r="G538" s="135">
        <f t="shared" si="826"/>
        <v>1.1279999999999999</v>
      </c>
      <c r="H538" s="90">
        <f>H539+H546</f>
        <v>1274205</v>
      </c>
      <c r="I538" s="135">
        <f>Дефляторы!$D$25</f>
        <v>1.052</v>
      </c>
      <c r="J538" s="90">
        <f>J539+J546</f>
        <v>1340464</v>
      </c>
      <c r="K538" s="90">
        <f>K539+K546</f>
        <v>1320586</v>
      </c>
    </row>
    <row r="539" spans="1:14" s="383" customFormat="1" ht="31.5" hidden="1" outlineLevel="3" collapsed="1" x14ac:dyDescent="0.25">
      <c r="A539" s="368" t="s">
        <v>2764</v>
      </c>
      <c r="B539" s="387" t="s">
        <v>168</v>
      </c>
      <c r="C539" s="387" t="s">
        <v>1846</v>
      </c>
      <c r="D539" s="239" t="s">
        <v>292</v>
      </c>
      <c r="E539" s="240">
        <v>1</v>
      </c>
      <c r="F539" s="453">
        <f>SUM(F540:F545)</f>
        <v>844038</v>
      </c>
      <c r="G539" s="241">
        <f t="shared" si="826"/>
        <v>1.1279999999999999</v>
      </c>
      <c r="H539" s="240">
        <f>SUM(H540:H545)</f>
        <v>952075</v>
      </c>
      <c r="I539" s="241">
        <f>Дефляторы!$D$25</f>
        <v>1.052</v>
      </c>
      <c r="J539" s="240">
        <f>SUM(J540:J545)</f>
        <v>1001583</v>
      </c>
      <c r="K539" s="240">
        <f>SUM(K540:K545)</f>
        <v>986730</v>
      </c>
      <c r="L539" s="382"/>
      <c r="M539" s="382"/>
      <c r="N539" s="382"/>
    </row>
    <row r="540" spans="1:14" s="383" customFormat="1" hidden="1" outlineLevel="4" x14ac:dyDescent="0.25">
      <c r="A540" s="363"/>
      <c r="B540" s="381"/>
      <c r="C540" s="390" t="s">
        <v>1098</v>
      </c>
      <c r="D540" s="100"/>
      <c r="E540" s="145"/>
      <c r="F540" s="149"/>
      <c r="G540" s="145"/>
      <c r="H540" s="146"/>
      <c r="I540" s="145"/>
      <c r="J540" s="146"/>
      <c r="K540" s="146"/>
      <c r="L540" s="382"/>
      <c r="M540" s="382"/>
      <c r="N540" s="382"/>
    </row>
    <row r="541" spans="1:14" s="383" customFormat="1" ht="47.25" hidden="1" outlineLevel="4" x14ac:dyDescent="0.25">
      <c r="A541" s="363" t="s">
        <v>2766</v>
      </c>
      <c r="B541" s="381" t="s">
        <v>1099</v>
      </c>
      <c r="C541" s="381" t="s">
        <v>427</v>
      </c>
      <c r="D541" s="100" t="s">
        <v>408</v>
      </c>
      <c r="E541" s="149">
        <v>1</v>
      </c>
      <c r="F541" s="220">
        <f>(1724)*(1.023*1.005-2.3%*15%)*6.99+34340*4.09</f>
        <v>152799</v>
      </c>
      <c r="G541" s="145">
        <f t="shared" ref="G541:G556" si="866">$G$831</f>
        <v>1.1279999999999999</v>
      </c>
      <c r="H541" s="146">
        <f t="shared" ref="H541" si="867">F541*G541</f>
        <v>172357</v>
      </c>
      <c r="I541" s="145">
        <f>Дефляторы!$D$25</f>
        <v>1.052</v>
      </c>
      <c r="J541" s="146">
        <f t="shared" ref="J541" si="868">H541*I541</f>
        <v>181320</v>
      </c>
      <c r="K541" s="146">
        <f t="shared" ref="K541" si="869">H541+(J541-H541)*(1-30/100)</f>
        <v>178631</v>
      </c>
      <c r="L541" s="382"/>
      <c r="M541" s="382"/>
      <c r="N541" s="382"/>
    </row>
    <row r="542" spans="1:14" s="383" customFormat="1" ht="31.5" hidden="1" outlineLevel="4" x14ac:dyDescent="0.25">
      <c r="A542" s="363" t="s">
        <v>2767</v>
      </c>
      <c r="B542" s="381" t="s">
        <v>1100</v>
      </c>
      <c r="C542" s="381" t="s">
        <v>429</v>
      </c>
      <c r="D542" s="100" t="s">
        <v>408</v>
      </c>
      <c r="E542" s="149">
        <v>1</v>
      </c>
      <c r="F542" s="220">
        <f>(309)*(1.023*1.005-2.3%*15%)*6.99+49534*4.09</f>
        <v>204807</v>
      </c>
      <c r="G542" s="145">
        <f t="shared" si="866"/>
        <v>1.1279999999999999</v>
      </c>
      <c r="H542" s="146">
        <f t="shared" ref="H542" si="870">F542*G542</f>
        <v>231022</v>
      </c>
      <c r="I542" s="145">
        <f>Дефляторы!$D$25</f>
        <v>1.052</v>
      </c>
      <c r="J542" s="146">
        <f t="shared" ref="J542" si="871">H542*I542</f>
        <v>243035</v>
      </c>
      <c r="K542" s="146">
        <f t="shared" ref="K542" si="872">H542+(J542-H542)*(1-30/100)</f>
        <v>239431</v>
      </c>
      <c r="L542" s="382"/>
      <c r="M542" s="382"/>
      <c r="N542" s="382"/>
    </row>
    <row r="543" spans="1:14" s="383" customFormat="1" hidden="1" outlineLevel="4" x14ac:dyDescent="0.25">
      <c r="A543" s="363" t="s">
        <v>2768</v>
      </c>
      <c r="B543" s="381" t="s">
        <v>1101</v>
      </c>
      <c r="C543" s="381" t="s">
        <v>379</v>
      </c>
      <c r="D543" s="100" t="s">
        <v>292</v>
      </c>
      <c r="E543" s="149">
        <v>1</v>
      </c>
      <c r="F543" s="220">
        <f>(41497)*(1.023*1.005-2.3%*15%)*6.99+0*4.09-24</f>
        <v>297194</v>
      </c>
      <c r="G543" s="145">
        <f t="shared" si="866"/>
        <v>1.1279999999999999</v>
      </c>
      <c r="H543" s="146">
        <f t="shared" ref="H543" si="873">F543*G543</f>
        <v>335235</v>
      </c>
      <c r="I543" s="145">
        <f>Дефляторы!$D$25</f>
        <v>1.052</v>
      </c>
      <c r="J543" s="146">
        <f t="shared" ref="J543" si="874">H543*I543</f>
        <v>352667</v>
      </c>
      <c r="K543" s="146">
        <f t="shared" ref="K543" si="875">H543+(J543-H543)*(1-30/100)</f>
        <v>347437</v>
      </c>
      <c r="L543" s="382"/>
      <c r="M543" s="382"/>
      <c r="N543" s="382"/>
    </row>
    <row r="544" spans="1:14" s="383" customFormat="1" hidden="1" outlineLevel="4" x14ac:dyDescent="0.25">
      <c r="A544" s="363" t="s">
        <v>2769</v>
      </c>
      <c r="B544" s="381" t="s">
        <v>1103</v>
      </c>
      <c r="C544" s="381" t="s">
        <v>1102</v>
      </c>
      <c r="D544" s="100" t="s">
        <v>292</v>
      </c>
      <c r="E544" s="149">
        <v>1</v>
      </c>
      <c r="F544" s="220">
        <f>(26320)*(1.023*1.005-2.3%*15%)*6.99+0*4.09</f>
        <v>188515</v>
      </c>
      <c r="G544" s="145">
        <f t="shared" si="866"/>
        <v>1.1279999999999999</v>
      </c>
      <c r="H544" s="146">
        <f t="shared" ref="H544" si="876">F544*G544</f>
        <v>212645</v>
      </c>
      <c r="I544" s="145">
        <f>Дефляторы!$D$25</f>
        <v>1.052</v>
      </c>
      <c r="J544" s="146">
        <f t="shared" ref="J544" si="877">H544*I544</f>
        <v>223703</v>
      </c>
      <c r="K544" s="146">
        <f t="shared" ref="K544" si="878">H544+(J544-H544)*(1-30/100)</f>
        <v>220386</v>
      </c>
      <c r="L544" s="382"/>
      <c r="M544" s="382"/>
      <c r="N544" s="382"/>
    </row>
    <row r="545" spans="1:14" s="383" customFormat="1" ht="31.5" hidden="1" outlineLevel="4" x14ac:dyDescent="0.25">
      <c r="A545" s="363" t="s">
        <v>2770</v>
      </c>
      <c r="B545" s="381" t="s">
        <v>1104</v>
      </c>
      <c r="C545" s="381" t="s">
        <v>1105</v>
      </c>
      <c r="D545" s="100" t="s">
        <v>408</v>
      </c>
      <c r="E545" s="149">
        <v>5</v>
      </c>
      <c r="F545" s="220">
        <f>(101)*(1.023*1.005-2.3%*15%)*6.99+0*4.09</f>
        <v>723</v>
      </c>
      <c r="G545" s="145">
        <f t="shared" si="866"/>
        <v>1.1279999999999999</v>
      </c>
      <c r="H545" s="146">
        <f t="shared" ref="H545" si="879">F545*G545</f>
        <v>816</v>
      </c>
      <c r="I545" s="145">
        <f>Дефляторы!$D$25</f>
        <v>1.052</v>
      </c>
      <c r="J545" s="146">
        <f t="shared" ref="J545" si="880">H545*I545</f>
        <v>858</v>
      </c>
      <c r="K545" s="146">
        <f t="shared" ref="K545" si="881">H545+(J545-H545)*(1-30/100)</f>
        <v>845</v>
      </c>
      <c r="L545" s="382"/>
      <c r="M545" s="382"/>
      <c r="N545" s="382"/>
    </row>
    <row r="546" spans="1:14" s="383" customFormat="1" hidden="1" outlineLevel="3" x14ac:dyDescent="0.25">
      <c r="A546" s="363" t="s">
        <v>2771</v>
      </c>
      <c r="B546" s="381" t="s">
        <v>789</v>
      </c>
      <c r="C546" s="381" t="s">
        <v>1815</v>
      </c>
      <c r="D546" s="100" t="s">
        <v>292</v>
      </c>
      <c r="E546" s="149">
        <v>1</v>
      </c>
      <c r="F546" s="220">
        <f>2014*(1.023*1.005-2.3%*15%)*6.99+66296*4.09</f>
        <v>285576</v>
      </c>
      <c r="G546" s="145">
        <f t="shared" si="866"/>
        <v>1.1279999999999999</v>
      </c>
      <c r="H546" s="146">
        <f>F546*G546</f>
        <v>322130</v>
      </c>
      <c r="I546" s="145">
        <f>Дефляторы!$D$25</f>
        <v>1.052</v>
      </c>
      <c r="J546" s="146">
        <f>H546*I546</f>
        <v>338881</v>
      </c>
      <c r="K546" s="146">
        <f>H546+(J546-H546)*(1-30/100)</f>
        <v>333856</v>
      </c>
      <c r="L546" s="382"/>
      <c r="M546" s="382"/>
      <c r="N546" s="382"/>
    </row>
    <row r="547" spans="1:14" s="385" customFormat="1" outlineLevel="2" collapsed="1" x14ac:dyDescent="0.25">
      <c r="A547" s="132" t="s">
        <v>2772</v>
      </c>
      <c r="B547" s="320"/>
      <c r="C547" s="133" t="s">
        <v>1292</v>
      </c>
      <c r="D547" s="134" t="s">
        <v>292</v>
      </c>
      <c r="E547" s="90">
        <v>1</v>
      </c>
      <c r="F547" s="90">
        <f>SUM(F548:F552)</f>
        <v>1071637</v>
      </c>
      <c r="G547" s="135">
        <f t="shared" si="866"/>
        <v>1.1279999999999999</v>
      </c>
      <c r="H547" s="90">
        <f>SUM(H548:H552)</f>
        <v>1208807</v>
      </c>
      <c r="I547" s="135">
        <f>Дефляторы!$D$25</f>
        <v>1.052</v>
      </c>
      <c r="J547" s="90">
        <f>SUM(J548:J552)</f>
        <v>1271665</v>
      </c>
      <c r="K547" s="90">
        <f>SUM(K548:K552)</f>
        <v>1252808</v>
      </c>
    </row>
    <row r="548" spans="1:14" s="399" customFormat="1" hidden="1" outlineLevel="3" x14ac:dyDescent="0.25">
      <c r="A548" s="363" t="s">
        <v>2773</v>
      </c>
      <c r="B548" s="381" t="s">
        <v>861</v>
      </c>
      <c r="C548" s="381" t="s">
        <v>859</v>
      </c>
      <c r="D548" s="143" t="s">
        <v>305</v>
      </c>
      <c r="E548" s="149">
        <v>1</v>
      </c>
      <c r="F548" s="220">
        <f>3*5*2.7/81*1813*(1.023*1.005-2.3%*15%)*6.99+247669*4.09</f>
        <v>1019459</v>
      </c>
      <c r="G548" s="145">
        <f t="shared" si="866"/>
        <v>1.1279999999999999</v>
      </c>
      <c r="H548" s="146">
        <f>F548*G548</f>
        <v>1149950</v>
      </c>
      <c r="I548" s="145">
        <f>Дефляторы!$D$25</f>
        <v>1.052</v>
      </c>
      <c r="J548" s="146">
        <f>H548*I548</f>
        <v>1209747</v>
      </c>
      <c r="K548" s="146">
        <f>H548+(J548-H548)*(1-30/100)</f>
        <v>1191808</v>
      </c>
      <c r="L548" s="409"/>
      <c r="M548" s="417"/>
      <c r="N548" s="398"/>
    </row>
    <row r="549" spans="1:14" s="383" customFormat="1" ht="31.5" hidden="1" outlineLevel="3" x14ac:dyDescent="0.25">
      <c r="A549" s="363" t="s">
        <v>2774</v>
      </c>
      <c r="B549" s="381" t="s">
        <v>786</v>
      </c>
      <c r="C549" s="381" t="s">
        <v>779</v>
      </c>
      <c r="D549" s="143" t="s">
        <v>408</v>
      </c>
      <c r="E549" s="149">
        <v>3</v>
      </c>
      <c r="F549" s="220">
        <f>(129+1456)*(1.023*1.005-2.3%*15%)*6.99+0*4.09</f>
        <v>11352</v>
      </c>
      <c r="G549" s="145">
        <f t="shared" si="866"/>
        <v>1.1279999999999999</v>
      </c>
      <c r="H549" s="146">
        <f>F549*G549</f>
        <v>12805</v>
      </c>
      <c r="I549" s="145">
        <f>Дефляторы!$D$25</f>
        <v>1.052</v>
      </c>
      <c r="J549" s="146">
        <f>H549*I549</f>
        <v>13471</v>
      </c>
      <c r="K549" s="146">
        <f>H549+(J549-H549)*(1-30/100)</f>
        <v>13271</v>
      </c>
      <c r="L549" s="382"/>
      <c r="M549" s="382"/>
      <c r="N549" s="382"/>
    </row>
    <row r="550" spans="1:14" s="383" customFormat="1" ht="63" hidden="1" outlineLevel="3" x14ac:dyDescent="0.25">
      <c r="A550" s="363" t="s">
        <v>2775</v>
      </c>
      <c r="B550" s="381" t="s">
        <v>1293</v>
      </c>
      <c r="C550" s="381" t="s">
        <v>435</v>
      </c>
      <c r="D550" s="100" t="s">
        <v>408</v>
      </c>
      <c r="E550" s="149">
        <v>1</v>
      </c>
      <c r="F550" s="220">
        <f>(3680)*(1.023*1.005-2.3%*15%)*6.99+0*4.09+14</f>
        <v>26372</v>
      </c>
      <c r="G550" s="145">
        <f t="shared" si="866"/>
        <v>1.1279999999999999</v>
      </c>
      <c r="H550" s="146">
        <f t="shared" ref="H550" si="882">F550*G550</f>
        <v>29748</v>
      </c>
      <c r="I550" s="145">
        <f>Дефляторы!$D$25</f>
        <v>1.052</v>
      </c>
      <c r="J550" s="146">
        <f t="shared" ref="J550" si="883">H550*I550</f>
        <v>31295</v>
      </c>
      <c r="K550" s="146">
        <f t="shared" ref="K550" si="884">H550+(J550-H550)*(1-30/100)</f>
        <v>30831</v>
      </c>
      <c r="L550" s="396" t="s">
        <v>1296</v>
      </c>
      <c r="M550" s="382"/>
      <c r="N550" s="382"/>
    </row>
    <row r="551" spans="1:14" s="383" customFormat="1" ht="63" hidden="1" outlineLevel="3" x14ac:dyDescent="0.25">
      <c r="A551" s="363" t="s">
        <v>2776</v>
      </c>
      <c r="B551" s="381" t="s">
        <v>1294</v>
      </c>
      <c r="C551" s="381" t="s">
        <v>437</v>
      </c>
      <c r="D551" s="100" t="s">
        <v>408</v>
      </c>
      <c r="E551" s="149">
        <v>1</v>
      </c>
      <c r="F551" s="220">
        <f>(1064)*(1.023*1.005-2.3%*15%)*6.99+0*4.09</f>
        <v>7621</v>
      </c>
      <c r="G551" s="145">
        <f t="shared" si="866"/>
        <v>1.1279999999999999</v>
      </c>
      <c r="H551" s="146">
        <f t="shared" ref="H551" si="885">F551*G551</f>
        <v>8596</v>
      </c>
      <c r="I551" s="145">
        <f>Дефляторы!$D$25</f>
        <v>1.052</v>
      </c>
      <c r="J551" s="146">
        <f t="shared" ref="J551" si="886">H551*I551</f>
        <v>9043</v>
      </c>
      <c r="K551" s="146">
        <f t="shared" ref="K551" si="887">H551+(J551-H551)*(1-30/100)</f>
        <v>8909</v>
      </c>
      <c r="L551" s="396" t="s">
        <v>1296</v>
      </c>
      <c r="M551" s="382"/>
      <c r="N551" s="382"/>
    </row>
    <row r="552" spans="1:14" s="383" customFormat="1" ht="78.75" hidden="1" outlineLevel="3" x14ac:dyDescent="0.25">
      <c r="A552" s="363" t="s">
        <v>2777</v>
      </c>
      <c r="B552" s="381" t="s">
        <v>1295</v>
      </c>
      <c r="C552" s="381" t="s">
        <v>439</v>
      </c>
      <c r="D552" s="100" t="s">
        <v>408</v>
      </c>
      <c r="E552" s="149">
        <v>1</v>
      </c>
      <c r="F552" s="220">
        <f>(954)*(1.023*1.005-2.3%*15%)*6.99+0*4.09</f>
        <v>6833</v>
      </c>
      <c r="G552" s="145">
        <f t="shared" si="866"/>
        <v>1.1279999999999999</v>
      </c>
      <c r="H552" s="146">
        <f t="shared" ref="H552" si="888">F552*G552</f>
        <v>7708</v>
      </c>
      <c r="I552" s="145">
        <f>Дефляторы!$D$25</f>
        <v>1.052</v>
      </c>
      <c r="J552" s="146">
        <f t="shared" ref="J552" si="889">H552*I552</f>
        <v>8109</v>
      </c>
      <c r="K552" s="146">
        <f t="shared" ref="K552" si="890">H552+(J552-H552)*(1-30/100)</f>
        <v>7989</v>
      </c>
      <c r="L552" s="396" t="s">
        <v>1296</v>
      </c>
      <c r="M552" s="382"/>
      <c r="N552" s="382"/>
    </row>
    <row r="553" spans="1:14" s="383" customFormat="1" outlineLevel="2" collapsed="1" x14ac:dyDescent="0.25">
      <c r="A553" s="132" t="s">
        <v>2778</v>
      </c>
      <c r="B553" s="320"/>
      <c r="C553" s="320" t="s">
        <v>2400</v>
      </c>
      <c r="D553" s="134" t="s">
        <v>408</v>
      </c>
      <c r="E553" s="90">
        <v>1</v>
      </c>
      <c r="F553" s="90">
        <f>F554</f>
        <v>966473</v>
      </c>
      <c r="G553" s="135">
        <f t="shared" si="866"/>
        <v>1.1279999999999999</v>
      </c>
      <c r="H553" s="90">
        <f>H554</f>
        <v>1090182</v>
      </c>
      <c r="I553" s="135">
        <f>Дефляторы!$D$25</f>
        <v>1.052</v>
      </c>
      <c r="J553" s="90">
        <f>J554</f>
        <v>1146871</v>
      </c>
      <c r="K553" s="90">
        <f>K554</f>
        <v>1129864</v>
      </c>
      <c r="L553" s="396"/>
      <c r="M553" s="382"/>
      <c r="N553" s="382"/>
    </row>
    <row r="554" spans="1:14" s="399" customFormat="1" hidden="1" outlineLevel="3" x14ac:dyDescent="0.25">
      <c r="A554" s="363" t="s">
        <v>2779</v>
      </c>
      <c r="B554" s="381" t="s">
        <v>862</v>
      </c>
      <c r="C554" s="381" t="s">
        <v>860</v>
      </c>
      <c r="D554" s="143" t="s">
        <v>408</v>
      </c>
      <c r="E554" s="149">
        <v>1</v>
      </c>
      <c r="F554" s="220">
        <f>3*5*2.7/81*1813*(1.023*1.005-2.3%*15%)*6.99+234714*4.09</f>
        <v>966473</v>
      </c>
      <c r="G554" s="145">
        <f t="shared" si="866"/>
        <v>1.1279999999999999</v>
      </c>
      <c r="H554" s="146">
        <f>F554*G554</f>
        <v>1090182</v>
      </c>
      <c r="I554" s="145">
        <f>Дефляторы!$D$25</f>
        <v>1.052</v>
      </c>
      <c r="J554" s="146">
        <f>H554*I554</f>
        <v>1146871</v>
      </c>
      <c r="K554" s="146">
        <f>H554+(J554-H554)*(1-30/100)</f>
        <v>1129864</v>
      </c>
      <c r="L554" s="409"/>
      <c r="M554" s="398"/>
      <c r="N554" s="398"/>
    </row>
    <row r="555" spans="1:14" s="446" customFormat="1" outlineLevel="2" collapsed="1" x14ac:dyDescent="0.25">
      <c r="A555" s="132" t="s">
        <v>511</v>
      </c>
      <c r="B555" s="320" t="s">
        <v>41</v>
      </c>
      <c r="C555" s="320" t="s">
        <v>2096</v>
      </c>
      <c r="D555" s="134" t="s">
        <v>408</v>
      </c>
      <c r="E555" s="90">
        <v>1</v>
      </c>
      <c r="F555" s="90">
        <f>F556+F567</f>
        <v>30784938</v>
      </c>
      <c r="G555" s="135">
        <f t="shared" si="866"/>
        <v>1.1279999999999999</v>
      </c>
      <c r="H555" s="90">
        <f>H556+H567</f>
        <v>34725409</v>
      </c>
      <c r="I555" s="135">
        <f>Дефляторы!$D$25</f>
        <v>1.052</v>
      </c>
      <c r="J555" s="90">
        <f>J556+J567</f>
        <v>36531130</v>
      </c>
      <c r="K555" s="90">
        <f>K556+K567</f>
        <v>35989413</v>
      </c>
      <c r="L555" s="445"/>
      <c r="M555" s="445"/>
      <c r="N555" s="445"/>
    </row>
    <row r="556" spans="1:14" s="358" customFormat="1" ht="31.5" hidden="1" outlineLevel="3" collapsed="1" x14ac:dyDescent="0.25">
      <c r="A556" s="363" t="s">
        <v>2780</v>
      </c>
      <c r="B556" s="381" t="s">
        <v>233</v>
      </c>
      <c r="C556" s="381" t="s">
        <v>648</v>
      </c>
      <c r="D556" s="100" t="s">
        <v>292</v>
      </c>
      <c r="E556" s="149">
        <v>1</v>
      </c>
      <c r="F556" s="220">
        <f>SUM(F557:F566)</f>
        <v>727343</v>
      </c>
      <c r="G556" s="145">
        <f t="shared" si="866"/>
        <v>1.1279999999999999</v>
      </c>
      <c r="H556" s="149">
        <f>SUM(H557:H566)</f>
        <v>820442</v>
      </c>
      <c r="I556" s="145">
        <f>Дефляторы!$D$25</f>
        <v>1.052</v>
      </c>
      <c r="J556" s="149">
        <f>SUM(J557:J566)</f>
        <v>863105</v>
      </c>
      <c r="K556" s="149">
        <f>SUM(K557:K566)</f>
        <v>850305</v>
      </c>
      <c r="L556" s="389"/>
      <c r="M556" s="389"/>
      <c r="N556" s="389"/>
    </row>
    <row r="557" spans="1:14" s="383" customFormat="1" hidden="1" outlineLevel="4" x14ac:dyDescent="0.25">
      <c r="A557" s="363"/>
      <c r="B557" s="381"/>
      <c r="C557" s="381" t="s">
        <v>367</v>
      </c>
      <c r="D557" s="100"/>
      <c r="E557" s="100"/>
      <c r="F557" s="149"/>
      <c r="G557" s="145"/>
      <c r="H557" s="146"/>
      <c r="I557" s="145"/>
      <c r="J557" s="146"/>
      <c r="K557" s="146"/>
      <c r="L557" s="382"/>
      <c r="M557" s="382"/>
      <c r="N557" s="382"/>
    </row>
    <row r="558" spans="1:14" s="383" customFormat="1" ht="31.5" hidden="1" outlineLevel="4" x14ac:dyDescent="0.25">
      <c r="A558" s="363" t="s">
        <v>2781</v>
      </c>
      <c r="B558" s="381" t="s">
        <v>1507</v>
      </c>
      <c r="C558" s="381" t="s">
        <v>1506</v>
      </c>
      <c r="D558" s="100" t="s">
        <v>300</v>
      </c>
      <c r="E558" s="100">
        <f>176</f>
        <v>176</v>
      </c>
      <c r="F558" s="220">
        <f>(35096)*(1.023*1.005-2.3%*15%)*6.99+0*4.09-36</f>
        <v>251336</v>
      </c>
      <c r="G558" s="145">
        <f t="shared" ref="G558:G570" si="891">$G$831</f>
        <v>1.1279999999999999</v>
      </c>
      <c r="H558" s="146">
        <f t="shared" ref="H558:H561" si="892">F558*G558</f>
        <v>283507</v>
      </c>
      <c r="I558" s="145">
        <f>Дефляторы!$D$25</f>
        <v>1.052</v>
      </c>
      <c r="J558" s="146">
        <f t="shared" ref="J558:J561" si="893">H558*I558</f>
        <v>298249</v>
      </c>
      <c r="K558" s="146">
        <f t="shared" ref="K558:K561" si="894">H558+(J558-H558)*(1-30/100)</f>
        <v>293826</v>
      </c>
      <c r="L558" s="382"/>
      <c r="M558" s="382"/>
      <c r="N558" s="382"/>
    </row>
    <row r="559" spans="1:14" s="383" customFormat="1" ht="31.5" hidden="1" outlineLevel="4" x14ac:dyDescent="0.25">
      <c r="A559" s="363" t="s">
        <v>2782</v>
      </c>
      <c r="B559" s="381" t="s">
        <v>1508</v>
      </c>
      <c r="C559" s="381" t="s">
        <v>656</v>
      </c>
      <c r="D559" s="100" t="s">
        <v>300</v>
      </c>
      <c r="E559" s="100">
        <f>76.32</f>
        <v>76.319999999999993</v>
      </c>
      <c r="F559" s="220">
        <f>(3577)*(1.023*1.005-2.3%*15%)*6.99+0*4.09</f>
        <v>25620</v>
      </c>
      <c r="G559" s="145">
        <f t="shared" si="891"/>
        <v>1.1279999999999999</v>
      </c>
      <c r="H559" s="146">
        <f t="shared" si="892"/>
        <v>28899</v>
      </c>
      <c r="I559" s="145">
        <f>Дефляторы!$D$25</f>
        <v>1.052</v>
      </c>
      <c r="J559" s="146">
        <f t="shared" si="893"/>
        <v>30402</v>
      </c>
      <c r="K559" s="146">
        <f t="shared" si="894"/>
        <v>29951</v>
      </c>
      <c r="L559" s="382"/>
      <c r="M559" s="382"/>
      <c r="N559" s="382"/>
    </row>
    <row r="560" spans="1:14" s="383" customFormat="1" hidden="1" outlineLevel="4" x14ac:dyDescent="0.25">
      <c r="A560" s="363" t="s">
        <v>2783</v>
      </c>
      <c r="B560" s="381" t="s">
        <v>1509</v>
      </c>
      <c r="C560" s="381" t="s">
        <v>1493</v>
      </c>
      <c r="D560" s="100" t="s">
        <v>300</v>
      </c>
      <c r="E560" s="100">
        <f>99.68</f>
        <v>99.68</v>
      </c>
      <c r="F560" s="220">
        <f>(1279)*(1.023*1.005-2.3%*15%)*6.99+0*4.09</f>
        <v>9161</v>
      </c>
      <c r="G560" s="145">
        <f t="shared" si="891"/>
        <v>1.1279999999999999</v>
      </c>
      <c r="H560" s="146">
        <f t="shared" si="892"/>
        <v>10334</v>
      </c>
      <c r="I560" s="145">
        <f>Дефляторы!$D$25</f>
        <v>1.052</v>
      </c>
      <c r="J560" s="146">
        <f t="shared" si="893"/>
        <v>10871</v>
      </c>
      <c r="K560" s="146">
        <f t="shared" si="894"/>
        <v>10710</v>
      </c>
      <c r="L560" s="382"/>
      <c r="M560" s="382"/>
      <c r="N560" s="382"/>
    </row>
    <row r="561" spans="1:14" s="383" customFormat="1" hidden="1" outlineLevel="4" x14ac:dyDescent="0.25">
      <c r="A561" s="363" t="s">
        <v>2784</v>
      </c>
      <c r="B561" s="381" t="s">
        <v>1510</v>
      </c>
      <c r="C561" s="381" t="s">
        <v>492</v>
      </c>
      <c r="D561" s="100" t="s">
        <v>300</v>
      </c>
      <c r="E561" s="100">
        <f>9.72</f>
        <v>9.7200000000000006</v>
      </c>
      <c r="F561" s="220">
        <f>(36328)*(1.023*1.005-2.3%*15%)*6.99+0*4.09</f>
        <v>260196</v>
      </c>
      <c r="G561" s="145">
        <f t="shared" si="891"/>
        <v>1.1279999999999999</v>
      </c>
      <c r="H561" s="146">
        <f t="shared" si="892"/>
        <v>293501</v>
      </c>
      <c r="I561" s="145">
        <f>Дефляторы!$D$25</f>
        <v>1.052</v>
      </c>
      <c r="J561" s="146">
        <f t="shared" si="893"/>
        <v>308763</v>
      </c>
      <c r="K561" s="146">
        <f t="shared" si="894"/>
        <v>304184</v>
      </c>
      <c r="L561" s="382"/>
      <c r="M561" s="382"/>
      <c r="N561" s="382"/>
    </row>
    <row r="562" spans="1:14" s="383" customFormat="1" hidden="1" outlineLevel="4" x14ac:dyDescent="0.25">
      <c r="A562" s="363" t="s">
        <v>2785</v>
      </c>
      <c r="B562" s="381" t="s">
        <v>1511</v>
      </c>
      <c r="C562" s="381" t="s">
        <v>1498</v>
      </c>
      <c r="D562" s="100" t="s">
        <v>292</v>
      </c>
      <c r="E562" s="100">
        <v>1</v>
      </c>
      <c r="F562" s="220">
        <f>(3101)*(1.023*1.005-2.3%*15%)*6.99+0*4.09</f>
        <v>22211</v>
      </c>
      <c r="G562" s="145">
        <f t="shared" si="891"/>
        <v>1.1279999999999999</v>
      </c>
      <c r="H562" s="146">
        <f t="shared" ref="H562:H566" si="895">F562*G562</f>
        <v>25054</v>
      </c>
      <c r="I562" s="145">
        <f>Дефляторы!$D$25</f>
        <v>1.052</v>
      </c>
      <c r="J562" s="146">
        <f t="shared" ref="J562:J566" si="896">H562*I562</f>
        <v>26357</v>
      </c>
      <c r="K562" s="146">
        <f t="shared" ref="K562:K566" si="897">H562+(J562-H562)*(1-30/100)</f>
        <v>25966</v>
      </c>
      <c r="L562" s="382"/>
      <c r="M562" s="382"/>
      <c r="N562" s="382"/>
    </row>
    <row r="563" spans="1:14" s="383" customFormat="1" hidden="1" outlineLevel="4" x14ac:dyDescent="0.25">
      <c r="A563" s="363" t="s">
        <v>2786</v>
      </c>
      <c r="B563" s="381" t="s">
        <v>1512</v>
      </c>
      <c r="C563" s="381" t="s">
        <v>414</v>
      </c>
      <c r="D563" s="100" t="s">
        <v>404</v>
      </c>
      <c r="E563" s="100">
        <v>28</v>
      </c>
      <c r="F563" s="220">
        <f>(4589)*(1.023*1.005-2.3%*15%)*6.99+0*4.09</f>
        <v>32868</v>
      </c>
      <c r="G563" s="145">
        <f t="shared" si="891"/>
        <v>1.1279999999999999</v>
      </c>
      <c r="H563" s="146">
        <f t="shared" si="895"/>
        <v>37075</v>
      </c>
      <c r="I563" s="145">
        <f>Дефляторы!$D$25</f>
        <v>1.052</v>
      </c>
      <c r="J563" s="146">
        <f t="shared" si="896"/>
        <v>39003</v>
      </c>
      <c r="K563" s="146">
        <f t="shared" si="897"/>
        <v>38425</v>
      </c>
      <c r="L563" s="382"/>
      <c r="M563" s="382"/>
      <c r="N563" s="382"/>
    </row>
    <row r="564" spans="1:14" s="383" customFormat="1" hidden="1" outlineLevel="4" x14ac:dyDescent="0.25">
      <c r="A564" s="363" t="s">
        <v>2787</v>
      </c>
      <c r="B564" s="381" t="s">
        <v>1513</v>
      </c>
      <c r="C564" s="381" t="s">
        <v>1514</v>
      </c>
      <c r="D564" s="100" t="s">
        <v>637</v>
      </c>
      <c r="E564" s="145">
        <f>0.144+0.152</f>
        <v>0.29599999999999999</v>
      </c>
      <c r="F564" s="220">
        <f>(3336)*(1.023*1.005-2.3%*15%)*6.99+0*4.09</f>
        <v>23894</v>
      </c>
      <c r="G564" s="145">
        <f t="shared" si="891"/>
        <v>1.1279999999999999</v>
      </c>
      <c r="H564" s="146">
        <f t="shared" si="895"/>
        <v>26952</v>
      </c>
      <c r="I564" s="145">
        <f>Дефляторы!$D$25</f>
        <v>1.052</v>
      </c>
      <c r="J564" s="146">
        <f t="shared" si="896"/>
        <v>28354</v>
      </c>
      <c r="K564" s="146">
        <f t="shared" si="897"/>
        <v>27933</v>
      </c>
      <c r="L564" s="382"/>
      <c r="M564" s="382"/>
      <c r="N564" s="382"/>
    </row>
    <row r="565" spans="1:14" s="383" customFormat="1" hidden="1" outlineLevel="4" x14ac:dyDescent="0.25">
      <c r="A565" s="363" t="s">
        <v>2788</v>
      </c>
      <c r="B565" s="381" t="s">
        <v>1515</v>
      </c>
      <c r="C565" s="381" t="s">
        <v>493</v>
      </c>
      <c r="D565" s="100" t="s">
        <v>292</v>
      </c>
      <c r="E565" s="149">
        <v>1</v>
      </c>
      <c r="F565" s="220">
        <f>(11876)*(1.023*1.005-2.3%*15%)*6.99+0*4.09</f>
        <v>85061</v>
      </c>
      <c r="G565" s="145">
        <f t="shared" si="891"/>
        <v>1.1279999999999999</v>
      </c>
      <c r="H565" s="146">
        <f t="shared" si="895"/>
        <v>95949</v>
      </c>
      <c r="I565" s="145">
        <f>Дефляторы!$D$25</f>
        <v>1.052</v>
      </c>
      <c r="J565" s="146">
        <f t="shared" si="896"/>
        <v>100938</v>
      </c>
      <c r="K565" s="146">
        <f t="shared" si="897"/>
        <v>99441</v>
      </c>
      <c r="L565" s="382"/>
      <c r="M565" s="382"/>
      <c r="N565" s="382"/>
    </row>
    <row r="566" spans="1:14" s="383" customFormat="1" hidden="1" outlineLevel="4" x14ac:dyDescent="0.25">
      <c r="A566" s="363" t="s">
        <v>2789</v>
      </c>
      <c r="B566" s="381" t="s">
        <v>1516</v>
      </c>
      <c r="C566" s="381" t="s">
        <v>494</v>
      </c>
      <c r="D566" s="100" t="s">
        <v>404</v>
      </c>
      <c r="E566" s="100">
        <f>21.2</f>
        <v>21.2</v>
      </c>
      <c r="F566" s="220">
        <f>(2373)*(1.023*1.005-2.3%*15%)*6.99+0*4.09</f>
        <v>16996</v>
      </c>
      <c r="G566" s="145">
        <f t="shared" si="891"/>
        <v>1.1279999999999999</v>
      </c>
      <c r="H566" s="146">
        <f t="shared" si="895"/>
        <v>19171</v>
      </c>
      <c r="I566" s="145">
        <f>Дефляторы!$D$25</f>
        <v>1.052</v>
      </c>
      <c r="J566" s="146">
        <f t="shared" si="896"/>
        <v>20168</v>
      </c>
      <c r="K566" s="146">
        <f t="shared" si="897"/>
        <v>19869</v>
      </c>
      <c r="L566" s="382"/>
      <c r="M566" s="382"/>
      <c r="N566" s="382"/>
    </row>
    <row r="567" spans="1:14" s="358" customFormat="1" hidden="1" outlineLevel="3" collapsed="1" x14ac:dyDescent="0.25">
      <c r="A567" s="363" t="s">
        <v>2790</v>
      </c>
      <c r="B567" s="381" t="s">
        <v>235</v>
      </c>
      <c r="C567" s="381" t="s">
        <v>646</v>
      </c>
      <c r="D567" s="100" t="s">
        <v>292</v>
      </c>
      <c r="E567" s="149">
        <v>1</v>
      </c>
      <c r="F567" s="220">
        <f>F568</f>
        <v>30057595</v>
      </c>
      <c r="G567" s="145">
        <f t="shared" si="891"/>
        <v>1.1279999999999999</v>
      </c>
      <c r="H567" s="149">
        <f>H568</f>
        <v>33904967</v>
      </c>
      <c r="I567" s="145">
        <f>Дефляторы!$D$25</f>
        <v>1.052</v>
      </c>
      <c r="J567" s="149">
        <f>J568</f>
        <v>35668025</v>
      </c>
      <c r="K567" s="149">
        <f>K568</f>
        <v>35139108</v>
      </c>
      <c r="L567" s="389"/>
      <c r="M567" s="389"/>
      <c r="N567" s="389"/>
    </row>
    <row r="568" spans="1:14" s="383" customFormat="1" ht="47.25" hidden="1" outlineLevel="4" x14ac:dyDescent="0.25">
      <c r="A568" s="363" t="s">
        <v>2791</v>
      </c>
      <c r="B568" s="381" t="s">
        <v>1517</v>
      </c>
      <c r="C568" s="381" t="s">
        <v>1518</v>
      </c>
      <c r="D568" s="100" t="s">
        <v>408</v>
      </c>
      <c r="E568" s="149">
        <v>1</v>
      </c>
      <c r="F568" s="220">
        <f>(1059+72109)*(1.023*1.005-2.3%*15%)*6.99+7220913*4.09+2</f>
        <v>30057595</v>
      </c>
      <c r="G568" s="145">
        <f t="shared" si="891"/>
        <v>1.1279999999999999</v>
      </c>
      <c r="H568" s="146">
        <f t="shared" ref="H568" si="898">F568*G568</f>
        <v>33904967</v>
      </c>
      <c r="I568" s="145">
        <f>Дефляторы!$D$25</f>
        <v>1.052</v>
      </c>
      <c r="J568" s="146">
        <f t="shared" ref="J568" si="899">H568*I568</f>
        <v>35668025</v>
      </c>
      <c r="K568" s="146">
        <f t="shared" ref="K568" si="900">H568+(J568-H568)*(1-30/100)</f>
        <v>35139108</v>
      </c>
      <c r="L568" s="382"/>
      <c r="M568" s="382"/>
      <c r="N568" s="382"/>
    </row>
    <row r="569" spans="1:14" s="444" customFormat="1" outlineLevel="1" x14ac:dyDescent="0.25">
      <c r="A569" s="179" t="s">
        <v>512</v>
      </c>
      <c r="B569" s="422"/>
      <c r="C569" s="435" t="s">
        <v>2374</v>
      </c>
      <c r="D569" s="125" t="s">
        <v>292</v>
      </c>
      <c r="E569" s="126">
        <v>1</v>
      </c>
      <c r="F569" s="126">
        <f>F570+F578+F595+F707+F741+F787</f>
        <v>251248674</v>
      </c>
      <c r="G569" s="127">
        <f t="shared" si="891"/>
        <v>1.1279999999999999</v>
      </c>
      <c r="H569" s="126">
        <f>H570+H578+H595+H707+H741+H787</f>
        <v>283408511</v>
      </c>
      <c r="I569" s="127">
        <f>Дефляторы!$D$25</f>
        <v>1.052</v>
      </c>
      <c r="J569" s="126">
        <f>J570+J578+J595+J707+J741+J787</f>
        <v>298145760</v>
      </c>
      <c r="K569" s="126">
        <f>K570+K578+K595+K707+K741+K787</f>
        <v>293724595</v>
      </c>
    </row>
    <row r="570" spans="1:14" s="385" customFormat="1" outlineLevel="1" collapsed="1" x14ac:dyDescent="0.25">
      <c r="A570" s="132" t="s">
        <v>513</v>
      </c>
      <c r="B570" s="320"/>
      <c r="C570" s="133" t="s">
        <v>2375</v>
      </c>
      <c r="D570" s="134" t="s">
        <v>292</v>
      </c>
      <c r="E570" s="90">
        <v>1</v>
      </c>
      <c r="F570" s="90">
        <f>SUM(F571:F577)</f>
        <v>16974242</v>
      </c>
      <c r="G570" s="135">
        <f t="shared" si="891"/>
        <v>1.1279999999999999</v>
      </c>
      <c r="H570" s="90">
        <f>SUM(H571:H577)</f>
        <v>19146944</v>
      </c>
      <c r="I570" s="135">
        <f>Дефляторы!$D$25</f>
        <v>1.052</v>
      </c>
      <c r="J570" s="90">
        <f>SUM(J571:J577)</f>
        <v>20142585</v>
      </c>
      <c r="K570" s="90">
        <f>SUM(K571:K577)</f>
        <v>19843893</v>
      </c>
    </row>
    <row r="571" spans="1:14" s="383" customFormat="1" hidden="1" outlineLevel="2" x14ac:dyDescent="0.25">
      <c r="A571" s="363"/>
      <c r="B571" s="381"/>
      <c r="C571" s="390" t="s">
        <v>367</v>
      </c>
      <c r="D571" s="100"/>
      <c r="E571" s="100"/>
      <c r="F571" s="149"/>
      <c r="G571" s="145"/>
      <c r="H571" s="146"/>
      <c r="I571" s="145">
        <f>Дефляторы!$D$25</f>
        <v>1.052</v>
      </c>
      <c r="J571" s="146"/>
      <c r="K571" s="146"/>
      <c r="L571" s="382"/>
      <c r="M571" s="382"/>
      <c r="N571" s="382"/>
    </row>
    <row r="572" spans="1:14" s="383" customFormat="1" ht="31.5" hidden="1" outlineLevel="2" x14ac:dyDescent="0.25">
      <c r="A572" s="363" t="s">
        <v>2097</v>
      </c>
      <c r="B572" s="381" t="s">
        <v>1047</v>
      </c>
      <c r="C572" s="381" t="s">
        <v>356</v>
      </c>
      <c r="D572" s="100" t="s">
        <v>300</v>
      </c>
      <c r="E572" s="100">
        <f>4472.5</f>
        <v>4472.5</v>
      </c>
      <c r="F572" s="220">
        <f>(891857)*(1.023*1.005-2.3%*15%)*6.99+0*4.09-28</f>
        <v>6387816</v>
      </c>
      <c r="G572" s="145">
        <f t="shared" ref="G572:G581" si="901">$G$831</f>
        <v>1.1279999999999999</v>
      </c>
      <c r="H572" s="146">
        <f t="shared" ref="H572:H573" si="902">F572*G572</f>
        <v>7205456</v>
      </c>
      <c r="I572" s="145">
        <f>Дефляторы!$D$25</f>
        <v>1.052</v>
      </c>
      <c r="J572" s="146">
        <f t="shared" ref="J572:J573" si="903">H572*I572</f>
        <v>7580140</v>
      </c>
      <c r="K572" s="146">
        <f t="shared" ref="K572:K573" si="904">H572+(J572-H572)*(1-30/100)</f>
        <v>7467735</v>
      </c>
      <c r="L572" s="382"/>
      <c r="M572" s="382"/>
      <c r="N572" s="382"/>
    </row>
    <row r="573" spans="1:14" s="383" customFormat="1" hidden="1" outlineLevel="2" x14ac:dyDescent="0.25">
      <c r="A573" s="363" t="s">
        <v>2098</v>
      </c>
      <c r="B573" s="381" t="s">
        <v>1053</v>
      </c>
      <c r="C573" s="381" t="s">
        <v>1048</v>
      </c>
      <c r="D573" s="100" t="s">
        <v>300</v>
      </c>
      <c r="E573" s="100">
        <f>3261.5</f>
        <v>3261.5</v>
      </c>
      <c r="F573" s="220">
        <f>(41760)*(1.023*1.005-2.3%*15%)*6.99+0*4.09</f>
        <v>299102</v>
      </c>
      <c r="G573" s="145">
        <f t="shared" si="901"/>
        <v>1.1279999999999999</v>
      </c>
      <c r="H573" s="146">
        <f t="shared" si="902"/>
        <v>337387</v>
      </c>
      <c r="I573" s="145">
        <f>Дефляторы!$D$25</f>
        <v>1.052</v>
      </c>
      <c r="J573" s="146">
        <f t="shared" si="903"/>
        <v>354931</v>
      </c>
      <c r="K573" s="146">
        <f t="shared" si="904"/>
        <v>349668</v>
      </c>
      <c r="L573" s="382"/>
      <c r="M573" s="382"/>
      <c r="N573" s="382"/>
    </row>
    <row r="574" spans="1:14" s="383" customFormat="1" ht="31.5" hidden="1" outlineLevel="2" x14ac:dyDescent="0.25">
      <c r="A574" s="363" t="s">
        <v>2099</v>
      </c>
      <c r="B574" s="381" t="s">
        <v>1054</v>
      </c>
      <c r="C574" s="381" t="s">
        <v>1049</v>
      </c>
      <c r="D574" s="100" t="s">
        <v>300</v>
      </c>
      <c r="E574" s="100">
        <f>1211</f>
        <v>1211</v>
      </c>
      <c r="F574" s="220">
        <f>(52707)*(1.023*1.005-2.3%*15%)*6.99+0*4.09</f>
        <v>377509</v>
      </c>
      <c r="G574" s="145">
        <f t="shared" si="901"/>
        <v>1.1279999999999999</v>
      </c>
      <c r="H574" s="146">
        <f t="shared" ref="H574" si="905">F574*G574</f>
        <v>425830</v>
      </c>
      <c r="I574" s="145">
        <f>Дефляторы!$D$25</f>
        <v>1.052</v>
      </c>
      <c r="J574" s="146">
        <f t="shared" ref="J574" si="906">H574*I574</f>
        <v>447973</v>
      </c>
      <c r="K574" s="146">
        <f t="shared" ref="K574" si="907">H574+(J574-H574)*(1-30/100)</f>
        <v>441330</v>
      </c>
      <c r="L574" s="382" t="s">
        <v>1050</v>
      </c>
      <c r="M574" s="382"/>
      <c r="N574" s="382"/>
    </row>
    <row r="575" spans="1:14" s="383" customFormat="1" ht="31.5" hidden="1" outlineLevel="2" x14ac:dyDescent="0.25">
      <c r="A575" s="363" t="s">
        <v>2100</v>
      </c>
      <c r="B575" s="381" t="s">
        <v>1055</v>
      </c>
      <c r="C575" s="381" t="s">
        <v>1052</v>
      </c>
      <c r="D575" s="100" t="s">
        <v>300</v>
      </c>
      <c r="E575" s="100">
        <f>3261.5</f>
        <v>3261.5</v>
      </c>
      <c r="F575" s="220">
        <f>(53926)*(1.023*1.005-2.3%*15%)*6.99+0*4.09</f>
        <v>386240</v>
      </c>
      <c r="G575" s="145">
        <f t="shared" si="901"/>
        <v>1.1279999999999999</v>
      </c>
      <c r="H575" s="146">
        <f t="shared" ref="H575" si="908">F575*G575</f>
        <v>435679</v>
      </c>
      <c r="I575" s="145">
        <f>Дефляторы!$D$25</f>
        <v>1.052</v>
      </c>
      <c r="J575" s="146">
        <f t="shared" ref="J575" si="909">H575*I575</f>
        <v>458334</v>
      </c>
      <c r="K575" s="146">
        <f t="shared" ref="K575" si="910">H575+(J575-H575)*(1-30/100)</f>
        <v>451538</v>
      </c>
      <c r="L575" s="382"/>
      <c r="M575" s="382"/>
      <c r="N575" s="382"/>
    </row>
    <row r="576" spans="1:14" s="383" customFormat="1" hidden="1" outlineLevel="2" x14ac:dyDescent="0.25">
      <c r="A576" s="363" t="s">
        <v>2101</v>
      </c>
      <c r="B576" s="381" t="s">
        <v>1057</v>
      </c>
      <c r="C576" s="381" t="s">
        <v>1056</v>
      </c>
      <c r="D576" s="100" t="s">
        <v>300</v>
      </c>
      <c r="E576" s="100">
        <f>860.9</f>
        <v>860.9</v>
      </c>
      <c r="F576" s="220">
        <f>(1232562)*(1.023*1.005-2.3%*15%)*6.99+0*4.09</f>
        <v>8828112</v>
      </c>
      <c r="G576" s="145">
        <f t="shared" si="901"/>
        <v>1.1279999999999999</v>
      </c>
      <c r="H576" s="146">
        <f t="shared" ref="H576" si="911">F576*G576</f>
        <v>9958110</v>
      </c>
      <c r="I576" s="145">
        <f>Дефляторы!$D$25</f>
        <v>1.052</v>
      </c>
      <c r="J576" s="146">
        <f t="shared" ref="J576" si="912">H576*I576</f>
        <v>10475932</v>
      </c>
      <c r="K576" s="146">
        <f t="shared" ref="K576" si="913">H576+(J576-H576)*(1-30/100)</f>
        <v>10320585</v>
      </c>
      <c r="L576" s="382" t="s">
        <v>1058</v>
      </c>
      <c r="M576" s="382"/>
      <c r="N576" s="382"/>
    </row>
    <row r="577" spans="1:14" s="383" customFormat="1" ht="31.5" hidden="1" outlineLevel="2" x14ac:dyDescent="0.25">
      <c r="A577" s="363" t="s">
        <v>2102</v>
      </c>
      <c r="B577" s="381" t="s">
        <v>1075</v>
      </c>
      <c r="C577" s="381" t="s">
        <v>1019</v>
      </c>
      <c r="D577" s="100" t="s">
        <v>292</v>
      </c>
      <c r="E577" s="100">
        <v>1</v>
      </c>
      <c r="F577" s="220">
        <f>(97099)*(1.023*1.005-2.3%*15%)*6.99+0*4.09</f>
        <v>695463</v>
      </c>
      <c r="G577" s="145">
        <f t="shared" si="901"/>
        <v>1.1279999999999999</v>
      </c>
      <c r="H577" s="146">
        <f t="shared" ref="H577" si="914">F577*G577</f>
        <v>784482</v>
      </c>
      <c r="I577" s="145">
        <f>Дефляторы!$D$25</f>
        <v>1.052</v>
      </c>
      <c r="J577" s="146">
        <f t="shared" ref="J577" si="915">H577*I577</f>
        <v>825275</v>
      </c>
      <c r="K577" s="146">
        <f t="shared" ref="K577" si="916">H577+(J577-H577)*(1-30/100)</f>
        <v>813037</v>
      </c>
      <c r="L577" s="382"/>
      <c r="M577" s="382"/>
      <c r="N577" s="382"/>
    </row>
    <row r="578" spans="1:14" s="358" customFormat="1" ht="31.5" outlineLevel="1" collapsed="1" x14ac:dyDescent="0.25">
      <c r="A578" s="132" t="s">
        <v>514</v>
      </c>
      <c r="B578" s="320" t="s">
        <v>164</v>
      </c>
      <c r="C578" s="320" t="s">
        <v>1919</v>
      </c>
      <c r="D578" s="134" t="s">
        <v>292</v>
      </c>
      <c r="E578" s="90">
        <v>1</v>
      </c>
      <c r="F578" s="90">
        <f>SUM(F579:F594)</f>
        <v>55312794</v>
      </c>
      <c r="G578" s="135">
        <f t="shared" si="901"/>
        <v>1.1279999999999999</v>
      </c>
      <c r="H578" s="90">
        <f>SUM(H579:H594)</f>
        <v>62392833</v>
      </c>
      <c r="I578" s="135">
        <f>Дефляторы!$D$25</f>
        <v>1.052</v>
      </c>
      <c r="J578" s="90">
        <f>SUM(J579:J594)</f>
        <v>65637259</v>
      </c>
      <c r="K578" s="90">
        <f>SUM(K579:K594)</f>
        <v>64663931</v>
      </c>
      <c r="L578" s="389"/>
      <c r="M578" s="389"/>
      <c r="N578" s="389"/>
    </row>
    <row r="579" spans="1:14" s="383" customFormat="1" hidden="1" outlineLevel="2" x14ac:dyDescent="0.25">
      <c r="A579" s="363" t="s">
        <v>2143</v>
      </c>
      <c r="B579" s="381" t="s">
        <v>1060</v>
      </c>
      <c r="C579" s="381" t="s">
        <v>1059</v>
      </c>
      <c r="D579" s="100" t="s">
        <v>300</v>
      </c>
      <c r="E579" s="100">
        <v>378</v>
      </c>
      <c r="F579" s="220">
        <f>(939689)*(1.023*1.005-2.3%*15%)*6.99+0*4.09</f>
        <v>6730436</v>
      </c>
      <c r="G579" s="145">
        <f t="shared" si="901"/>
        <v>1.1279999999999999</v>
      </c>
      <c r="H579" s="146">
        <f t="shared" ref="H579" si="917">F579*G579</f>
        <v>7591932</v>
      </c>
      <c r="I579" s="145">
        <f>Дефляторы!$D$25</f>
        <v>1.052</v>
      </c>
      <c r="J579" s="146">
        <f t="shared" ref="J579" si="918">H579*I579</f>
        <v>7986712</v>
      </c>
      <c r="K579" s="146">
        <f t="shared" ref="K579" si="919">H579+(J579-H579)*(1-30/100)</f>
        <v>7868278</v>
      </c>
      <c r="L579" s="382" t="s">
        <v>1061</v>
      </c>
      <c r="M579" s="382"/>
      <c r="N579" s="382"/>
    </row>
    <row r="580" spans="1:14" s="383" customFormat="1" hidden="1" outlineLevel="2" x14ac:dyDescent="0.25">
      <c r="A580" s="363" t="s">
        <v>2144</v>
      </c>
      <c r="B580" s="381" t="s">
        <v>1063</v>
      </c>
      <c r="C580" s="381" t="s">
        <v>1062</v>
      </c>
      <c r="D580" s="100" t="s">
        <v>300</v>
      </c>
      <c r="E580" s="100">
        <f>175.7</f>
        <v>175.7</v>
      </c>
      <c r="F580" s="220">
        <f>(433264)*(1.023*1.005-2.3%*15%)*6.99+0*4.09</f>
        <v>3103214</v>
      </c>
      <c r="G580" s="145">
        <f t="shared" si="901"/>
        <v>1.1279999999999999</v>
      </c>
      <c r="H580" s="146">
        <f t="shared" ref="H580" si="920">F580*G580</f>
        <v>3500425</v>
      </c>
      <c r="I580" s="145">
        <f>Дефляторы!$D$25</f>
        <v>1.052</v>
      </c>
      <c r="J580" s="146">
        <f t="shared" ref="J580" si="921">H580*I580</f>
        <v>3682447</v>
      </c>
      <c r="K580" s="146">
        <f t="shared" ref="K580" si="922">H580+(J580-H580)*(1-30/100)</f>
        <v>3627840</v>
      </c>
      <c r="L580" s="382" t="s">
        <v>1064</v>
      </c>
      <c r="M580" s="382"/>
      <c r="N580" s="382"/>
    </row>
    <row r="581" spans="1:14" s="383" customFormat="1" hidden="1" outlineLevel="2" x14ac:dyDescent="0.25">
      <c r="A581" s="363" t="s">
        <v>2145</v>
      </c>
      <c r="B581" s="381" t="s">
        <v>1066</v>
      </c>
      <c r="C581" s="381" t="s">
        <v>1065</v>
      </c>
      <c r="D581" s="100" t="s">
        <v>300</v>
      </c>
      <c r="E581" s="100">
        <f>165.6</f>
        <v>165.6</v>
      </c>
      <c r="F581" s="220">
        <f>(406848)*(1.023*1.005-2.3%*15%)*6.99+0*4.09</f>
        <v>2914012</v>
      </c>
      <c r="G581" s="145">
        <f t="shared" si="901"/>
        <v>1.1279999999999999</v>
      </c>
      <c r="H581" s="146">
        <f t="shared" ref="H581" si="923">F581*G581</f>
        <v>3287006</v>
      </c>
      <c r="I581" s="145">
        <f>Дефляторы!$D$25</f>
        <v>1.052</v>
      </c>
      <c r="J581" s="146">
        <f t="shared" ref="J581" si="924">H581*I581</f>
        <v>3457930</v>
      </c>
      <c r="K581" s="146">
        <f t="shared" ref="K581" si="925">H581+(J581-H581)*(1-30/100)</f>
        <v>3406653</v>
      </c>
      <c r="L581" s="382" t="s">
        <v>1067</v>
      </c>
      <c r="M581" s="382"/>
      <c r="N581" s="382"/>
    </row>
    <row r="582" spans="1:14" s="383" customFormat="1" hidden="1" outlineLevel="2" x14ac:dyDescent="0.25">
      <c r="A582" s="363"/>
      <c r="B582" s="381"/>
      <c r="C582" s="390" t="s">
        <v>1068</v>
      </c>
      <c r="D582" s="100"/>
      <c r="E582" s="100"/>
      <c r="F582" s="149"/>
      <c r="G582" s="145"/>
      <c r="H582" s="146"/>
      <c r="I582" s="145">
        <f>Дефляторы!$D$25</f>
        <v>1.052</v>
      </c>
      <c r="J582" s="146"/>
      <c r="K582" s="146"/>
      <c r="L582" s="382"/>
      <c r="M582" s="382"/>
      <c r="N582" s="382"/>
    </row>
    <row r="583" spans="1:14" s="383" customFormat="1" hidden="1" outlineLevel="2" x14ac:dyDescent="0.25">
      <c r="A583" s="225" t="s">
        <v>2146</v>
      </c>
      <c r="B583" s="381" t="s">
        <v>1070</v>
      </c>
      <c r="C583" s="381" t="s">
        <v>1069</v>
      </c>
      <c r="D583" s="100" t="s">
        <v>300</v>
      </c>
      <c r="E583" s="100">
        <v>605</v>
      </c>
      <c r="F583" s="220">
        <f>(1249894)*(1.023*1.005-2.3%*15%)*6.99+0*4.09</f>
        <v>8952251</v>
      </c>
      <c r="G583" s="145">
        <f>$G$831</f>
        <v>1.1279999999999999</v>
      </c>
      <c r="H583" s="146">
        <f t="shared" ref="H583" si="926">F583*G583</f>
        <v>10098139</v>
      </c>
      <c r="I583" s="145">
        <f>Дефляторы!$D$25</f>
        <v>1.052</v>
      </c>
      <c r="J583" s="146">
        <f t="shared" ref="J583" si="927">H583*I583</f>
        <v>10623242</v>
      </c>
      <c r="K583" s="146">
        <f t="shared" ref="K583" si="928">H583+(J583-H583)*(1-30/100)</f>
        <v>10465711</v>
      </c>
      <c r="L583" s="382"/>
      <c r="M583" s="382"/>
      <c r="N583" s="382"/>
    </row>
    <row r="584" spans="1:14" s="383" customFormat="1" hidden="1" outlineLevel="2" x14ac:dyDescent="0.25">
      <c r="A584" s="363" t="s">
        <v>2792</v>
      </c>
      <c r="B584" s="381" t="s">
        <v>1072</v>
      </c>
      <c r="C584" s="381" t="s">
        <v>1071</v>
      </c>
      <c r="D584" s="100" t="s">
        <v>300</v>
      </c>
      <c r="E584" s="100">
        <f>480.7+623</f>
        <v>1103.7</v>
      </c>
      <c r="F584" s="220">
        <f>(3058478)*(1.023*1.005-2.3%*15%)*6.99+0*4.09</f>
        <v>21906068</v>
      </c>
      <c r="G584" s="145">
        <f>$G$831</f>
        <v>1.1279999999999999</v>
      </c>
      <c r="H584" s="146">
        <f t="shared" ref="H584" si="929">F584*G584</f>
        <v>24710045</v>
      </c>
      <c r="I584" s="145">
        <f>Дефляторы!$D$25</f>
        <v>1.052</v>
      </c>
      <c r="J584" s="146">
        <f t="shared" ref="J584" si="930">H584*I584</f>
        <v>25994967</v>
      </c>
      <c r="K584" s="146">
        <f t="shared" ref="K584" si="931">H584+(J584-H584)*(1-30/100)</f>
        <v>25609490</v>
      </c>
      <c r="L584" s="382"/>
      <c r="M584" s="382"/>
      <c r="N584" s="382"/>
    </row>
    <row r="585" spans="1:14" s="383" customFormat="1" hidden="1" outlineLevel="2" x14ac:dyDescent="0.25">
      <c r="A585" s="363" t="s">
        <v>2793</v>
      </c>
      <c r="B585" s="381" t="s">
        <v>1073</v>
      </c>
      <c r="C585" s="381" t="s">
        <v>1074</v>
      </c>
      <c r="D585" s="100" t="s">
        <v>300</v>
      </c>
      <c r="E585" s="100">
        <v>15</v>
      </c>
      <c r="F585" s="220">
        <f>(33483)*(1.023*1.005-2.3%*15%)*6.99+0*4.09</f>
        <v>239819</v>
      </c>
      <c r="G585" s="145">
        <f>$G$831</f>
        <v>1.1279999999999999</v>
      </c>
      <c r="H585" s="146">
        <f t="shared" ref="H585" si="932">F585*G585</f>
        <v>270516</v>
      </c>
      <c r="I585" s="145">
        <f>Дефляторы!$D$25</f>
        <v>1.052</v>
      </c>
      <c r="J585" s="146">
        <f t="shared" ref="J585" si="933">H585*I585</f>
        <v>284583</v>
      </c>
      <c r="K585" s="146">
        <f t="shared" ref="K585" si="934">H585+(J585-H585)*(1-30/100)</f>
        <v>280363</v>
      </c>
      <c r="L585" s="382"/>
      <c r="M585" s="382"/>
      <c r="N585" s="382"/>
    </row>
    <row r="586" spans="1:14" s="383" customFormat="1" hidden="1" outlineLevel="2" x14ac:dyDescent="0.25">
      <c r="A586" s="363"/>
      <c r="B586" s="381"/>
      <c r="C586" s="390" t="s">
        <v>1026</v>
      </c>
      <c r="D586" s="100"/>
      <c r="E586" s="100"/>
      <c r="F586" s="149"/>
      <c r="G586" s="145"/>
      <c r="H586" s="146"/>
      <c r="I586" s="145">
        <f>Дефляторы!$D$25</f>
        <v>1.052</v>
      </c>
      <c r="J586" s="146"/>
      <c r="K586" s="146"/>
      <c r="L586" s="382"/>
      <c r="M586" s="382"/>
      <c r="N586" s="382"/>
    </row>
    <row r="587" spans="1:14" s="383" customFormat="1" hidden="1" outlineLevel="2" x14ac:dyDescent="0.25">
      <c r="A587" s="363" t="s">
        <v>2794</v>
      </c>
      <c r="B587" s="381" t="s">
        <v>1077</v>
      </c>
      <c r="C587" s="381" t="s">
        <v>1076</v>
      </c>
      <c r="D587" s="100" t="s">
        <v>637</v>
      </c>
      <c r="E587" s="100">
        <v>70.47</v>
      </c>
      <c r="F587" s="220">
        <f>(632505)*(1.023*1.005-2.3%*15%)*6.99+0*4.09</f>
        <v>4530259</v>
      </c>
      <c r="G587" s="145">
        <f>$G$831</f>
        <v>1.1279999999999999</v>
      </c>
      <c r="H587" s="146">
        <f t="shared" ref="H587" si="935">F587*G587</f>
        <v>5110132</v>
      </c>
      <c r="I587" s="145">
        <f>Дефляторы!$D$25</f>
        <v>1.052</v>
      </c>
      <c r="J587" s="146">
        <f t="shared" ref="J587" si="936">H587*I587</f>
        <v>5375859</v>
      </c>
      <c r="K587" s="146">
        <f t="shared" ref="K587" si="937">H587+(J587-H587)*(1-30/100)</f>
        <v>5296141</v>
      </c>
      <c r="L587" s="382"/>
      <c r="M587" s="382"/>
      <c r="N587" s="382"/>
    </row>
    <row r="588" spans="1:14" s="383" customFormat="1" hidden="1" outlineLevel="2" x14ac:dyDescent="0.25">
      <c r="A588" s="363"/>
      <c r="B588" s="381"/>
      <c r="C588" s="390" t="s">
        <v>1078</v>
      </c>
      <c r="D588" s="100"/>
      <c r="E588" s="100"/>
      <c r="F588" s="149"/>
      <c r="G588" s="145"/>
      <c r="H588" s="146"/>
      <c r="I588" s="145">
        <f>Дефляторы!$D$25</f>
        <v>1.052</v>
      </c>
      <c r="J588" s="146"/>
      <c r="K588" s="146"/>
      <c r="L588" s="382"/>
      <c r="M588" s="382"/>
      <c r="N588" s="382"/>
    </row>
    <row r="589" spans="1:14" s="383" customFormat="1" hidden="1" outlineLevel="2" x14ac:dyDescent="0.25">
      <c r="A589" s="363" t="s">
        <v>2795</v>
      </c>
      <c r="B589" s="381" t="s">
        <v>1080</v>
      </c>
      <c r="C589" s="381" t="s">
        <v>1079</v>
      </c>
      <c r="D589" s="100" t="s">
        <v>637</v>
      </c>
      <c r="E589" s="145">
        <f>7.149+0.678</f>
        <v>7.827</v>
      </c>
      <c r="F589" s="220">
        <f>(70535)*(1.023*1.005-2.3%*15%)*6.99+0*4.09</f>
        <v>505200</v>
      </c>
      <c r="G589" s="145">
        <f t="shared" ref="G589:G603" si="938">$G$831</f>
        <v>1.1279999999999999</v>
      </c>
      <c r="H589" s="146">
        <f t="shared" ref="H589" si="939">F589*G589</f>
        <v>569866</v>
      </c>
      <c r="I589" s="145">
        <f>Дефляторы!$D$25</f>
        <v>1.052</v>
      </c>
      <c r="J589" s="146">
        <f t="shared" ref="J589" si="940">H589*I589</f>
        <v>599499</v>
      </c>
      <c r="K589" s="146">
        <f t="shared" ref="K589" si="941">H589+(J589-H589)*(1-30/100)</f>
        <v>590609</v>
      </c>
      <c r="L589" s="382"/>
      <c r="M589" s="382"/>
      <c r="N589" s="382"/>
    </row>
    <row r="590" spans="1:14" s="383" customFormat="1" hidden="1" outlineLevel="2" x14ac:dyDescent="0.25">
      <c r="A590" s="363" t="s">
        <v>2796</v>
      </c>
      <c r="B590" s="381" t="s">
        <v>1082</v>
      </c>
      <c r="C590" s="381" t="s">
        <v>1081</v>
      </c>
      <c r="D590" s="100" t="s">
        <v>637</v>
      </c>
      <c r="E590" s="100">
        <v>2.1</v>
      </c>
      <c r="F590" s="220">
        <f>(25909)*(1.023*1.005-2.3%*15%)*6.99+0*4.09</f>
        <v>185571</v>
      </c>
      <c r="G590" s="145">
        <f t="shared" si="938"/>
        <v>1.1279999999999999</v>
      </c>
      <c r="H590" s="146">
        <f t="shared" ref="H590" si="942">F590*G590</f>
        <v>209324</v>
      </c>
      <c r="I590" s="145">
        <f>Дефляторы!$D$25</f>
        <v>1.052</v>
      </c>
      <c r="J590" s="146">
        <f t="shared" ref="J590" si="943">H590*I590</f>
        <v>220209</v>
      </c>
      <c r="K590" s="146">
        <f t="shared" ref="K590" si="944">H590+(J590-H590)*(1-30/100)</f>
        <v>216944</v>
      </c>
      <c r="L590" s="382"/>
      <c r="M590" s="382"/>
      <c r="N590" s="382"/>
    </row>
    <row r="591" spans="1:14" s="383" customFormat="1" hidden="1" outlineLevel="2" x14ac:dyDescent="0.25">
      <c r="A591" s="363" t="s">
        <v>2797</v>
      </c>
      <c r="B591" s="381" t="s">
        <v>1084</v>
      </c>
      <c r="C591" s="381" t="s">
        <v>1083</v>
      </c>
      <c r="D591" s="100" t="s">
        <v>637</v>
      </c>
      <c r="E591" s="145">
        <f>65.191</f>
        <v>65.191000000000003</v>
      </c>
      <c r="F591" s="220">
        <f>(632831)*(1.023*1.005-2.3%*15%)*6.99+0*4.09</f>
        <v>4532594</v>
      </c>
      <c r="G591" s="145">
        <f t="shared" si="938"/>
        <v>1.1279999999999999</v>
      </c>
      <c r="H591" s="146">
        <f t="shared" ref="H591" si="945">F591*G591</f>
        <v>5112766</v>
      </c>
      <c r="I591" s="145">
        <f>Дефляторы!$D$25</f>
        <v>1.052</v>
      </c>
      <c r="J591" s="146">
        <f t="shared" ref="J591" si="946">H591*I591</f>
        <v>5378630</v>
      </c>
      <c r="K591" s="146">
        <f t="shared" ref="K591" si="947">H591+(J591-H591)*(1-30/100)</f>
        <v>5298871</v>
      </c>
      <c r="L591" s="382"/>
      <c r="M591" s="382"/>
      <c r="N591" s="382"/>
    </row>
    <row r="592" spans="1:14" s="383" customFormat="1" hidden="1" outlineLevel="2" x14ac:dyDescent="0.25">
      <c r="A592" s="363" t="s">
        <v>2798</v>
      </c>
      <c r="B592" s="381" t="s">
        <v>1086</v>
      </c>
      <c r="C592" s="381" t="s">
        <v>1085</v>
      </c>
      <c r="D592" s="100" t="s">
        <v>637</v>
      </c>
      <c r="E592" s="145">
        <f>21.534</f>
        <v>21.533999999999999</v>
      </c>
      <c r="F592" s="220">
        <f>(193888)*(1.023*1.005-2.3%*15%)*6.99+0*4.09</f>
        <v>1388705</v>
      </c>
      <c r="G592" s="145">
        <f t="shared" si="938"/>
        <v>1.1279999999999999</v>
      </c>
      <c r="H592" s="146">
        <f t="shared" ref="H592" si="948">F592*G592</f>
        <v>1566459</v>
      </c>
      <c r="I592" s="145">
        <f>Дефляторы!$D$25</f>
        <v>1.052</v>
      </c>
      <c r="J592" s="146">
        <f t="shared" ref="J592" si="949">H592*I592</f>
        <v>1647915</v>
      </c>
      <c r="K592" s="146">
        <f t="shared" ref="K592" si="950">H592+(J592-H592)*(1-30/100)</f>
        <v>1623478</v>
      </c>
      <c r="L592" s="382"/>
      <c r="M592" s="382"/>
      <c r="N592" s="382"/>
    </row>
    <row r="593" spans="1:14" s="383" customFormat="1" hidden="1" outlineLevel="2" x14ac:dyDescent="0.25">
      <c r="A593" s="363" t="s">
        <v>2799</v>
      </c>
      <c r="B593" s="381" t="s">
        <v>1088</v>
      </c>
      <c r="C593" s="381" t="s">
        <v>1087</v>
      </c>
      <c r="D593" s="100" t="s">
        <v>637</v>
      </c>
      <c r="E593" s="145">
        <f>2.929</f>
        <v>2.9289999999999998</v>
      </c>
      <c r="F593" s="220">
        <f>(26372)*(1.023*1.005-2.3%*15%)*6.99+0*4.09</f>
        <v>188887</v>
      </c>
      <c r="G593" s="145">
        <f t="shared" si="938"/>
        <v>1.1279999999999999</v>
      </c>
      <c r="H593" s="146">
        <f t="shared" ref="H593" si="951">F593*G593</f>
        <v>213065</v>
      </c>
      <c r="I593" s="145">
        <f>Дефляторы!$D$25</f>
        <v>1.052</v>
      </c>
      <c r="J593" s="146">
        <f t="shared" ref="J593" si="952">H593*I593</f>
        <v>224144</v>
      </c>
      <c r="K593" s="146">
        <f t="shared" ref="K593" si="953">H593+(J593-H593)*(1-30/100)</f>
        <v>220820</v>
      </c>
      <c r="L593" s="382"/>
      <c r="M593" s="382"/>
      <c r="N593" s="382"/>
    </row>
    <row r="594" spans="1:14" s="383" customFormat="1" ht="31.5" hidden="1" outlineLevel="2" x14ac:dyDescent="0.25">
      <c r="A594" s="363" t="s">
        <v>2800</v>
      </c>
      <c r="B594" s="381" t="s">
        <v>1090</v>
      </c>
      <c r="C594" s="381" t="s">
        <v>1089</v>
      </c>
      <c r="D594" s="100" t="s">
        <v>404</v>
      </c>
      <c r="E594" s="149">
        <f>136</f>
        <v>136</v>
      </c>
      <c r="F594" s="220">
        <f>(18957)*(1.023*1.005-2.3%*15%)*6.99+0*4.09</f>
        <v>135778</v>
      </c>
      <c r="G594" s="145">
        <f t="shared" si="938"/>
        <v>1.1279999999999999</v>
      </c>
      <c r="H594" s="146">
        <f t="shared" ref="H594" si="954">F594*G594</f>
        <v>153158</v>
      </c>
      <c r="I594" s="145">
        <f>Дефляторы!$D$25</f>
        <v>1.052</v>
      </c>
      <c r="J594" s="146">
        <f t="shared" ref="J594" si="955">H594*I594</f>
        <v>161122</v>
      </c>
      <c r="K594" s="146">
        <f t="shared" ref="K594" si="956">H594+(J594-H594)*(1-30/100)</f>
        <v>158733</v>
      </c>
      <c r="L594" s="382"/>
      <c r="M594" s="382"/>
      <c r="N594" s="382"/>
    </row>
    <row r="595" spans="1:14" s="385" customFormat="1" outlineLevel="1" collapsed="1" x14ac:dyDescent="0.25">
      <c r="A595" s="132" t="s">
        <v>515</v>
      </c>
      <c r="B595" s="320"/>
      <c r="C595" s="133" t="s">
        <v>2454</v>
      </c>
      <c r="D595" s="134" t="s">
        <v>292</v>
      </c>
      <c r="E595" s="90">
        <v>1</v>
      </c>
      <c r="F595" s="90">
        <f>F596+F597+F603+F653+F659+F661+F664+F701+F702</f>
        <v>95383781</v>
      </c>
      <c r="G595" s="135">
        <f t="shared" si="938"/>
        <v>1.1279999999999999</v>
      </c>
      <c r="H595" s="90">
        <f>H596+H597+H603+H653+H659+H661+H664+H701+H702</f>
        <v>107592912</v>
      </c>
      <c r="I595" s="135">
        <f>Дефляторы!$D$25</f>
        <v>1.052</v>
      </c>
      <c r="J595" s="90">
        <f>J596+J597+J603+J653+J659+J661+J664+J701+J702</f>
        <v>113187751</v>
      </c>
      <c r="K595" s="90">
        <f>K596+K597+K603+K653+K659+K661+K664+K701+K702</f>
        <v>111509306</v>
      </c>
    </row>
    <row r="596" spans="1:14" s="383" customFormat="1" ht="31.5" hidden="1" outlineLevel="2" x14ac:dyDescent="0.25">
      <c r="A596" s="363" t="s">
        <v>2147</v>
      </c>
      <c r="B596" s="381" t="s">
        <v>788</v>
      </c>
      <c r="C596" s="381" t="s">
        <v>1816</v>
      </c>
      <c r="D596" s="100" t="s">
        <v>292</v>
      </c>
      <c r="E596" s="149">
        <v>1</v>
      </c>
      <c r="F596" s="220">
        <f>32437*(1.023*1.005-2.3%*15%)*6.99+408816*4.09</f>
        <v>1904384</v>
      </c>
      <c r="G596" s="145">
        <f t="shared" si="938"/>
        <v>1.1279999999999999</v>
      </c>
      <c r="H596" s="146">
        <f>F596*G596</f>
        <v>2148145</v>
      </c>
      <c r="I596" s="145">
        <f>Дефляторы!$D$25</f>
        <v>1.052</v>
      </c>
      <c r="J596" s="146">
        <f>H596*I596</f>
        <v>2259849</v>
      </c>
      <c r="K596" s="146">
        <f>H596+(J596-H596)*(1-30/100)</f>
        <v>2226338</v>
      </c>
      <c r="L596" s="382"/>
      <c r="M596" s="382"/>
      <c r="N596" s="382"/>
    </row>
    <row r="597" spans="1:14" s="383" customFormat="1" ht="31.5" hidden="1" outlineLevel="2" collapsed="1" x14ac:dyDescent="0.25">
      <c r="A597" s="95" t="s">
        <v>2148</v>
      </c>
      <c r="B597" s="381" t="s">
        <v>166</v>
      </c>
      <c r="C597" s="381" t="s">
        <v>1920</v>
      </c>
      <c r="D597" s="100" t="s">
        <v>292</v>
      </c>
      <c r="E597" s="149">
        <v>1</v>
      </c>
      <c r="F597" s="220">
        <f>SUM(F598:F602)</f>
        <v>2441220</v>
      </c>
      <c r="G597" s="145">
        <f t="shared" si="938"/>
        <v>1.1279999999999999</v>
      </c>
      <c r="H597" s="149">
        <f>SUM(H598:H602)</f>
        <v>2753697</v>
      </c>
      <c r="I597" s="145">
        <f>Дефляторы!$D$25</f>
        <v>1.052</v>
      </c>
      <c r="J597" s="149">
        <f>SUM(J598:J602)</f>
        <v>2896889</v>
      </c>
      <c r="K597" s="149">
        <f>SUM(K598:K602)</f>
        <v>2853932</v>
      </c>
      <c r="L597" s="382"/>
      <c r="M597" s="382"/>
      <c r="N597" s="382"/>
    </row>
    <row r="598" spans="1:14" s="383" customFormat="1" hidden="1" outlineLevel="3" x14ac:dyDescent="0.25">
      <c r="A598" s="363" t="s">
        <v>2801</v>
      </c>
      <c r="B598" s="381" t="s">
        <v>1091</v>
      </c>
      <c r="C598" s="381" t="s">
        <v>601</v>
      </c>
      <c r="D598" s="100" t="s">
        <v>292</v>
      </c>
      <c r="E598" s="149">
        <v>1</v>
      </c>
      <c r="F598" s="220">
        <f>(21358)*(1.023*1.005-2.3%*15%)*6.99+236956*4.09+30</f>
        <v>1122155</v>
      </c>
      <c r="G598" s="145">
        <f t="shared" si="938"/>
        <v>1.1279999999999999</v>
      </c>
      <c r="H598" s="146">
        <f t="shared" ref="H598" si="957">F598*G598</f>
        <v>1265791</v>
      </c>
      <c r="I598" s="145">
        <f>Дефляторы!$D$25</f>
        <v>1.052</v>
      </c>
      <c r="J598" s="146">
        <f t="shared" ref="J598" si="958">H598*I598</f>
        <v>1331612</v>
      </c>
      <c r="K598" s="146">
        <f t="shared" ref="K598" si="959">H598+(J598-H598)*(1-30/100)</f>
        <v>1311866</v>
      </c>
      <c r="L598" s="382"/>
      <c r="M598" s="382"/>
      <c r="N598" s="382"/>
    </row>
    <row r="599" spans="1:14" s="383" customFormat="1" hidden="1" outlineLevel="3" x14ac:dyDescent="0.25">
      <c r="A599" s="363" t="s">
        <v>2802</v>
      </c>
      <c r="B599" s="381" t="s">
        <v>1092</v>
      </c>
      <c r="C599" s="381" t="s">
        <v>603</v>
      </c>
      <c r="D599" s="100" t="s">
        <v>292</v>
      </c>
      <c r="E599" s="149">
        <v>1</v>
      </c>
      <c r="F599" s="220">
        <f>(22317)*(1.023*1.005-2.3%*15%)*6.99+15464*4.09</f>
        <v>223091</v>
      </c>
      <c r="G599" s="145">
        <f t="shared" si="938"/>
        <v>1.1279999999999999</v>
      </c>
      <c r="H599" s="146">
        <f t="shared" ref="H599" si="960">F599*G599</f>
        <v>251647</v>
      </c>
      <c r="I599" s="145">
        <f>Дефляторы!$D$25</f>
        <v>1.052</v>
      </c>
      <c r="J599" s="146">
        <f t="shared" ref="J599" si="961">H599*I599</f>
        <v>264733</v>
      </c>
      <c r="K599" s="146">
        <f t="shared" ref="K599" si="962">H599+(J599-H599)*(1-30/100)</f>
        <v>260807</v>
      </c>
      <c r="L599" s="382"/>
      <c r="M599" s="382"/>
      <c r="N599" s="382"/>
    </row>
    <row r="600" spans="1:14" s="383" customFormat="1" hidden="1" outlineLevel="3" x14ac:dyDescent="0.25">
      <c r="A600" s="363" t="s">
        <v>2803</v>
      </c>
      <c r="B600" s="381" t="s">
        <v>1093</v>
      </c>
      <c r="C600" s="381" t="s">
        <v>808</v>
      </c>
      <c r="D600" s="100" t="s">
        <v>292</v>
      </c>
      <c r="E600" s="149">
        <v>1</v>
      </c>
      <c r="F600" s="220">
        <f>(33441)*(1.023*1.005-2.3%*15%)*6.99+18599*4.09</f>
        <v>315588</v>
      </c>
      <c r="G600" s="145">
        <f t="shared" si="938"/>
        <v>1.1279999999999999</v>
      </c>
      <c r="H600" s="146">
        <f t="shared" ref="H600" si="963">F600*G600</f>
        <v>355983</v>
      </c>
      <c r="I600" s="145">
        <f>Дефляторы!$D$25</f>
        <v>1.052</v>
      </c>
      <c r="J600" s="146">
        <f t="shared" ref="J600" si="964">H600*I600</f>
        <v>374494</v>
      </c>
      <c r="K600" s="146">
        <f t="shared" ref="K600" si="965">H600+(J600-H600)*(1-30/100)</f>
        <v>368941</v>
      </c>
      <c r="L600" s="382"/>
      <c r="M600" s="382"/>
      <c r="N600" s="382"/>
    </row>
    <row r="601" spans="1:14" s="383" customFormat="1" hidden="1" outlineLevel="3" x14ac:dyDescent="0.25">
      <c r="A601" s="363" t="s">
        <v>2804</v>
      </c>
      <c r="B601" s="381" t="s">
        <v>1095</v>
      </c>
      <c r="C601" s="381" t="s">
        <v>1094</v>
      </c>
      <c r="D601" s="100" t="s">
        <v>292</v>
      </c>
      <c r="E601" s="149">
        <v>1</v>
      </c>
      <c r="F601" s="220">
        <f>(2301)*(1.023*1.005-2.3%*15%)*6.99+11587*4.09</f>
        <v>63872</v>
      </c>
      <c r="G601" s="145">
        <f t="shared" si="938"/>
        <v>1.1279999999999999</v>
      </c>
      <c r="H601" s="146">
        <f t="shared" ref="H601" si="966">F601*G601</f>
        <v>72048</v>
      </c>
      <c r="I601" s="145">
        <f>Дефляторы!$D$25</f>
        <v>1.052</v>
      </c>
      <c r="J601" s="146">
        <f t="shared" ref="J601" si="967">H601*I601</f>
        <v>75794</v>
      </c>
      <c r="K601" s="146">
        <f t="shared" ref="K601" si="968">H601+(J601-H601)*(1-30/100)</f>
        <v>74670</v>
      </c>
      <c r="L601" s="382"/>
      <c r="M601" s="382"/>
      <c r="N601" s="382"/>
    </row>
    <row r="602" spans="1:14" s="383" customFormat="1" hidden="1" outlineLevel="3" x14ac:dyDescent="0.25">
      <c r="A602" s="363" t="s">
        <v>2805</v>
      </c>
      <c r="B602" s="381" t="s">
        <v>1097</v>
      </c>
      <c r="C602" s="381" t="s">
        <v>1096</v>
      </c>
      <c r="D602" s="100" t="s">
        <v>292</v>
      </c>
      <c r="E602" s="149">
        <v>1</v>
      </c>
      <c r="F602" s="220">
        <f>(2107)*(1.023*1.005-2.3%*15%)*6.99+171497*4.09</f>
        <v>716514</v>
      </c>
      <c r="G602" s="145">
        <f t="shared" si="938"/>
        <v>1.1279999999999999</v>
      </c>
      <c r="H602" s="146">
        <f t="shared" ref="H602" si="969">F602*G602</f>
        <v>808228</v>
      </c>
      <c r="I602" s="145">
        <f>Дефляторы!$D$25</f>
        <v>1.052</v>
      </c>
      <c r="J602" s="146">
        <f t="shared" ref="J602" si="970">H602*I602</f>
        <v>850256</v>
      </c>
      <c r="K602" s="146">
        <f t="shared" ref="K602" si="971">H602+(J602-H602)*(1-30/100)</f>
        <v>837648</v>
      </c>
      <c r="L602" s="382"/>
      <c r="M602" s="382"/>
      <c r="N602" s="382"/>
    </row>
    <row r="603" spans="1:14" s="419" customFormat="1" ht="31.5" hidden="1" outlineLevel="2" collapsed="1" x14ac:dyDescent="0.25">
      <c r="A603" s="95" t="s">
        <v>2149</v>
      </c>
      <c r="B603" s="381" t="s">
        <v>170</v>
      </c>
      <c r="C603" s="381" t="s">
        <v>2380</v>
      </c>
      <c r="D603" s="100" t="s">
        <v>292</v>
      </c>
      <c r="E603" s="149">
        <v>1</v>
      </c>
      <c r="F603" s="220">
        <f>SUM(F604:F652)</f>
        <v>28157646</v>
      </c>
      <c r="G603" s="145">
        <f t="shared" si="938"/>
        <v>1.1279999999999999</v>
      </c>
      <c r="H603" s="149">
        <f>SUM(H604:H652)</f>
        <v>31761830</v>
      </c>
      <c r="I603" s="145">
        <f>Дефляторы!$D$25</f>
        <v>1.052</v>
      </c>
      <c r="J603" s="149">
        <f>SUM(J604:J652)</f>
        <v>33413451</v>
      </c>
      <c r="K603" s="149">
        <f>SUM(K604:K652)</f>
        <v>32917969</v>
      </c>
      <c r="L603" s="418"/>
      <c r="M603" s="418"/>
      <c r="N603" s="418"/>
    </row>
    <row r="604" spans="1:14" s="383" customFormat="1" hidden="1" outlineLevel="3" x14ac:dyDescent="0.25">
      <c r="A604" s="363"/>
      <c r="B604" s="381"/>
      <c r="C604" s="381" t="s">
        <v>379</v>
      </c>
      <c r="D604" s="100"/>
      <c r="E604" s="145"/>
      <c r="F604" s="149"/>
      <c r="G604" s="145"/>
      <c r="H604" s="146"/>
      <c r="I604" s="145"/>
      <c r="J604" s="146"/>
      <c r="K604" s="146"/>
      <c r="L604" s="382"/>
      <c r="M604" s="382"/>
      <c r="N604" s="382"/>
    </row>
    <row r="605" spans="1:14" s="383" customFormat="1" hidden="1" outlineLevel="3" x14ac:dyDescent="0.25">
      <c r="A605" s="363"/>
      <c r="B605" s="381"/>
      <c r="C605" s="390" t="s">
        <v>1098</v>
      </c>
      <c r="D605" s="100"/>
      <c r="E605" s="145"/>
      <c r="F605" s="149"/>
      <c r="G605" s="145"/>
      <c r="H605" s="146"/>
      <c r="I605" s="145"/>
      <c r="J605" s="146"/>
      <c r="K605" s="146"/>
      <c r="L605" s="382"/>
      <c r="M605" s="382"/>
      <c r="N605" s="382"/>
    </row>
    <row r="606" spans="1:14" s="383" customFormat="1" hidden="1" outlineLevel="3" x14ac:dyDescent="0.25">
      <c r="A606" s="363" t="s">
        <v>441</v>
      </c>
      <c r="B606" s="381" t="s">
        <v>1154</v>
      </c>
      <c r="C606" s="381" t="s">
        <v>1106</v>
      </c>
      <c r="D606" s="100" t="s">
        <v>408</v>
      </c>
      <c r="E606" s="149">
        <v>1</v>
      </c>
      <c r="F606" s="220">
        <f>(2212)*(1.023*1.005-2.3%*15%)*6.99+1119896*4.09</f>
        <v>4596218</v>
      </c>
      <c r="G606" s="145">
        <f t="shared" ref="G606:G619" si="972">$G$831</f>
        <v>1.1279999999999999</v>
      </c>
      <c r="H606" s="146">
        <f t="shared" ref="H606" si="973">F606*G606</f>
        <v>5184534</v>
      </c>
      <c r="I606" s="145">
        <f>Дефляторы!$D$25</f>
        <v>1.052</v>
      </c>
      <c r="J606" s="146">
        <f t="shared" ref="J606" si="974">H606*I606</f>
        <v>5454130</v>
      </c>
      <c r="K606" s="146">
        <f t="shared" ref="K606" si="975">H606+(J606-H606)*(1-30/100)</f>
        <v>5373251</v>
      </c>
      <c r="L606" s="382" t="s">
        <v>1197</v>
      </c>
      <c r="M606" s="382"/>
      <c r="N606" s="382"/>
    </row>
    <row r="607" spans="1:14" s="383" customFormat="1" hidden="1" outlineLevel="3" x14ac:dyDescent="0.25">
      <c r="A607" s="363" t="s">
        <v>442</v>
      </c>
      <c r="B607" s="381" t="s">
        <v>1155</v>
      </c>
      <c r="C607" s="381" t="s">
        <v>1107</v>
      </c>
      <c r="D607" s="100" t="s">
        <v>408</v>
      </c>
      <c r="E607" s="149">
        <v>1</v>
      </c>
      <c r="F607" s="220">
        <f t="shared" ref="F607:F615" si="976">(145)*(1.023*1.005-2.3%*15%)*6.99+10194*4.09</f>
        <v>42732</v>
      </c>
      <c r="G607" s="145">
        <f t="shared" si="972"/>
        <v>1.1279999999999999</v>
      </c>
      <c r="H607" s="146">
        <f t="shared" ref="H607" si="977">F607*G607</f>
        <v>48202</v>
      </c>
      <c r="I607" s="145">
        <f>Дефляторы!$D$25</f>
        <v>1.052</v>
      </c>
      <c r="J607" s="146">
        <f t="shared" ref="J607" si="978">H607*I607</f>
        <v>50709</v>
      </c>
      <c r="K607" s="146">
        <f t="shared" ref="K607" si="979">H607+(J607-H607)*(1-30/100)</f>
        <v>49957</v>
      </c>
      <c r="L607" s="382"/>
      <c r="M607" s="382"/>
      <c r="N607" s="382"/>
    </row>
    <row r="608" spans="1:14" s="383" customFormat="1" hidden="1" outlineLevel="3" x14ac:dyDescent="0.25">
      <c r="A608" s="363" t="s">
        <v>443</v>
      </c>
      <c r="B608" s="381" t="s">
        <v>1156</v>
      </c>
      <c r="C608" s="381" t="s">
        <v>1108</v>
      </c>
      <c r="D608" s="100" t="s">
        <v>408</v>
      </c>
      <c r="E608" s="149">
        <v>1</v>
      </c>
      <c r="F608" s="220">
        <f t="shared" si="976"/>
        <v>42732</v>
      </c>
      <c r="G608" s="145">
        <f t="shared" si="972"/>
        <v>1.1279999999999999</v>
      </c>
      <c r="H608" s="146">
        <f t="shared" ref="H608" si="980">F608*G608</f>
        <v>48202</v>
      </c>
      <c r="I608" s="145">
        <f>Дефляторы!$D$25</f>
        <v>1.052</v>
      </c>
      <c r="J608" s="146">
        <f t="shared" ref="J608" si="981">H608*I608</f>
        <v>50709</v>
      </c>
      <c r="K608" s="146">
        <f t="shared" ref="K608" si="982">H608+(J608-H608)*(1-30/100)</f>
        <v>49957</v>
      </c>
      <c r="L608" s="382"/>
      <c r="M608" s="382"/>
      <c r="N608" s="382"/>
    </row>
    <row r="609" spans="1:14" s="383" customFormat="1" hidden="1" outlineLevel="3" x14ac:dyDescent="0.25">
      <c r="A609" s="363" t="s">
        <v>1948</v>
      </c>
      <c r="B609" s="381" t="s">
        <v>1157</v>
      </c>
      <c r="C609" s="381" t="s">
        <v>1109</v>
      </c>
      <c r="D609" s="100" t="s">
        <v>408</v>
      </c>
      <c r="E609" s="149">
        <v>1</v>
      </c>
      <c r="F609" s="220">
        <f t="shared" si="976"/>
        <v>42732</v>
      </c>
      <c r="G609" s="145">
        <f t="shared" si="972"/>
        <v>1.1279999999999999</v>
      </c>
      <c r="H609" s="146">
        <f t="shared" ref="H609:H615" si="983">F609*G609</f>
        <v>48202</v>
      </c>
      <c r="I609" s="145">
        <f>Дефляторы!$D$25</f>
        <v>1.052</v>
      </c>
      <c r="J609" s="146">
        <f t="shared" ref="J609:J615" si="984">H609*I609</f>
        <v>50709</v>
      </c>
      <c r="K609" s="146">
        <f t="shared" ref="K609:K615" si="985">H609+(J609-H609)*(1-30/100)</f>
        <v>49957</v>
      </c>
      <c r="L609" s="382"/>
      <c r="M609" s="382"/>
      <c r="N609" s="382"/>
    </row>
    <row r="610" spans="1:14" s="383" customFormat="1" hidden="1" outlineLevel="3" x14ac:dyDescent="0.25">
      <c r="A610" s="363" t="s">
        <v>1949</v>
      </c>
      <c r="B610" s="381" t="s">
        <v>1158</v>
      </c>
      <c r="C610" s="381" t="s">
        <v>1110</v>
      </c>
      <c r="D610" s="100" t="s">
        <v>408</v>
      </c>
      <c r="E610" s="149">
        <v>1</v>
      </c>
      <c r="F610" s="220">
        <f t="shared" si="976"/>
        <v>42732</v>
      </c>
      <c r="G610" s="145">
        <f t="shared" si="972"/>
        <v>1.1279999999999999</v>
      </c>
      <c r="H610" s="146">
        <f t="shared" si="983"/>
        <v>48202</v>
      </c>
      <c r="I610" s="145">
        <f>Дефляторы!$D$25</f>
        <v>1.052</v>
      </c>
      <c r="J610" s="146">
        <f t="shared" si="984"/>
        <v>50709</v>
      </c>
      <c r="K610" s="146">
        <f t="shared" si="985"/>
        <v>49957</v>
      </c>
      <c r="L610" s="382"/>
      <c r="M610" s="382"/>
      <c r="N610" s="382"/>
    </row>
    <row r="611" spans="1:14" s="383" customFormat="1" hidden="1" outlineLevel="3" x14ac:dyDescent="0.25">
      <c r="A611" s="363" t="s">
        <v>1950</v>
      </c>
      <c r="B611" s="381" t="s">
        <v>1159</v>
      </c>
      <c r="C611" s="381" t="s">
        <v>1111</v>
      </c>
      <c r="D611" s="100" t="s">
        <v>408</v>
      </c>
      <c r="E611" s="149">
        <v>1</v>
      </c>
      <c r="F611" s="220">
        <f t="shared" si="976"/>
        <v>42732</v>
      </c>
      <c r="G611" s="145">
        <f t="shared" si="972"/>
        <v>1.1279999999999999</v>
      </c>
      <c r="H611" s="146">
        <f t="shared" si="983"/>
        <v>48202</v>
      </c>
      <c r="I611" s="145">
        <f>Дефляторы!$D$25</f>
        <v>1.052</v>
      </c>
      <c r="J611" s="146">
        <f t="shared" si="984"/>
        <v>50709</v>
      </c>
      <c r="K611" s="146">
        <f t="shared" si="985"/>
        <v>49957</v>
      </c>
      <c r="L611" s="382"/>
      <c r="M611" s="382"/>
      <c r="N611" s="382"/>
    </row>
    <row r="612" spans="1:14" s="383" customFormat="1" hidden="1" outlineLevel="3" x14ac:dyDescent="0.25">
      <c r="A612" s="363" t="s">
        <v>1951</v>
      </c>
      <c r="B612" s="381" t="s">
        <v>1160</v>
      </c>
      <c r="C612" s="381" t="s">
        <v>1112</v>
      </c>
      <c r="D612" s="100" t="s">
        <v>408</v>
      </c>
      <c r="E612" s="149">
        <v>1</v>
      </c>
      <c r="F612" s="220">
        <f t="shared" si="976"/>
        <v>42732</v>
      </c>
      <c r="G612" s="145">
        <f t="shared" si="972"/>
        <v>1.1279999999999999</v>
      </c>
      <c r="H612" s="146">
        <f t="shared" si="983"/>
        <v>48202</v>
      </c>
      <c r="I612" s="145">
        <f>Дефляторы!$D$25</f>
        <v>1.052</v>
      </c>
      <c r="J612" s="146">
        <f t="shared" si="984"/>
        <v>50709</v>
      </c>
      <c r="K612" s="146">
        <f t="shared" si="985"/>
        <v>49957</v>
      </c>
      <c r="L612" s="382"/>
      <c r="M612" s="382"/>
      <c r="N612" s="382"/>
    </row>
    <row r="613" spans="1:14" s="383" customFormat="1" hidden="1" outlineLevel="3" x14ac:dyDescent="0.25">
      <c r="A613" s="363" t="s">
        <v>1952</v>
      </c>
      <c r="B613" s="381" t="s">
        <v>1161</v>
      </c>
      <c r="C613" s="381" t="s">
        <v>1113</v>
      </c>
      <c r="D613" s="100" t="s">
        <v>408</v>
      </c>
      <c r="E613" s="149">
        <v>1</v>
      </c>
      <c r="F613" s="220">
        <f t="shared" si="976"/>
        <v>42732</v>
      </c>
      <c r="G613" s="145">
        <f t="shared" si="972"/>
        <v>1.1279999999999999</v>
      </c>
      <c r="H613" s="146">
        <f t="shared" si="983"/>
        <v>48202</v>
      </c>
      <c r="I613" s="145">
        <f>Дефляторы!$D$25</f>
        <v>1.052</v>
      </c>
      <c r="J613" s="146">
        <f t="shared" si="984"/>
        <v>50709</v>
      </c>
      <c r="K613" s="146">
        <f t="shared" si="985"/>
        <v>49957</v>
      </c>
      <c r="L613" s="382"/>
      <c r="M613" s="382"/>
      <c r="N613" s="382"/>
    </row>
    <row r="614" spans="1:14" s="383" customFormat="1" hidden="1" outlineLevel="3" x14ac:dyDescent="0.25">
      <c r="A614" s="363" t="s">
        <v>1953</v>
      </c>
      <c r="B614" s="381" t="s">
        <v>1162</v>
      </c>
      <c r="C614" s="381" t="s">
        <v>1114</v>
      </c>
      <c r="D614" s="100" t="s">
        <v>408</v>
      </c>
      <c r="E614" s="149">
        <v>1</v>
      </c>
      <c r="F614" s="220">
        <f t="shared" si="976"/>
        <v>42732</v>
      </c>
      <c r="G614" s="145">
        <f t="shared" si="972"/>
        <v>1.1279999999999999</v>
      </c>
      <c r="H614" s="146">
        <f t="shared" si="983"/>
        <v>48202</v>
      </c>
      <c r="I614" s="145">
        <f>Дефляторы!$D$25</f>
        <v>1.052</v>
      </c>
      <c r="J614" s="146">
        <f t="shared" si="984"/>
        <v>50709</v>
      </c>
      <c r="K614" s="146">
        <f t="shared" si="985"/>
        <v>49957</v>
      </c>
      <c r="L614" s="382"/>
      <c r="M614" s="382"/>
      <c r="N614" s="382"/>
    </row>
    <row r="615" spans="1:14" s="383" customFormat="1" hidden="1" outlineLevel="3" x14ac:dyDescent="0.25">
      <c r="A615" s="363" t="s">
        <v>1954</v>
      </c>
      <c r="B615" s="381" t="s">
        <v>1163</v>
      </c>
      <c r="C615" s="381" t="s">
        <v>1115</v>
      </c>
      <c r="D615" s="100" t="s">
        <v>408</v>
      </c>
      <c r="E615" s="149">
        <v>1</v>
      </c>
      <c r="F615" s="220">
        <f t="shared" si="976"/>
        <v>42732</v>
      </c>
      <c r="G615" s="145">
        <f t="shared" si="972"/>
        <v>1.1279999999999999</v>
      </c>
      <c r="H615" s="146">
        <f t="shared" si="983"/>
        <v>48202</v>
      </c>
      <c r="I615" s="145">
        <f>Дефляторы!$D$25</f>
        <v>1.052</v>
      </c>
      <c r="J615" s="146">
        <f t="shared" si="984"/>
        <v>50709</v>
      </c>
      <c r="K615" s="146">
        <f t="shared" si="985"/>
        <v>49957</v>
      </c>
      <c r="L615" s="382"/>
      <c r="M615" s="382"/>
      <c r="N615" s="382"/>
    </row>
    <row r="616" spans="1:14" s="383" customFormat="1" hidden="1" outlineLevel="3" x14ac:dyDescent="0.25">
      <c r="A616" s="363" t="s">
        <v>1955</v>
      </c>
      <c r="B616" s="381" t="s">
        <v>1164</v>
      </c>
      <c r="C616" s="381" t="s">
        <v>1116</v>
      </c>
      <c r="D616" s="100" t="s">
        <v>408</v>
      </c>
      <c r="E616" s="149">
        <v>1</v>
      </c>
      <c r="F616" s="220">
        <f>(145)*(1.023*1.005-2.3%*15%)*6.99+148772*4.09</f>
        <v>609516</v>
      </c>
      <c r="G616" s="145">
        <f t="shared" si="972"/>
        <v>1.1279999999999999</v>
      </c>
      <c r="H616" s="146">
        <f t="shared" ref="H616" si="986">F616*G616</f>
        <v>687534</v>
      </c>
      <c r="I616" s="145">
        <f>Дефляторы!$D$25</f>
        <v>1.052</v>
      </c>
      <c r="J616" s="146">
        <f t="shared" ref="J616" si="987">H616*I616</f>
        <v>723286</v>
      </c>
      <c r="K616" s="146">
        <f t="shared" ref="K616" si="988">H616+(J616-H616)*(1-30/100)</f>
        <v>712560</v>
      </c>
      <c r="L616" s="382" t="s">
        <v>1199</v>
      </c>
      <c r="M616" s="382"/>
      <c r="N616" s="382"/>
    </row>
    <row r="617" spans="1:14" s="383" customFormat="1" hidden="1" outlineLevel="3" x14ac:dyDescent="0.25">
      <c r="A617" s="363" t="s">
        <v>1956</v>
      </c>
      <c r="B617" s="381" t="s">
        <v>1165</v>
      </c>
      <c r="C617" s="381" t="s">
        <v>1117</v>
      </c>
      <c r="D617" s="100" t="s">
        <v>408</v>
      </c>
      <c r="E617" s="149">
        <v>1</v>
      </c>
      <c r="F617" s="220">
        <f>(145)*(1.023*1.005-2.3%*15%)*6.99+10194*4.09</f>
        <v>42732</v>
      </c>
      <c r="G617" s="145">
        <f t="shared" si="972"/>
        <v>1.1279999999999999</v>
      </c>
      <c r="H617" s="146">
        <f t="shared" ref="H617" si="989">F617*G617</f>
        <v>48202</v>
      </c>
      <c r="I617" s="145">
        <f>Дефляторы!$D$25</f>
        <v>1.052</v>
      </c>
      <c r="J617" s="146">
        <f t="shared" ref="J617" si="990">H617*I617</f>
        <v>50709</v>
      </c>
      <c r="K617" s="146">
        <f t="shared" ref="K617" si="991">H617+(J617-H617)*(1-30/100)</f>
        <v>49957</v>
      </c>
      <c r="L617" s="382"/>
      <c r="M617" s="382"/>
      <c r="N617" s="382"/>
    </row>
    <row r="618" spans="1:14" s="383" customFormat="1" hidden="1" outlineLevel="3" x14ac:dyDescent="0.25">
      <c r="A618" s="363" t="s">
        <v>1957</v>
      </c>
      <c r="B618" s="381" t="s">
        <v>1166</v>
      </c>
      <c r="C618" s="381" t="s">
        <v>1118</v>
      </c>
      <c r="D618" s="100" t="s">
        <v>408</v>
      </c>
      <c r="E618" s="149">
        <v>1</v>
      </c>
      <c r="F618" s="220">
        <f>(145)*(1.023*1.005-2.3%*15%)*6.99+15716*4.09</f>
        <v>65317</v>
      </c>
      <c r="G618" s="145">
        <f t="shared" si="972"/>
        <v>1.1279999999999999</v>
      </c>
      <c r="H618" s="146">
        <f t="shared" ref="H618" si="992">F618*G618</f>
        <v>73678</v>
      </c>
      <c r="I618" s="145">
        <f>Дефляторы!$D$25</f>
        <v>1.052</v>
      </c>
      <c r="J618" s="146">
        <f t="shared" ref="J618" si="993">H618*I618</f>
        <v>77509</v>
      </c>
      <c r="K618" s="146">
        <f t="shared" ref="K618" si="994">H618+(J618-H618)*(1-30/100)</f>
        <v>76360</v>
      </c>
      <c r="L618" s="382"/>
      <c r="M618" s="382"/>
      <c r="N618" s="382"/>
    </row>
    <row r="619" spans="1:14" s="383" customFormat="1" hidden="1" outlineLevel="3" x14ac:dyDescent="0.25">
      <c r="A619" s="363" t="s">
        <v>1958</v>
      </c>
      <c r="B619" s="381" t="s">
        <v>1167</v>
      </c>
      <c r="C619" s="381" t="s">
        <v>1119</v>
      </c>
      <c r="D619" s="100" t="s">
        <v>408</v>
      </c>
      <c r="E619" s="149">
        <v>1</v>
      </c>
      <c r="F619" s="220">
        <f>(145)*(1.023*1.005-2.3%*15%)*6.99+15716*4.09</f>
        <v>65317</v>
      </c>
      <c r="G619" s="145">
        <f t="shared" si="972"/>
        <v>1.1279999999999999</v>
      </c>
      <c r="H619" s="146">
        <f t="shared" ref="H619" si="995">F619*G619</f>
        <v>73678</v>
      </c>
      <c r="I619" s="145">
        <f>Дефляторы!$D$25</f>
        <v>1.052</v>
      </c>
      <c r="J619" s="146">
        <f t="shared" ref="J619" si="996">H619*I619</f>
        <v>77509</v>
      </c>
      <c r="K619" s="146">
        <f t="shared" ref="K619" si="997">H619+(J619-H619)*(1-30/100)</f>
        <v>76360</v>
      </c>
      <c r="L619" s="382"/>
      <c r="M619" s="382"/>
      <c r="N619" s="382"/>
    </row>
    <row r="620" spans="1:14" s="383" customFormat="1" hidden="1" outlineLevel="3" x14ac:dyDescent="0.25">
      <c r="A620" s="363"/>
      <c r="B620" s="381"/>
      <c r="C620" s="390" t="s">
        <v>1120</v>
      </c>
      <c r="D620" s="100"/>
      <c r="E620" s="145"/>
      <c r="F620" s="149"/>
      <c r="G620" s="145"/>
      <c r="H620" s="146"/>
      <c r="I620" s="145">
        <f>Дефляторы!$D$25</f>
        <v>1.052</v>
      </c>
      <c r="J620" s="146"/>
      <c r="K620" s="146"/>
      <c r="L620" s="382"/>
      <c r="M620" s="382"/>
      <c r="N620" s="382"/>
    </row>
    <row r="621" spans="1:14" s="383" customFormat="1" hidden="1" outlineLevel="3" x14ac:dyDescent="0.25">
      <c r="A621" s="363" t="s">
        <v>1959</v>
      </c>
      <c r="B621" s="381" t="s">
        <v>1168</v>
      </c>
      <c r="C621" s="381" t="s">
        <v>1122</v>
      </c>
      <c r="D621" s="100" t="s">
        <v>408</v>
      </c>
      <c r="E621" s="149">
        <v>363</v>
      </c>
      <c r="F621" s="220">
        <f>(8399)*(1.023*1.005-2.3%*15%)*6.99+0*4.09</f>
        <v>60157</v>
      </c>
      <c r="G621" s="145">
        <f t="shared" ref="G621:G627" si="998">$G$831</f>
        <v>1.1279999999999999</v>
      </c>
      <c r="H621" s="146">
        <f t="shared" ref="H621" si="999">F621*G621</f>
        <v>67857</v>
      </c>
      <c r="I621" s="145">
        <f>Дефляторы!$D$25</f>
        <v>1.052</v>
      </c>
      <c r="J621" s="146">
        <f t="shared" ref="J621" si="1000">H621*I621</f>
        <v>71386</v>
      </c>
      <c r="K621" s="146">
        <f t="shared" ref="K621" si="1001">H621+(J621-H621)*(1-30/100)</f>
        <v>70327</v>
      </c>
      <c r="L621" s="382"/>
      <c r="M621" s="382"/>
      <c r="N621" s="382"/>
    </row>
    <row r="622" spans="1:14" s="383" customFormat="1" hidden="1" outlineLevel="3" x14ac:dyDescent="0.25">
      <c r="A622" s="363" t="s">
        <v>1960</v>
      </c>
      <c r="B622" s="381" t="s">
        <v>1169</v>
      </c>
      <c r="C622" s="381" t="s">
        <v>1121</v>
      </c>
      <c r="D622" s="100" t="s">
        <v>408</v>
      </c>
      <c r="E622" s="149">
        <v>87</v>
      </c>
      <c r="F622" s="220">
        <f>(4648)*(1.023*1.005-2.3%*15%)*6.99+0*4.09</f>
        <v>33291</v>
      </c>
      <c r="G622" s="145">
        <f t="shared" si="998"/>
        <v>1.1279999999999999</v>
      </c>
      <c r="H622" s="146">
        <f t="shared" ref="H622" si="1002">F622*G622</f>
        <v>37552</v>
      </c>
      <c r="I622" s="145">
        <f>Дефляторы!$D$25</f>
        <v>1.052</v>
      </c>
      <c r="J622" s="146">
        <f t="shared" ref="J622" si="1003">H622*I622</f>
        <v>39505</v>
      </c>
      <c r="K622" s="146">
        <f t="shared" ref="K622" si="1004">H622+(J622-H622)*(1-30/100)</f>
        <v>38919</v>
      </c>
      <c r="L622" s="382"/>
      <c r="M622" s="382"/>
      <c r="N622" s="382"/>
    </row>
    <row r="623" spans="1:14" s="383" customFormat="1" hidden="1" outlineLevel="3" x14ac:dyDescent="0.25">
      <c r="A623" s="363" t="s">
        <v>1961</v>
      </c>
      <c r="B623" s="381" t="s">
        <v>1170</v>
      </c>
      <c r="C623" s="381" t="s">
        <v>1123</v>
      </c>
      <c r="D623" s="100" t="s">
        <v>408</v>
      </c>
      <c r="E623" s="149">
        <v>611</v>
      </c>
      <c r="F623" s="220">
        <f>(16661)*(1.023*1.005-2.3%*15%)*6.99+0*4.09</f>
        <v>119333</v>
      </c>
      <c r="G623" s="145">
        <f t="shared" si="998"/>
        <v>1.1279999999999999</v>
      </c>
      <c r="H623" s="146">
        <f t="shared" ref="H623" si="1005">F623*G623</f>
        <v>134608</v>
      </c>
      <c r="I623" s="145">
        <f>Дефляторы!$D$25</f>
        <v>1.052</v>
      </c>
      <c r="J623" s="146">
        <f t="shared" ref="J623" si="1006">H623*I623</f>
        <v>141608</v>
      </c>
      <c r="K623" s="146">
        <f t="shared" ref="K623" si="1007">H623+(J623-H623)*(1-30/100)</f>
        <v>139508</v>
      </c>
      <c r="L623" s="382"/>
      <c r="M623" s="382"/>
      <c r="N623" s="382"/>
    </row>
    <row r="624" spans="1:14" s="383" customFormat="1" hidden="1" outlineLevel="3" x14ac:dyDescent="0.25">
      <c r="A624" s="363" t="s">
        <v>1962</v>
      </c>
      <c r="B624" s="381" t="s">
        <v>1171</v>
      </c>
      <c r="C624" s="381" t="s">
        <v>1124</v>
      </c>
      <c r="D624" s="100" t="s">
        <v>408</v>
      </c>
      <c r="E624" s="149">
        <v>9</v>
      </c>
      <c r="F624" s="220">
        <f>(201)*(1.023*1.005-2.3%*15%)*6.99+0*4.09</f>
        <v>1440</v>
      </c>
      <c r="G624" s="145">
        <f t="shared" si="998"/>
        <v>1.1279999999999999</v>
      </c>
      <c r="H624" s="146">
        <f t="shared" ref="H624" si="1008">F624*G624</f>
        <v>1624</v>
      </c>
      <c r="I624" s="145">
        <f>Дефляторы!$D$25</f>
        <v>1.052</v>
      </c>
      <c r="J624" s="146">
        <f t="shared" ref="J624" si="1009">H624*I624</f>
        <v>1708</v>
      </c>
      <c r="K624" s="146">
        <f t="shared" ref="K624" si="1010">H624+(J624-H624)*(1-30/100)</f>
        <v>1683</v>
      </c>
      <c r="L624" s="382"/>
      <c r="M624" s="382"/>
      <c r="N624" s="382"/>
    </row>
    <row r="625" spans="1:14" s="383" customFormat="1" hidden="1" outlineLevel="3" x14ac:dyDescent="0.25">
      <c r="A625" s="363" t="s">
        <v>1963</v>
      </c>
      <c r="B625" s="381" t="s">
        <v>1172</v>
      </c>
      <c r="C625" s="381" t="s">
        <v>1125</v>
      </c>
      <c r="D625" s="100" t="s">
        <v>408</v>
      </c>
      <c r="E625" s="149">
        <v>38</v>
      </c>
      <c r="F625" s="220">
        <f>(2795)*(1.023*1.005-2.3%*15%)*6.99+0*4.09</f>
        <v>20019</v>
      </c>
      <c r="G625" s="145">
        <f t="shared" si="998"/>
        <v>1.1279999999999999</v>
      </c>
      <c r="H625" s="146">
        <f t="shared" ref="H625" si="1011">F625*G625</f>
        <v>22581</v>
      </c>
      <c r="I625" s="145">
        <f>Дефляторы!$D$25</f>
        <v>1.052</v>
      </c>
      <c r="J625" s="146">
        <f t="shared" ref="J625" si="1012">H625*I625</f>
        <v>23755</v>
      </c>
      <c r="K625" s="146">
        <f t="shared" ref="K625" si="1013">H625+(J625-H625)*(1-30/100)</f>
        <v>23403</v>
      </c>
      <c r="L625" s="382"/>
      <c r="M625" s="382"/>
      <c r="N625" s="382"/>
    </row>
    <row r="626" spans="1:14" s="383" customFormat="1" hidden="1" outlineLevel="3" x14ac:dyDescent="0.25">
      <c r="A626" s="363" t="s">
        <v>1964</v>
      </c>
      <c r="B626" s="381" t="s">
        <v>1173</v>
      </c>
      <c r="C626" s="381" t="s">
        <v>1126</v>
      </c>
      <c r="D626" s="100" t="s">
        <v>408</v>
      </c>
      <c r="E626" s="149">
        <v>40</v>
      </c>
      <c r="F626" s="220">
        <f>(892)*(1.023*1.005-2.3%*15%)*6.99+0*4.09</f>
        <v>6389</v>
      </c>
      <c r="G626" s="145">
        <f t="shared" si="998"/>
        <v>1.1279999999999999</v>
      </c>
      <c r="H626" s="146">
        <f t="shared" ref="H626" si="1014">F626*G626</f>
        <v>7207</v>
      </c>
      <c r="I626" s="145">
        <f>Дефляторы!$D$25</f>
        <v>1.052</v>
      </c>
      <c r="J626" s="146">
        <f t="shared" ref="J626" si="1015">H626*I626</f>
        <v>7582</v>
      </c>
      <c r="K626" s="146">
        <f t="shared" ref="K626" si="1016">H626+(J626-H626)*(1-30/100)</f>
        <v>7470</v>
      </c>
      <c r="L626" s="382"/>
      <c r="M626" s="382"/>
      <c r="N626" s="382"/>
    </row>
    <row r="627" spans="1:14" s="383" customFormat="1" hidden="1" outlineLevel="3" x14ac:dyDescent="0.25">
      <c r="A627" s="363" t="s">
        <v>1965</v>
      </c>
      <c r="B627" s="381" t="s">
        <v>1174</v>
      </c>
      <c r="C627" s="381" t="s">
        <v>1127</v>
      </c>
      <c r="D627" s="100" t="s">
        <v>408</v>
      </c>
      <c r="E627" s="149">
        <v>10</v>
      </c>
      <c r="F627" s="220">
        <f>(534)*(1.023*1.005-2.3%*15%)*6.99+0*4.09</f>
        <v>3825</v>
      </c>
      <c r="G627" s="145">
        <f t="shared" si="998"/>
        <v>1.1279999999999999</v>
      </c>
      <c r="H627" s="146">
        <f t="shared" ref="H627" si="1017">F627*G627</f>
        <v>4315</v>
      </c>
      <c r="I627" s="145">
        <f>Дефляторы!$D$25</f>
        <v>1.052</v>
      </c>
      <c r="J627" s="146">
        <f t="shared" ref="J627" si="1018">H627*I627</f>
        <v>4539</v>
      </c>
      <c r="K627" s="146">
        <f t="shared" ref="K627" si="1019">H627+(J627-H627)*(1-30/100)</f>
        <v>4472</v>
      </c>
      <c r="L627" s="382"/>
      <c r="M627" s="382"/>
      <c r="N627" s="382"/>
    </row>
    <row r="628" spans="1:14" s="383" customFormat="1" hidden="1" outlineLevel="3" x14ac:dyDescent="0.25">
      <c r="A628" s="363"/>
      <c r="B628" s="381"/>
      <c r="C628" s="390" t="s">
        <v>1128</v>
      </c>
      <c r="D628" s="100"/>
      <c r="E628" s="149"/>
      <c r="F628" s="149"/>
      <c r="G628" s="145"/>
      <c r="H628" s="146"/>
      <c r="I628" s="145">
        <f>Дефляторы!$D$25</f>
        <v>1.052</v>
      </c>
      <c r="J628" s="146"/>
      <c r="K628" s="146"/>
      <c r="L628" s="382"/>
      <c r="M628" s="382"/>
      <c r="N628" s="382"/>
    </row>
    <row r="629" spans="1:14" s="383" customFormat="1" ht="283.5" hidden="1" outlineLevel="3" x14ac:dyDescent="0.25">
      <c r="A629" s="363" t="s">
        <v>1966</v>
      </c>
      <c r="B629" s="381" t="s">
        <v>1175</v>
      </c>
      <c r="C629" s="381" t="s">
        <v>1129</v>
      </c>
      <c r="D629" s="100" t="s">
        <v>408</v>
      </c>
      <c r="E629" s="149">
        <v>1</v>
      </c>
      <c r="F629" s="220">
        <f>(521)*(1.023*1.005-2.3%*15%)*6.99+3409444*4.09-32</f>
        <v>13948326</v>
      </c>
      <c r="G629" s="145">
        <f>$G$831</f>
        <v>1.1279999999999999</v>
      </c>
      <c r="H629" s="146">
        <f t="shared" ref="H629" si="1020">F629*G629</f>
        <v>15733712</v>
      </c>
      <c r="I629" s="145">
        <f>Дефляторы!$D$25</f>
        <v>1.052</v>
      </c>
      <c r="J629" s="146">
        <f t="shared" ref="J629" si="1021">H629*I629</f>
        <v>16551865</v>
      </c>
      <c r="K629" s="146">
        <f t="shared" ref="K629" si="1022">H629+(J629-H629)*(1-30/100)</f>
        <v>16306419</v>
      </c>
      <c r="L629" s="396" t="s">
        <v>1198</v>
      </c>
      <c r="M629" s="382"/>
      <c r="N629" s="382"/>
    </row>
    <row r="630" spans="1:14" s="383" customFormat="1" ht="157.5" hidden="1" outlineLevel="3" x14ac:dyDescent="0.25">
      <c r="A630" s="363" t="s">
        <v>1967</v>
      </c>
      <c r="B630" s="381" t="s">
        <v>1176</v>
      </c>
      <c r="C630" s="381" t="s">
        <v>1130</v>
      </c>
      <c r="D630" s="100" t="s">
        <v>408</v>
      </c>
      <c r="E630" s="149">
        <v>1</v>
      </c>
      <c r="F630" s="220">
        <f>(521)*(1.023*1.005-2.3%*15%)*6.99+274384*4.09</f>
        <v>1125962</v>
      </c>
      <c r="G630" s="145">
        <f>$G$831</f>
        <v>1.1279999999999999</v>
      </c>
      <c r="H630" s="146">
        <f t="shared" ref="H630" si="1023">F630*G630</f>
        <v>1270085</v>
      </c>
      <c r="I630" s="145">
        <f>Дефляторы!$D$25</f>
        <v>1.052</v>
      </c>
      <c r="J630" s="146">
        <f t="shared" ref="J630" si="1024">H630*I630</f>
        <v>1336129</v>
      </c>
      <c r="K630" s="146">
        <f t="shared" ref="K630" si="1025">H630+(J630-H630)*(1-30/100)</f>
        <v>1316316</v>
      </c>
      <c r="L630" s="382"/>
      <c r="M630" s="382"/>
      <c r="N630" s="382"/>
    </row>
    <row r="631" spans="1:14" s="383" customFormat="1" hidden="1" outlineLevel="3" x14ac:dyDescent="0.25">
      <c r="A631" s="363"/>
      <c r="B631" s="381"/>
      <c r="C631" s="390" t="s">
        <v>1131</v>
      </c>
      <c r="D631" s="100"/>
      <c r="E631" s="149"/>
      <c r="F631" s="149"/>
      <c r="G631" s="145"/>
      <c r="H631" s="146"/>
      <c r="I631" s="145">
        <f>Дефляторы!$D$25</f>
        <v>1.052</v>
      </c>
      <c r="J631" s="146"/>
      <c r="K631" s="146"/>
      <c r="L631" s="382"/>
      <c r="M631" s="382"/>
      <c r="N631" s="382"/>
    </row>
    <row r="632" spans="1:14" s="383" customFormat="1" ht="31.5" hidden="1" outlineLevel="3" x14ac:dyDescent="0.25">
      <c r="A632" s="363" t="s">
        <v>1968</v>
      </c>
      <c r="B632" s="381" t="s">
        <v>1177</v>
      </c>
      <c r="C632" s="381" t="s">
        <v>1132</v>
      </c>
      <c r="D632" s="100" t="s">
        <v>408</v>
      </c>
      <c r="E632" s="149">
        <v>176</v>
      </c>
      <c r="F632" s="220">
        <f>(214096)*(1.023*1.005-2.3%*15%)*6.99+0*4.09</f>
        <v>1533443</v>
      </c>
      <c r="G632" s="145">
        <f t="shared" ref="G632:G642" si="1026">$G$831</f>
        <v>1.1279999999999999</v>
      </c>
      <c r="H632" s="146">
        <f t="shared" ref="H632" si="1027">F632*G632</f>
        <v>1729724</v>
      </c>
      <c r="I632" s="145">
        <f>Дефляторы!$D$25</f>
        <v>1.052</v>
      </c>
      <c r="J632" s="146">
        <f t="shared" ref="J632" si="1028">H632*I632</f>
        <v>1819670</v>
      </c>
      <c r="K632" s="146">
        <f t="shared" ref="K632" si="1029">H632+(J632-H632)*(1-30/100)</f>
        <v>1792686</v>
      </c>
      <c r="L632" s="382"/>
      <c r="M632" s="382"/>
      <c r="N632" s="382"/>
    </row>
    <row r="633" spans="1:14" s="383" customFormat="1" ht="31.5" hidden="1" outlineLevel="3" x14ac:dyDescent="0.25">
      <c r="A633" s="363" t="s">
        <v>1969</v>
      </c>
      <c r="B633" s="381" t="s">
        <v>1178</v>
      </c>
      <c r="C633" s="381" t="s">
        <v>1133</v>
      </c>
      <c r="D633" s="100" t="s">
        <v>408</v>
      </c>
      <c r="E633" s="149">
        <v>87</v>
      </c>
      <c r="F633" s="220">
        <f>(70788)*(1.023*1.005-2.3%*15%)*6.99+0*4.09</f>
        <v>507013</v>
      </c>
      <c r="G633" s="145">
        <f t="shared" si="1026"/>
        <v>1.1279999999999999</v>
      </c>
      <c r="H633" s="146">
        <f t="shared" ref="H633" si="1030">F633*G633</f>
        <v>571911</v>
      </c>
      <c r="I633" s="145">
        <f>Дефляторы!$D$25</f>
        <v>1.052</v>
      </c>
      <c r="J633" s="146">
        <f t="shared" ref="J633" si="1031">H633*I633</f>
        <v>601650</v>
      </c>
      <c r="K633" s="146">
        <f t="shared" ref="K633" si="1032">H633+(J633-H633)*(1-30/100)</f>
        <v>592728</v>
      </c>
      <c r="L633" s="382"/>
      <c r="M633" s="382"/>
      <c r="N633" s="382"/>
    </row>
    <row r="634" spans="1:14" s="383" customFormat="1" ht="31.5" hidden="1" outlineLevel="3" x14ac:dyDescent="0.25">
      <c r="A634" s="363" t="s">
        <v>1970</v>
      </c>
      <c r="B634" s="381" t="s">
        <v>1179</v>
      </c>
      <c r="C634" s="381" t="s">
        <v>1134</v>
      </c>
      <c r="D634" s="100" t="s">
        <v>408</v>
      </c>
      <c r="E634" s="149">
        <v>8</v>
      </c>
      <c r="F634" s="220">
        <f>(43185)*(1.023*1.005-2.3%*15%)*6.99+0*4.09</f>
        <v>309309</v>
      </c>
      <c r="G634" s="145">
        <f t="shared" si="1026"/>
        <v>1.1279999999999999</v>
      </c>
      <c r="H634" s="146">
        <f t="shared" ref="H634" si="1033">F634*G634</f>
        <v>348901</v>
      </c>
      <c r="I634" s="145">
        <f>Дефляторы!$D$25</f>
        <v>1.052</v>
      </c>
      <c r="J634" s="146">
        <f t="shared" ref="J634" si="1034">H634*I634</f>
        <v>367044</v>
      </c>
      <c r="K634" s="146">
        <f t="shared" ref="K634" si="1035">H634+(J634-H634)*(1-30/100)</f>
        <v>361601</v>
      </c>
      <c r="L634" s="382"/>
      <c r="M634" s="382"/>
      <c r="N634" s="382"/>
    </row>
    <row r="635" spans="1:14" s="383" customFormat="1" hidden="1" outlineLevel="3" x14ac:dyDescent="0.25">
      <c r="A635" s="363" t="s">
        <v>1971</v>
      </c>
      <c r="B635" s="381" t="s">
        <v>1180</v>
      </c>
      <c r="C635" s="381" t="s">
        <v>1135</v>
      </c>
      <c r="D635" s="100" t="s">
        <v>408</v>
      </c>
      <c r="E635" s="149">
        <v>11</v>
      </c>
      <c r="F635" s="220">
        <f>(96817)*(1.023*1.005-2.3%*15%)*6.99+0*4.09</f>
        <v>693443</v>
      </c>
      <c r="G635" s="145">
        <f t="shared" si="1026"/>
        <v>1.1279999999999999</v>
      </c>
      <c r="H635" s="146">
        <f t="shared" ref="H635" si="1036">F635*G635</f>
        <v>782204</v>
      </c>
      <c r="I635" s="145">
        <f>Дефляторы!$D$25</f>
        <v>1.052</v>
      </c>
      <c r="J635" s="146">
        <f t="shared" ref="J635" si="1037">H635*I635</f>
        <v>822879</v>
      </c>
      <c r="K635" s="146">
        <f t="shared" ref="K635" si="1038">H635+(J635-H635)*(1-30/100)</f>
        <v>810677</v>
      </c>
      <c r="L635" s="382"/>
      <c r="M635" s="382"/>
      <c r="N635" s="382"/>
    </row>
    <row r="636" spans="1:14" s="383" customFormat="1" hidden="1" outlineLevel="3" x14ac:dyDescent="0.25">
      <c r="A636" s="363" t="s">
        <v>1972</v>
      </c>
      <c r="B636" s="381" t="s">
        <v>1181</v>
      </c>
      <c r="C636" s="381" t="s">
        <v>1136</v>
      </c>
      <c r="D636" s="100" t="s">
        <v>408</v>
      </c>
      <c r="E636" s="149">
        <v>11</v>
      </c>
      <c r="F636" s="220">
        <f>(19929)*(1.023*1.005-2.3%*15%)*6.99+0*4.09</f>
        <v>142740</v>
      </c>
      <c r="G636" s="145">
        <f t="shared" si="1026"/>
        <v>1.1279999999999999</v>
      </c>
      <c r="H636" s="146">
        <f t="shared" ref="H636" si="1039">F636*G636</f>
        <v>161011</v>
      </c>
      <c r="I636" s="145">
        <f>Дефляторы!$D$25</f>
        <v>1.052</v>
      </c>
      <c r="J636" s="146">
        <f t="shared" ref="J636" si="1040">H636*I636</f>
        <v>169384</v>
      </c>
      <c r="K636" s="146">
        <f t="shared" ref="K636" si="1041">H636+(J636-H636)*(1-30/100)</f>
        <v>166872</v>
      </c>
      <c r="L636" s="382"/>
      <c r="M636" s="382"/>
      <c r="N636" s="382"/>
    </row>
    <row r="637" spans="1:14" s="383" customFormat="1" hidden="1" outlineLevel="3" x14ac:dyDescent="0.25">
      <c r="A637" s="363" t="s">
        <v>1973</v>
      </c>
      <c r="B637" s="381" t="s">
        <v>1182</v>
      </c>
      <c r="C637" s="381" t="s">
        <v>1137</v>
      </c>
      <c r="D637" s="100" t="s">
        <v>408</v>
      </c>
      <c r="E637" s="149">
        <v>13</v>
      </c>
      <c r="F637" s="220">
        <f>(10184)*(1.023*1.005-2.3%*15%)*6.99+0*4.09</f>
        <v>72942</v>
      </c>
      <c r="G637" s="145">
        <f t="shared" si="1026"/>
        <v>1.1279999999999999</v>
      </c>
      <c r="H637" s="146">
        <f t="shared" ref="H637" si="1042">F637*G637</f>
        <v>82279</v>
      </c>
      <c r="I637" s="145">
        <f>Дефляторы!$D$25</f>
        <v>1.052</v>
      </c>
      <c r="J637" s="146">
        <f t="shared" ref="J637" si="1043">H637*I637</f>
        <v>86558</v>
      </c>
      <c r="K637" s="146">
        <f t="shared" ref="K637" si="1044">H637+(J637-H637)*(1-30/100)</f>
        <v>85274</v>
      </c>
      <c r="L637" s="382"/>
      <c r="M637" s="382"/>
      <c r="N637" s="382"/>
    </row>
    <row r="638" spans="1:14" s="383" customFormat="1" hidden="1" outlineLevel="3" x14ac:dyDescent="0.25">
      <c r="A638" s="363" t="s">
        <v>1974</v>
      </c>
      <c r="B638" s="381" t="s">
        <v>1183</v>
      </c>
      <c r="C638" s="381" t="s">
        <v>1138</v>
      </c>
      <c r="D638" s="100" t="s">
        <v>408</v>
      </c>
      <c r="E638" s="149">
        <v>3</v>
      </c>
      <c r="F638" s="220">
        <f>(1583)*(1.023*1.005-2.3%*15%)*6.99+0*4.09</f>
        <v>11338</v>
      </c>
      <c r="G638" s="145">
        <f t="shared" si="1026"/>
        <v>1.1279999999999999</v>
      </c>
      <c r="H638" s="146">
        <f t="shared" ref="H638" si="1045">F638*G638</f>
        <v>12789</v>
      </c>
      <c r="I638" s="145">
        <f>Дефляторы!$D$25</f>
        <v>1.052</v>
      </c>
      <c r="J638" s="146">
        <f t="shared" ref="J638" si="1046">H638*I638</f>
        <v>13454</v>
      </c>
      <c r="K638" s="146">
        <f t="shared" ref="K638" si="1047">H638+(J638-H638)*(1-30/100)</f>
        <v>13255</v>
      </c>
      <c r="L638" s="382"/>
      <c r="M638" s="382"/>
      <c r="N638" s="382"/>
    </row>
    <row r="639" spans="1:14" s="383" customFormat="1" hidden="1" outlineLevel="3" x14ac:dyDescent="0.25">
      <c r="A639" s="363" t="s">
        <v>1975</v>
      </c>
      <c r="B639" s="381" t="s">
        <v>1184</v>
      </c>
      <c r="C639" s="381" t="s">
        <v>1139</v>
      </c>
      <c r="D639" s="100" t="s">
        <v>408</v>
      </c>
      <c r="E639" s="149">
        <v>76</v>
      </c>
      <c r="F639" s="220">
        <f>(54493)*(1.023*1.005-2.3%*15%)*6.99+0*4.09</f>
        <v>390301</v>
      </c>
      <c r="G639" s="145">
        <f t="shared" si="1026"/>
        <v>1.1279999999999999</v>
      </c>
      <c r="H639" s="146">
        <f t="shared" ref="H639:H652" si="1048">F639*G639</f>
        <v>440260</v>
      </c>
      <c r="I639" s="145">
        <f>Дефляторы!$D$25</f>
        <v>1.052</v>
      </c>
      <c r="J639" s="146">
        <f t="shared" ref="J639:J652" si="1049">H639*I639</f>
        <v>463154</v>
      </c>
      <c r="K639" s="146">
        <f t="shared" ref="K639:K652" si="1050">H639+(J639-H639)*(1-30/100)</f>
        <v>456286</v>
      </c>
      <c r="L639" s="382"/>
      <c r="M639" s="382"/>
      <c r="N639" s="382"/>
    </row>
    <row r="640" spans="1:14" s="383" customFormat="1" ht="31.5" hidden="1" outlineLevel="3" x14ac:dyDescent="0.25">
      <c r="A640" s="363" t="s">
        <v>1976</v>
      </c>
      <c r="B640" s="381" t="s">
        <v>1185</v>
      </c>
      <c r="C640" s="381" t="s">
        <v>1140</v>
      </c>
      <c r="D640" s="100" t="s">
        <v>408</v>
      </c>
      <c r="E640" s="149">
        <v>125</v>
      </c>
      <c r="F640" s="220">
        <f>(63271)*(1.023*1.005-2.3%*15%)*6.99+0*4.09</f>
        <v>453173</v>
      </c>
      <c r="G640" s="145">
        <f t="shared" si="1026"/>
        <v>1.1279999999999999</v>
      </c>
      <c r="H640" s="146">
        <f t="shared" si="1048"/>
        <v>511179</v>
      </c>
      <c r="I640" s="145">
        <f>Дефляторы!$D$25</f>
        <v>1.052</v>
      </c>
      <c r="J640" s="146">
        <f t="shared" si="1049"/>
        <v>537760</v>
      </c>
      <c r="K640" s="146">
        <f t="shared" si="1050"/>
        <v>529786</v>
      </c>
      <c r="L640" s="382"/>
      <c r="M640" s="382"/>
      <c r="N640" s="382"/>
    </row>
    <row r="641" spans="1:14" s="383" customFormat="1" hidden="1" outlineLevel="3" x14ac:dyDescent="0.25">
      <c r="A641" s="363" t="s">
        <v>1977</v>
      </c>
      <c r="B641" s="381" t="s">
        <v>1186</v>
      </c>
      <c r="C641" s="381" t="s">
        <v>1141</v>
      </c>
      <c r="D641" s="100" t="s">
        <v>408</v>
      </c>
      <c r="E641" s="149">
        <v>27</v>
      </c>
      <c r="F641" s="220">
        <f>(33002)*(1.023*1.005-2.3%*15%)*6.99+0*4.09</f>
        <v>236374</v>
      </c>
      <c r="G641" s="145">
        <f t="shared" si="1026"/>
        <v>1.1279999999999999</v>
      </c>
      <c r="H641" s="146">
        <f t="shared" si="1048"/>
        <v>266630</v>
      </c>
      <c r="I641" s="145">
        <f>Дефляторы!$D$25</f>
        <v>1.052</v>
      </c>
      <c r="J641" s="146">
        <f t="shared" si="1049"/>
        <v>280495</v>
      </c>
      <c r="K641" s="146">
        <f t="shared" si="1050"/>
        <v>276336</v>
      </c>
      <c r="L641" s="382"/>
      <c r="M641" s="382"/>
      <c r="N641" s="382"/>
    </row>
    <row r="642" spans="1:14" s="383" customFormat="1" ht="31.5" hidden="1" outlineLevel="3" x14ac:dyDescent="0.25">
      <c r="A642" s="363" t="s">
        <v>1978</v>
      </c>
      <c r="B642" s="381" t="s">
        <v>1187</v>
      </c>
      <c r="C642" s="381" t="s">
        <v>1142</v>
      </c>
      <c r="D642" s="100" t="s">
        <v>408</v>
      </c>
      <c r="E642" s="149">
        <v>8</v>
      </c>
      <c r="F642" s="220">
        <f>(11428)*(1.023*1.005-2.3%*15%)*6.99+0*4.09</f>
        <v>81852</v>
      </c>
      <c r="G642" s="145">
        <f t="shared" si="1026"/>
        <v>1.1279999999999999</v>
      </c>
      <c r="H642" s="146">
        <f t="shared" si="1048"/>
        <v>92329</v>
      </c>
      <c r="I642" s="145">
        <f>Дефляторы!$D$25</f>
        <v>1.052</v>
      </c>
      <c r="J642" s="146">
        <f t="shared" si="1049"/>
        <v>97130</v>
      </c>
      <c r="K642" s="146">
        <f t="shared" si="1050"/>
        <v>95690</v>
      </c>
      <c r="L642" s="382"/>
      <c r="M642" s="382"/>
      <c r="N642" s="382"/>
    </row>
    <row r="643" spans="1:14" s="383" customFormat="1" hidden="1" outlineLevel="3" x14ac:dyDescent="0.25">
      <c r="A643" s="363"/>
      <c r="B643" s="381"/>
      <c r="C643" s="390" t="s">
        <v>1143</v>
      </c>
      <c r="D643" s="100"/>
      <c r="E643" s="149"/>
      <c r="F643" s="149"/>
      <c r="G643" s="145"/>
      <c r="H643" s="146"/>
      <c r="I643" s="145">
        <f>Дефляторы!$D$25</f>
        <v>1.052</v>
      </c>
      <c r="J643" s="146"/>
      <c r="K643" s="146"/>
      <c r="L643" s="382"/>
      <c r="M643" s="382"/>
      <c r="N643" s="382"/>
    </row>
    <row r="644" spans="1:14" s="383" customFormat="1" hidden="1" outlineLevel="3" x14ac:dyDescent="0.25">
      <c r="A644" s="363" t="s">
        <v>1979</v>
      </c>
      <c r="B644" s="381" t="s">
        <v>1188</v>
      </c>
      <c r="C644" s="381" t="s">
        <v>1144</v>
      </c>
      <c r="D644" s="100" t="s">
        <v>377</v>
      </c>
      <c r="E644" s="149">
        <v>155</v>
      </c>
      <c r="F644" s="220">
        <f>(20693)*(1.023*1.005-2.3%*15%)*6.99+0*4.09</f>
        <v>148212</v>
      </c>
      <c r="G644" s="145">
        <f t="shared" ref="G644:G675" si="1051">$G$831</f>
        <v>1.1279999999999999</v>
      </c>
      <c r="H644" s="146">
        <f t="shared" si="1048"/>
        <v>167183</v>
      </c>
      <c r="I644" s="145">
        <f>Дефляторы!$D$25</f>
        <v>1.052</v>
      </c>
      <c r="J644" s="146">
        <f t="shared" si="1049"/>
        <v>175877</v>
      </c>
      <c r="K644" s="146">
        <f t="shared" si="1050"/>
        <v>173269</v>
      </c>
      <c r="L644" s="382"/>
      <c r="M644" s="382"/>
      <c r="N644" s="382"/>
    </row>
    <row r="645" spans="1:14" s="383" customFormat="1" ht="31.5" hidden="1" outlineLevel="3" x14ac:dyDescent="0.25">
      <c r="A645" s="363" t="s">
        <v>1980</v>
      </c>
      <c r="B645" s="381" t="s">
        <v>1189</v>
      </c>
      <c r="C645" s="381" t="s">
        <v>1146</v>
      </c>
      <c r="D645" s="100" t="s">
        <v>377</v>
      </c>
      <c r="E645" s="100">
        <f>3862.1/1.08</f>
        <v>3576.02</v>
      </c>
      <c r="F645" s="220">
        <f>(20575)*(1.023*1.005-2.3%*15%)*6.99+0*4.09</f>
        <v>147367</v>
      </c>
      <c r="G645" s="145">
        <f t="shared" si="1051"/>
        <v>1.1279999999999999</v>
      </c>
      <c r="H645" s="146">
        <f t="shared" si="1048"/>
        <v>166230</v>
      </c>
      <c r="I645" s="145">
        <f>Дефляторы!$D$25</f>
        <v>1.052</v>
      </c>
      <c r="J645" s="146">
        <f t="shared" si="1049"/>
        <v>174874</v>
      </c>
      <c r="K645" s="146">
        <f t="shared" si="1050"/>
        <v>172281</v>
      </c>
      <c r="L645" s="396" t="s">
        <v>1150</v>
      </c>
      <c r="M645" s="382"/>
      <c r="N645" s="382"/>
    </row>
    <row r="646" spans="1:14" s="383" customFormat="1" ht="31.5" hidden="1" outlineLevel="3" x14ac:dyDescent="0.25">
      <c r="A646" s="363" t="s">
        <v>1981</v>
      </c>
      <c r="B646" s="381" t="s">
        <v>1190</v>
      </c>
      <c r="C646" s="381" t="s">
        <v>1145</v>
      </c>
      <c r="D646" s="100" t="s">
        <v>377</v>
      </c>
      <c r="E646" s="100">
        <f>428.8/1.08</f>
        <v>397.04</v>
      </c>
      <c r="F646" s="220">
        <f>(5159)*(1.023*1.005-2.3%*15%)*6.99+0*4.09</f>
        <v>36951</v>
      </c>
      <c r="G646" s="145">
        <f t="shared" si="1051"/>
        <v>1.1279999999999999</v>
      </c>
      <c r="H646" s="146">
        <f t="shared" si="1048"/>
        <v>41681</v>
      </c>
      <c r="I646" s="145">
        <f>Дефляторы!$D$25</f>
        <v>1.052</v>
      </c>
      <c r="J646" s="146">
        <f t="shared" si="1049"/>
        <v>43848</v>
      </c>
      <c r="K646" s="146">
        <f t="shared" si="1050"/>
        <v>43198</v>
      </c>
      <c r="L646" s="396" t="s">
        <v>1150</v>
      </c>
      <c r="M646" s="382"/>
      <c r="N646" s="382"/>
    </row>
    <row r="647" spans="1:14" s="383" customFormat="1" ht="31.5" hidden="1" outlineLevel="3" x14ac:dyDescent="0.25">
      <c r="A647" s="363" t="s">
        <v>1982</v>
      </c>
      <c r="B647" s="381" t="s">
        <v>1191</v>
      </c>
      <c r="C647" s="381" t="s">
        <v>1147</v>
      </c>
      <c r="D647" s="100" t="s">
        <v>377</v>
      </c>
      <c r="E647" s="100">
        <f>3160.1/1.08-0.01</f>
        <v>2926.01</v>
      </c>
      <c r="F647" s="220">
        <f>(24658)*(1.023*1.005-2.3%*15%)*6.99+0*4.09</f>
        <v>176611</v>
      </c>
      <c r="G647" s="145">
        <f t="shared" si="1051"/>
        <v>1.1279999999999999</v>
      </c>
      <c r="H647" s="146">
        <f t="shared" si="1048"/>
        <v>199217</v>
      </c>
      <c r="I647" s="145">
        <f>Дефляторы!$D$25</f>
        <v>1.052</v>
      </c>
      <c r="J647" s="146">
        <f t="shared" si="1049"/>
        <v>209576</v>
      </c>
      <c r="K647" s="146">
        <f t="shared" si="1050"/>
        <v>206468</v>
      </c>
      <c r="L647" s="396" t="s">
        <v>1150</v>
      </c>
      <c r="M647" s="382"/>
      <c r="N647" s="382"/>
    </row>
    <row r="648" spans="1:14" s="383" customFormat="1" ht="31.5" hidden="1" outlineLevel="3" x14ac:dyDescent="0.25">
      <c r="A648" s="363" t="s">
        <v>1983</v>
      </c>
      <c r="B648" s="381" t="s">
        <v>1192</v>
      </c>
      <c r="C648" s="381" t="s">
        <v>1148</v>
      </c>
      <c r="D648" s="100" t="s">
        <v>377</v>
      </c>
      <c r="E648" s="100">
        <f>351/1.08</f>
        <v>325</v>
      </c>
      <c r="F648" s="220">
        <f>(5518)*(1.023*1.005-2.3%*15%)*6.99+0*4.09</f>
        <v>39522</v>
      </c>
      <c r="G648" s="145">
        <f t="shared" si="1051"/>
        <v>1.1279999999999999</v>
      </c>
      <c r="H648" s="146">
        <f t="shared" si="1048"/>
        <v>44581</v>
      </c>
      <c r="I648" s="145">
        <f>Дефляторы!$D$25</f>
        <v>1.052</v>
      </c>
      <c r="J648" s="146">
        <f t="shared" si="1049"/>
        <v>46899</v>
      </c>
      <c r="K648" s="146">
        <f t="shared" si="1050"/>
        <v>46204</v>
      </c>
      <c r="L648" s="396" t="s">
        <v>1150</v>
      </c>
      <c r="M648" s="382"/>
      <c r="N648" s="382"/>
    </row>
    <row r="649" spans="1:14" s="383" customFormat="1" ht="31.5" hidden="1" outlineLevel="3" x14ac:dyDescent="0.25">
      <c r="A649" s="363" t="s">
        <v>1984</v>
      </c>
      <c r="B649" s="381" t="s">
        <v>1193</v>
      </c>
      <c r="C649" s="381" t="s">
        <v>1149</v>
      </c>
      <c r="D649" s="100" t="s">
        <v>377</v>
      </c>
      <c r="E649" s="100">
        <f>216/1.08</f>
        <v>200</v>
      </c>
      <c r="F649" s="220">
        <f>(2748)*(1.023*1.005-2.3%*15%)*6.99+0*4.09</f>
        <v>19682</v>
      </c>
      <c r="G649" s="145">
        <f t="shared" si="1051"/>
        <v>1.1279999999999999</v>
      </c>
      <c r="H649" s="146">
        <f t="shared" si="1048"/>
        <v>22201</v>
      </c>
      <c r="I649" s="145">
        <f>Дефляторы!$D$25</f>
        <v>1.052</v>
      </c>
      <c r="J649" s="146">
        <f t="shared" si="1049"/>
        <v>23355</v>
      </c>
      <c r="K649" s="146">
        <f t="shared" si="1050"/>
        <v>23009</v>
      </c>
      <c r="L649" s="396" t="s">
        <v>1150</v>
      </c>
      <c r="M649" s="382"/>
      <c r="N649" s="382"/>
    </row>
    <row r="650" spans="1:14" s="383" customFormat="1" ht="31.5" hidden="1" outlineLevel="3" x14ac:dyDescent="0.25">
      <c r="A650" s="363" t="s">
        <v>1985</v>
      </c>
      <c r="B650" s="381" t="s">
        <v>1194</v>
      </c>
      <c r="C650" s="381" t="s">
        <v>1151</v>
      </c>
      <c r="D650" s="100" t="s">
        <v>377</v>
      </c>
      <c r="E650" s="100">
        <v>200</v>
      </c>
      <c r="F650" s="220">
        <f>(24320)*(1.023*1.005-2.3%*15%)*6.99+0*4.09</f>
        <v>174190</v>
      </c>
      <c r="G650" s="145">
        <f t="shared" si="1051"/>
        <v>1.1279999999999999</v>
      </c>
      <c r="H650" s="146">
        <f t="shared" si="1048"/>
        <v>196486</v>
      </c>
      <c r="I650" s="145">
        <f>Дефляторы!$D$25</f>
        <v>1.052</v>
      </c>
      <c r="J650" s="146">
        <f t="shared" si="1049"/>
        <v>206703</v>
      </c>
      <c r="K650" s="146">
        <f t="shared" si="1050"/>
        <v>203638</v>
      </c>
      <c r="L650" s="396" t="s">
        <v>1150</v>
      </c>
      <c r="M650" s="382"/>
      <c r="N650" s="382"/>
    </row>
    <row r="651" spans="1:14" s="383" customFormat="1" ht="31.5" hidden="1" outlineLevel="3" x14ac:dyDescent="0.25">
      <c r="A651" s="363" t="s">
        <v>1986</v>
      </c>
      <c r="B651" s="381" t="s">
        <v>1195</v>
      </c>
      <c r="C651" s="381" t="s">
        <v>1152</v>
      </c>
      <c r="D651" s="100" t="s">
        <v>377</v>
      </c>
      <c r="E651" s="100">
        <f>540/1.08</f>
        <v>500</v>
      </c>
      <c r="F651" s="220">
        <f>(238837)*(1.023*1.005-2.3%*15%)*6.99+0*4.09</f>
        <v>1710648</v>
      </c>
      <c r="G651" s="145">
        <f t="shared" si="1051"/>
        <v>1.1279999999999999</v>
      </c>
      <c r="H651" s="146">
        <f t="shared" si="1048"/>
        <v>1929611</v>
      </c>
      <c r="I651" s="145">
        <f>Дефляторы!$D$25</f>
        <v>1.052</v>
      </c>
      <c r="J651" s="146">
        <f t="shared" si="1049"/>
        <v>2029951</v>
      </c>
      <c r="K651" s="146">
        <f t="shared" si="1050"/>
        <v>1999849</v>
      </c>
      <c r="L651" s="396" t="s">
        <v>1150</v>
      </c>
      <c r="M651" s="382"/>
      <c r="N651" s="382"/>
    </row>
    <row r="652" spans="1:14" s="383" customFormat="1" ht="31.5" hidden="1" outlineLevel="3" x14ac:dyDescent="0.25">
      <c r="A652" s="363" t="s">
        <v>1987</v>
      </c>
      <c r="B652" s="381" t="s">
        <v>1196</v>
      </c>
      <c r="C652" s="381" t="s">
        <v>1153</v>
      </c>
      <c r="D652" s="100" t="s">
        <v>377</v>
      </c>
      <c r="E652" s="100">
        <f>54/1.08</f>
        <v>50</v>
      </c>
      <c r="F652" s="220">
        <f>(26542)*(1.023*1.005-2.3%*15%)*6.99+0*4.09</f>
        <v>190105</v>
      </c>
      <c r="G652" s="145">
        <f t="shared" si="1051"/>
        <v>1.1279999999999999</v>
      </c>
      <c r="H652" s="146">
        <f t="shared" si="1048"/>
        <v>214438</v>
      </c>
      <c r="I652" s="145">
        <f>Дефляторы!$D$25</f>
        <v>1.052</v>
      </c>
      <c r="J652" s="146">
        <f t="shared" si="1049"/>
        <v>225589</v>
      </c>
      <c r="K652" s="146">
        <f t="shared" si="1050"/>
        <v>222244</v>
      </c>
      <c r="L652" s="396" t="s">
        <v>1150</v>
      </c>
      <c r="M652" s="382"/>
      <c r="N652" s="382"/>
    </row>
    <row r="653" spans="1:14" s="383" customFormat="1" hidden="1" outlineLevel="2" collapsed="1" x14ac:dyDescent="0.25">
      <c r="A653" s="363" t="s">
        <v>2150</v>
      </c>
      <c r="B653" s="381" t="s">
        <v>174</v>
      </c>
      <c r="C653" s="381" t="s">
        <v>1922</v>
      </c>
      <c r="D653" s="100" t="s">
        <v>292</v>
      </c>
      <c r="E653" s="149">
        <v>1</v>
      </c>
      <c r="F653" s="220">
        <f>SUM(F654:F658)</f>
        <v>21389313</v>
      </c>
      <c r="G653" s="145">
        <f t="shared" si="1051"/>
        <v>1.1279999999999999</v>
      </c>
      <c r="H653" s="149">
        <f>SUM(H654:H658)</f>
        <v>24127146</v>
      </c>
      <c r="I653" s="145">
        <f>Дефляторы!$D$25</f>
        <v>1.052</v>
      </c>
      <c r="J653" s="149">
        <f>SUM(J654:J658)</f>
        <v>25381758</v>
      </c>
      <c r="K653" s="149">
        <f>SUM(K654:K658)</f>
        <v>25005375</v>
      </c>
      <c r="L653" s="382"/>
      <c r="M653" s="382"/>
      <c r="N653" s="382"/>
    </row>
    <row r="654" spans="1:14" s="383" customFormat="1" ht="31.5" hidden="1" outlineLevel="3" x14ac:dyDescent="0.25">
      <c r="A654" s="363" t="s">
        <v>2806</v>
      </c>
      <c r="B654" s="381" t="s">
        <v>1205</v>
      </c>
      <c r="C654" s="381" t="s">
        <v>1204</v>
      </c>
      <c r="D654" s="100" t="s">
        <v>408</v>
      </c>
      <c r="E654" s="149">
        <v>1</v>
      </c>
      <c r="F654" s="220">
        <f>(33890)*(1.023*1.005-2.3%*15%)*6.99+0*4.09</f>
        <v>242734</v>
      </c>
      <c r="G654" s="145">
        <f t="shared" si="1051"/>
        <v>1.1279999999999999</v>
      </c>
      <c r="H654" s="146">
        <f t="shared" ref="H654" si="1052">F654*G654</f>
        <v>273804</v>
      </c>
      <c r="I654" s="145">
        <f>Дефляторы!$D$25</f>
        <v>1.052</v>
      </c>
      <c r="J654" s="146">
        <f t="shared" ref="J654" si="1053">H654*I654</f>
        <v>288042</v>
      </c>
      <c r="K654" s="146">
        <f t="shared" ref="K654" si="1054">H654+(J654-H654)*(1-30/100)</f>
        <v>283771</v>
      </c>
      <c r="L654" s="382"/>
      <c r="M654" s="382"/>
      <c r="N654" s="382"/>
    </row>
    <row r="655" spans="1:14" s="383" customFormat="1" ht="31.5" hidden="1" outlineLevel="3" x14ac:dyDescent="0.25">
      <c r="A655" s="363" t="s">
        <v>2807</v>
      </c>
      <c r="B655" s="381" t="s">
        <v>1207</v>
      </c>
      <c r="C655" s="381" t="s">
        <v>1206</v>
      </c>
      <c r="D655" s="100" t="s">
        <v>408</v>
      </c>
      <c r="E655" s="149">
        <v>1</v>
      </c>
      <c r="F655" s="220">
        <f>(2821+27187)*(1.023*1.005-2.3%*15%)*6.99+4768776*4.09+24</f>
        <v>19719247</v>
      </c>
      <c r="G655" s="145">
        <f t="shared" si="1051"/>
        <v>1.1279999999999999</v>
      </c>
      <c r="H655" s="146">
        <f t="shared" ref="H655" si="1055">F655*G655</f>
        <v>22243311</v>
      </c>
      <c r="I655" s="145">
        <f>Дефляторы!$D$25</f>
        <v>1.052</v>
      </c>
      <c r="J655" s="146">
        <f t="shared" ref="J655" si="1056">H655*I655</f>
        <v>23399963</v>
      </c>
      <c r="K655" s="146">
        <f t="shared" ref="K655" si="1057">H655+(J655-H655)*(1-30/100)</f>
        <v>23052967</v>
      </c>
      <c r="L655" s="382"/>
      <c r="M655" s="382"/>
      <c r="N655" s="382"/>
    </row>
    <row r="656" spans="1:14" s="383" customFormat="1" hidden="1" outlineLevel="3" x14ac:dyDescent="0.25">
      <c r="A656" s="363" t="s">
        <v>2808</v>
      </c>
      <c r="B656" s="381" t="s">
        <v>1209</v>
      </c>
      <c r="C656" s="381" t="s">
        <v>1208</v>
      </c>
      <c r="D656" s="100" t="s">
        <v>292</v>
      </c>
      <c r="E656" s="149">
        <v>1</v>
      </c>
      <c r="F656" s="220">
        <f>(93585)*(1.023*1.005-2.3%*15%)*6.99+0*4.09</f>
        <v>670294</v>
      </c>
      <c r="G656" s="145">
        <f t="shared" si="1051"/>
        <v>1.1279999999999999</v>
      </c>
      <c r="H656" s="146">
        <f t="shared" ref="H656" si="1058">F656*G656</f>
        <v>756092</v>
      </c>
      <c r="I656" s="145">
        <f>Дефляторы!$D$25</f>
        <v>1.052</v>
      </c>
      <c r="J656" s="146">
        <f t="shared" ref="J656" si="1059">H656*I656</f>
        <v>795409</v>
      </c>
      <c r="K656" s="146">
        <f t="shared" ref="K656" si="1060">H656+(J656-H656)*(1-30/100)</f>
        <v>783614</v>
      </c>
      <c r="L656" s="382"/>
      <c r="M656" s="382"/>
      <c r="N656" s="382"/>
    </row>
    <row r="657" spans="1:14" s="383" customFormat="1" hidden="1" outlineLevel="3" x14ac:dyDescent="0.25">
      <c r="A657" s="363" t="s">
        <v>2809</v>
      </c>
      <c r="B657" s="381" t="s">
        <v>1211</v>
      </c>
      <c r="C657" s="381" t="s">
        <v>1210</v>
      </c>
      <c r="D657" s="100" t="s">
        <v>292</v>
      </c>
      <c r="E657" s="149">
        <v>1</v>
      </c>
      <c r="F657" s="220">
        <f>(52820)*(1.023*1.005-2.3%*15%)*6.99+0*4.09</f>
        <v>378318</v>
      </c>
      <c r="G657" s="145">
        <f t="shared" si="1051"/>
        <v>1.1279999999999999</v>
      </c>
      <c r="H657" s="146">
        <f t="shared" ref="H657" si="1061">F657*G657</f>
        <v>426743</v>
      </c>
      <c r="I657" s="145">
        <f>Дефляторы!$D$25</f>
        <v>1.052</v>
      </c>
      <c r="J657" s="146">
        <f t="shared" ref="J657" si="1062">H657*I657</f>
        <v>448934</v>
      </c>
      <c r="K657" s="146">
        <f t="shared" ref="K657" si="1063">H657+(J657-H657)*(1-30/100)</f>
        <v>442277</v>
      </c>
      <c r="L657" s="382"/>
      <c r="M657" s="382"/>
      <c r="N657" s="382"/>
    </row>
    <row r="658" spans="1:14" s="383" customFormat="1" hidden="1" outlineLevel="3" x14ac:dyDescent="0.25">
      <c r="A658" s="363" t="s">
        <v>2810</v>
      </c>
      <c r="B658" s="381" t="s">
        <v>1213</v>
      </c>
      <c r="C658" s="381" t="s">
        <v>1212</v>
      </c>
      <c r="D658" s="100" t="s">
        <v>292</v>
      </c>
      <c r="E658" s="149">
        <v>1</v>
      </c>
      <c r="F658" s="220">
        <f>(52876)*(1.023*1.005-2.3%*15%)*6.99+0*4.09</f>
        <v>378720</v>
      </c>
      <c r="G658" s="145">
        <f t="shared" si="1051"/>
        <v>1.1279999999999999</v>
      </c>
      <c r="H658" s="146">
        <f t="shared" ref="H658" si="1064">F658*G658</f>
        <v>427196</v>
      </c>
      <c r="I658" s="145">
        <f>Дефляторы!$D$25</f>
        <v>1.052</v>
      </c>
      <c r="J658" s="146">
        <f t="shared" ref="J658" si="1065">H658*I658</f>
        <v>449410</v>
      </c>
      <c r="K658" s="146">
        <f t="shared" ref="K658" si="1066">H658+(J658-H658)*(1-30/100)</f>
        <v>442746</v>
      </c>
      <c r="L658" s="382"/>
      <c r="M658" s="382"/>
      <c r="N658" s="382"/>
    </row>
    <row r="659" spans="1:14" s="383" customFormat="1" hidden="1" outlineLevel="2" collapsed="1" x14ac:dyDescent="0.25">
      <c r="A659" s="363" t="s">
        <v>2151</v>
      </c>
      <c r="B659" s="381" t="s">
        <v>176</v>
      </c>
      <c r="C659" s="381" t="s">
        <v>1923</v>
      </c>
      <c r="D659" s="100" t="s">
        <v>292</v>
      </c>
      <c r="E659" s="149">
        <v>1</v>
      </c>
      <c r="F659" s="220">
        <f>F660</f>
        <v>1394201</v>
      </c>
      <c r="G659" s="145">
        <f t="shared" si="1051"/>
        <v>1.1279999999999999</v>
      </c>
      <c r="H659" s="149">
        <f>H660</f>
        <v>1572659</v>
      </c>
      <c r="I659" s="145">
        <f>Дефляторы!$D$25</f>
        <v>1.052</v>
      </c>
      <c r="J659" s="149">
        <f>J660</f>
        <v>1654437</v>
      </c>
      <c r="K659" s="149">
        <f>K660</f>
        <v>1629904</v>
      </c>
      <c r="L659" s="382"/>
      <c r="M659" s="382"/>
      <c r="N659" s="382"/>
    </row>
    <row r="660" spans="1:14" s="383" customFormat="1" hidden="1" outlineLevel="3" x14ac:dyDescent="0.25">
      <c r="A660" s="363" t="s">
        <v>2811</v>
      </c>
      <c r="B660" s="381" t="s">
        <v>1215</v>
      </c>
      <c r="C660" s="381" t="s">
        <v>1214</v>
      </c>
      <c r="D660" s="100" t="s">
        <v>292</v>
      </c>
      <c r="E660" s="149">
        <v>1</v>
      </c>
      <c r="F660" s="220">
        <f>(13201+80806)*(1.023*1.005-2.3%*15%)*6.99+176249*4.09+26</f>
        <v>1394201</v>
      </c>
      <c r="G660" s="145">
        <f t="shared" si="1051"/>
        <v>1.1279999999999999</v>
      </c>
      <c r="H660" s="146">
        <f t="shared" ref="H660" si="1067">F660*G660</f>
        <v>1572659</v>
      </c>
      <c r="I660" s="145">
        <f>Дефляторы!$D$25</f>
        <v>1.052</v>
      </c>
      <c r="J660" s="146">
        <f t="shared" ref="J660" si="1068">H660*I660</f>
        <v>1654437</v>
      </c>
      <c r="K660" s="146">
        <f t="shared" ref="K660" si="1069">H660+(J660-H660)*(1-30/100)</f>
        <v>1629904</v>
      </c>
      <c r="L660" s="382"/>
      <c r="M660" s="382"/>
      <c r="N660" s="382"/>
    </row>
    <row r="661" spans="1:14" s="383" customFormat="1" hidden="1" outlineLevel="2" collapsed="1" x14ac:dyDescent="0.25">
      <c r="A661" s="363" t="s">
        <v>2152</v>
      </c>
      <c r="B661" s="381" t="s">
        <v>178</v>
      </c>
      <c r="C661" s="381" t="s">
        <v>1924</v>
      </c>
      <c r="D661" s="100" t="s">
        <v>292</v>
      </c>
      <c r="E661" s="149">
        <v>1</v>
      </c>
      <c r="F661" s="220">
        <f>SUM(F662:F663)</f>
        <v>721922</v>
      </c>
      <c r="G661" s="145">
        <f t="shared" si="1051"/>
        <v>1.1279999999999999</v>
      </c>
      <c r="H661" s="149">
        <f>SUM(H662:H663)</f>
        <v>814328</v>
      </c>
      <c r="I661" s="145">
        <f>Дефляторы!$D$25</f>
        <v>1.052</v>
      </c>
      <c r="J661" s="149">
        <f>SUM(J662:J663)</f>
        <v>856673</v>
      </c>
      <c r="K661" s="149">
        <f>SUM(K662:K663)</f>
        <v>843969</v>
      </c>
      <c r="L661" s="382"/>
      <c r="M661" s="382"/>
      <c r="N661" s="382"/>
    </row>
    <row r="662" spans="1:14" s="383" customFormat="1" hidden="1" outlineLevel="3" x14ac:dyDescent="0.25">
      <c r="A662" s="363" t="s">
        <v>2812</v>
      </c>
      <c r="B662" s="381" t="s">
        <v>1217</v>
      </c>
      <c r="C662" s="381" t="s">
        <v>1216</v>
      </c>
      <c r="D662" s="100" t="s">
        <v>292</v>
      </c>
      <c r="E662" s="149">
        <v>1</v>
      </c>
      <c r="F662" s="220">
        <f>(72088)*(1.023*1.005-2.3%*15%)*6.99+13967*4.09+4</f>
        <v>573453</v>
      </c>
      <c r="G662" s="145">
        <f t="shared" si="1051"/>
        <v>1.1279999999999999</v>
      </c>
      <c r="H662" s="146">
        <f t="shared" ref="H662" si="1070">F662*G662</f>
        <v>646855</v>
      </c>
      <c r="I662" s="145">
        <f>Дефляторы!$D$25</f>
        <v>1.052</v>
      </c>
      <c r="J662" s="146">
        <f t="shared" ref="J662" si="1071">H662*I662</f>
        <v>680491</v>
      </c>
      <c r="K662" s="146">
        <f t="shared" ref="K662" si="1072">H662+(J662-H662)*(1-30/100)</f>
        <v>670400</v>
      </c>
      <c r="L662" s="382"/>
      <c r="M662" s="382"/>
      <c r="N662" s="382"/>
    </row>
    <row r="663" spans="1:14" s="383" customFormat="1" hidden="1" outlineLevel="3" x14ac:dyDescent="0.25">
      <c r="A663" s="363" t="s">
        <v>2813</v>
      </c>
      <c r="B663" s="381" t="s">
        <v>1219</v>
      </c>
      <c r="C663" s="381" t="s">
        <v>1218</v>
      </c>
      <c r="D663" s="100" t="s">
        <v>292</v>
      </c>
      <c r="E663" s="149">
        <v>1</v>
      </c>
      <c r="F663" s="220">
        <f>(18832)*(1.023*1.005-2.3%*15%)*6.99+3322*4.09</f>
        <v>148469</v>
      </c>
      <c r="G663" s="145">
        <f t="shared" si="1051"/>
        <v>1.1279999999999999</v>
      </c>
      <c r="H663" s="146">
        <f t="shared" ref="H663" si="1073">F663*G663</f>
        <v>167473</v>
      </c>
      <c r="I663" s="145">
        <f>Дефляторы!$D$25</f>
        <v>1.052</v>
      </c>
      <c r="J663" s="146">
        <f t="shared" ref="J663" si="1074">H663*I663</f>
        <v>176182</v>
      </c>
      <c r="K663" s="146">
        <f t="shared" ref="K663" si="1075">H663+(J663-H663)*(1-30/100)</f>
        <v>173569</v>
      </c>
      <c r="L663" s="382"/>
      <c r="M663" s="382"/>
      <c r="N663" s="382"/>
    </row>
    <row r="664" spans="1:14" s="383" customFormat="1" ht="31.5" hidden="1" outlineLevel="2" collapsed="1" x14ac:dyDescent="0.25">
      <c r="A664" s="363" t="s">
        <v>2153</v>
      </c>
      <c r="B664" s="381" t="s">
        <v>180</v>
      </c>
      <c r="C664" s="381" t="s">
        <v>1925</v>
      </c>
      <c r="D664" s="100" t="s">
        <v>292</v>
      </c>
      <c r="E664" s="149">
        <v>1</v>
      </c>
      <c r="F664" s="220">
        <f>SUM(F665:F700)</f>
        <v>32930043</v>
      </c>
      <c r="G664" s="145">
        <f t="shared" si="1051"/>
        <v>1.1279999999999999</v>
      </c>
      <c r="H664" s="149">
        <f>SUM(H665:H700)</f>
        <v>37145088</v>
      </c>
      <c r="I664" s="145">
        <f>Дефляторы!$D$25</f>
        <v>1.052</v>
      </c>
      <c r="J664" s="149">
        <f>SUM(J665:J700)</f>
        <v>39076635</v>
      </c>
      <c r="K664" s="149">
        <f>SUM(K665:K700)</f>
        <v>38497171</v>
      </c>
      <c r="L664" s="382"/>
      <c r="M664" s="382"/>
      <c r="N664" s="382"/>
    </row>
    <row r="665" spans="1:14" s="383" customFormat="1" hidden="1" outlineLevel="3" x14ac:dyDescent="0.25">
      <c r="A665" s="363" t="s">
        <v>2814</v>
      </c>
      <c r="B665" s="381" t="s">
        <v>1221</v>
      </c>
      <c r="C665" s="381" t="s">
        <v>1220</v>
      </c>
      <c r="D665" s="100" t="s">
        <v>292</v>
      </c>
      <c r="E665" s="100">
        <v>1</v>
      </c>
      <c r="F665" s="220">
        <f>(129237+258)*(1.023*1.005-2.3%*15%)*6.99+8526*4.09</f>
        <v>962367</v>
      </c>
      <c r="G665" s="145">
        <f t="shared" si="1051"/>
        <v>1.1279999999999999</v>
      </c>
      <c r="H665" s="146">
        <f t="shared" ref="H665" si="1076">F665*G665</f>
        <v>1085550</v>
      </c>
      <c r="I665" s="145">
        <f>Дефляторы!$D$25</f>
        <v>1.052</v>
      </c>
      <c r="J665" s="146">
        <f t="shared" ref="J665" si="1077">H665*I665</f>
        <v>1141999</v>
      </c>
      <c r="K665" s="146">
        <f t="shared" ref="K665" si="1078">H665+(J665-H665)*(1-30/100)</f>
        <v>1125064</v>
      </c>
      <c r="L665" s="382"/>
      <c r="M665" s="382"/>
      <c r="N665" s="382"/>
    </row>
    <row r="666" spans="1:14" s="383" customFormat="1" hidden="1" outlineLevel="3" x14ac:dyDescent="0.25">
      <c r="A666" s="363" t="s">
        <v>2815</v>
      </c>
      <c r="B666" s="381" t="s">
        <v>1223</v>
      </c>
      <c r="C666" s="381" t="s">
        <v>1222</v>
      </c>
      <c r="D666" s="100" t="s">
        <v>292</v>
      </c>
      <c r="E666" s="100">
        <v>1</v>
      </c>
      <c r="F666" s="220">
        <f>(125968)*(1.023*1.005-2.3%*15%)*6.99+0*4.09</f>
        <v>902234</v>
      </c>
      <c r="G666" s="145">
        <f t="shared" si="1051"/>
        <v>1.1279999999999999</v>
      </c>
      <c r="H666" s="146">
        <f t="shared" ref="H666" si="1079">F666*G666</f>
        <v>1017720</v>
      </c>
      <c r="I666" s="145">
        <f>Дефляторы!$D$25</f>
        <v>1.052</v>
      </c>
      <c r="J666" s="146">
        <f t="shared" ref="J666" si="1080">H666*I666</f>
        <v>1070641</v>
      </c>
      <c r="K666" s="146">
        <f t="shared" ref="K666" si="1081">H666+(J666-H666)*(1-30/100)</f>
        <v>1054765</v>
      </c>
      <c r="L666" s="382"/>
      <c r="M666" s="382"/>
      <c r="N666" s="382"/>
    </row>
    <row r="667" spans="1:14" s="383" customFormat="1" hidden="1" outlineLevel="3" x14ac:dyDescent="0.25">
      <c r="A667" s="363" t="s">
        <v>2816</v>
      </c>
      <c r="B667" s="381" t="s">
        <v>1224</v>
      </c>
      <c r="C667" s="381" t="s">
        <v>1225</v>
      </c>
      <c r="D667" s="100" t="s">
        <v>292</v>
      </c>
      <c r="E667" s="100">
        <v>1</v>
      </c>
      <c r="F667" s="220">
        <f>(5434)*(1.023*1.005-2.3%*15%)*6.99+0*4.09</f>
        <v>38921</v>
      </c>
      <c r="G667" s="145">
        <f t="shared" si="1051"/>
        <v>1.1279999999999999</v>
      </c>
      <c r="H667" s="146">
        <f t="shared" ref="H667" si="1082">F667*G667</f>
        <v>43903</v>
      </c>
      <c r="I667" s="145">
        <f>Дефляторы!$D$25</f>
        <v>1.052</v>
      </c>
      <c r="J667" s="146">
        <f t="shared" ref="J667" si="1083">H667*I667</f>
        <v>46186</v>
      </c>
      <c r="K667" s="146">
        <f t="shared" ref="K667" si="1084">H667+(J667-H667)*(1-30/100)</f>
        <v>45501</v>
      </c>
      <c r="L667" s="382"/>
      <c r="M667" s="382"/>
      <c r="N667" s="382"/>
    </row>
    <row r="668" spans="1:14" s="383" customFormat="1" hidden="1" outlineLevel="3" x14ac:dyDescent="0.25">
      <c r="A668" s="363" t="s">
        <v>2817</v>
      </c>
      <c r="B668" s="381" t="s">
        <v>1227</v>
      </c>
      <c r="C668" s="381" t="s">
        <v>1226</v>
      </c>
      <c r="D668" s="100" t="s">
        <v>292</v>
      </c>
      <c r="E668" s="100">
        <v>1</v>
      </c>
      <c r="F668" s="220">
        <f>(108172)*(1.023*1.005-2.3%*15%)*6.99+763629*4.09</f>
        <v>3898015</v>
      </c>
      <c r="G668" s="145">
        <f t="shared" si="1051"/>
        <v>1.1279999999999999</v>
      </c>
      <c r="H668" s="146">
        <f t="shared" ref="H668" si="1085">F668*G668</f>
        <v>4396961</v>
      </c>
      <c r="I668" s="145">
        <f>Дефляторы!$D$25</f>
        <v>1.052</v>
      </c>
      <c r="J668" s="146">
        <f t="shared" ref="J668" si="1086">H668*I668</f>
        <v>4625603</v>
      </c>
      <c r="K668" s="146">
        <f t="shared" ref="K668" si="1087">H668+(J668-H668)*(1-30/100)</f>
        <v>4557010</v>
      </c>
      <c r="L668" s="382"/>
      <c r="M668" s="382"/>
      <c r="N668" s="382"/>
    </row>
    <row r="669" spans="1:14" s="383" customFormat="1" hidden="1" outlineLevel="3" x14ac:dyDescent="0.25">
      <c r="A669" s="363" t="s">
        <v>2818</v>
      </c>
      <c r="B669" s="381" t="s">
        <v>1229</v>
      </c>
      <c r="C669" s="381" t="s">
        <v>1228</v>
      </c>
      <c r="D669" s="100" t="s">
        <v>292</v>
      </c>
      <c r="E669" s="100">
        <v>1</v>
      </c>
      <c r="F669" s="220">
        <f>(39501)*(1.023*1.005-2.3%*15%)*6.99+227393*4.09</f>
        <v>1212960</v>
      </c>
      <c r="G669" s="145">
        <f t="shared" si="1051"/>
        <v>1.1279999999999999</v>
      </c>
      <c r="H669" s="146">
        <f t="shared" ref="H669" si="1088">F669*G669</f>
        <v>1368219</v>
      </c>
      <c r="I669" s="145">
        <f>Дефляторы!$D$25</f>
        <v>1.052</v>
      </c>
      <c r="J669" s="146">
        <f t="shared" ref="J669" si="1089">H669*I669</f>
        <v>1439366</v>
      </c>
      <c r="K669" s="146">
        <f t="shared" ref="K669" si="1090">H669+(J669-H669)*(1-30/100)</f>
        <v>1418022</v>
      </c>
      <c r="L669" s="382"/>
      <c r="M669" s="382"/>
      <c r="N669" s="382"/>
    </row>
    <row r="670" spans="1:14" s="383" customFormat="1" hidden="1" outlineLevel="3" x14ac:dyDescent="0.25">
      <c r="A670" s="363" t="s">
        <v>2819</v>
      </c>
      <c r="B670" s="381" t="s">
        <v>1231</v>
      </c>
      <c r="C670" s="381" t="s">
        <v>1230</v>
      </c>
      <c r="D670" s="100" t="s">
        <v>292</v>
      </c>
      <c r="E670" s="100">
        <v>1</v>
      </c>
      <c r="F670" s="220">
        <f>(5563)*(1.023*1.005-2.3%*15%)*6.99+175892*4.09</f>
        <v>759243</v>
      </c>
      <c r="G670" s="145">
        <f t="shared" si="1051"/>
        <v>1.1279999999999999</v>
      </c>
      <c r="H670" s="146">
        <f t="shared" ref="H670" si="1091">F670*G670</f>
        <v>856426</v>
      </c>
      <c r="I670" s="145">
        <f>Дефляторы!$D$25</f>
        <v>1.052</v>
      </c>
      <c r="J670" s="146">
        <f t="shared" ref="J670" si="1092">H670*I670</f>
        <v>900960</v>
      </c>
      <c r="K670" s="146">
        <f t="shared" ref="K670" si="1093">H670+(J670-H670)*(1-30/100)</f>
        <v>887600</v>
      </c>
      <c r="L670" s="382"/>
      <c r="M670" s="382"/>
      <c r="N670" s="382"/>
    </row>
    <row r="671" spans="1:14" s="383" customFormat="1" hidden="1" outlineLevel="3" x14ac:dyDescent="0.25">
      <c r="A671" s="363" t="s">
        <v>2820</v>
      </c>
      <c r="B671" s="381" t="s">
        <v>1233</v>
      </c>
      <c r="C671" s="381" t="s">
        <v>1232</v>
      </c>
      <c r="D671" s="100" t="s">
        <v>292</v>
      </c>
      <c r="E671" s="100">
        <v>1</v>
      </c>
      <c r="F671" s="220">
        <f>(71382)*(1.023*1.005-2.3%*15%)*6.99+227879*4.09</f>
        <v>1443292</v>
      </c>
      <c r="G671" s="145">
        <f t="shared" si="1051"/>
        <v>1.1279999999999999</v>
      </c>
      <c r="H671" s="146">
        <f t="shared" ref="H671" si="1094">F671*G671</f>
        <v>1628033</v>
      </c>
      <c r="I671" s="145">
        <f>Дефляторы!$D$25</f>
        <v>1.052</v>
      </c>
      <c r="J671" s="146">
        <f t="shared" ref="J671" si="1095">H671*I671</f>
        <v>1712691</v>
      </c>
      <c r="K671" s="146">
        <f t="shared" ref="K671" si="1096">H671+(J671-H671)*(1-30/100)</f>
        <v>1687294</v>
      </c>
      <c r="L671" s="382"/>
      <c r="M671" s="382"/>
      <c r="N671" s="382"/>
    </row>
    <row r="672" spans="1:14" s="383" customFormat="1" hidden="1" outlineLevel="3" x14ac:dyDescent="0.25">
      <c r="A672" s="363" t="s">
        <v>2821</v>
      </c>
      <c r="B672" s="381" t="s">
        <v>1235</v>
      </c>
      <c r="C672" s="381" t="s">
        <v>1234</v>
      </c>
      <c r="D672" s="100" t="s">
        <v>292</v>
      </c>
      <c r="E672" s="100">
        <v>1</v>
      </c>
      <c r="F672" s="220">
        <f>(66619)*(1.023*1.005-2.3%*15%)*6.99+309513*4.09</f>
        <v>1743061</v>
      </c>
      <c r="G672" s="145">
        <f t="shared" si="1051"/>
        <v>1.1279999999999999</v>
      </c>
      <c r="H672" s="146">
        <f t="shared" ref="H672" si="1097">F672*G672</f>
        <v>1966173</v>
      </c>
      <c r="I672" s="145">
        <f>Дефляторы!$D$25</f>
        <v>1.052</v>
      </c>
      <c r="J672" s="146">
        <f t="shared" ref="J672" si="1098">H672*I672</f>
        <v>2068414</v>
      </c>
      <c r="K672" s="146">
        <f t="shared" ref="K672" si="1099">H672+(J672-H672)*(1-30/100)</f>
        <v>2037742</v>
      </c>
      <c r="L672" s="382"/>
      <c r="M672" s="382"/>
      <c r="N672" s="382"/>
    </row>
    <row r="673" spans="1:14" s="383" customFormat="1" hidden="1" outlineLevel="3" x14ac:dyDescent="0.25">
      <c r="A673" s="363" t="s">
        <v>2822</v>
      </c>
      <c r="B673" s="381" t="s">
        <v>1237</v>
      </c>
      <c r="C673" s="381" t="s">
        <v>1236</v>
      </c>
      <c r="D673" s="100" t="s">
        <v>292</v>
      </c>
      <c r="E673" s="100">
        <v>1</v>
      </c>
      <c r="F673" s="220">
        <f>(21222)*(1.023*1.005-2.3%*15%)*6.99+236503*4.09</f>
        <v>1119298</v>
      </c>
      <c r="G673" s="145">
        <f t="shared" si="1051"/>
        <v>1.1279999999999999</v>
      </c>
      <c r="H673" s="146">
        <f t="shared" ref="H673" si="1100">F673*G673</f>
        <v>1262568</v>
      </c>
      <c r="I673" s="145">
        <f>Дефляторы!$D$25</f>
        <v>1.052</v>
      </c>
      <c r="J673" s="146">
        <f t="shared" ref="J673" si="1101">H673*I673</f>
        <v>1328222</v>
      </c>
      <c r="K673" s="146">
        <f t="shared" ref="K673" si="1102">H673+(J673-H673)*(1-30/100)</f>
        <v>1308526</v>
      </c>
      <c r="L673" s="382"/>
      <c r="M673" s="382"/>
      <c r="N673" s="382"/>
    </row>
    <row r="674" spans="1:14" s="383" customFormat="1" hidden="1" outlineLevel="3" x14ac:dyDescent="0.25">
      <c r="A674" s="363" t="s">
        <v>2823</v>
      </c>
      <c r="B674" s="381" t="s">
        <v>1239</v>
      </c>
      <c r="C674" s="381" t="s">
        <v>1238</v>
      </c>
      <c r="D674" s="100" t="s">
        <v>292</v>
      </c>
      <c r="E674" s="100">
        <v>1</v>
      </c>
      <c r="F674" s="220">
        <f>(10293+20)*(1.023*1.005-2.3%*15%)*6.99+4550*4.09</f>
        <v>92475</v>
      </c>
      <c r="G674" s="145">
        <f t="shared" si="1051"/>
        <v>1.1279999999999999</v>
      </c>
      <c r="H674" s="146">
        <f t="shared" ref="H674" si="1103">F674*G674</f>
        <v>104312</v>
      </c>
      <c r="I674" s="145">
        <f>Дефляторы!$D$25</f>
        <v>1.052</v>
      </c>
      <c r="J674" s="146">
        <f t="shared" ref="J674" si="1104">H674*I674</f>
        <v>109736</v>
      </c>
      <c r="K674" s="146">
        <f t="shared" ref="K674" si="1105">H674+(J674-H674)*(1-30/100)</f>
        <v>108109</v>
      </c>
      <c r="L674" s="382"/>
      <c r="M674" s="382"/>
      <c r="N674" s="382"/>
    </row>
    <row r="675" spans="1:14" s="383" customFormat="1" hidden="1" outlineLevel="3" x14ac:dyDescent="0.25">
      <c r="A675" s="363" t="s">
        <v>2824</v>
      </c>
      <c r="B675" s="381" t="s">
        <v>1241</v>
      </c>
      <c r="C675" s="381" t="s">
        <v>1240</v>
      </c>
      <c r="D675" s="100" t="s">
        <v>292</v>
      </c>
      <c r="E675" s="100">
        <v>1</v>
      </c>
      <c r="F675" s="220">
        <f>(19131)*(1.023*1.005-2.3%*15%)*6.99+254462*4.09</f>
        <v>1177774</v>
      </c>
      <c r="G675" s="145">
        <f t="shared" si="1051"/>
        <v>1.1279999999999999</v>
      </c>
      <c r="H675" s="146">
        <f t="shared" ref="H675" si="1106">F675*G675</f>
        <v>1328529</v>
      </c>
      <c r="I675" s="145">
        <f>Дефляторы!$D$25</f>
        <v>1.052</v>
      </c>
      <c r="J675" s="146">
        <f t="shared" ref="J675" si="1107">H675*I675</f>
        <v>1397613</v>
      </c>
      <c r="K675" s="146">
        <f t="shared" ref="K675" si="1108">H675+(J675-H675)*(1-30/100)</f>
        <v>1376888</v>
      </c>
      <c r="L675" s="382"/>
      <c r="M675" s="382"/>
      <c r="N675" s="382"/>
    </row>
    <row r="676" spans="1:14" s="383" customFormat="1" hidden="1" outlineLevel="3" x14ac:dyDescent="0.25">
      <c r="A676" s="363" t="s">
        <v>2825</v>
      </c>
      <c r="B676" s="381" t="s">
        <v>1243</v>
      </c>
      <c r="C676" s="381" t="s">
        <v>1242</v>
      </c>
      <c r="D676" s="100" t="s">
        <v>292</v>
      </c>
      <c r="E676" s="100">
        <v>1</v>
      </c>
      <c r="F676" s="220">
        <f>(23875)*(1.023*1.005-2.3%*15%)*6.99+251235*4.09</f>
        <v>1198554</v>
      </c>
      <c r="G676" s="145">
        <f t="shared" ref="G676:G707" si="1109">$G$831</f>
        <v>1.1279999999999999</v>
      </c>
      <c r="H676" s="146">
        <f t="shared" ref="H676" si="1110">F676*G676</f>
        <v>1351969</v>
      </c>
      <c r="I676" s="145">
        <f>Дефляторы!$D$25</f>
        <v>1.052</v>
      </c>
      <c r="J676" s="146">
        <f t="shared" ref="J676" si="1111">H676*I676</f>
        <v>1422271</v>
      </c>
      <c r="K676" s="146">
        <f t="shared" ref="K676" si="1112">H676+(J676-H676)*(1-30/100)</f>
        <v>1401180</v>
      </c>
      <c r="L676" s="382"/>
      <c r="M676" s="382"/>
      <c r="N676" s="382"/>
    </row>
    <row r="677" spans="1:14" s="383" customFormat="1" hidden="1" outlineLevel="3" x14ac:dyDescent="0.25">
      <c r="A677" s="363" t="s">
        <v>2826</v>
      </c>
      <c r="B677" s="381" t="s">
        <v>1245</v>
      </c>
      <c r="C677" s="381" t="s">
        <v>1244</v>
      </c>
      <c r="D677" s="100" t="s">
        <v>292</v>
      </c>
      <c r="E677" s="100">
        <v>1</v>
      </c>
      <c r="F677" s="220">
        <f>(6649)*(1.023*1.005-2.3%*15%)*6.99+34968*4.09</f>
        <v>190642</v>
      </c>
      <c r="G677" s="145">
        <f t="shared" si="1109"/>
        <v>1.1279999999999999</v>
      </c>
      <c r="H677" s="146">
        <f t="shared" ref="H677" si="1113">F677*G677</f>
        <v>215044</v>
      </c>
      <c r="I677" s="145">
        <f>Дефляторы!$D$25</f>
        <v>1.052</v>
      </c>
      <c r="J677" s="146">
        <f t="shared" ref="J677" si="1114">H677*I677</f>
        <v>226226</v>
      </c>
      <c r="K677" s="146">
        <f t="shared" ref="K677" si="1115">H677+(J677-H677)*(1-30/100)</f>
        <v>222871</v>
      </c>
      <c r="L677" s="382"/>
      <c r="M677" s="382"/>
      <c r="N677" s="382"/>
    </row>
    <row r="678" spans="1:14" s="383" customFormat="1" hidden="1" outlineLevel="3" x14ac:dyDescent="0.25">
      <c r="A678" s="363" t="s">
        <v>2827</v>
      </c>
      <c r="B678" s="381" t="s">
        <v>1247</v>
      </c>
      <c r="C678" s="381" t="s">
        <v>1246</v>
      </c>
      <c r="D678" s="100" t="s">
        <v>292</v>
      </c>
      <c r="E678" s="100">
        <v>1</v>
      </c>
      <c r="F678" s="220">
        <f>(14561)*(1.023*1.005-2.3%*15%)*6.99+48321*4.09</f>
        <v>301925</v>
      </c>
      <c r="G678" s="145">
        <f t="shared" si="1109"/>
        <v>1.1279999999999999</v>
      </c>
      <c r="H678" s="146">
        <f t="shared" ref="H678" si="1116">F678*G678</f>
        <v>340571</v>
      </c>
      <c r="I678" s="145">
        <f>Дефляторы!$D$25</f>
        <v>1.052</v>
      </c>
      <c r="J678" s="146">
        <f t="shared" ref="J678" si="1117">H678*I678</f>
        <v>358281</v>
      </c>
      <c r="K678" s="146">
        <f t="shared" ref="K678" si="1118">H678+(J678-H678)*(1-30/100)</f>
        <v>352968</v>
      </c>
      <c r="L678" s="382"/>
      <c r="M678" s="382"/>
      <c r="N678" s="382"/>
    </row>
    <row r="679" spans="1:14" s="383" customFormat="1" hidden="1" outlineLevel="3" x14ac:dyDescent="0.25">
      <c r="A679" s="363" t="s">
        <v>2828</v>
      </c>
      <c r="B679" s="381" t="s">
        <v>1249</v>
      </c>
      <c r="C679" s="381" t="s">
        <v>1248</v>
      </c>
      <c r="D679" s="100" t="s">
        <v>292</v>
      </c>
      <c r="E679" s="100">
        <v>1</v>
      </c>
      <c r="F679" s="220">
        <f>(12266)*(1.023*1.005-2.3%*15%)*6.99+38070*4.09</f>
        <v>243560</v>
      </c>
      <c r="G679" s="145">
        <f t="shared" si="1109"/>
        <v>1.1279999999999999</v>
      </c>
      <c r="H679" s="146">
        <f t="shared" ref="H679" si="1119">F679*G679</f>
        <v>274736</v>
      </c>
      <c r="I679" s="145">
        <f>Дефляторы!$D$25</f>
        <v>1.052</v>
      </c>
      <c r="J679" s="146">
        <f t="shared" ref="J679" si="1120">H679*I679</f>
        <v>289022</v>
      </c>
      <c r="K679" s="146">
        <f t="shared" ref="K679" si="1121">H679+(J679-H679)*(1-30/100)</f>
        <v>284736</v>
      </c>
      <c r="L679" s="382"/>
      <c r="M679" s="382"/>
      <c r="N679" s="382"/>
    </row>
    <row r="680" spans="1:14" s="383" customFormat="1" hidden="1" outlineLevel="3" x14ac:dyDescent="0.25">
      <c r="A680" s="363" t="s">
        <v>2829</v>
      </c>
      <c r="B680" s="381" t="s">
        <v>1251</v>
      </c>
      <c r="C680" s="381" t="s">
        <v>1250</v>
      </c>
      <c r="D680" s="100" t="s">
        <v>292</v>
      </c>
      <c r="E680" s="100">
        <v>1</v>
      </c>
      <c r="F680" s="220">
        <f>(9687)*(1.023*1.005-2.3%*15%)*6.99+31777*4.09</f>
        <v>199350</v>
      </c>
      <c r="G680" s="145">
        <f t="shared" si="1109"/>
        <v>1.1279999999999999</v>
      </c>
      <c r="H680" s="146">
        <f t="shared" ref="H680" si="1122">F680*G680</f>
        <v>224867</v>
      </c>
      <c r="I680" s="145">
        <f>Дефляторы!$D$25</f>
        <v>1.052</v>
      </c>
      <c r="J680" s="146">
        <f t="shared" ref="J680" si="1123">H680*I680</f>
        <v>236560</v>
      </c>
      <c r="K680" s="146">
        <f t="shared" ref="K680" si="1124">H680+(J680-H680)*(1-30/100)</f>
        <v>233052</v>
      </c>
      <c r="L680" s="382"/>
      <c r="M680" s="382"/>
      <c r="N680" s="382"/>
    </row>
    <row r="681" spans="1:14" s="383" customFormat="1" hidden="1" outlineLevel="3" x14ac:dyDescent="0.25">
      <c r="A681" s="363" t="s">
        <v>2830</v>
      </c>
      <c r="B681" s="381" t="s">
        <v>1253</v>
      </c>
      <c r="C681" s="381" t="s">
        <v>1252</v>
      </c>
      <c r="D681" s="100" t="s">
        <v>292</v>
      </c>
      <c r="E681" s="100">
        <v>1</v>
      </c>
      <c r="F681" s="220">
        <f>(11652)*(1.023*1.005-2.3%*15%)*6.99+31777*4.09</f>
        <v>213424</v>
      </c>
      <c r="G681" s="145">
        <f t="shared" si="1109"/>
        <v>1.1279999999999999</v>
      </c>
      <c r="H681" s="146">
        <f t="shared" ref="H681" si="1125">F681*G681</f>
        <v>240742</v>
      </c>
      <c r="I681" s="145">
        <f>Дефляторы!$D$25</f>
        <v>1.052</v>
      </c>
      <c r="J681" s="146">
        <f t="shared" ref="J681" si="1126">H681*I681</f>
        <v>253261</v>
      </c>
      <c r="K681" s="146">
        <f t="shared" ref="K681" si="1127">H681+(J681-H681)*(1-30/100)</f>
        <v>249505</v>
      </c>
      <c r="L681" s="382"/>
      <c r="M681" s="382"/>
      <c r="N681" s="382"/>
    </row>
    <row r="682" spans="1:14" s="383" customFormat="1" hidden="1" outlineLevel="3" x14ac:dyDescent="0.25">
      <c r="A682" s="363" t="s">
        <v>2831</v>
      </c>
      <c r="B682" s="381" t="s">
        <v>1255</v>
      </c>
      <c r="C682" s="381" t="s">
        <v>1254</v>
      </c>
      <c r="D682" s="100" t="s">
        <v>292</v>
      </c>
      <c r="E682" s="100">
        <v>1</v>
      </c>
      <c r="F682" s="220">
        <f>(13011)*(1.023*1.005-2.3%*15%)*6.99+29931*4.09</f>
        <v>215608</v>
      </c>
      <c r="G682" s="145">
        <f t="shared" si="1109"/>
        <v>1.1279999999999999</v>
      </c>
      <c r="H682" s="146">
        <f t="shared" ref="H682" si="1128">F682*G682</f>
        <v>243206</v>
      </c>
      <c r="I682" s="145">
        <f>Дефляторы!$D$25</f>
        <v>1.052</v>
      </c>
      <c r="J682" s="146">
        <f t="shared" ref="J682" si="1129">H682*I682</f>
        <v>255853</v>
      </c>
      <c r="K682" s="146">
        <f t="shared" ref="K682" si="1130">H682+(J682-H682)*(1-30/100)</f>
        <v>252059</v>
      </c>
      <c r="L682" s="382"/>
      <c r="M682" s="382"/>
      <c r="N682" s="382"/>
    </row>
    <row r="683" spans="1:14" s="383" customFormat="1" hidden="1" outlineLevel="3" x14ac:dyDescent="0.25">
      <c r="A683" s="363" t="s">
        <v>2832</v>
      </c>
      <c r="B683" s="381" t="s">
        <v>1257</v>
      </c>
      <c r="C683" s="381" t="s">
        <v>1256</v>
      </c>
      <c r="D683" s="100" t="s">
        <v>292</v>
      </c>
      <c r="E683" s="100">
        <v>1</v>
      </c>
      <c r="F683" s="220">
        <f>(6755)*(1.023*1.005-2.3%*15%)*6.99+11309*4.09</f>
        <v>94636</v>
      </c>
      <c r="G683" s="145">
        <f t="shared" si="1109"/>
        <v>1.1279999999999999</v>
      </c>
      <c r="H683" s="146">
        <f t="shared" ref="H683" si="1131">F683*G683</f>
        <v>106749</v>
      </c>
      <c r="I683" s="145">
        <f>Дефляторы!$D$25</f>
        <v>1.052</v>
      </c>
      <c r="J683" s="146">
        <f t="shared" ref="J683" si="1132">H683*I683</f>
        <v>112300</v>
      </c>
      <c r="K683" s="146">
        <f t="shared" ref="K683" si="1133">H683+(J683-H683)*(1-30/100)</f>
        <v>110635</v>
      </c>
      <c r="L683" s="382"/>
      <c r="M683" s="382"/>
      <c r="N683" s="382"/>
    </row>
    <row r="684" spans="1:14" s="383" customFormat="1" hidden="1" outlineLevel="3" x14ac:dyDescent="0.25">
      <c r="A684" s="363" t="s">
        <v>2833</v>
      </c>
      <c r="B684" s="381" t="s">
        <v>1259</v>
      </c>
      <c r="C684" s="381" t="s">
        <v>1258</v>
      </c>
      <c r="D684" s="100" t="s">
        <v>292</v>
      </c>
      <c r="E684" s="100">
        <v>1</v>
      </c>
      <c r="F684" s="220">
        <f>(51105)*(1.023*1.005-2.3%*15%)*6.99+59976*4.09</f>
        <v>611337</v>
      </c>
      <c r="G684" s="145">
        <f t="shared" si="1109"/>
        <v>1.1279999999999999</v>
      </c>
      <c r="H684" s="146">
        <f t="shared" ref="H684" si="1134">F684*G684</f>
        <v>689588</v>
      </c>
      <c r="I684" s="145">
        <f>Дефляторы!$D$25</f>
        <v>1.052</v>
      </c>
      <c r="J684" s="146">
        <f t="shared" ref="J684" si="1135">H684*I684</f>
        <v>725447</v>
      </c>
      <c r="K684" s="146">
        <f t="shared" ref="K684" si="1136">H684+(J684-H684)*(1-30/100)</f>
        <v>714689</v>
      </c>
      <c r="L684" s="382"/>
      <c r="M684" s="382"/>
      <c r="N684" s="382"/>
    </row>
    <row r="685" spans="1:14" s="383" customFormat="1" hidden="1" outlineLevel="3" x14ac:dyDescent="0.25">
      <c r="A685" s="363" t="s">
        <v>2834</v>
      </c>
      <c r="B685" s="381" t="s">
        <v>1261</v>
      </c>
      <c r="C685" s="381" t="s">
        <v>1260</v>
      </c>
      <c r="D685" s="100" t="s">
        <v>292</v>
      </c>
      <c r="E685" s="100">
        <v>1</v>
      </c>
      <c r="F685" s="220">
        <f>(19466)*(1.023*1.005-2.3%*15%)*6.99+59976*4.09</f>
        <v>384725</v>
      </c>
      <c r="G685" s="145">
        <f t="shared" si="1109"/>
        <v>1.1279999999999999</v>
      </c>
      <c r="H685" s="146">
        <f t="shared" ref="H685" si="1137">F685*G685</f>
        <v>433970</v>
      </c>
      <c r="I685" s="145">
        <f>Дефляторы!$D$25</f>
        <v>1.052</v>
      </c>
      <c r="J685" s="146">
        <f t="shared" ref="J685" si="1138">H685*I685</f>
        <v>456536</v>
      </c>
      <c r="K685" s="146">
        <f t="shared" ref="K685" si="1139">H685+(J685-H685)*(1-30/100)</f>
        <v>449766</v>
      </c>
      <c r="L685" s="382"/>
      <c r="M685" s="382"/>
      <c r="N685" s="382"/>
    </row>
    <row r="686" spans="1:14" s="383" customFormat="1" hidden="1" outlineLevel="3" x14ac:dyDescent="0.25">
      <c r="A686" s="363" t="s">
        <v>2835</v>
      </c>
      <c r="B686" s="381" t="s">
        <v>1263</v>
      </c>
      <c r="C686" s="381" t="s">
        <v>1262</v>
      </c>
      <c r="D686" s="100" t="s">
        <v>292</v>
      </c>
      <c r="E686" s="100">
        <v>1</v>
      </c>
      <c r="F686" s="220">
        <f>(17402)*(1.023*1.005-2.3%*15%)*6.99+60934*4.09</f>
        <v>373860</v>
      </c>
      <c r="G686" s="145">
        <f t="shared" si="1109"/>
        <v>1.1279999999999999</v>
      </c>
      <c r="H686" s="146">
        <f t="shared" ref="H686" si="1140">F686*G686</f>
        <v>421714</v>
      </c>
      <c r="I686" s="145">
        <f>Дефляторы!$D$25</f>
        <v>1.052</v>
      </c>
      <c r="J686" s="146">
        <f t="shared" ref="J686" si="1141">H686*I686</f>
        <v>443643</v>
      </c>
      <c r="K686" s="146">
        <f t="shared" ref="K686" si="1142">H686+(J686-H686)*(1-30/100)</f>
        <v>437064</v>
      </c>
      <c r="L686" s="382"/>
      <c r="M686" s="382"/>
      <c r="N686" s="382"/>
    </row>
    <row r="687" spans="1:14" s="383" customFormat="1" hidden="1" outlineLevel="3" x14ac:dyDescent="0.25">
      <c r="A687" s="363" t="s">
        <v>2836</v>
      </c>
      <c r="B687" s="381" t="s">
        <v>1265</v>
      </c>
      <c r="C687" s="381" t="s">
        <v>1264</v>
      </c>
      <c r="D687" s="100" t="s">
        <v>292</v>
      </c>
      <c r="E687" s="100">
        <v>1</v>
      </c>
      <c r="F687" s="220">
        <f>(38158)*(1.023*1.005-2.3%*15%)*6.99+72562*4.09</f>
        <v>570082</v>
      </c>
      <c r="G687" s="145">
        <f t="shared" si="1109"/>
        <v>1.1279999999999999</v>
      </c>
      <c r="H687" s="146">
        <f t="shared" ref="H687" si="1143">F687*G687</f>
        <v>643052</v>
      </c>
      <c r="I687" s="145">
        <f>Дефляторы!$D$25</f>
        <v>1.052</v>
      </c>
      <c r="J687" s="146">
        <f t="shared" ref="J687" si="1144">H687*I687</f>
        <v>676491</v>
      </c>
      <c r="K687" s="146">
        <f t="shared" ref="K687" si="1145">H687+(J687-H687)*(1-30/100)</f>
        <v>666459</v>
      </c>
      <c r="L687" s="382"/>
      <c r="M687" s="382"/>
      <c r="N687" s="382"/>
    </row>
    <row r="688" spans="1:14" s="383" customFormat="1" hidden="1" outlineLevel="3" x14ac:dyDescent="0.25">
      <c r="A688" s="363" t="s">
        <v>2837</v>
      </c>
      <c r="B688" s="381" t="s">
        <v>1267</v>
      </c>
      <c r="C688" s="381" t="s">
        <v>1266</v>
      </c>
      <c r="D688" s="100" t="s">
        <v>292</v>
      </c>
      <c r="E688" s="100">
        <v>1</v>
      </c>
      <c r="F688" s="220">
        <f>(5694+20)*(1.023*1.005-2.3%*15%)*6.99+5910*4.09</f>
        <v>65098</v>
      </c>
      <c r="G688" s="145">
        <f t="shared" si="1109"/>
        <v>1.1279999999999999</v>
      </c>
      <c r="H688" s="146">
        <f t="shared" ref="H688" si="1146">F688*G688</f>
        <v>73431</v>
      </c>
      <c r="I688" s="145">
        <f>Дефляторы!$D$25</f>
        <v>1.052</v>
      </c>
      <c r="J688" s="146">
        <f t="shared" ref="J688" si="1147">H688*I688</f>
        <v>77249</v>
      </c>
      <c r="K688" s="146">
        <f t="shared" ref="K688" si="1148">H688+(J688-H688)*(1-30/100)</f>
        <v>76104</v>
      </c>
      <c r="L688" s="382"/>
      <c r="M688" s="382"/>
      <c r="N688" s="382"/>
    </row>
    <row r="689" spans="1:14" s="383" customFormat="1" hidden="1" outlineLevel="3" x14ac:dyDescent="0.25">
      <c r="A689" s="363" t="s">
        <v>2838</v>
      </c>
      <c r="B689" s="381" t="s">
        <v>1269</v>
      </c>
      <c r="C689" s="381" t="s">
        <v>1268</v>
      </c>
      <c r="D689" s="100" t="s">
        <v>292</v>
      </c>
      <c r="E689" s="100">
        <v>1</v>
      </c>
      <c r="F689" s="220">
        <f>(15852)*(1.023*1.005-2.3%*15%)*6.99+60028*4.09</f>
        <v>359053</v>
      </c>
      <c r="G689" s="145">
        <f t="shared" si="1109"/>
        <v>1.1279999999999999</v>
      </c>
      <c r="H689" s="146">
        <f t="shared" ref="H689" si="1149">F689*G689</f>
        <v>405012</v>
      </c>
      <c r="I689" s="145">
        <f>Дефляторы!$D$25</f>
        <v>1.052</v>
      </c>
      <c r="J689" s="146">
        <f t="shared" ref="J689" si="1150">H689*I689</f>
        <v>426073</v>
      </c>
      <c r="K689" s="146">
        <f t="shared" ref="K689" si="1151">H689+(J689-H689)*(1-30/100)</f>
        <v>419755</v>
      </c>
      <c r="L689" s="382"/>
      <c r="M689" s="382"/>
      <c r="N689" s="382"/>
    </row>
    <row r="690" spans="1:14" s="383" customFormat="1" hidden="1" outlineLevel="3" x14ac:dyDescent="0.25">
      <c r="A690" s="363" t="s">
        <v>2839</v>
      </c>
      <c r="B690" s="381" t="s">
        <v>1271</v>
      </c>
      <c r="C690" s="381" t="s">
        <v>1270</v>
      </c>
      <c r="D690" s="100" t="s">
        <v>292</v>
      </c>
      <c r="E690" s="100">
        <v>1</v>
      </c>
      <c r="F690" s="220">
        <f>(19794)*(1.023*1.005-2.3%*15%)*6.99+71259*4.09</f>
        <v>433222</v>
      </c>
      <c r="G690" s="145">
        <f t="shared" si="1109"/>
        <v>1.1279999999999999</v>
      </c>
      <c r="H690" s="146">
        <f t="shared" ref="H690" si="1152">F690*G690</f>
        <v>488674</v>
      </c>
      <c r="I690" s="145">
        <f>Дефляторы!$D$25</f>
        <v>1.052</v>
      </c>
      <c r="J690" s="146">
        <f t="shared" ref="J690" si="1153">H690*I690</f>
        <v>514085</v>
      </c>
      <c r="K690" s="146">
        <f t="shared" ref="K690" si="1154">H690+(J690-H690)*(1-30/100)</f>
        <v>506462</v>
      </c>
      <c r="L690" s="382"/>
      <c r="M690" s="382"/>
      <c r="N690" s="382"/>
    </row>
    <row r="691" spans="1:14" s="383" customFormat="1" hidden="1" outlineLevel="3" x14ac:dyDescent="0.25">
      <c r="A691" s="363" t="s">
        <v>2840</v>
      </c>
      <c r="B691" s="381" t="s">
        <v>1273</v>
      </c>
      <c r="C691" s="381" t="s">
        <v>1272</v>
      </c>
      <c r="D691" s="100" t="s">
        <v>292</v>
      </c>
      <c r="E691" s="100">
        <v>1</v>
      </c>
      <c r="F691" s="220">
        <f>(74612)*(1.023*1.005-2.3%*15%)*6.99+171769*4.09</f>
        <v>1236937</v>
      </c>
      <c r="G691" s="145">
        <f t="shared" si="1109"/>
        <v>1.1279999999999999</v>
      </c>
      <c r="H691" s="146">
        <f t="shared" ref="H691" si="1155">F691*G691</f>
        <v>1395265</v>
      </c>
      <c r="I691" s="145">
        <f>Дефляторы!$D$25</f>
        <v>1.052</v>
      </c>
      <c r="J691" s="146">
        <f t="shared" ref="J691" si="1156">H691*I691</f>
        <v>1467819</v>
      </c>
      <c r="K691" s="146">
        <f t="shared" ref="K691" si="1157">H691+(J691-H691)*(1-30/100)</f>
        <v>1446053</v>
      </c>
      <c r="L691" s="382"/>
      <c r="M691" s="382"/>
      <c r="N691" s="382"/>
    </row>
    <row r="692" spans="1:14" s="383" customFormat="1" hidden="1" outlineLevel="3" x14ac:dyDescent="0.25">
      <c r="A692" s="363" t="s">
        <v>2841</v>
      </c>
      <c r="B692" s="381" t="s">
        <v>1275</v>
      </c>
      <c r="C692" s="381" t="s">
        <v>1274</v>
      </c>
      <c r="D692" s="100" t="s">
        <v>292</v>
      </c>
      <c r="E692" s="100">
        <v>1</v>
      </c>
      <c r="F692" s="220">
        <f>(78918)*(1.023*1.005-2.3%*15%)*6.99+181201*4.09</f>
        <v>1306355</v>
      </c>
      <c r="G692" s="145">
        <f t="shared" si="1109"/>
        <v>1.1279999999999999</v>
      </c>
      <c r="H692" s="146">
        <f t="shared" ref="H692" si="1158">F692*G692</f>
        <v>1473568</v>
      </c>
      <c r="I692" s="145">
        <f>Дефляторы!$D$25</f>
        <v>1.052</v>
      </c>
      <c r="J692" s="146">
        <f t="shared" ref="J692" si="1159">H692*I692</f>
        <v>1550194</v>
      </c>
      <c r="K692" s="146">
        <f t="shared" ref="K692" si="1160">H692+(J692-H692)*(1-30/100)</f>
        <v>1527206</v>
      </c>
      <c r="L692" s="382"/>
      <c r="M692" s="382"/>
      <c r="N692" s="382"/>
    </row>
    <row r="693" spans="1:14" s="383" customFormat="1" hidden="1" outlineLevel="3" x14ac:dyDescent="0.25">
      <c r="A693" s="363" t="s">
        <v>2842</v>
      </c>
      <c r="B693" s="381" t="s">
        <v>1277</v>
      </c>
      <c r="C693" s="381" t="s">
        <v>1276</v>
      </c>
      <c r="D693" s="100" t="s">
        <v>292</v>
      </c>
      <c r="E693" s="100">
        <v>1</v>
      </c>
      <c r="F693" s="220">
        <f>(78674)*(1.023*1.005-2.3%*15%)*6.99+176485*4.09</f>
        <v>1285319</v>
      </c>
      <c r="G693" s="145">
        <f t="shared" si="1109"/>
        <v>1.1279999999999999</v>
      </c>
      <c r="H693" s="146">
        <f t="shared" ref="H693" si="1161">F693*G693</f>
        <v>1449840</v>
      </c>
      <c r="I693" s="145">
        <f>Дефляторы!$D$25</f>
        <v>1.052</v>
      </c>
      <c r="J693" s="146">
        <f t="shared" ref="J693" si="1162">H693*I693</f>
        <v>1525232</v>
      </c>
      <c r="K693" s="146">
        <f t="shared" ref="K693" si="1163">H693+(J693-H693)*(1-30/100)</f>
        <v>1502614</v>
      </c>
      <c r="L693" s="382"/>
      <c r="M693" s="382"/>
      <c r="N693" s="382"/>
    </row>
    <row r="694" spans="1:14" s="383" customFormat="1" hidden="1" outlineLevel="3" x14ac:dyDescent="0.25">
      <c r="A694" s="363" t="s">
        <v>2843</v>
      </c>
      <c r="B694" s="381" t="s">
        <v>1279</v>
      </c>
      <c r="C694" s="381" t="s">
        <v>1278</v>
      </c>
      <c r="D694" s="100" t="s">
        <v>292</v>
      </c>
      <c r="E694" s="100">
        <v>1</v>
      </c>
      <c r="F694" s="220">
        <f>(78918)*(1.023*1.005-2.3%*15%)*6.99+225699*4.09</f>
        <v>1488352</v>
      </c>
      <c r="G694" s="145">
        <f t="shared" si="1109"/>
        <v>1.1279999999999999</v>
      </c>
      <c r="H694" s="146">
        <f t="shared" ref="H694" si="1164">F694*G694</f>
        <v>1678861</v>
      </c>
      <c r="I694" s="145">
        <f>Дефляторы!$D$25</f>
        <v>1.052</v>
      </c>
      <c r="J694" s="146">
        <f t="shared" ref="J694" si="1165">H694*I694</f>
        <v>1766162</v>
      </c>
      <c r="K694" s="146">
        <f t="shared" ref="K694" si="1166">H694+(J694-H694)*(1-30/100)</f>
        <v>1739972</v>
      </c>
      <c r="L694" s="382"/>
      <c r="M694" s="382"/>
      <c r="N694" s="382"/>
    </row>
    <row r="695" spans="1:14" s="383" customFormat="1" hidden="1" outlineLevel="3" x14ac:dyDescent="0.25">
      <c r="A695" s="363" t="s">
        <v>2844</v>
      </c>
      <c r="B695" s="381" t="s">
        <v>1281</v>
      </c>
      <c r="C695" s="381" t="s">
        <v>1280</v>
      </c>
      <c r="D695" s="100" t="s">
        <v>292</v>
      </c>
      <c r="E695" s="100">
        <v>1</v>
      </c>
      <c r="F695" s="220">
        <f>(43424)*(1.023*1.005-2.3%*15%)*6.99+43454*4.09</f>
        <v>488747</v>
      </c>
      <c r="G695" s="145">
        <f t="shared" si="1109"/>
        <v>1.1279999999999999</v>
      </c>
      <c r="H695" s="146">
        <f t="shared" ref="H695" si="1167">F695*G695</f>
        <v>551307</v>
      </c>
      <c r="I695" s="145">
        <f>Дефляторы!$D$25</f>
        <v>1.052</v>
      </c>
      <c r="J695" s="146">
        <f t="shared" ref="J695" si="1168">H695*I695</f>
        <v>579975</v>
      </c>
      <c r="K695" s="146">
        <f t="shared" ref="K695" si="1169">H695+(J695-H695)*(1-30/100)</f>
        <v>571375</v>
      </c>
      <c r="L695" s="382"/>
      <c r="M695" s="382"/>
      <c r="N695" s="382"/>
    </row>
    <row r="696" spans="1:14" s="383" customFormat="1" hidden="1" outlineLevel="3" x14ac:dyDescent="0.25">
      <c r="A696" s="363" t="s">
        <v>2845</v>
      </c>
      <c r="B696" s="381" t="s">
        <v>1283</v>
      </c>
      <c r="C696" s="381" t="s">
        <v>1282</v>
      </c>
      <c r="D696" s="100" t="s">
        <v>292</v>
      </c>
      <c r="E696" s="100">
        <v>1</v>
      </c>
      <c r="F696" s="220">
        <f>(38583)*(1.023*1.005-2.3%*15%)*6.99+39278*4.09</f>
        <v>436994</v>
      </c>
      <c r="G696" s="145">
        <f t="shared" si="1109"/>
        <v>1.1279999999999999</v>
      </c>
      <c r="H696" s="146">
        <f t="shared" ref="H696" si="1170">F696*G696</f>
        <v>492929</v>
      </c>
      <c r="I696" s="145">
        <f>Дефляторы!$D$25</f>
        <v>1.052</v>
      </c>
      <c r="J696" s="146">
        <f t="shared" ref="J696" si="1171">H696*I696</f>
        <v>518561</v>
      </c>
      <c r="K696" s="146">
        <f t="shared" ref="K696" si="1172">H696+(J696-H696)*(1-30/100)</f>
        <v>510871</v>
      </c>
      <c r="L696" s="382"/>
      <c r="M696" s="382"/>
      <c r="N696" s="382"/>
    </row>
    <row r="697" spans="1:14" s="383" customFormat="1" hidden="1" outlineLevel="3" x14ac:dyDescent="0.25">
      <c r="A697" s="363" t="s">
        <v>2846</v>
      </c>
      <c r="B697" s="381" t="s">
        <v>1285</v>
      </c>
      <c r="C697" s="381" t="s">
        <v>1284</v>
      </c>
      <c r="D697" s="100" t="s">
        <v>292</v>
      </c>
      <c r="E697" s="100">
        <v>1</v>
      </c>
      <c r="F697" s="220">
        <f>(48691)*(1.023*1.005-2.3%*15%)*6.99+38827*4.09</f>
        <v>507547</v>
      </c>
      <c r="G697" s="145">
        <f t="shared" si="1109"/>
        <v>1.1279999999999999</v>
      </c>
      <c r="H697" s="146">
        <f t="shared" ref="H697" si="1173">F697*G697</f>
        <v>572513</v>
      </c>
      <c r="I697" s="145">
        <f>Дефляторы!$D$25</f>
        <v>1.052</v>
      </c>
      <c r="J697" s="146">
        <f t="shared" ref="J697" si="1174">H697*I697</f>
        <v>602284</v>
      </c>
      <c r="K697" s="146">
        <f t="shared" ref="K697" si="1175">H697+(J697-H697)*(1-30/100)</f>
        <v>593353</v>
      </c>
      <c r="L697" s="382"/>
      <c r="M697" s="382"/>
      <c r="N697" s="382"/>
    </row>
    <row r="698" spans="1:14" s="383" customFormat="1" hidden="1" outlineLevel="3" x14ac:dyDescent="0.25">
      <c r="A698" s="363" t="s">
        <v>2847</v>
      </c>
      <c r="B698" s="381" t="s">
        <v>1287</v>
      </c>
      <c r="C698" s="381" t="s">
        <v>1286</v>
      </c>
      <c r="D698" s="100" t="s">
        <v>292</v>
      </c>
      <c r="E698" s="100">
        <v>1</v>
      </c>
      <c r="F698" s="220">
        <f>(48936)*(1.023*1.005-2.3%*15%)*6.99+51874*4.09</f>
        <v>562664</v>
      </c>
      <c r="G698" s="145">
        <f t="shared" si="1109"/>
        <v>1.1279999999999999</v>
      </c>
      <c r="H698" s="146">
        <f t="shared" ref="H698" si="1176">F698*G698</f>
        <v>634685</v>
      </c>
      <c r="I698" s="145">
        <f>Дефляторы!$D$25</f>
        <v>1.052</v>
      </c>
      <c r="J698" s="146">
        <f t="shared" ref="J698" si="1177">H698*I698</f>
        <v>667689</v>
      </c>
      <c r="K698" s="146">
        <f t="shared" ref="K698" si="1178">H698+(J698-H698)*(1-30/100)</f>
        <v>657788</v>
      </c>
      <c r="L698" s="382"/>
      <c r="M698" s="382"/>
      <c r="N698" s="382"/>
    </row>
    <row r="699" spans="1:14" s="383" customFormat="1" hidden="1" outlineLevel="3" x14ac:dyDescent="0.25">
      <c r="A699" s="363" t="s">
        <v>2848</v>
      </c>
      <c r="B699" s="381" t="s">
        <v>1289</v>
      </c>
      <c r="C699" s="381" t="s">
        <v>1288</v>
      </c>
      <c r="D699" s="100" t="s">
        <v>292</v>
      </c>
      <c r="E699" s="100">
        <v>1</v>
      </c>
      <c r="F699" s="220">
        <f>(4123+303)*(1.023*1.005-2.3%*15%)*6.99+217631*4.09</f>
        <v>921812</v>
      </c>
      <c r="G699" s="145">
        <f t="shared" si="1109"/>
        <v>1.1279999999999999</v>
      </c>
      <c r="H699" s="146">
        <f t="shared" ref="H699" si="1179">F699*G699</f>
        <v>1039804</v>
      </c>
      <c r="I699" s="145">
        <f>Дефляторы!$D$25</f>
        <v>1.052</v>
      </c>
      <c r="J699" s="146">
        <f t="shared" ref="J699" si="1180">H699*I699</f>
        <v>1093874</v>
      </c>
      <c r="K699" s="146">
        <f t="shared" ref="K699" si="1181">H699+(J699-H699)*(1-30/100)</f>
        <v>1077653</v>
      </c>
      <c r="L699" s="382"/>
      <c r="M699" s="382"/>
      <c r="N699" s="382"/>
    </row>
    <row r="700" spans="1:14" s="383" customFormat="1" hidden="1" outlineLevel="3" x14ac:dyDescent="0.25">
      <c r="A700" s="363" t="s">
        <v>2849</v>
      </c>
      <c r="B700" s="381" t="s">
        <v>1291</v>
      </c>
      <c r="C700" s="381" t="s">
        <v>1290</v>
      </c>
      <c r="D700" s="100" t="s">
        <v>292</v>
      </c>
      <c r="E700" s="100">
        <v>1</v>
      </c>
      <c r="F700" s="220">
        <f>(196130+8851)*(1.023*1.005-2.3%*15%)*6.99+1081277*4.09+19</f>
        <v>5890600</v>
      </c>
      <c r="G700" s="145">
        <f t="shared" si="1109"/>
        <v>1.1279999999999999</v>
      </c>
      <c r="H700" s="146">
        <f t="shared" ref="H700" si="1182">F700*G700</f>
        <v>6644597</v>
      </c>
      <c r="I700" s="145">
        <f>Дефляторы!$D$25</f>
        <v>1.052</v>
      </c>
      <c r="J700" s="146">
        <f t="shared" ref="J700" si="1183">H700*I700</f>
        <v>6990116</v>
      </c>
      <c r="K700" s="146">
        <f t="shared" ref="K700" si="1184">H700+(J700-H700)*(1-30/100)</f>
        <v>6886460</v>
      </c>
      <c r="L700" s="382"/>
      <c r="M700" s="382"/>
      <c r="N700" s="382"/>
    </row>
    <row r="701" spans="1:14" s="383" customFormat="1" hidden="1" outlineLevel="2" x14ac:dyDescent="0.25">
      <c r="A701" s="363" t="s">
        <v>2154</v>
      </c>
      <c r="B701" s="381" t="s">
        <v>182</v>
      </c>
      <c r="C701" s="381" t="s">
        <v>1926</v>
      </c>
      <c r="D701" s="100" t="s">
        <v>292</v>
      </c>
      <c r="E701" s="149">
        <v>1</v>
      </c>
      <c r="F701" s="220">
        <f>(68309)*(1.023*1.005-2.3%*15%)*6.99+810635*4.09+28</f>
        <v>3804782</v>
      </c>
      <c r="G701" s="145">
        <f t="shared" si="1109"/>
        <v>1.1279999999999999</v>
      </c>
      <c r="H701" s="146">
        <f t="shared" ref="H701" si="1185">F701*G701</f>
        <v>4291794</v>
      </c>
      <c r="I701" s="145">
        <f>Дефляторы!$D$25</f>
        <v>1.052</v>
      </c>
      <c r="J701" s="146">
        <f t="shared" ref="J701" si="1186">H701*I701</f>
        <v>4514967</v>
      </c>
      <c r="K701" s="146">
        <f t="shared" ref="K701" si="1187">H701+(J701-H701)*(1-30/100)</f>
        <v>4448015</v>
      </c>
      <c r="L701" s="382"/>
      <c r="M701" s="382"/>
      <c r="N701" s="382"/>
    </row>
    <row r="702" spans="1:14" s="383" customFormat="1" ht="31.5" hidden="1" outlineLevel="2" collapsed="1" x14ac:dyDescent="0.25">
      <c r="A702" s="363" t="s">
        <v>2155</v>
      </c>
      <c r="B702" s="381" t="s">
        <v>186</v>
      </c>
      <c r="C702" s="381" t="s">
        <v>1927</v>
      </c>
      <c r="D702" s="100" t="s">
        <v>292</v>
      </c>
      <c r="E702" s="149">
        <v>1</v>
      </c>
      <c r="F702" s="220">
        <f>SUM(F703:F706)</f>
        <v>2640270</v>
      </c>
      <c r="G702" s="145">
        <f t="shared" si="1109"/>
        <v>1.1279999999999999</v>
      </c>
      <c r="H702" s="149">
        <f>SUM(H703:H706)</f>
        <v>2978225</v>
      </c>
      <c r="I702" s="145">
        <f>Дефляторы!$D$25</f>
        <v>1.052</v>
      </c>
      <c r="J702" s="149">
        <f>SUM(J703:J706)</f>
        <v>3133092</v>
      </c>
      <c r="K702" s="149">
        <f>SUM(K703:K706)</f>
        <v>3086633</v>
      </c>
      <c r="L702" s="382"/>
      <c r="M702" s="382"/>
      <c r="N702" s="382"/>
    </row>
    <row r="703" spans="1:14" s="383" customFormat="1" hidden="1" outlineLevel="3" x14ac:dyDescent="0.25">
      <c r="A703" s="363" t="s">
        <v>2850</v>
      </c>
      <c r="B703" s="381" t="s">
        <v>1298</v>
      </c>
      <c r="C703" s="381" t="s">
        <v>1297</v>
      </c>
      <c r="D703" s="100" t="s">
        <v>292</v>
      </c>
      <c r="E703" s="149">
        <v>1</v>
      </c>
      <c r="F703" s="220">
        <f>(76200)*(1.023*1.005-2.3%*15%)*6.99+32980*4.09</f>
        <v>680664</v>
      </c>
      <c r="G703" s="145">
        <f t="shared" si="1109"/>
        <v>1.1279999999999999</v>
      </c>
      <c r="H703" s="146">
        <f t="shared" ref="H703" si="1188">F703*G703</f>
        <v>767789</v>
      </c>
      <c r="I703" s="145">
        <f>Дефляторы!$D$25</f>
        <v>1.052</v>
      </c>
      <c r="J703" s="146">
        <f t="shared" ref="J703" si="1189">H703*I703</f>
        <v>807714</v>
      </c>
      <c r="K703" s="146">
        <f t="shared" ref="K703" si="1190">H703+(J703-H703)*(1-30/100)</f>
        <v>795737</v>
      </c>
      <c r="L703" s="382"/>
      <c r="M703" s="382"/>
      <c r="N703" s="382"/>
    </row>
    <row r="704" spans="1:14" s="383" customFormat="1" hidden="1" outlineLevel="3" x14ac:dyDescent="0.25">
      <c r="A704" s="363" t="s">
        <v>2851</v>
      </c>
      <c r="B704" s="381" t="s">
        <v>1300</v>
      </c>
      <c r="C704" s="381" t="s">
        <v>1299</v>
      </c>
      <c r="D704" s="100" t="s">
        <v>292</v>
      </c>
      <c r="E704" s="149">
        <v>1</v>
      </c>
      <c r="F704" s="220">
        <f>(68555)*(1.023*1.005-2.3%*15%)*6.99+132456*4.09+2</f>
        <v>1032766</v>
      </c>
      <c r="G704" s="145">
        <f t="shared" si="1109"/>
        <v>1.1279999999999999</v>
      </c>
      <c r="H704" s="146">
        <f t="shared" ref="H704" si="1191">F704*G704</f>
        <v>1164960</v>
      </c>
      <c r="I704" s="145">
        <f>Дефляторы!$D$25</f>
        <v>1.052</v>
      </c>
      <c r="J704" s="146">
        <f t="shared" ref="J704" si="1192">H704*I704</f>
        <v>1225538</v>
      </c>
      <c r="K704" s="146">
        <f t="shared" ref="K704" si="1193">H704+(J704-H704)*(1-30/100)</f>
        <v>1207365</v>
      </c>
      <c r="L704" s="382"/>
      <c r="M704" s="382"/>
      <c r="N704" s="382"/>
    </row>
    <row r="705" spans="1:14" s="383" customFormat="1" hidden="1" outlineLevel="3" x14ac:dyDescent="0.25">
      <c r="A705" s="363" t="s">
        <v>2852</v>
      </c>
      <c r="B705" s="381" t="s">
        <v>1302</v>
      </c>
      <c r="C705" s="381" t="s">
        <v>1301</v>
      </c>
      <c r="D705" s="100" t="s">
        <v>292</v>
      </c>
      <c r="E705" s="149">
        <v>1</v>
      </c>
      <c r="F705" s="220">
        <f>(46853)*(1.023*1.005-2.3%*15%)*6.99+1695*4.09</f>
        <v>342513</v>
      </c>
      <c r="G705" s="145">
        <f t="shared" si="1109"/>
        <v>1.1279999999999999</v>
      </c>
      <c r="H705" s="146">
        <f t="shared" ref="H705" si="1194">F705*G705</f>
        <v>386355</v>
      </c>
      <c r="I705" s="145">
        <f>Дефляторы!$D$25</f>
        <v>1.052</v>
      </c>
      <c r="J705" s="146">
        <f t="shared" ref="J705" si="1195">H705*I705</f>
        <v>406445</v>
      </c>
      <c r="K705" s="146">
        <f t="shared" ref="K705" si="1196">H705+(J705-H705)*(1-30/100)</f>
        <v>400418</v>
      </c>
      <c r="L705" s="382"/>
      <c r="M705" s="382"/>
      <c r="N705" s="382"/>
    </row>
    <row r="706" spans="1:14" s="383" customFormat="1" hidden="1" outlineLevel="3" x14ac:dyDescent="0.25">
      <c r="A706" s="363" t="s">
        <v>2853</v>
      </c>
      <c r="B706" s="381" t="s">
        <v>1304</v>
      </c>
      <c r="C706" s="381" t="s">
        <v>1303</v>
      </c>
      <c r="D706" s="100" t="s">
        <v>292</v>
      </c>
      <c r="E706" s="149">
        <v>1</v>
      </c>
      <c r="F706" s="220">
        <f>(62881)*(1.023*1.005-2.3%*15%)*6.99+32750*4.09</f>
        <v>584327</v>
      </c>
      <c r="G706" s="145">
        <f t="shared" si="1109"/>
        <v>1.1279999999999999</v>
      </c>
      <c r="H706" s="146">
        <f t="shared" ref="H706" si="1197">F706*G706</f>
        <v>659121</v>
      </c>
      <c r="I706" s="145">
        <f>Дефляторы!$D$25</f>
        <v>1.052</v>
      </c>
      <c r="J706" s="146">
        <f t="shared" ref="J706" si="1198">H706*I706</f>
        <v>693395</v>
      </c>
      <c r="K706" s="146">
        <f t="shared" ref="K706" si="1199">H706+(J706-H706)*(1-30/100)</f>
        <v>683113</v>
      </c>
      <c r="L706" s="382"/>
      <c r="M706" s="382"/>
      <c r="N706" s="382"/>
    </row>
    <row r="707" spans="1:14" s="385" customFormat="1" outlineLevel="1" collapsed="1" x14ac:dyDescent="0.25">
      <c r="A707" s="132" t="s">
        <v>2854</v>
      </c>
      <c r="B707" s="320"/>
      <c r="C707" s="133" t="s">
        <v>2376</v>
      </c>
      <c r="D707" s="134" t="s">
        <v>292</v>
      </c>
      <c r="E707" s="90">
        <v>1</v>
      </c>
      <c r="F707" s="90">
        <f>SUM(F708:F740)</f>
        <v>59208574</v>
      </c>
      <c r="G707" s="135">
        <f t="shared" si="1109"/>
        <v>1.1279999999999999</v>
      </c>
      <c r="H707" s="90">
        <f>SUM(H708:H740)</f>
        <v>66787272</v>
      </c>
      <c r="I707" s="135">
        <f>Дефляторы!$D$25</f>
        <v>1.052</v>
      </c>
      <c r="J707" s="90">
        <f>SUM(J708:J740)</f>
        <v>70260211</v>
      </c>
      <c r="K707" s="90">
        <f>SUM(K708:K740)</f>
        <v>69218331</v>
      </c>
    </row>
    <row r="708" spans="1:14" s="383" customFormat="1" hidden="1" outlineLevel="2" x14ac:dyDescent="0.25">
      <c r="A708" s="363"/>
      <c r="B708" s="381"/>
      <c r="C708" s="381" t="s">
        <v>866</v>
      </c>
      <c r="D708" s="100"/>
      <c r="E708" s="168"/>
      <c r="F708" s="149"/>
      <c r="G708" s="145"/>
      <c r="H708" s="146"/>
      <c r="I708" s="145"/>
      <c r="J708" s="146"/>
      <c r="K708" s="146"/>
      <c r="L708" s="382"/>
      <c r="M708" s="382"/>
      <c r="N708" s="382"/>
    </row>
    <row r="709" spans="1:14" s="383" customFormat="1" hidden="1" outlineLevel="2" x14ac:dyDescent="0.25">
      <c r="A709" s="363"/>
      <c r="B709" s="381"/>
      <c r="C709" s="390" t="s">
        <v>870</v>
      </c>
      <c r="D709" s="100"/>
      <c r="E709" s="168"/>
      <c r="F709" s="149"/>
      <c r="G709" s="145"/>
      <c r="H709" s="146"/>
      <c r="I709" s="145"/>
      <c r="J709" s="146"/>
      <c r="K709" s="146"/>
      <c r="L709" s="382"/>
      <c r="M709" s="382"/>
      <c r="N709" s="382"/>
    </row>
    <row r="710" spans="1:14" s="383" customFormat="1" ht="31.5" hidden="1" outlineLevel="2" x14ac:dyDescent="0.25">
      <c r="A710" s="363" t="s">
        <v>2855</v>
      </c>
      <c r="B710" s="381" t="s">
        <v>867</v>
      </c>
      <c r="C710" s="381" t="s">
        <v>865</v>
      </c>
      <c r="D710" s="100" t="s">
        <v>377</v>
      </c>
      <c r="E710" s="168">
        <f>147.8</f>
        <v>147.80000000000001</v>
      </c>
      <c r="F710" s="220">
        <f>(16089+10569)*(1.023*1.005-2.3%*15%)*6.99+0*4.09</f>
        <v>190935</v>
      </c>
      <c r="G710" s="145">
        <f>$G$831</f>
        <v>1.1279999999999999</v>
      </c>
      <c r="H710" s="146">
        <f t="shared" ref="H710" si="1200">F710*G710</f>
        <v>215375</v>
      </c>
      <c r="I710" s="145">
        <f>Дефляторы!$D$25</f>
        <v>1.052</v>
      </c>
      <c r="J710" s="146">
        <f t="shared" ref="J710" si="1201">H710*I710</f>
        <v>226575</v>
      </c>
      <c r="K710" s="146">
        <f t="shared" ref="K710" si="1202">H710+(J710-H710)*(1-30/100)</f>
        <v>223215</v>
      </c>
      <c r="L710" s="382"/>
      <c r="M710" s="382"/>
      <c r="N710" s="382"/>
    </row>
    <row r="711" spans="1:14" s="383" customFormat="1" ht="31.5" hidden="1" outlineLevel="2" x14ac:dyDescent="0.25">
      <c r="A711" s="363" t="s">
        <v>2856</v>
      </c>
      <c r="B711" s="381" t="s">
        <v>400</v>
      </c>
      <c r="C711" s="381" t="s">
        <v>868</v>
      </c>
      <c r="D711" s="100" t="s">
        <v>404</v>
      </c>
      <c r="E711" s="168">
        <v>1360</v>
      </c>
      <c r="F711" s="220">
        <f>(41932+8690+164346)*(1.023*1.005-2.3%*15%)*6.99+0*4.09</f>
        <v>1539689</v>
      </c>
      <c r="G711" s="145">
        <f>$G$831</f>
        <v>1.1279999999999999</v>
      </c>
      <c r="H711" s="146">
        <f t="shared" ref="H711" si="1203">F711*G711</f>
        <v>1736769</v>
      </c>
      <c r="I711" s="145">
        <f>Дефляторы!$D$25</f>
        <v>1.052</v>
      </c>
      <c r="J711" s="146">
        <f t="shared" ref="J711" si="1204">H711*I711</f>
        <v>1827081</v>
      </c>
      <c r="K711" s="146">
        <f t="shared" ref="K711" si="1205">H711+(J711-H711)*(1-30/100)</f>
        <v>1799987</v>
      </c>
      <c r="L711" s="382"/>
      <c r="M711" s="382"/>
      <c r="N711" s="382"/>
    </row>
    <row r="712" spans="1:14" s="383" customFormat="1" ht="94.5" hidden="1" outlineLevel="2" x14ac:dyDescent="0.25">
      <c r="A712" s="363" t="s">
        <v>2857</v>
      </c>
      <c r="B712" s="381" t="s">
        <v>869</v>
      </c>
      <c r="C712" s="381" t="s">
        <v>871</v>
      </c>
      <c r="D712" s="100" t="s">
        <v>404</v>
      </c>
      <c r="E712" s="168">
        <v>57.1</v>
      </c>
      <c r="F712" s="220">
        <f>(36896)*(1.023*1.005-2.3%*15%)*6.99+0*4.09</f>
        <v>264264</v>
      </c>
      <c r="G712" s="145">
        <f>$G$831</f>
        <v>1.1279999999999999</v>
      </c>
      <c r="H712" s="146">
        <f t="shared" ref="H712" si="1206">F712*G712</f>
        <v>298090</v>
      </c>
      <c r="I712" s="145">
        <f>Дефляторы!$D$25</f>
        <v>1.052</v>
      </c>
      <c r="J712" s="146">
        <f t="shared" ref="J712" si="1207">H712*I712</f>
        <v>313591</v>
      </c>
      <c r="K712" s="146">
        <f t="shared" ref="K712" si="1208">H712+(J712-H712)*(1-30/100)</f>
        <v>308941</v>
      </c>
      <c r="L712" s="382"/>
      <c r="M712" s="382"/>
      <c r="N712" s="382"/>
    </row>
    <row r="713" spans="1:14" s="383" customFormat="1" hidden="1" outlineLevel="2" x14ac:dyDescent="0.25">
      <c r="A713" s="363"/>
      <c r="B713" s="381"/>
      <c r="C713" s="390" t="s">
        <v>872</v>
      </c>
      <c r="D713" s="100"/>
      <c r="E713" s="168"/>
      <c r="F713" s="149"/>
      <c r="G713" s="145"/>
      <c r="H713" s="146"/>
      <c r="I713" s="145">
        <f>Дефляторы!$D$25</f>
        <v>1.052</v>
      </c>
      <c r="J713" s="146"/>
      <c r="K713" s="146"/>
      <c r="L713" s="382"/>
      <c r="M713" s="382"/>
      <c r="N713" s="382"/>
    </row>
    <row r="714" spans="1:14" s="383" customFormat="1" hidden="1" outlineLevel="2" x14ac:dyDescent="0.25">
      <c r="A714" s="363" t="s">
        <v>2858</v>
      </c>
      <c r="B714" s="381" t="s">
        <v>874</v>
      </c>
      <c r="C714" s="381" t="s">
        <v>873</v>
      </c>
      <c r="D714" s="100" t="s">
        <v>404</v>
      </c>
      <c r="E714" s="168">
        <v>1034.3</v>
      </c>
      <c r="F714" s="220">
        <f>(21257)*(1.023*1.005-2.3%*15%)*6.99+0*4.09</f>
        <v>152251</v>
      </c>
      <c r="G714" s="145">
        <f t="shared" ref="G714:G719" si="1209">$G$831</f>
        <v>1.1279999999999999</v>
      </c>
      <c r="H714" s="146">
        <f t="shared" ref="H714" si="1210">F714*G714</f>
        <v>171739</v>
      </c>
      <c r="I714" s="145">
        <f>Дефляторы!$D$25</f>
        <v>1.052</v>
      </c>
      <c r="J714" s="146">
        <f t="shared" ref="J714" si="1211">H714*I714</f>
        <v>180669</v>
      </c>
      <c r="K714" s="146">
        <f t="shared" ref="K714" si="1212">H714+(J714-H714)*(1-30/100)</f>
        <v>177990</v>
      </c>
      <c r="L714" s="382"/>
      <c r="M714" s="382"/>
      <c r="N714" s="382"/>
    </row>
    <row r="715" spans="1:14" s="383" customFormat="1" ht="63" hidden="1" outlineLevel="2" x14ac:dyDescent="0.25">
      <c r="A715" s="363" t="s">
        <v>2859</v>
      </c>
      <c r="B715" s="381" t="s">
        <v>876</v>
      </c>
      <c r="C715" s="381" t="s">
        <v>875</v>
      </c>
      <c r="D715" s="100" t="s">
        <v>404</v>
      </c>
      <c r="E715" s="168">
        <v>957.9</v>
      </c>
      <c r="F715" s="220">
        <f>(763776)*(1.023*1.005-2.3%*15%)*6.99+0*4.09</f>
        <v>5470476</v>
      </c>
      <c r="G715" s="145">
        <f t="shared" si="1209"/>
        <v>1.1279999999999999</v>
      </c>
      <c r="H715" s="146">
        <f t="shared" ref="H715" si="1213">F715*G715</f>
        <v>6170697</v>
      </c>
      <c r="I715" s="145">
        <f>Дефляторы!$D$25</f>
        <v>1.052</v>
      </c>
      <c r="J715" s="146">
        <f t="shared" ref="J715" si="1214">H715*I715</f>
        <v>6491573</v>
      </c>
      <c r="K715" s="146">
        <f t="shared" ref="K715" si="1215">H715+(J715-H715)*(1-30/100)</f>
        <v>6395310</v>
      </c>
      <c r="L715" s="382"/>
      <c r="M715" s="382"/>
      <c r="N715" s="382"/>
    </row>
    <row r="716" spans="1:14" s="383" customFormat="1" ht="63" hidden="1" outlineLevel="2" x14ac:dyDescent="0.25">
      <c r="A716" s="363" t="s">
        <v>2860</v>
      </c>
      <c r="B716" s="381" t="s">
        <v>878</v>
      </c>
      <c r="C716" s="381" t="s">
        <v>877</v>
      </c>
      <c r="D716" s="100" t="s">
        <v>404</v>
      </c>
      <c r="E716" s="168">
        <v>24.5</v>
      </c>
      <c r="F716" s="220">
        <f>(17897)*(1.023*1.005-2.3%*15%)*6.99+0*4.09</f>
        <v>128186</v>
      </c>
      <c r="G716" s="145">
        <f t="shared" si="1209"/>
        <v>1.1279999999999999</v>
      </c>
      <c r="H716" s="146">
        <f t="shared" ref="H716" si="1216">F716*G716</f>
        <v>144594</v>
      </c>
      <c r="I716" s="145">
        <f>Дефляторы!$D$25</f>
        <v>1.052</v>
      </c>
      <c r="J716" s="146">
        <f t="shared" ref="J716" si="1217">H716*I716</f>
        <v>152113</v>
      </c>
      <c r="K716" s="146">
        <f t="shared" ref="K716" si="1218">H716+(J716-H716)*(1-30/100)</f>
        <v>149857</v>
      </c>
      <c r="L716" s="382"/>
      <c r="M716" s="382"/>
      <c r="N716" s="382"/>
    </row>
    <row r="717" spans="1:14" s="383" customFormat="1" ht="31.5" hidden="1" outlineLevel="2" x14ac:dyDescent="0.25">
      <c r="A717" s="363" t="s">
        <v>2861</v>
      </c>
      <c r="B717" s="381" t="s">
        <v>880</v>
      </c>
      <c r="C717" s="381" t="s">
        <v>879</v>
      </c>
      <c r="D717" s="100" t="s">
        <v>404</v>
      </c>
      <c r="E717" s="100">
        <f>18.51</f>
        <v>18.510000000000002</v>
      </c>
      <c r="F717" s="220">
        <f>(2415)*(1.023*1.005-2.3%*15%)*6.99+0*4.09</f>
        <v>17297</v>
      </c>
      <c r="G717" s="145">
        <f t="shared" si="1209"/>
        <v>1.1279999999999999</v>
      </c>
      <c r="H717" s="146">
        <f t="shared" ref="H717" si="1219">F717*G717</f>
        <v>19511</v>
      </c>
      <c r="I717" s="145">
        <f>Дефляторы!$D$25</f>
        <v>1.052</v>
      </c>
      <c r="J717" s="146">
        <f t="shared" ref="J717" si="1220">H717*I717</f>
        <v>20526</v>
      </c>
      <c r="K717" s="146">
        <f t="shared" ref="K717" si="1221">H717+(J717-H717)*(1-30/100)</f>
        <v>20222</v>
      </c>
      <c r="L717" s="382"/>
      <c r="M717" s="382"/>
      <c r="N717" s="382"/>
    </row>
    <row r="718" spans="1:14" s="383" customFormat="1" ht="47.25" hidden="1" outlineLevel="2" x14ac:dyDescent="0.25">
      <c r="A718" s="363" t="s">
        <v>2862</v>
      </c>
      <c r="B718" s="381" t="s">
        <v>882</v>
      </c>
      <c r="C718" s="381" t="s">
        <v>881</v>
      </c>
      <c r="D718" s="100" t="s">
        <v>404</v>
      </c>
      <c r="E718" s="100">
        <f>2.56</f>
        <v>2.56</v>
      </c>
      <c r="F718" s="220">
        <f>(2610)*(1.023*1.005-2.3%*15%)*6.99+0*4.09</f>
        <v>18694</v>
      </c>
      <c r="G718" s="145">
        <f t="shared" si="1209"/>
        <v>1.1279999999999999</v>
      </c>
      <c r="H718" s="146">
        <f t="shared" ref="H718" si="1222">F718*G718</f>
        <v>21087</v>
      </c>
      <c r="I718" s="145">
        <f>Дефляторы!$D$25</f>
        <v>1.052</v>
      </c>
      <c r="J718" s="146">
        <f t="shared" ref="J718" si="1223">H718*I718</f>
        <v>22184</v>
      </c>
      <c r="K718" s="146">
        <f t="shared" ref="K718" si="1224">H718+(J718-H718)*(1-30/100)</f>
        <v>21855</v>
      </c>
      <c r="L718" s="382"/>
      <c r="M718" s="382"/>
      <c r="N718" s="382"/>
    </row>
    <row r="719" spans="1:14" s="383" customFormat="1" hidden="1" outlineLevel="2" x14ac:dyDescent="0.25">
      <c r="A719" s="363" t="s">
        <v>2863</v>
      </c>
      <c r="B719" s="381" t="s">
        <v>884</v>
      </c>
      <c r="C719" s="381" t="s">
        <v>883</v>
      </c>
      <c r="D719" s="100" t="s">
        <v>404</v>
      </c>
      <c r="E719" s="100">
        <f>116.13</f>
        <v>116.13</v>
      </c>
      <c r="F719" s="220">
        <f>(21437)*(1.023*1.005-2.3%*15%)*6.99+0*4.09</f>
        <v>153541</v>
      </c>
      <c r="G719" s="145">
        <f t="shared" si="1209"/>
        <v>1.1279999999999999</v>
      </c>
      <c r="H719" s="146">
        <f t="shared" ref="H719" si="1225">F719*G719</f>
        <v>173194</v>
      </c>
      <c r="I719" s="145">
        <f>Дефляторы!$D$25</f>
        <v>1.052</v>
      </c>
      <c r="J719" s="146">
        <f t="shared" ref="J719" si="1226">H719*I719</f>
        <v>182200</v>
      </c>
      <c r="K719" s="146">
        <f t="shared" ref="K719" si="1227">H719+(J719-H719)*(1-30/100)</f>
        <v>179498</v>
      </c>
      <c r="L719" s="382"/>
      <c r="M719" s="382"/>
      <c r="N719" s="382"/>
    </row>
    <row r="720" spans="1:14" s="383" customFormat="1" hidden="1" outlineLevel="2" x14ac:dyDescent="0.25">
      <c r="A720" s="363"/>
      <c r="B720" s="381"/>
      <c r="C720" s="390" t="s">
        <v>885</v>
      </c>
      <c r="D720" s="100"/>
      <c r="E720" s="168"/>
      <c r="F720" s="149"/>
      <c r="G720" s="145"/>
      <c r="H720" s="146"/>
      <c r="I720" s="145"/>
      <c r="J720" s="146"/>
      <c r="K720" s="146"/>
      <c r="L720" s="382"/>
      <c r="M720" s="382"/>
      <c r="N720" s="382"/>
    </row>
    <row r="721" spans="1:14" s="383" customFormat="1" hidden="1" outlineLevel="2" x14ac:dyDescent="0.25">
      <c r="A721" s="363"/>
      <c r="B721" s="381"/>
      <c r="C721" s="381" t="s">
        <v>886</v>
      </c>
      <c r="D721" s="100"/>
      <c r="E721" s="168"/>
      <c r="F721" s="149"/>
      <c r="G721" s="145"/>
      <c r="H721" s="146"/>
      <c r="I721" s="145"/>
      <c r="J721" s="146"/>
      <c r="K721" s="146"/>
      <c r="L721" s="382"/>
      <c r="M721" s="382"/>
      <c r="N721" s="382"/>
    </row>
    <row r="722" spans="1:14" s="383" customFormat="1" hidden="1" outlineLevel="2" x14ac:dyDescent="0.25">
      <c r="A722" s="363" t="s">
        <v>2864</v>
      </c>
      <c r="B722" s="381" t="s">
        <v>888</v>
      </c>
      <c r="C722" s="381" t="s">
        <v>887</v>
      </c>
      <c r="D722" s="100" t="s">
        <v>404</v>
      </c>
      <c r="E722" s="168">
        <f>196.4</f>
        <v>196.4</v>
      </c>
      <c r="F722" s="220">
        <f>(5245+18301)*(1.023*1.005-2.3%*15%)*6.99+0*4.09</f>
        <v>168646</v>
      </c>
      <c r="G722" s="145">
        <f>$G$831</f>
        <v>1.1279999999999999</v>
      </c>
      <c r="H722" s="146">
        <f t="shared" ref="H722" si="1228">F722*G722</f>
        <v>190233</v>
      </c>
      <c r="I722" s="145">
        <f>Дефляторы!$D$25</f>
        <v>1.052</v>
      </c>
      <c r="J722" s="146">
        <f t="shared" ref="J722" si="1229">H722*I722</f>
        <v>200125</v>
      </c>
      <c r="K722" s="146">
        <f t="shared" ref="K722" si="1230">H722+(J722-H722)*(1-30/100)</f>
        <v>197157</v>
      </c>
      <c r="L722" s="382"/>
      <c r="M722" s="382"/>
      <c r="N722" s="382"/>
    </row>
    <row r="723" spans="1:14" s="383" customFormat="1" hidden="1" outlineLevel="2" x14ac:dyDescent="0.25">
      <c r="A723" s="363" t="s">
        <v>2865</v>
      </c>
      <c r="B723" s="381" t="s">
        <v>889</v>
      </c>
      <c r="C723" s="381" t="s">
        <v>890</v>
      </c>
      <c r="D723" s="100" t="s">
        <v>377</v>
      </c>
      <c r="E723" s="168">
        <f>91.2</f>
        <v>91.2</v>
      </c>
      <c r="F723" s="220">
        <f>(17114)*(1.023*1.005-2.3%*15%)*6.99+0*4.09</f>
        <v>122577</v>
      </c>
      <c r="G723" s="145">
        <f>$G$831</f>
        <v>1.1279999999999999</v>
      </c>
      <c r="H723" s="146">
        <f t="shared" ref="H723" si="1231">F723*G723</f>
        <v>138267</v>
      </c>
      <c r="I723" s="145">
        <f>Дефляторы!$D$25</f>
        <v>1.052</v>
      </c>
      <c r="J723" s="146">
        <f t="shared" ref="J723" si="1232">H723*I723</f>
        <v>145457</v>
      </c>
      <c r="K723" s="146">
        <f t="shared" ref="K723" si="1233">H723+(J723-H723)*(1-30/100)</f>
        <v>143300</v>
      </c>
      <c r="L723" s="382"/>
      <c r="M723" s="382"/>
      <c r="N723" s="382"/>
    </row>
    <row r="724" spans="1:14" s="383" customFormat="1" ht="47.25" hidden="1" outlineLevel="2" x14ac:dyDescent="0.25">
      <c r="A724" s="363" t="s">
        <v>2866</v>
      </c>
      <c r="B724" s="381" t="s">
        <v>892</v>
      </c>
      <c r="C724" s="381" t="s">
        <v>891</v>
      </c>
      <c r="D724" s="100" t="s">
        <v>404</v>
      </c>
      <c r="E724" s="168">
        <f>57.4</f>
        <v>57.4</v>
      </c>
      <c r="F724" s="220">
        <f>(6694)*(1.023*1.005-2.3%*15%)*6.99+0*4.09</f>
        <v>47945</v>
      </c>
      <c r="G724" s="145">
        <f>$G$831</f>
        <v>1.1279999999999999</v>
      </c>
      <c r="H724" s="146">
        <f t="shared" ref="H724" si="1234">F724*G724</f>
        <v>54082</v>
      </c>
      <c r="I724" s="145">
        <f>Дефляторы!$D$25</f>
        <v>1.052</v>
      </c>
      <c r="J724" s="146">
        <f t="shared" ref="J724" si="1235">H724*I724</f>
        <v>56894</v>
      </c>
      <c r="K724" s="146">
        <f t="shared" ref="K724" si="1236">H724+(J724-H724)*(1-30/100)</f>
        <v>56050</v>
      </c>
      <c r="L724" s="382"/>
      <c r="M724" s="382"/>
      <c r="N724" s="382"/>
    </row>
    <row r="725" spans="1:14" s="383" customFormat="1" hidden="1" outlineLevel="2" x14ac:dyDescent="0.25">
      <c r="A725" s="363"/>
      <c r="B725" s="381"/>
      <c r="C725" s="390" t="s">
        <v>465</v>
      </c>
      <c r="D725" s="100"/>
      <c r="E725" s="168"/>
      <c r="F725" s="149"/>
      <c r="G725" s="145"/>
      <c r="H725" s="146"/>
      <c r="I725" s="145">
        <f>Дефляторы!$D$25</f>
        <v>1.052</v>
      </c>
      <c r="J725" s="146"/>
      <c r="K725" s="146"/>
      <c r="L725" s="382"/>
      <c r="M725" s="382"/>
      <c r="N725" s="382"/>
    </row>
    <row r="726" spans="1:14" s="383" customFormat="1" hidden="1" outlineLevel="2" x14ac:dyDescent="0.25">
      <c r="A726" s="363" t="s">
        <v>2867</v>
      </c>
      <c r="B726" s="381" t="s">
        <v>894</v>
      </c>
      <c r="C726" s="381" t="s">
        <v>893</v>
      </c>
      <c r="D726" s="100" t="s">
        <v>300</v>
      </c>
      <c r="E726" s="100">
        <f>938.53</f>
        <v>938.53</v>
      </c>
      <c r="F726" s="220">
        <f>(357102)*(1.023*1.005-2.3%*15%)*6.99+0*4.09</f>
        <v>2557710</v>
      </c>
      <c r="G726" s="145">
        <f>$G$831</f>
        <v>1.1279999999999999</v>
      </c>
      <c r="H726" s="146">
        <f t="shared" ref="H726" si="1237">F726*G726</f>
        <v>2885097</v>
      </c>
      <c r="I726" s="145">
        <f>Дефляторы!$D$25</f>
        <v>1.052</v>
      </c>
      <c r="J726" s="146">
        <f t="shared" ref="J726" si="1238">H726*I726</f>
        <v>3035122</v>
      </c>
      <c r="K726" s="146">
        <f t="shared" ref="K726" si="1239">H726+(J726-H726)*(1-30/100)</f>
        <v>2990115</v>
      </c>
      <c r="L726" s="382"/>
      <c r="M726" s="382"/>
      <c r="N726" s="382"/>
    </row>
    <row r="727" spans="1:14" s="383" customFormat="1" hidden="1" outlineLevel="2" x14ac:dyDescent="0.25">
      <c r="A727" s="363" t="s">
        <v>2868</v>
      </c>
      <c r="B727" s="381" t="s">
        <v>896</v>
      </c>
      <c r="C727" s="381" t="s">
        <v>895</v>
      </c>
      <c r="D727" s="100" t="s">
        <v>404</v>
      </c>
      <c r="E727" s="145">
        <f>107.894</f>
        <v>107.89400000000001</v>
      </c>
      <c r="F727" s="220">
        <f>(18233)*(1.023*1.005-2.3%*15%)*6.99+0*4.09</f>
        <v>130592</v>
      </c>
      <c r="G727" s="145">
        <f>$G$831</f>
        <v>1.1279999999999999</v>
      </c>
      <c r="H727" s="146">
        <f t="shared" ref="H727" si="1240">F727*G727</f>
        <v>147308</v>
      </c>
      <c r="I727" s="145">
        <f>Дефляторы!$D$25</f>
        <v>1.052</v>
      </c>
      <c r="J727" s="146">
        <f t="shared" ref="J727" si="1241">H727*I727</f>
        <v>154968</v>
      </c>
      <c r="K727" s="146">
        <f t="shared" ref="K727" si="1242">H727+(J727-H727)*(1-30/100)</f>
        <v>152670</v>
      </c>
      <c r="L727" s="382"/>
      <c r="M727" s="382"/>
      <c r="N727" s="382"/>
    </row>
    <row r="728" spans="1:14" s="383" customFormat="1" hidden="1" outlineLevel="2" x14ac:dyDescent="0.25">
      <c r="A728" s="363" t="s">
        <v>2869</v>
      </c>
      <c r="B728" s="381" t="s">
        <v>898</v>
      </c>
      <c r="C728" s="381" t="s">
        <v>897</v>
      </c>
      <c r="D728" s="100" t="s">
        <v>300</v>
      </c>
      <c r="E728" s="168">
        <f>11.7</f>
        <v>11.7</v>
      </c>
      <c r="F728" s="220">
        <f>(9898)*(1.023*1.005-2.3%*15%)*6.99+0*4.09</f>
        <v>70894</v>
      </c>
      <c r="G728" s="145">
        <f>$G$831</f>
        <v>1.1279999999999999</v>
      </c>
      <c r="H728" s="146">
        <f t="shared" ref="H728" si="1243">F728*G728</f>
        <v>79968</v>
      </c>
      <c r="I728" s="145">
        <f>Дефляторы!$D$25</f>
        <v>1.052</v>
      </c>
      <c r="J728" s="146">
        <f t="shared" ref="J728" si="1244">H728*I728</f>
        <v>84126</v>
      </c>
      <c r="K728" s="146">
        <f t="shared" ref="K728" si="1245">H728+(J728-H728)*(1-30/100)</f>
        <v>82879</v>
      </c>
      <c r="L728" s="382"/>
      <c r="M728" s="382"/>
      <c r="N728" s="382"/>
    </row>
    <row r="729" spans="1:14" s="383" customFormat="1" hidden="1" outlineLevel="2" x14ac:dyDescent="0.25">
      <c r="A729" s="363"/>
      <c r="B729" s="381"/>
      <c r="C729" s="390" t="s">
        <v>414</v>
      </c>
      <c r="D729" s="100"/>
      <c r="E729" s="168"/>
      <c r="F729" s="149"/>
      <c r="G729" s="145"/>
      <c r="H729" s="146"/>
      <c r="I729" s="145"/>
      <c r="J729" s="146"/>
      <c r="K729" s="146"/>
      <c r="L729" s="382"/>
      <c r="M729" s="382"/>
      <c r="N729" s="382"/>
    </row>
    <row r="730" spans="1:14" s="383" customFormat="1" ht="126" hidden="1" outlineLevel="2" x14ac:dyDescent="0.25">
      <c r="A730" s="363" t="s">
        <v>2870</v>
      </c>
      <c r="B730" s="381" t="s">
        <v>899</v>
      </c>
      <c r="C730" s="381" t="s">
        <v>2411</v>
      </c>
      <c r="D730" s="100" t="s">
        <v>404</v>
      </c>
      <c r="E730" s="168">
        <v>428</v>
      </c>
      <c r="F730" s="220">
        <f>(272799)*(1.023*1.005-2.3%*15%)*6.99+0*4.09</f>
        <v>1953898</v>
      </c>
      <c r="G730" s="145">
        <f t="shared" ref="G730:G736" si="1246">$G$831</f>
        <v>1.1279999999999999</v>
      </c>
      <c r="H730" s="146">
        <f t="shared" ref="H730" si="1247">F730*G730</f>
        <v>2203997</v>
      </c>
      <c r="I730" s="145">
        <f>Дефляторы!$D$25</f>
        <v>1.052</v>
      </c>
      <c r="J730" s="146">
        <f t="shared" ref="J730" si="1248">H730*I730</f>
        <v>2318605</v>
      </c>
      <c r="K730" s="146">
        <f t="shared" ref="K730" si="1249">H730+(J730-H730)*(1-30/100)</f>
        <v>2284223</v>
      </c>
      <c r="L730" s="382"/>
      <c r="M730" s="382"/>
      <c r="N730" s="382"/>
    </row>
    <row r="731" spans="1:14" s="383" customFormat="1" ht="94.5" hidden="1" outlineLevel="2" x14ac:dyDescent="0.25">
      <c r="A731" s="363" t="s">
        <v>2871</v>
      </c>
      <c r="B731" s="381" t="s">
        <v>902</v>
      </c>
      <c r="C731" s="381" t="s">
        <v>2412</v>
      </c>
      <c r="D731" s="100" t="s">
        <v>404</v>
      </c>
      <c r="E731" s="168">
        <f>988.1</f>
        <v>988.1</v>
      </c>
      <c r="F731" s="220">
        <f>(215544)*(1.023*1.005-2.3%*15%)*6.99+0*4.09</f>
        <v>1543814</v>
      </c>
      <c r="G731" s="145">
        <f t="shared" si="1246"/>
        <v>1.1279999999999999</v>
      </c>
      <c r="H731" s="146">
        <f t="shared" ref="H731" si="1250">F731*G731</f>
        <v>1741422</v>
      </c>
      <c r="I731" s="145">
        <f>Дефляторы!$D$25</f>
        <v>1.052</v>
      </c>
      <c r="J731" s="146">
        <f t="shared" ref="J731" si="1251">H731*I731</f>
        <v>1831976</v>
      </c>
      <c r="K731" s="146">
        <f t="shared" ref="K731" si="1252">H731+(J731-H731)*(1-30/100)</f>
        <v>1804810</v>
      </c>
      <c r="L731" s="382"/>
      <c r="M731" s="382"/>
      <c r="N731" s="382"/>
    </row>
    <row r="732" spans="1:14" s="383" customFormat="1" ht="63" hidden="1" outlineLevel="2" x14ac:dyDescent="0.25">
      <c r="A732" s="363" t="s">
        <v>2872</v>
      </c>
      <c r="B732" s="381" t="s">
        <v>903</v>
      </c>
      <c r="C732" s="381" t="s">
        <v>2413</v>
      </c>
      <c r="D732" s="100" t="s">
        <v>404</v>
      </c>
      <c r="E732" s="168">
        <f>33.2</f>
        <v>33.200000000000003</v>
      </c>
      <c r="F732" s="220">
        <f>(13596)*(1.023*1.005-2.3%*15%)*6.99+0*4.09</f>
        <v>97380</v>
      </c>
      <c r="G732" s="145">
        <f t="shared" si="1246"/>
        <v>1.1279999999999999</v>
      </c>
      <c r="H732" s="146">
        <f t="shared" ref="H732" si="1253">F732*G732</f>
        <v>109845</v>
      </c>
      <c r="I732" s="145">
        <f>Дефляторы!$D$25</f>
        <v>1.052</v>
      </c>
      <c r="J732" s="146">
        <f t="shared" ref="J732" si="1254">H732*I732</f>
        <v>115557</v>
      </c>
      <c r="K732" s="146">
        <f t="shared" ref="K732" si="1255">H732+(J732-H732)*(1-30/100)</f>
        <v>113843</v>
      </c>
      <c r="L732" s="382"/>
      <c r="M732" s="382"/>
      <c r="N732" s="382"/>
    </row>
    <row r="733" spans="1:14" s="383" customFormat="1" hidden="1" outlineLevel="2" x14ac:dyDescent="0.25">
      <c r="A733" s="363" t="s">
        <v>2873</v>
      </c>
      <c r="B733" s="381" t="s">
        <v>906</v>
      </c>
      <c r="C733" s="381" t="s">
        <v>905</v>
      </c>
      <c r="D733" s="100" t="s">
        <v>377</v>
      </c>
      <c r="E733" s="168">
        <f>147</f>
        <v>147</v>
      </c>
      <c r="F733" s="220">
        <f>(17188)*(1.023*1.005-2.3%*15%)*6.99+0*4.09</f>
        <v>123107</v>
      </c>
      <c r="G733" s="145">
        <f t="shared" si="1246"/>
        <v>1.1279999999999999</v>
      </c>
      <c r="H733" s="146">
        <f t="shared" ref="H733" si="1256">F733*G733</f>
        <v>138865</v>
      </c>
      <c r="I733" s="145">
        <f>Дефляторы!$D$25</f>
        <v>1.052</v>
      </c>
      <c r="J733" s="146">
        <f t="shared" ref="J733" si="1257">H733*I733</f>
        <v>146086</v>
      </c>
      <c r="K733" s="146">
        <f t="shared" ref="K733" si="1258">H733+(J733-H733)*(1-30/100)</f>
        <v>143920</v>
      </c>
      <c r="L733" s="382"/>
      <c r="M733" s="382"/>
      <c r="N733" s="382"/>
    </row>
    <row r="734" spans="1:14" s="383" customFormat="1" ht="31.5" hidden="1" outlineLevel="2" x14ac:dyDescent="0.25">
      <c r="A734" s="363" t="s">
        <v>2874</v>
      </c>
      <c r="B734" s="381" t="s">
        <v>907</v>
      </c>
      <c r="C734" s="381" t="s">
        <v>908</v>
      </c>
      <c r="D734" s="100" t="s">
        <v>408</v>
      </c>
      <c r="E734" s="168">
        <v>1</v>
      </c>
      <c r="F734" s="220">
        <f>(2642)*(1.023*1.005-2.3%*15%)*6.99+0*4.09</f>
        <v>18923</v>
      </c>
      <c r="G734" s="145">
        <f t="shared" si="1246"/>
        <v>1.1279999999999999</v>
      </c>
      <c r="H734" s="146">
        <f t="shared" ref="H734" si="1259">F734*G734</f>
        <v>21345</v>
      </c>
      <c r="I734" s="145">
        <f>Дефляторы!$D$25</f>
        <v>1.052</v>
      </c>
      <c r="J734" s="146">
        <f t="shared" ref="J734" si="1260">H734*I734</f>
        <v>22455</v>
      </c>
      <c r="K734" s="146">
        <f t="shared" ref="K734" si="1261">H734+(J734-H734)*(1-30/100)</f>
        <v>22122</v>
      </c>
      <c r="L734" s="382"/>
      <c r="M734" s="382"/>
      <c r="N734" s="382"/>
    </row>
    <row r="735" spans="1:14" s="383" customFormat="1" hidden="1" outlineLevel="2" x14ac:dyDescent="0.25">
      <c r="A735" s="363" t="s">
        <v>2875</v>
      </c>
      <c r="B735" s="381" t="s">
        <v>910</v>
      </c>
      <c r="C735" s="381" t="s">
        <v>909</v>
      </c>
      <c r="D735" s="100" t="s">
        <v>292</v>
      </c>
      <c r="E735" s="168">
        <v>1</v>
      </c>
      <c r="F735" s="220">
        <f>(6275)*(1.023*1.005-2.3%*15%)*6.99+0*4.09</f>
        <v>44944</v>
      </c>
      <c r="G735" s="145">
        <f t="shared" si="1246"/>
        <v>1.1279999999999999</v>
      </c>
      <c r="H735" s="146">
        <f t="shared" ref="H735" si="1262">F735*G735</f>
        <v>50697</v>
      </c>
      <c r="I735" s="145">
        <f>Дефляторы!$D$25</f>
        <v>1.052</v>
      </c>
      <c r="J735" s="146">
        <f t="shared" ref="J735" si="1263">H735*I735</f>
        <v>53333</v>
      </c>
      <c r="K735" s="146">
        <f t="shared" ref="K735" si="1264">H735+(J735-H735)*(1-30/100)</f>
        <v>52542</v>
      </c>
      <c r="L735" s="382"/>
      <c r="M735" s="382"/>
      <c r="N735" s="382"/>
    </row>
    <row r="736" spans="1:14" s="383" customFormat="1" ht="47.25" hidden="1" outlineLevel="2" x14ac:dyDescent="0.25">
      <c r="A736" s="363" t="s">
        <v>2876</v>
      </c>
      <c r="B736" s="381" t="s">
        <v>912</v>
      </c>
      <c r="C736" s="381" t="s">
        <v>911</v>
      </c>
      <c r="D736" s="100" t="s">
        <v>292</v>
      </c>
      <c r="E736" s="168">
        <v>1</v>
      </c>
      <c r="F736" s="220">
        <f>(19205)*(1.023*1.005-2.3%*15%)*6.99+0*4.09</f>
        <v>137554</v>
      </c>
      <c r="G736" s="145">
        <f t="shared" si="1246"/>
        <v>1.1279999999999999</v>
      </c>
      <c r="H736" s="146">
        <f t="shared" ref="H736" si="1265">F736*G736</f>
        <v>155161</v>
      </c>
      <c r="I736" s="145">
        <f>Дефляторы!$D$25</f>
        <v>1.052</v>
      </c>
      <c r="J736" s="146">
        <f t="shared" ref="J736" si="1266">H736*I736</f>
        <v>163229</v>
      </c>
      <c r="K736" s="146">
        <f t="shared" ref="K736" si="1267">H736+(J736-H736)*(1-30/100)</f>
        <v>160809</v>
      </c>
      <c r="L736" s="382"/>
      <c r="M736" s="382"/>
      <c r="N736" s="382"/>
    </row>
    <row r="737" spans="1:14" s="383" customFormat="1" hidden="1" outlineLevel="2" x14ac:dyDescent="0.25">
      <c r="A737" s="363"/>
      <c r="B737" s="381"/>
      <c r="C737" s="390" t="s">
        <v>913</v>
      </c>
      <c r="D737" s="100"/>
      <c r="E737" s="168"/>
      <c r="F737" s="149"/>
      <c r="G737" s="145"/>
      <c r="H737" s="146"/>
      <c r="I737" s="145"/>
      <c r="J737" s="146"/>
      <c r="K737" s="146"/>
      <c r="L737" s="382"/>
      <c r="M737" s="382"/>
      <c r="N737" s="382"/>
    </row>
    <row r="738" spans="1:14" s="383" customFormat="1" hidden="1" outlineLevel="2" x14ac:dyDescent="0.25">
      <c r="A738" s="363" t="s">
        <v>2877</v>
      </c>
      <c r="B738" s="381" t="s">
        <v>915</v>
      </c>
      <c r="C738" s="381" t="s">
        <v>914</v>
      </c>
      <c r="D738" s="100" t="s">
        <v>404</v>
      </c>
      <c r="E738" s="168">
        <f>378.1</f>
        <v>378.1</v>
      </c>
      <c r="F738" s="220">
        <f>(5683171)*(1.023*1.005-2.3%*15%)*6.99+0*4.09-3</f>
        <v>40705188</v>
      </c>
      <c r="G738" s="145">
        <f>$G$831</f>
        <v>1.1279999999999999</v>
      </c>
      <c r="H738" s="146">
        <f t="shared" ref="H738" si="1268">F738*G738</f>
        <v>45915452</v>
      </c>
      <c r="I738" s="145">
        <f>Дефляторы!$D$25</f>
        <v>1.052</v>
      </c>
      <c r="J738" s="146">
        <f t="shared" ref="J738" si="1269">H738*I738</f>
        <v>48303056</v>
      </c>
      <c r="K738" s="146">
        <f t="shared" ref="K738" si="1270">H738+(J738-H738)*(1-30/100)</f>
        <v>47586775</v>
      </c>
      <c r="L738" s="382" t="s">
        <v>916</v>
      </c>
      <c r="M738" s="382"/>
      <c r="N738" s="382"/>
    </row>
    <row r="739" spans="1:14" s="383" customFormat="1" hidden="1" outlineLevel="2" x14ac:dyDescent="0.25">
      <c r="A739" s="363" t="s">
        <v>2878</v>
      </c>
      <c r="B739" s="381" t="s">
        <v>918</v>
      </c>
      <c r="C739" s="381" t="s">
        <v>917</v>
      </c>
      <c r="D739" s="100" t="s">
        <v>404</v>
      </c>
      <c r="E739" s="100">
        <f>60.22+16.28+20.72</f>
        <v>97.22</v>
      </c>
      <c r="F739" s="220">
        <f>(427374)*(1.023*1.005-2.3%*15%)*6.99+0*4.09</f>
        <v>3061027</v>
      </c>
      <c r="G739" s="145">
        <f>$G$831</f>
        <v>1.1279999999999999</v>
      </c>
      <c r="H739" s="146">
        <f t="shared" ref="H739" si="1271">F739*G739</f>
        <v>3452838</v>
      </c>
      <c r="I739" s="145">
        <f>Дефляторы!$D$25</f>
        <v>1.052</v>
      </c>
      <c r="J739" s="146">
        <f t="shared" ref="J739" si="1272">H739*I739</f>
        <v>3632386</v>
      </c>
      <c r="K739" s="146">
        <f t="shared" ref="K739" si="1273">H739+(J739-H739)*(1-30/100)</f>
        <v>3578522</v>
      </c>
      <c r="L739" s="382" t="s">
        <v>916</v>
      </c>
      <c r="M739" s="382"/>
      <c r="N739" s="382"/>
    </row>
    <row r="740" spans="1:14" s="383" customFormat="1" hidden="1" outlineLevel="2" x14ac:dyDescent="0.25">
      <c r="A740" s="363" t="s">
        <v>2879</v>
      </c>
      <c r="B740" s="381" t="s">
        <v>922</v>
      </c>
      <c r="C740" s="381" t="s">
        <v>921</v>
      </c>
      <c r="D740" s="100" t="s">
        <v>404</v>
      </c>
      <c r="E740" s="100">
        <f>37.66</f>
        <v>37.659999999999997</v>
      </c>
      <c r="F740" s="220">
        <f>(68279)*(1.023*1.005-2.3%*15%)*6.99+0*4.09</f>
        <v>489042</v>
      </c>
      <c r="G740" s="145">
        <f>$G$831</f>
        <v>1.1279999999999999</v>
      </c>
      <c r="H740" s="146">
        <f t="shared" ref="H740" si="1274">F740*G740</f>
        <v>551639</v>
      </c>
      <c r="I740" s="145">
        <f>Дефляторы!$D$25</f>
        <v>1.052</v>
      </c>
      <c r="J740" s="146">
        <f t="shared" ref="J740" si="1275">H740*I740</f>
        <v>580324</v>
      </c>
      <c r="K740" s="146">
        <f t="shared" ref="K740" si="1276">H740+(J740-H740)*(1-30/100)</f>
        <v>571719</v>
      </c>
      <c r="L740" s="382"/>
      <c r="M740" s="382"/>
      <c r="N740" s="382"/>
    </row>
    <row r="741" spans="1:14" s="385" customFormat="1" outlineLevel="1" collapsed="1" x14ac:dyDescent="0.25">
      <c r="A741" s="132" t="s">
        <v>2880</v>
      </c>
      <c r="B741" s="320"/>
      <c r="C741" s="133" t="s">
        <v>2377</v>
      </c>
      <c r="D741" s="134" t="s">
        <v>292</v>
      </c>
      <c r="E741" s="90">
        <v>1</v>
      </c>
      <c r="F741" s="90">
        <f>SUM(F742:F786)</f>
        <v>23663499</v>
      </c>
      <c r="G741" s="135">
        <f>$G$831</f>
        <v>1.1279999999999999</v>
      </c>
      <c r="H741" s="90">
        <f>SUM(H742:H786)</f>
        <v>26692426</v>
      </c>
      <c r="I741" s="135">
        <f>Дефляторы!$D$25</f>
        <v>1.052</v>
      </c>
      <c r="J741" s="90">
        <f>SUM(J742:J786)</f>
        <v>28080431</v>
      </c>
      <c r="K741" s="90">
        <f>SUM(K742:K786)</f>
        <v>27664032</v>
      </c>
    </row>
    <row r="742" spans="1:14" s="383" customFormat="1" hidden="1" outlineLevel="2" x14ac:dyDescent="0.25">
      <c r="A742" s="363"/>
      <c r="B742" s="381"/>
      <c r="C742" s="390" t="s">
        <v>913</v>
      </c>
      <c r="D742" s="100"/>
      <c r="E742" s="168"/>
      <c r="F742" s="149"/>
      <c r="G742" s="145"/>
      <c r="H742" s="146"/>
      <c r="I742" s="145"/>
      <c r="J742" s="146"/>
      <c r="K742" s="146"/>
      <c r="L742" s="382"/>
      <c r="M742" s="382"/>
      <c r="N742" s="382"/>
    </row>
    <row r="743" spans="1:14" s="383" customFormat="1" hidden="1" outlineLevel="2" x14ac:dyDescent="0.25">
      <c r="A743" s="363" t="s">
        <v>2881</v>
      </c>
      <c r="B743" s="381" t="s">
        <v>920</v>
      </c>
      <c r="C743" s="381" t="s">
        <v>919</v>
      </c>
      <c r="D743" s="100" t="s">
        <v>377</v>
      </c>
      <c r="E743" s="168">
        <f>24.8</f>
        <v>24.8</v>
      </c>
      <c r="F743" s="220">
        <f>(2086)*(1.023*1.005-2.3%*15%)*6.99+0*4.09</f>
        <v>14941</v>
      </c>
      <c r="G743" s="145">
        <f>$G$831</f>
        <v>1.1279999999999999</v>
      </c>
      <c r="H743" s="146">
        <f t="shared" ref="H743" si="1277">F743*G743</f>
        <v>16853</v>
      </c>
      <c r="I743" s="145">
        <f>Дефляторы!$D$25</f>
        <v>1.052</v>
      </c>
      <c r="J743" s="146">
        <f t="shared" ref="J743" si="1278">H743*I743</f>
        <v>17729</v>
      </c>
      <c r="K743" s="146">
        <f t="shared" ref="K743" si="1279">H743+(J743-H743)*(1-30/100)</f>
        <v>17466</v>
      </c>
      <c r="L743" s="382"/>
      <c r="M743" s="382"/>
      <c r="N743" s="382"/>
    </row>
    <row r="744" spans="1:14" s="383" customFormat="1" hidden="1" outlineLevel="2" x14ac:dyDescent="0.25">
      <c r="A744" s="363" t="s">
        <v>2882</v>
      </c>
      <c r="B744" s="381" t="s">
        <v>924</v>
      </c>
      <c r="C744" s="381" t="s">
        <v>923</v>
      </c>
      <c r="D744" s="100" t="s">
        <v>404</v>
      </c>
      <c r="E744" s="100">
        <f>64.14+29.88+38.96+55.09</f>
        <v>188.07</v>
      </c>
      <c r="F744" s="220">
        <f>(302436)*(1.023*1.005-2.3%*15%)*6.99+0*4.09</f>
        <v>2166170</v>
      </c>
      <c r="G744" s="145">
        <f>$G$831</f>
        <v>1.1279999999999999</v>
      </c>
      <c r="H744" s="146">
        <f t="shared" ref="H744" si="1280">F744*G744</f>
        <v>2443440</v>
      </c>
      <c r="I744" s="145">
        <f>Дефляторы!$D$25</f>
        <v>1.052</v>
      </c>
      <c r="J744" s="146">
        <f t="shared" ref="J744" si="1281">H744*I744</f>
        <v>2570499</v>
      </c>
      <c r="K744" s="146">
        <f t="shared" ref="K744" si="1282">H744+(J744-H744)*(1-30/100)</f>
        <v>2532381</v>
      </c>
      <c r="L744" s="382"/>
      <c r="M744" s="382"/>
      <c r="N744" s="382"/>
    </row>
    <row r="745" spans="1:14" s="383" customFormat="1" hidden="1" outlineLevel="2" x14ac:dyDescent="0.25">
      <c r="A745" s="363"/>
      <c r="B745" s="381"/>
      <c r="C745" s="390" t="s">
        <v>925</v>
      </c>
      <c r="D745" s="100"/>
      <c r="E745" s="168"/>
      <c r="F745" s="149"/>
      <c r="G745" s="145"/>
      <c r="H745" s="146"/>
      <c r="I745" s="145">
        <f>Дефляторы!$D$25</f>
        <v>1.052</v>
      </c>
      <c r="J745" s="146"/>
      <c r="K745" s="146"/>
      <c r="L745" s="382"/>
      <c r="M745" s="382"/>
      <c r="N745" s="382"/>
    </row>
    <row r="746" spans="1:14" s="383" customFormat="1" hidden="1" outlineLevel="2" x14ac:dyDescent="0.25">
      <c r="A746" s="363"/>
      <c r="B746" s="381"/>
      <c r="C746" s="381" t="s">
        <v>926</v>
      </c>
      <c r="D746" s="100"/>
      <c r="E746" s="168"/>
      <c r="F746" s="149"/>
      <c r="G746" s="145"/>
      <c r="H746" s="146"/>
      <c r="I746" s="145">
        <f>Дефляторы!$D$25</f>
        <v>1.052</v>
      </c>
      <c r="J746" s="146"/>
      <c r="K746" s="146"/>
      <c r="L746" s="382"/>
      <c r="M746" s="382"/>
      <c r="N746" s="382"/>
    </row>
    <row r="747" spans="1:14" s="383" customFormat="1" ht="94.5" hidden="1" outlineLevel="2" x14ac:dyDescent="0.25">
      <c r="A747" s="363" t="s">
        <v>2883</v>
      </c>
      <c r="B747" s="381" t="s">
        <v>928</v>
      </c>
      <c r="C747" s="381" t="s">
        <v>2414</v>
      </c>
      <c r="D747" s="100" t="s">
        <v>404</v>
      </c>
      <c r="E747" s="100">
        <f>86.64</f>
        <v>86.64</v>
      </c>
      <c r="F747" s="220">
        <f>(27015)*(1.023*1.005-2.3%*15%)*6.99+0*4.09</f>
        <v>193492</v>
      </c>
      <c r="G747" s="145">
        <f t="shared" ref="G747:G757" si="1283">$G$831</f>
        <v>1.1279999999999999</v>
      </c>
      <c r="H747" s="146">
        <f t="shared" ref="H747" si="1284">F747*G747</f>
        <v>218259</v>
      </c>
      <c r="I747" s="145">
        <f>Дефляторы!$D$25</f>
        <v>1.052</v>
      </c>
      <c r="J747" s="146">
        <f t="shared" ref="J747" si="1285">H747*I747</f>
        <v>229608</v>
      </c>
      <c r="K747" s="146">
        <f t="shared" ref="K747" si="1286">H747+(J747-H747)*(1-30/100)</f>
        <v>226203</v>
      </c>
      <c r="L747" s="382"/>
      <c r="M747" s="382"/>
      <c r="N747" s="382"/>
    </row>
    <row r="748" spans="1:14" s="383" customFormat="1" ht="141.75" hidden="1" outlineLevel="2" x14ac:dyDescent="0.25">
      <c r="A748" s="363" t="s">
        <v>2884</v>
      </c>
      <c r="B748" s="381" t="s">
        <v>930</v>
      </c>
      <c r="C748" s="381" t="s">
        <v>2415</v>
      </c>
      <c r="D748" s="100" t="s">
        <v>404</v>
      </c>
      <c r="E748" s="100">
        <f>254.58</f>
        <v>254.58</v>
      </c>
      <c r="F748" s="220">
        <f>(91784)*(1.023*1.005-2.3%*15%)*6.99+0*4.09</f>
        <v>657394</v>
      </c>
      <c r="G748" s="145">
        <f t="shared" si="1283"/>
        <v>1.1279999999999999</v>
      </c>
      <c r="H748" s="146">
        <f t="shared" ref="H748" si="1287">F748*G748</f>
        <v>741540</v>
      </c>
      <c r="I748" s="145">
        <f>Дефляторы!$D$25</f>
        <v>1.052</v>
      </c>
      <c r="J748" s="146">
        <f t="shared" ref="J748" si="1288">H748*I748</f>
        <v>780100</v>
      </c>
      <c r="K748" s="146">
        <f t="shared" ref="K748" si="1289">H748+(J748-H748)*(1-30/100)</f>
        <v>768532</v>
      </c>
      <c r="L748" s="382"/>
      <c r="M748" s="382"/>
      <c r="N748" s="382"/>
    </row>
    <row r="749" spans="1:14" s="383" customFormat="1" ht="157.5" hidden="1" outlineLevel="2" x14ac:dyDescent="0.25">
      <c r="A749" s="363" t="s">
        <v>2885</v>
      </c>
      <c r="B749" s="381" t="s">
        <v>931</v>
      </c>
      <c r="C749" s="381" t="s">
        <v>2416</v>
      </c>
      <c r="D749" s="100" t="s">
        <v>404</v>
      </c>
      <c r="E749" s="168">
        <f>25</f>
        <v>25</v>
      </c>
      <c r="F749" s="220">
        <f>(11088)*(1.023*1.005-2.3%*15%)*6.99+0*4.09</f>
        <v>79417</v>
      </c>
      <c r="G749" s="145">
        <f t="shared" si="1283"/>
        <v>1.1279999999999999</v>
      </c>
      <c r="H749" s="146">
        <f t="shared" ref="H749" si="1290">F749*G749</f>
        <v>89582</v>
      </c>
      <c r="I749" s="145">
        <f>Дефляторы!$D$25</f>
        <v>1.052</v>
      </c>
      <c r="J749" s="146">
        <f t="shared" ref="J749" si="1291">H749*I749</f>
        <v>94240</v>
      </c>
      <c r="K749" s="146">
        <f t="shared" ref="K749" si="1292">H749+(J749-H749)*(1-30/100)</f>
        <v>92843</v>
      </c>
      <c r="L749" s="382"/>
      <c r="M749" s="382"/>
      <c r="N749" s="382"/>
    </row>
    <row r="750" spans="1:14" s="383" customFormat="1" ht="141.75" hidden="1" outlineLevel="2" x14ac:dyDescent="0.25">
      <c r="A750" s="363" t="s">
        <v>2886</v>
      </c>
      <c r="B750" s="381" t="s">
        <v>934</v>
      </c>
      <c r="C750" s="381" t="s">
        <v>2417</v>
      </c>
      <c r="D750" s="100" t="s">
        <v>404</v>
      </c>
      <c r="E750" s="100">
        <f>252.25</f>
        <v>252.25</v>
      </c>
      <c r="F750" s="220">
        <f>(106857)*(1.023*1.005-2.3%*15%)*6.99+0*4.09</f>
        <v>765353</v>
      </c>
      <c r="G750" s="145">
        <f t="shared" si="1283"/>
        <v>1.1279999999999999</v>
      </c>
      <c r="H750" s="146">
        <f t="shared" ref="H750" si="1293">F750*G750</f>
        <v>863318</v>
      </c>
      <c r="I750" s="145">
        <f>Дефляторы!$D$25</f>
        <v>1.052</v>
      </c>
      <c r="J750" s="146">
        <f t="shared" ref="J750" si="1294">H750*I750</f>
        <v>908211</v>
      </c>
      <c r="K750" s="146">
        <f t="shared" ref="K750" si="1295">H750+(J750-H750)*(1-30/100)</f>
        <v>894743</v>
      </c>
      <c r="L750" s="382"/>
      <c r="M750" s="382"/>
      <c r="N750" s="382"/>
    </row>
    <row r="751" spans="1:14" s="383" customFormat="1" ht="110.25" hidden="1" outlineLevel="2" x14ac:dyDescent="0.25">
      <c r="A751" s="363" t="s">
        <v>2887</v>
      </c>
      <c r="B751" s="381" t="s">
        <v>936</v>
      </c>
      <c r="C751" s="381" t="s">
        <v>2418</v>
      </c>
      <c r="D751" s="100" t="s">
        <v>404</v>
      </c>
      <c r="E751" s="100">
        <f>65.52</f>
        <v>65.52</v>
      </c>
      <c r="F751" s="220">
        <f>(26746)*(1.023*1.005-2.3%*15%)*6.99+0*4.09</f>
        <v>191566</v>
      </c>
      <c r="G751" s="145">
        <f t="shared" si="1283"/>
        <v>1.1279999999999999</v>
      </c>
      <c r="H751" s="146">
        <f t="shared" ref="H751" si="1296">F751*G751</f>
        <v>216086</v>
      </c>
      <c r="I751" s="145">
        <f>Дефляторы!$D$25</f>
        <v>1.052</v>
      </c>
      <c r="J751" s="146">
        <f t="shared" ref="J751" si="1297">H751*I751</f>
        <v>227322</v>
      </c>
      <c r="K751" s="146">
        <f t="shared" ref="K751" si="1298">H751+(J751-H751)*(1-30/100)</f>
        <v>223951</v>
      </c>
      <c r="L751" s="382"/>
      <c r="M751" s="382"/>
      <c r="N751" s="382"/>
    </row>
    <row r="752" spans="1:14" s="383" customFormat="1" ht="126" hidden="1" outlineLevel="2" x14ac:dyDescent="0.25">
      <c r="A752" s="363" t="s">
        <v>2888</v>
      </c>
      <c r="B752" s="381" t="s">
        <v>938</v>
      </c>
      <c r="C752" s="381" t="s">
        <v>2419</v>
      </c>
      <c r="D752" s="100" t="s">
        <v>404</v>
      </c>
      <c r="E752" s="100">
        <f>80.27</f>
        <v>80.27</v>
      </c>
      <c r="F752" s="220">
        <f>(32198)*(1.023*1.005-2.3%*15%)*6.99+0*4.09</f>
        <v>230615</v>
      </c>
      <c r="G752" s="145">
        <f t="shared" si="1283"/>
        <v>1.1279999999999999</v>
      </c>
      <c r="H752" s="146">
        <f t="shared" ref="H752" si="1299">F752*G752</f>
        <v>260134</v>
      </c>
      <c r="I752" s="145">
        <f>Дефляторы!$D$25</f>
        <v>1.052</v>
      </c>
      <c r="J752" s="146">
        <f t="shared" ref="J752" si="1300">H752*I752</f>
        <v>273661</v>
      </c>
      <c r="K752" s="146">
        <f t="shared" ref="K752" si="1301">H752+(J752-H752)*(1-30/100)</f>
        <v>269603</v>
      </c>
      <c r="L752" s="382"/>
      <c r="M752" s="382"/>
      <c r="N752" s="382"/>
    </row>
    <row r="753" spans="1:14" s="383" customFormat="1" ht="141.75" hidden="1" outlineLevel="2" x14ac:dyDescent="0.25">
      <c r="A753" s="363" t="s">
        <v>2889</v>
      </c>
      <c r="B753" s="381" t="s">
        <v>940</v>
      </c>
      <c r="C753" s="381" t="s">
        <v>2420</v>
      </c>
      <c r="D753" s="100" t="s">
        <v>404</v>
      </c>
      <c r="E753" s="100">
        <f>85.07</f>
        <v>85.07</v>
      </c>
      <c r="F753" s="220">
        <f>(36045)*(1.023*1.005-2.3%*15%)*6.99+0*4.09</f>
        <v>258169</v>
      </c>
      <c r="G753" s="145">
        <f t="shared" si="1283"/>
        <v>1.1279999999999999</v>
      </c>
      <c r="H753" s="146">
        <f t="shared" ref="H753" si="1302">F753*G753</f>
        <v>291215</v>
      </c>
      <c r="I753" s="145">
        <f>Дефляторы!$D$25</f>
        <v>1.052</v>
      </c>
      <c r="J753" s="146">
        <f t="shared" ref="J753" si="1303">H753*I753</f>
        <v>306358</v>
      </c>
      <c r="K753" s="146">
        <f t="shared" ref="K753" si="1304">H753+(J753-H753)*(1-30/100)</f>
        <v>301815</v>
      </c>
      <c r="L753" s="382"/>
      <c r="M753" s="382"/>
      <c r="N753" s="382"/>
    </row>
    <row r="754" spans="1:14" s="383" customFormat="1" ht="157.5" hidden="1" outlineLevel="2" x14ac:dyDescent="0.25">
      <c r="A754" s="363" t="s">
        <v>2890</v>
      </c>
      <c r="B754" s="381" t="s">
        <v>942</v>
      </c>
      <c r="C754" s="381" t="s">
        <v>2421</v>
      </c>
      <c r="D754" s="100" t="s">
        <v>404</v>
      </c>
      <c r="E754" s="100">
        <f>122.32</f>
        <v>122.32</v>
      </c>
      <c r="F754" s="220">
        <f>(54241)*(1.023*1.005-2.3%*15%)*6.99+0*4.09</f>
        <v>388496</v>
      </c>
      <c r="G754" s="145">
        <f t="shared" si="1283"/>
        <v>1.1279999999999999</v>
      </c>
      <c r="H754" s="146">
        <f t="shared" ref="H754" si="1305">F754*G754</f>
        <v>438223</v>
      </c>
      <c r="I754" s="145">
        <f>Дефляторы!$D$25</f>
        <v>1.052</v>
      </c>
      <c r="J754" s="146">
        <f t="shared" ref="J754" si="1306">H754*I754</f>
        <v>461011</v>
      </c>
      <c r="K754" s="146">
        <f t="shared" ref="K754" si="1307">H754+(J754-H754)*(1-30/100)</f>
        <v>454175</v>
      </c>
      <c r="L754" s="382"/>
      <c r="M754" s="382"/>
      <c r="N754" s="382"/>
    </row>
    <row r="755" spans="1:14" s="383" customFormat="1" ht="157.5" hidden="1" outlineLevel="2" x14ac:dyDescent="0.25">
      <c r="A755" s="363" t="s">
        <v>2891</v>
      </c>
      <c r="B755" s="381" t="s">
        <v>944</v>
      </c>
      <c r="C755" s="381" t="s">
        <v>2422</v>
      </c>
      <c r="D755" s="100" t="s">
        <v>404</v>
      </c>
      <c r="E755" s="168">
        <f>109.6</f>
        <v>109.6</v>
      </c>
      <c r="F755" s="220">
        <f>(48617)*(1.023*1.005-2.3%*15%)*6.99+0*4.09</f>
        <v>348215</v>
      </c>
      <c r="G755" s="145">
        <f t="shared" si="1283"/>
        <v>1.1279999999999999</v>
      </c>
      <c r="H755" s="146">
        <f t="shared" ref="H755" si="1308">F755*G755</f>
        <v>392787</v>
      </c>
      <c r="I755" s="145">
        <f>Дефляторы!$D$25</f>
        <v>1.052</v>
      </c>
      <c r="J755" s="146">
        <f t="shared" ref="J755" si="1309">H755*I755</f>
        <v>413212</v>
      </c>
      <c r="K755" s="146">
        <f t="shared" ref="K755" si="1310">H755+(J755-H755)*(1-30/100)</f>
        <v>407085</v>
      </c>
      <c r="L755" s="382"/>
      <c r="M755" s="382"/>
      <c r="N755" s="382"/>
    </row>
    <row r="756" spans="1:14" s="383" customFormat="1" ht="157.5" hidden="1" outlineLevel="2" x14ac:dyDescent="0.25">
      <c r="A756" s="363" t="s">
        <v>2892</v>
      </c>
      <c r="B756" s="381" t="s">
        <v>946</v>
      </c>
      <c r="C756" s="381" t="s">
        <v>2423</v>
      </c>
      <c r="D756" s="100" t="s">
        <v>404</v>
      </c>
      <c r="E756" s="100">
        <f>50.92</f>
        <v>50.92</v>
      </c>
      <c r="F756" s="220">
        <f>(22583)*(1.023*1.005-2.3%*15%)*6.99+0*4.09</f>
        <v>161749</v>
      </c>
      <c r="G756" s="145">
        <f t="shared" si="1283"/>
        <v>1.1279999999999999</v>
      </c>
      <c r="H756" s="146">
        <f t="shared" ref="H756" si="1311">F756*G756</f>
        <v>182453</v>
      </c>
      <c r="I756" s="145">
        <f>Дефляторы!$D$25</f>
        <v>1.052</v>
      </c>
      <c r="J756" s="146">
        <f t="shared" ref="J756" si="1312">H756*I756</f>
        <v>191941</v>
      </c>
      <c r="K756" s="146">
        <f t="shared" ref="K756" si="1313">H756+(J756-H756)*(1-30/100)</f>
        <v>189095</v>
      </c>
      <c r="L756" s="382"/>
      <c r="M756" s="382"/>
      <c r="N756" s="382"/>
    </row>
    <row r="757" spans="1:14" s="383" customFormat="1" ht="126" hidden="1" outlineLevel="2" x14ac:dyDescent="0.25">
      <c r="A757" s="363" t="s">
        <v>2893</v>
      </c>
      <c r="B757" s="381" t="s">
        <v>948</v>
      </c>
      <c r="C757" s="381" t="s">
        <v>2424</v>
      </c>
      <c r="D757" s="100" t="s">
        <v>404</v>
      </c>
      <c r="E757" s="100">
        <f>51.75</f>
        <v>51.75</v>
      </c>
      <c r="F757" s="220">
        <f>(25065)*(1.023*1.005-2.3%*15%)*6.99+0*4.09</f>
        <v>179526</v>
      </c>
      <c r="G757" s="145">
        <f t="shared" si="1283"/>
        <v>1.1279999999999999</v>
      </c>
      <c r="H757" s="146">
        <f t="shared" ref="H757" si="1314">F757*G757</f>
        <v>202505</v>
      </c>
      <c r="I757" s="145">
        <f>Дефляторы!$D$25</f>
        <v>1.052</v>
      </c>
      <c r="J757" s="146">
        <f t="shared" ref="J757" si="1315">H757*I757</f>
        <v>213035</v>
      </c>
      <c r="K757" s="146">
        <f t="shared" ref="K757" si="1316">H757+(J757-H757)*(1-30/100)</f>
        <v>209876</v>
      </c>
      <c r="L757" s="382"/>
      <c r="M757" s="382"/>
      <c r="N757" s="382"/>
    </row>
    <row r="758" spans="1:14" s="383" customFormat="1" hidden="1" outlineLevel="2" x14ac:dyDescent="0.25">
      <c r="A758" s="363"/>
      <c r="B758" s="381"/>
      <c r="C758" s="381" t="s">
        <v>949</v>
      </c>
      <c r="D758" s="100"/>
      <c r="E758" s="168"/>
      <c r="F758" s="149"/>
      <c r="G758" s="145"/>
      <c r="H758" s="146"/>
      <c r="I758" s="145">
        <f>Дефляторы!$D$25</f>
        <v>1.052</v>
      </c>
      <c r="J758" s="146"/>
      <c r="K758" s="146"/>
      <c r="L758" s="382"/>
      <c r="M758" s="382"/>
      <c r="N758" s="382"/>
    </row>
    <row r="759" spans="1:14" s="383" customFormat="1" ht="157.5" hidden="1" outlineLevel="2" x14ac:dyDescent="0.25">
      <c r="A759" s="363" t="s">
        <v>2894</v>
      </c>
      <c r="B759" s="381" t="s">
        <v>951</v>
      </c>
      <c r="C759" s="381" t="s">
        <v>2425</v>
      </c>
      <c r="D759" s="100" t="s">
        <v>404</v>
      </c>
      <c r="E759" s="168">
        <f>318.7</f>
        <v>318.7</v>
      </c>
      <c r="F759" s="220">
        <f>(114665)*(1.023*1.005-2.3%*15%)*6.99+0*4.09</f>
        <v>821278</v>
      </c>
      <c r="G759" s="145">
        <f t="shared" ref="G759:G764" si="1317">$G$831</f>
        <v>1.1279999999999999</v>
      </c>
      <c r="H759" s="146">
        <f t="shared" ref="H759" si="1318">F759*G759</f>
        <v>926402</v>
      </c>
      <c r="I759" s="145">
        <f>Дефляторы!$D$25</f>
        <v>1.052</v>
      </c>
      <c r="J759" s="146">
        <f t="shared" ref="J759" si="1319">H759*I759</f>
        <v>974575</v>
      </c>
      <c r="K759" s="146">
        <f t="shared" ref="K759" si="1320">H759+(J759-H759)*(1-30/100)</f>
        <v>960123</v>
      </c>
      <c r="L759" s="382"/>
      <c r="M759" s="382"/>
      <c r="N759" s="382"/>
    </row>
    <row r="760" spans="1:14" s="383" customFormat="1" ht="157.5" hidden="1" outlineLevel="2" x14ac:dyDescent="0.25">
      <c r="A760" s="363" t="s">
        <v>2895</v>
      </c>
      <c r="B760" s="381" t="s">
        <v>953</v>
      </c>
      <c r="C760" s="381" t="s">
        <v>2426</v>
      </c>
      <c r="D760" s="100" t="s">
        <v>404</v>
      </c>
      <c r="E760" s="168">
        <f>34.8</f>
        <v>34.799999999999997</v>
      </c>
      <c r="F760" s="220">
        <f>(12523)*(1.023*1.005-2.3%*15%)*6.99+0*4.09</f>
        <v>89695</v>
      </c>
      <c r="G760" s="145">
        <f t="shared" si="1317"/>
        <v>1.1279999999999999</v>
      </c>
      <c r="H760" s="146">
        <f t="shared" ref="H760" si="1321">F760*G760</f>
        <v>101176</v>
      </c>
      <c r="I760" s="145">
        <f>Дефляторы!$D$25</f>
        <v>1.052</v>
      </c>
      <c r="J760" s="146">
        <f t="shared" ref="J760" si="1322">H760*I760</f>
        <v>106437</v>
      </c>
      <c r="K760" s="146">
        <f t="shared" ref="K760" si="1323">H760+(J760-H760)*(1-30/100)</f>
        <v>104859</v>
      </c>
      <c r="L760" s="382"/>
      <c r="M760" s="382"/>
      <c r="N760" s="382"/>
    </row>
    <row r="761" spans="1:14" s="383" customFormat="1" ht="157.5" hidden="1" outlineLevel="2" x14ac:dyDescent="0.25">
      <c r="A761" s="363" t="s">
        <v>2896</v>
      </c>
      <c r="B761" s="381" t="s">
        <v>955</v>
      </c>
      <c r="C761" s="381" t="s">
        <v>2427</v>
      </c>
      <c r="D761" s="100" t="s">
        <v>404</v>
      </c>
      <c r="E761" s="100">
        <f>258.83</f>
        <v>258.83</v>
      </c>
      <c r="F761" s="220">
        <f>(93116)*(1.023*1.005-2.3%*15%)*6.99+0*4.09</f>
        <v>666935</v>
      </c>
      <c r="G761" s="145">
        <f t="shared" si="1317"/>
        <v>1.1279999999999999</v>
      </c>
      <c r="H761" s="146">
        <f t="shared" ref="H761" si="1324">F761*G761</f>
        <v>752303</v>
      </c>
      <c r="I761" s="145">
        <f>Дефляторы!$D$25</f>
        <v>1.052</v>
      </c>
      <c r="J761" s="146">
        <f t="shared" ref="J761" si="1325">H761*I761</f>
        <v>791423</v>
      </c>
      <c r="K761" s="146">
        <f t="shared" ref="K761" si="1326">H761+(J761-H761)*(1-30/100)</f>
        <v>779687</v>
      </c>
      <c r="L761" s="382"/>
      <c r="M761" s="382"/>
      <c r="N761" s="382"/>
    </row>
    <row r="762" spans="1:14" s="383" customFormat="1" ht="157.5" hidden="1" outlineLevel="2" x14ac:dyDescent="0.25">
      <c r="A762" s="363" t="s">
        <v>2897</v>
      </c>
      <c r="B762" s="381" t="s">
        <v>957</v>
      </c>
      <c r="C762" s="381" t="s">
        <v>2428</v>
      </c>
      <c r="D762" s="100" t="s">
        <v>404</v>
      </c>
      <c r="E762" s="100">
        <f>69.84</f>
        <v>69.84</v>
      </c>
      <c r="F762" s="220">
        <f>(25113)*(1.023*1.005-2.3%*15%)*6.99+0*4.09</f>
        <v>179870</v>
      </c>
      <c r="G762" s="145">
        <f t="shared" si="1317"/>
        <v>1.1279999999999999</v>
      </c>
      <c r="H762" s="146">
        <f t="shared" ref="H762" si="1327">F762*G762</f>
        <v>202893</v>
      </c>
      <c r="I762" s="145">
        <f>Дефляторы!$D$25</f>
        <v>1.052</v>
      </c>
      <c r="J762" s="146">
        <f t="shared" ref="J762" si="1328">H762*I762</f>
        <v>213443</v>
      </c>
      <c r="K762" s="146">
        <f t="shared" ref="K762" si="1329">H762+(J762-H762)*(1-30/100)</f>
        <v>210278</v>
      </c>
      <c r="L762" s="382"/>
      <c r="M762" s="382"/>
      <c r="N762" s="382"/>
    </row>
    <row r="763" spans="1:14" s="383" customFormat="1" ht="173.25" hidden="1" outlineLevel="2" x14ac:dyDescent="0.25">
      <c r="A763" s="363" t="s">
        <v>2898</v>
      </c>
      <c r="B763" s="381" t="s">
        <v>959</v>
      </c>
      <c r="C763" s="381" t="s">
        <v>2429</v>
      </c>
      <c r="D763" s="100" t="s">
        <v>404</v>
      </c>
      <c r="E763" s="100">
        <f>99.64</f>
        <v>99.64</v>
      </c>
      <c r="F763" s="220">
        <f>(49975)*(1.023*1.005-2.3%*15%)*6.99+0*4.09</f>
        <v>357941</v>
      </c>
      <c r="G763" s="145">
        <f t="shared" si="1317"/>
        <v>1.1279999999999999</v>
      </c>
      <c r="H763" s="146">
        <f t="shared" ref="H763" si="1330">F763*G763</f>
        <v>403757</v>
      </c>
      <c r="I763" s="145">
        <f>Дефляторы!$D$25</f>
        <v>1.052</v>
      </c>
      <c r="J763" s="146">
        <f t="shared" ref="J763" si="1331">H763*I763</f>
        <v>424752</v>
      </c>
      <c r="K763" s="146">
        <f t="shared" ref="K763" si="1332">H763+(J763-H763)*(1-30/100)</f>
        <v>418454</v>
      </c>
      <c r="L763" s="382"/>
      <c r="M763" s="382"/>
      <c r="N763" s="382"/>
    </row>
    <row r="764" spans="1:14" s="383" customFormat="1" ht="63" hidden="1" outlineLevel="2" x14ac:dyDescent="0.25">
      <c r="A764" s="363" t="s">
        <v>2899</v>
      </c>
      <c r="B764" s="381" t="s">
        <v>960</v>
      </c>
      <c r="C764" s="381" t="s">
        <v>2430</v>
      </c>
      <c r="D764" s="100" t="s">
        <v>404</v>
      </c>
      <c r="E764" s="168">
        <f>688</f>
        <v>688</v>
      </c>
      <c r="F764" s="220">
        <f>(80037)*(1.023*1.005-2.3%*15%)*6.99+0*4.09</f>
        <v>573258</v>
      </c>
      <c r="G764" s="145">
        <f t="shared" si="1317"/>
        <v>1.1279999999999999</v>
      </c>
      <c r="H764" s="146">
        <f t="shared" ref="H764" si="1333">F764*G764</f>
        <v>646635</v>
      </c>
      <c r="I764" s="145">
        <f>Дефляторы!$D$25</f>
        <v>1.052</v>
      </c>
      <c r="J764" s="146">
        <f t="shared" ref="J764" si="1334">H764*I764</f>
        <v>680260</v>
      </c>
      <c r="K764" s="146">
        <f t="shared" ref="K764" si="1335">H764+(J764-H764)*(1-30/100)</f>
        <v>670173</v>
      </c>
      <c r="L764" s="396" t="s">
        <v>958</v>
      </c>
      <c r="M764" s="382"/>
      <c r="N764" s="382"/>
    </row>
    <row r="765" spans="1:14" s="383" customFormat="1" hidden="1" outlineLevel="2" x14ac:dyDescent="0.25">
      <c r="A765" s="363"/>
      <c r="B765" s="381"/>
      <c r="C765" s="390" t="s">
        <v>963</v>
      </c>
      <c r="D765" s="100"/>
      <c r="E765" s="168"/>
      <c r="F765" s="149"/>
      <c r="G765" s="145"/>
      <c r="H765" s="146"/>
      <c r="I765" s="145">
        <f>Дефляторы!$D$25</f>
        <v>1.052</v>
      </c>
      <c r="J765" s="146"/>
      <c r="K765" s="146"/>
      <c r="L765" s="382"/>
      <c r="M765" s="382"/>
      <c r="N765" s="382"/>
    </row>
    <row r="766" spans="1:14" s="383" customFormat="1" ht="31.5" hidden="1" outlineLevel="2" x14ac:dyDescent="0.25">
      <c r="A766" s="363" t="s">
        <v>2900</v>
      </c>
      <c r="B766" s="381" t="s">
        <v>964</v>
      </c>
      <c r="C766" s="381" t="s">
        <v>2431</v>
      </c>
      <c r="D766" s="100" t="s">
        <v>404</v>
      </c>
      <c r="E766" s="100">
        <f>432.57</f>
        <v>432.57</v>
      </c>
      <c r="F766" s="220">
        <f>(38987)*(1.023*1.005-2.3%*15%)*6.99+0*4.09</f>
        <v>279241</v>
      </c>
      <c r="G766" s="145">
        <f t="shared" ref="G766:G778" si="1336">$G$831</f>
        <v>1.1279999999999999</v>
      </c>
      <c r="H766" s="146">
        <f t="shared" ref="H766" si="1337">F766*G766</f>
        <v>314984</v>
      </c>
      <c r="I766" s="145">
        <f>Дефляторы!$D$25</f>
        <v>1.052</v>
      </c>
      <c r="J766" s="146">
        <f t="shared" ref="J766" si="1338">H766*I766</f>
        <v>331363</v>
      </c>
      <c r="K766" s="146">
        <f t="shared" ref="K766" si="1339">H766+(J766-H766)*(1-30/100)</f>
        <v>326449</v>
      </c>
      <c r="L766" s="382"/>
      <c r="M766" s="382"/>
      <c r="N766" s="382"/>
    </row>
    <row r="767" spans="1:14" s="383" customFormat="1" ht="110.25" hidden="1" outlineLevel="2" x14ac:dyDescent="0.25">
      <c r="A767" s="363" t="s">
        <v>2901</v>
      </c>
      <c r="B767" s="381" t="s">
        <v>966</v>
      </c>
      <c r="C767" s="381" t="s">
        <v>2432</v>
      </c>
      <c r="D767" s="100" t="s">
        <v>404</v>
      </c>
      <c r="E767" s="100">
        <f>2224.93</f>
        <v>2224.9299999999998</v>
      </c>
      <c r="F767" s="220">
        <f>(300552)*(1.023*1.005-2.3%*15%)*6.99+0*4.09</f>
        <v>2152676</v>
      </c>
      <c r="G767" s="145">
        <f t="shared" si="1336"/>
        <v>1.1279999999999999</v>
      </c>
      <c r="H767" s="146">
        <f t="shared" ref="H767" si="1340">F767*G767</f>
        <v>2428219</v>
      </c>
      <c r="I767" s="145">
        <f>Дефляторы!$D$25</f>
        <v>1.052</v>
      </c>
      <c r="J767" s="146">
        <f t="shared" ref="J767" si="1341">H767*I767</f>
        <v>2554486</v>
      </c>
      <c r="K767" s="146">
        <f t="shared" ref="K767" si="1342">H767+(J767-H767)*(1-30/100)</f>
        <v>2516606</v>
      </c>
      <c r="L767" s="382"/>
      <c r="M767" s="382"/>
      <c r="N767" s="382"/>
    </row>
    <row r="768" spans="1:14" s="383" customFormat="1" ht="31.5" hidden="1" outlineLevel="2" x14ac:dyDescent="0.25">
      <c r="A768" s="363" t="s">
        <v>2902</v>
      </c>
      <c r="B768" s="381" t="s">
        <v>968</v>
      </c>
      <c r="C768" s="381" t="s">
        <v>2433</v>
      </c>
      <c r="D768" s="100" t="s">
        <v>404</v>
      </c>
      <c r="E768" s="145">
        <f>204.491</f>
        <v>204.49100000000001</v>
      </c>
      <c r="F768" s="220">
        <f>(18431)*(1.023*1.005-2.3%*15%)*6.99+0*4.09</f>
        <v>132010</v>
      </c>
      <c r="G768" s="145">
        <f t="shared" si="1336"/>
        <v>1.1279999999999999</v>
      </c>
      <c r="H768" s="146">
        <f t="shared" ref="H768" si="1343">F768*G768</f>
        <v>148907</v>
      </c>
      <c r="I768" s="145">
        <f>Дефляторы!$D$25</f>
        <v>1.052</v>
      </c>
      <c r="J768" s="146">
        <f t="shared" ref="J768" si="1344">H768*I768</f>
        <v>156650</v>
      </c>
      <c r="K768" s="146">
        <f t="shared" ref="K768" si="1345">H768+(J768-H768)*(1-30/100)</f>
        <v>154327</v>
      </c>
      <c r="L768" s="382"/>
      <c r="M768" s="382"/>
      <c r="N768" s="382"/>
    </row>
    <row r="769" spans="1:14" s="383" customFormat="1" ht="110.25" hidden="1" outlineLevel="2" x14ac:dyDescent="0.25">
      <c r="A769" s="363" t="s">
        <v>2903</v>
      </c>
      <c r="B769" s="381" t="s">
        <v>969</v>
      </c>
      <c r="C769" s="381" t="s">
        <v>2434</v>
      </c>
      <c r="D769" s="100" t="s">
        <v>404</v>
      </c>
      <c r="E769" s="100">
        <f>154.71</f>
        <v>154.71</v>
      </c>
      <c r="F769" s="220">
        <f>(20901)*(1.023*1.005-2.3%*15%)*6.99+0*4.09</f>
        <v>149701</v>
      </c>
      <c r="G769" s="145">
        <f t="shared" si="1336"/>
        <v>1.1279999999999999</v>
      </c>
      <c r="H769" s="146">
        <f t="shared" ref="H769" si="1346">F769*G769</f>
        <v>168863</v>
      </c>
      <c r="I769" s="145">
        <f>Дефляторы!$D$25</f>
        <v>1.052</v>
      </c>
      <c r="J769" s="146">
        <f t="shared" ref="J769" si="1347">H769*I769</f>
        <v>177644</v>
      </c>
      <c r="K769" s="146">
        <f t="shared" ref="K769" si="1348">H769+(J769-H769)*(1-30/100)</f>
        <v>175010</v>
      </c>
      <c r="L769" s="382"/>
      <c r="M769" s="382"/>
      <c r="N769" s="382"/>
    </row>
    <row r="770" spans="1:14" s="383" customFormat="1" ht="31.5" hidden="1" outlineLevel="2" x14ac:dyDescent="0.25">
      <c r="A770" s="363" t="s">
        <v>2904</v>
      </c>
      <c r="B770" s="381" t="s">
        <v>972</v>
      </c>
      <c r="C770" s="381" t="s">
        <v>2435</v>
      </c>
      <c r="D770" s="100" t="s">
        <v>404</v>
      </c>
      <c r="E770" s="145">
        <f>580.553</f>
        <v>580.553</v>
      </c>
      <c r="F770" s="220">
        <f>(119993)*(1.023*1.005-2.3%*15%)*6.99+0*4.09</f>
        <v>859439</v>
      </c>
      <c r="G770" s="145">
        <f t="shared" si="1336"/>
        <v>1.1279999999999999</v>
      </c>
      <c r="H770" s="146">
        <f t="shared" ref="H770" si="1349">F770*G770</f>
        <v>969447</v>
      </c>
      <c r="I770" s="145">
        <f>Дефляторы!$D$25</f>
        <v>1.052</v>
      </c>
      <c r="J770" s="146">
        <f t="shared" ref="J770" si="1350">H770*I770</f>
        <v>1019858</v>
      </c>
      <c r="K770" s="146">
        <f t="shared" ref="K770" si="1351">H770+(J770-H770)*(1-30/100)</f>
        <v>1004735</v>
      </c>
      <c r="L770" s="382"/>
      <c r="M770" s="382"/>
      <c r="N770" s="382"/>
    </row>
    <row r="771" spans="1:14" s="383" customFormat="1" ht="110.25" hidden="1" outlineLevel="2" x14ac:dyDescent="0.25">
      <c r="A771" s="363" t="s">
        <v>2905</v>
      </c>
      <c r="B771" s="381" t="s">
        <v>974</v>
      </c>
      <c r="C771" s="381" t="s">
        <v>2436</v>
      </c>
      <c r="D771" s="100" t="s">
        <v>404</v>
      </c>
      <c r="E771" s="100">
        <f>403.71</f>
        <v>403.71</v>
      </c>
      <c r="F771" s="220">
        <f>(54531)*(1.023*1.005-2.3%*15%)*6.99+0*4.09</f>
        <v>390573</v>
      </c>
      <c r="G771" s="145">
        <f t="shared" si="1336"/>
        <v>1.1279999999999999</v>
      </c>
      <c r="H771" s="146">
        <f t="shared" ref="H771" si="1352">F771*G771</f>
        <v>440566</v>
      </c>
      <c r="I771" s="145">
        <f>Дефляторы!$D$25</f>
        <v>1.052</v>
      </c>
      <c r="J771" s="146">
        <f t="shared" ref="J771" si="1353">H771*I771</f>
        <v>463475</v>
      </c>
      <c r="K771" s="146">
        <f t="shared" ref="K771" si="1354">H771+(J771-H771)*(1-30/100)</f>
        <v>456602</v>
      </c>
      <c r="L771" s="382"/>
      <c r="M771" s="382"/>
      <c r="N771" s="382"/>
    </row>
    <row r="772" spans="1:14" s="383" customFormat="1" ht="31.5" hidden="1" outlineLevel="2" x14ac:dyDescent="0.25">
      <c r="A772" s="363" t="s">
        <v>2906</v>
      </c>
      <c r="B772" s="381" t="s">
        <v>976</v>
      </c>
      <c r="C772" s="381" t="s">
        <v>2437</v>
      </c>
      <c r="D772" s="100" t="s">
        <v>404</v>
      </c>
      <c r="E772" s="100">
        <f>487.169*0.12</f>
        <v>58.46</v>
      </c>
      <c r="F772" s="220">
        <f>(16205)*(1.023*1.005-2.3%*15%)*6.99+0*4.09</f>
        <v>116067</v>
      </c>
      <c r="G772" s="145">
        <f t="shared" si="1336"/>
        <v>1.1279999999999999</v>
      </c>
      <c r="H772" s="146">
        <f t="shared" ref="H772" si="1355">F772*G772</f>
        <v>130924</v>
      </c>
      <c r="I772" s="145">
        <f>Дефляторы!$D$25</f>
        <v>1.052</v>
      </c>
      <c r="J772" s="146">
        <f t="shared" ref="J772" si="1356">H772*I772</f>
        <v>137732</v>
      </c>
      <c r="K772" s="146">
        <f t="shared" ref="K772" si="1357">H772+(J772-H772)*(1-30/100)</f>
        <v>135690</v>
      </c>
      <c r="L772" s="382"/>
      <c r="M772" s="382"/>
      <c r="N772" s="382"/>
    </row>
    <row r="773" spans="1:14" s="383" customFormat="1" ht="63" hidden="1" outlineLevel="2" x14ac:dyDescent="0.25">
      <c r="A773" s="363" t="s">
        <v>2907</v>
      </c>
      <c r="B773" s="381" t="s">
        <v>978</v>
      </c>
      <c r="C773" s="381" t="s">
        <v>2438</v>
      </c>
      <c r="D773" s="100" t="s">
        <v>404</v>
      </c>
      <c r="E773" s="100">
        <f>174.99</f>
        <v>174.99</v>
      </c>
      <c r="F773" s="220">
        <f>(8111)*(1.023*1.005-2.3%*15%)*6.99+0*4.09</f>
        <v>58094</v>
      </c>
      <c r="G773" s="145">
        <f t="shared" si="1336"/>
        <v>1.1279999999999999</v>
      </c>
      <c r="H773" s="146">
        <f t="shared" ref="H773" si="1358">F773*G773</f>
        <v>65530</v>
      </c>
      <c r="I773" s="145">
        <f>Дефляторы!$D$25</f>
        <v>1.052</v>
      </c>
      <c r="J773" s="146">
        <f t="shared" ref="J773" si="1359">H773*I773</f>
        <v>68938</v>
      </c>
      <c r="K773" s="146">
        <f t="shared" ref="K773" si="1360">H773+(J773-H773)*(1-30/100)</f>
        <v>67916</v>
      </c>
      <c r="L773" s="382"/>
      <c r="M773" s="382"/>
      <c r="N773" s="382"/>
    </row>
    <row r="774" spans="1:14" s="383" customFormat="1" ht="110.25" hidden="1" outlineLevel="2" x14ac:dyDescent="0.25">
      <c r="A774" s="363" t="s">
        <v>2908</v>
      </c>
      <c r="B774" s="381" t="s">
        <v>980</v>
      </c>
      <c r="C774" s="381" t="s">
        <v>2439</v>
      </c>
      <c r="D774" s="100" t="s">
        <v>404</v>
      </c>
      <c r="E774" s="145">
        <f>392.145</f>
        <v>392.14499999999998</v>
      </c>
      <c r="F774" s="220">
        <f>(40345)*(1.023*1.005-2.3%*15%)*6.99+0*4.09</f>
        <v>288967</v>
      </c>
      <c r="G774" s="145">
        <f t="shared" si="1336"/>
        <v>1.1279999999999999</v>
      </c>
      <c r="H774" s="146">
        <f t="shared" ref="H774" si="1361">F774*G774</f>
        <v>325955</v>
      </c>
      <c r="I774" s="145">
        <f>Дефляторы!$D$25</f>
        <v>1.052</v>
      </c>
      <c r="J774" s="146">
        <f t="shared" ref="J774" si="1362">H774*I774</f>
        <v>342905</v>
      </c>
      <c r="K774" s="146">
        <f t="shared" ref="K774" si="1363">H774+(J774-H774)*(1-30/100)</f>
        <v>337820</v>
      </c>
      <c r="L774" s="382"/>
      <c r="M774" s="382"/>
      <c r="N774" s="382"/>
    </row>
    <row r="775" spans="1:14" s="383" customFormat="1" ht="47.25" hidden="1" outlineLevel="2" x14ac:dyDescent="0.25">
      <c r="A775" s="363" t="s">
        <v>2909</v>
      </c>
      <c r="B775" s="381" t="s">
        <v>982</v>
      </c>
      <c r="C775" s="381" t="s">
        <v>2440</v>
      </c>
      <c r="D775" s="100" t="s">
        <v>404</v>
      </c>
      <c r="E775" s="145">
        <f>448.285</f>
        <v>448.28500000000003</v>
      </c>
      <c r="F775" s="220">
        <f>(24747)*(1.023*1.005-2.3%*15%)*6.99+0*4.09</f>
        <v>177248</v>
      </c>
      <c r="G775" s="145">
        <f t="shared" si="1336"/>
        <v>1.1279999999999999</v>
      </c>
      <c r="H775" s="146">
        <f t="shared" ref="H775" si="1364">F775*G775</f>
        <v>199936</v>
      </c>
      <c r="I775" s="145">
        <f>Дефляторы!$D$25</f>
        <v>1.052</v>
      </c>
      <c r="J775" s="146">
        <f t="shared" ref="J775" si="1365">H775*I775</f>
        <v>210333</v>
      </c>
      <c r="K775" s="146">
        <f t="shared" ref="K775" si="1366">H775+(J775-H775)*(1-30/100)</f>
        <v>207214</v>
      </c>
      <c r="L775" s="382"/>
      <c r="M775" s="382"/>
      <c r="N775" s="382"/>
    </row>
    <row r="776" spans="1:14" s="383" customFormat="1" ht="31.5" hidden="1" outlineLevel="2" x14ac:dyDescent="0.25">
      <c r="A776" s="363" t="s">
        <v>2910</v>
      </c>
      <c r="B776" s="381" t="s">
        <v>984</v>
      </c>
      <c r="C776" s="381" t="s">
        <v>2441</v>
      </c>
      <c r="D776" s="100" t="s">
        <v>404</v>
      </c>
      <c r="E776" s="100">
        <f>195.32</f>
        <v>195.32</v>
      </c>
      <c r="F776" s="220">
        <f>(17598)*(1.023*1.005-2.3%*15%)*6.99+0*4.09</f>
        <v>126044</v>
      </c>
      <c r="G776" s="145">
        <f t="shared" si="1336"/>
        <v>1.1279999999999999</v>
      </c>
      <c r="H776" s="146">
        <f t="shared" ref="H776" si="1367">F776*G776</f>
        <v>142178</v>
      </c>
      <c r="I776" s="145">
        <f>Дефляторы!$D$25</f>
        <v>1.052</v>
      </c>
      <c r="J776" s="146">
        <f t="shared" ref="J776" si="1368">H776*I776</f>
        <v>149571</v>
      </c>
      <c r="K776" s="146">
        <f t="shared" ref="K776" si="1369">H776+(J776-H776)*(1-30/100)</f>
        <v>147353</v>
      </c>
      <c r="L776" s="382"/>
      <c r="M776" s="382"/>
      <c r="N776" s="382"/>
    </row>
    <row r="777" spans="1:14" s="383" customFormat="1" ht="94.5" hidden="1" outlineLevel="2" x14ac:dyDescent="0.25">
      <c r="A777" s="363" t="s">
        <v>2911</v>
      </c>
      <c r="B777" s="381" t="s">
        <v>986</v>
      </c>
      <c r="C777" s="381" t="s">
        <v>2442</v>
      </c>
      <c r="D777" s="100" t="s">
        <v>404</v>
      </c>
      <c r="E777" s="100">
        <f>93.14</f>
        <v>93.14</v>
      </c>
      <c r="F777" s="220">
        <f>(65900)*(1.023*1.005-2.3%*15%)*6.99+0*4.09</f>
        <v>472003</v>
      </c>
      <c r="G777" s="145">
        <f t="shared" si="1336"/>
        <v>1.1279999999999999</v>
      </c>
      <c r="H777" s="146">
        <f t="shared" ref="H777" si="1370">F777*G777</f>
        <v>532419</v>
      </c>
      <c r="I777" s="145">
        <f>Дефляторы!$D$25</f>
        <v>1.052</v>
      </c>
      <c r="J777" s="146">
        <f t="shared" ref="J777" si="1371">H777*I777</f>
        <v>560105</v>
      </c>
      <c r="K777" s="146">
        <f t="shared" ref="K777" si="1372">H777+(J777-H777)*(1-30/100)</f>
        <v>551799</v>
      </c>
      <c r="L777" s="382"/>
      <c r="M777" s="382"/>
      <c r="N777" s="382"/>
    </row>
    <row r="778" spans="1:14" s="383" customFormat="1" ht="78.75" hidden="1" outlineLevel="2" x14ac:dyDescent="0.25">
      <c r="A778" s="363" t="s">
        <v>2912</v>
      </c>
      <c r="B778" s="381" t="s">
        <v>987</v>
      </c>
      <c r="C778" s="381" t="s">
        <v>2443</v>
      </c>
      <c r="D778" s="100" t="s">
        <v>404</v>
      </c>
      <c r="E778" s="100">
        <f>171.75</f>
        <v>171.75</v>
      </c>
      <c r="F778" s="220">
        <f>(50262)*(1.023*1.005-2.3%*15%)*6.99+0*4.09</f>
        <v>359997</v>
      </c>
      <c r="G778" s="145">
        <f t="shared" si="1336"/>
        <v>1.1279999999999999</v>
      </c>
      <c r="H778" s="146">
        <f t="shared" ref="H778" si="1373">F778*G778</f>
        <v>406077</v>
      </c>
      <c r="I778" s="145">
        <f>Дефляторы!$D$25</f>
        <v>1.052</v>
      </c>
      <c r="J778" s="146">
        <f t="shared" ref="J778" si="1374">H778*I778</f>
        <v>427193</v>
      </c>
      <c r="K778" s="146">
        <f t="shared" ref="K778" si="1375">H778+(J778-H778)*(1-30/100)</f>
        <v>420858</v>
      </c>
      <c r="L778" s="382"/>
      <c r="M778" s="382"/>
      <c r="N778" s="382"/>
    </row>
    <row r="779" spans="1:14" s="383" customFormat="1" hidden="1" outlineLevel="2" x14ac:dyDescent="0.25">
      <c r="A779" s="363"/>
      <c r="B779" s="381"/>
      <c r="C779" s="390" t="s">
        <v>989</v>
      </c>
      <c r="D779" s="100"/>
      <c r="E779" s="168"/>
      <c r="F779" s="149"/>
      <c r="G779" s="145"/>
      <c r="H779" s="146"/>
      <c r="I779" s="145">
        <f>Дефляторы!$D$25</f>
        <v>1.052</v>
      </c>
      <c r="J779" s="146"/>
      <c r="K779" s="146"/>
      <c r="L779" s="382"/>
      <c r="M779" s="382"/>
      <c r="N779" s="382"/>
    </row>
    <row r="780" spans="1:14" s="383" customFormat="1" ht="78.75" hidden="1" outlineLevel="2" x14ac:dyDescent="0.25">
      <c r="A780" s="363" t="s">
        <v>2913</v>
      </c>
      <c r="B780" s="381" t="s">
        <v>991</v>
      </c>
      <c r="C780" s="381" t="s">
        <v>2444</v>
      </c>
      <c r="D780" s="100" t="s">
        <v>404</v>
      </c>
      <c r="E780" s="100">
        <f>706.52</f>
        <v>706.52</v>
      </c>
      <c r="F780" s="220">
        <f>(83188)*(1.023*1.005-2.3%*15%)*6.99+0*4.09</f>
        <v>595826</v>
      </c>
      <c r="G780" s="145">
        <f t="shared" ref="G780:G787" si="1376">$G$831</f>
        <v>1.1279999999999999</v>
      </c>
      <c r="H780" s="146">
        <f t="shared" ref="H780" si="1377">F780*G780</f>
        <v>672092</v>
      </c>
      <c r="I780" s="145">
        <f>Дефляторы!$D$25</f>
        <v>1.052</v>
      </c>
      <c r="J780" s="146">
        <f t="shared" ref="J780" si="1378">H780*I780</f>
        <v>707041</v>
      </c>
      <c r="K780" s="146">
        <f t="shared" ref="K780" si="1379">H780+(J780-H780)*(1-30/100)</f>
        <v>696556</v>
      </c>
      <c r="L780" s="382"/>
      <c r="M780" s="382"/>
      <c r="N780" s="382"/>
    </row>
    <row r="781" spans="1:14" s="383" customFormat="1" ht="31.5" hidden="1" outlineLevel="2" x14ac:dyDescent="0.25">
      <c r="A781" s="363" t="s">
        <v>2914</v>
      </c>
      <c r="B781" s="381" t="s">
        <v>993</v>
      </c>
      <c r="C781" s="381" t="s">
        <v>2445</v>
      </c>
      <c r="D781" s="100" t="s">
        <v>404</v>
      </c>
      <c r="E781" s="168">
        <f>150.5</f>
        <v>150.5</v>
      </c>
      <c r="F781" s="220">
        <f>(381275)*(1.023*1.005-2.3%*15%)*6.99+0*4.09</f>
        <v>2730847</v>
      </c>
      <c r="G781" s="145">
        <f t="shared" si="1376"/>
        <v>1.1279999999999999</v>
      </c>
      <c r="H781" s="146">
        <f t="shared" ref="H781" si="1380">F781*G781</f>
        <v>3080395</v>
      </c>
      <c r="I781" s="145">
        <f>Дефляторы!$D$25</f>
        <v>1.052</v>
      </c>
      <c r="J781" s="146">
        <f t="shared" ref="J781" si="1381">H781*I781</f>
        <v>3240576</v>
      </c>
      <c r="K781" s="146">
        <f t="shared" ref="K781" si="1382">H781+(J781-H781)*(1-30/100)</f>
        <v>3192522</v>
      </c>
      <c r="L781" s="382" t="s">
        <v>994</v>
      </c>
      <c r="M781" s="382"/>
      <c r="N781" s="382"/>
    </row>
    <row r="782" spans="1:14" s="383" customFormat="1" ht="47.25" hidden="1" outlineLevel="2" x14ac:dyDescent="0.25">
      <c r="A782" s="363" t="s">
        <v>2915</v>
      </c>
      <c r="B782" s="381" t="s">
        <v>996</v>
      </c>
      <c r="C782" s="381" t="s">
        <v>2446</v>
      </c>
      <c r="D782" s="100" t="s">
        <v>404</v>
      </c>
      <c r="E782" s="100">
        <f>108.05</f>
        <v>108.05</v>
      </c>
      <c r="F782" s="220">
        <f>(620646)*(1.023*1.005-2.3%*15%)*6.99+0*4.09</f>
        <v>4445320</v>
      </c>
      <c r="G782" s="145">
        <f t="shared" si="1376"/>
        <v>1.1279999999999999</v>
      </c>
      <c r="H782" s="146">
        <f t="shared" ref="H782" si="1383">F782*G782</f>
        <v>5014321</v>
      </c>
      <c r="I782" s="145">
        <f>Дефляторы!$D$25</f>
        <v>1.052</v>
      </c>
      <c r="J782" s="146">
        <f t="shared" ref="J782" si="1384">H782*I782</f>
        <v>5275066</v>
      </c>
      <c r="K782" s="146">
        <f t="shared" ref="K782" si="1385">H782+(J782-H782)*(1-30/100)</f>
        <v>5196843</v>
      </c>
      <c r="L782" s="382" t="s">
        <v>994</v>
      </c>
      <c r="M782" s="382"/>
      <c r="N782" s="382"/>
    </row>
    <row r="783" spans="1:14" s="383" customFormat="1" ht="47.25" hidden="1" outlineLevel="2" x14ac:dyDescent="0.25">
      <c r="A783" s="363" t="s">
        <v>2916</v>
      </c>
      <c r="B783" s="381" t="s">
        <v>998</v>
      </c>
      <c r="C783" s="381" t="s">
        <v>2447</v>
      </c>
      <c r="D783" s="100" t="s">
        <v>404</v>
      </c>
      <c r="E783" s="100">
        <f>387.56</f>
        <v>387.56</v>
      </c>
      <c r="F783" s="220">
        <f>(24176)*(1.023*1.005-2.3%*15%)*6.99+0*4.09</f>
        <v>173158</v>
      </c>
      <c r="G783" s="145">
        <f t="shared" si="1376"/>
        <v>1.1279999999999999</v>
      </c>
      <c r="H783" s="146">
        <f t="shared" ref="H783" si="1386">F783*G783</f>
        <v>195322</v>
      </c>
      <c r="I783" s="145">
        <f>Дефляторы!$D$25</f>
        <v>1.052</v>
      </c>
      <c r="J783" s="146">
        <f t="shared" ref="J783" si="1387">H783*I783</f>
        <v>205479</v>
      </c>
      <c r="K783" s="146">
        <f t="shared" ref="K783" si="1388">H783+(J783-H783)*(1-30/100)</f>
        <v>202432</v>
      </c>
      <c r="L783" s="382"/>
      <c r="M783" s="382"/>
      <c r="N783" s="382"/>
    </row>
    <row r="784" spans="1:14" s="383" customFormat="1" ht="47.25" hidden="1" outlineLevel="2" x14ac:dyDescent="0.25">
      <c r="A784" s="363" t="s">
        <v>2917</v>
      </c>
      <c r="B784" s="381" t="s">
        <v>1001</v>
      </c>
      <c r="C784" s="381" t="s">
        <v>2448</v>
      </c>
      <c r="D784" s="100" t="s">
        <v>404</v>
      </c>
      <c r="E784" s="100">
        <f>102.03</f>
        <v>102.03</v>
      </c>
      <c r="F784" s="220">
        <f>(154002)*(1.023*1.005-2.3%*15%)*6.99+0*4.09</f>
        <v>1103025</v>
      </c>
      <c r="G784" s="145">
        <f t="shared" si="1376"/>
        <v>1.1279999999999999</v>
      </c>
      <c r="H784" s="146">
        <f t="shared" ref="H784" si="1389">F784*G784</f>
        <v>1244212</v>
      </c>
      <c r="I784" s="145">
        <f>Дефляторы!$D$25</f>
        <v>1.052</v>
      </c>
      <c r="J784" s="146">
        <f t="shared" ref="J784" si="1390">H784*I784</f>
        <v>1308911</v>
      </c>
      <c r="K784" s="146">
        <f t="shared" ref="K784" si="1391">H784+(J784-H784)*(1-30/100)</f>
        <v>1289501</v>
      </c>
      <c r="L784" s="382"/>
      <c r="M784" s="382"/>
      <c r="N784" s="382"/>
    </row>
    <row r="785" spans="1:14" s="383" customFormat="1" ht="63" hidden="1" outlineLevel="2" x14ac:dyDescent="0.25">
      <c r="A785" s="363" t="s">
        <v>2918</v>
      </c>
      <c r="B785" s="381" t="s">
        <v>1003</v>
      </c>
      <c r="C785" s="381" t="s">
        <v>2449</v>
      </c>
      <c r="D785" s="100" t="s">
        <v>404</v>
      </c>
      <c r="E785" s="100">
        <f>145.22</f>
        <v>145.22</v>
      </c>
      <c r="F785" s="220">
        <f>(65316)*(1.023*1.005-2.3%*15%)*6.99+0*4.09</f>
        <v>467820</v>
      </c>
      <c r="G785" s="145">
        <f t="shared" si="1376"/>
        <v>1.1279999999999999</v>
      </c>
      <c r="H785" s="146">
        <f t="shared" ref="H785" si="1392">F785*G785</f>
        <v>527701</v>
      </c>
      <c r="I785" s="145">
        <f>Дефляторы!$D$25</f>
        <v>1.052</v>
      </c>
      <c r="J785" s="146">
        <f t="shared" ref="J785" si="1393">H785*I785</f>
        <v>555141</v>
      </c>
      <c r="K785" s="146">
        <f t="shared" ref="K785" si="1394">H785+(J785-H785)*(1-30/100)</f>
        <v>546909</v>
      </c>
      <c r="L785" s="382"/>
      <c r="M785" s="382"/>
      <c r="N785" s="382"/>
    </row>
    <row r="786" spans="1:14" s="383" customFormat="1" ht="31.5" hidden="1" outlineLevel="2" x14ac:dyDescent="0.25">
      <c r="A786" s="363" t="s">
        <v>2919</v>
      </c>
      <c r="B786" s="381" t="s">
        <v>1004</v>
      </c>
      <c r="C786" s="381" t="s">
        <v>2450</v>
      </c>
      <c r="D786" s="100" t="s">
        <v>404</v>
      </c>
      <c r="E786" s="100">
        <f>371.74</f>
        <v>371.74</v>
      </c>
      <c r="F786" s="220">
        <f>(36491)*(1.023*1.005-2.3%*15%)*6.99+0*4.09</f>
        <v>261363</v>
      </c>
      <c r="G786" s="145">
        <f t="shared" si="1376"/>
        <v>1.1279999999999999</v>
      </c>
      <c r="H786" s="146">
        <f t="shared" ref="H786" si="1395">F786*G786</f>
        <v>294817</v>
      </c>
      <c r="I786" s="145">
        <f>Дефляторы!$D$25</f>
        <v>1.052</v>
      </c>
      <c r="J786" s="146">
        <f t="shared" ref="J786" si="1396">H786*I786</f>
        <v>310147</v>
      </c>
      <c r="K786" s="146">
        <f t="shared" ref="K786" si="1397">H786+(J786-H786)*(1-30/100)</f>
        <v>305548</v>
      </c>
      <c r="L786" s="382"/>
      <c r="M786" s="382"/>
      <c r="N786" s="382"/>
    </row>
    <row r="787" spans="1:14" s="358" customFormat="1" outlineLevel="1" collapsed="1" x14ac:dyDescent="0.25">
      <c r="A787" s="132" t="s">
        <v>2920</v>
      </c>
      <c r="B787" s="320" t="s">
        <v>172</v>
      </c>
      <c r="C787" s="320" t="s">
        <v>1921</v>
      </c>
      <c r="D787" s="134" t="s">
        <v>292</v>
      </c>
      <c r="E787" s="90">
        <v>1</v>
      </c>
      <c r="F787" s="90">
        <f>SUM(F788:F792)</f>
        <v>705784</v>
      </c>
      <c r="G787" s="135">
        <f t="shared" si="1376"/>
        <v>1.1279999999999999</v>
      </c>
      <c r="H787" s="90">
        <f>SUM(H788:H792)</f>
        <v>796124</v>
      </c>
      <c r="I787" s="135">
        <f>Дефляторы!$D$25</f>
        <v>1.052</v>
      </c>
      <c r="J787" s="90">
        <f>SUM(J788:J792)</f>
        <v>837523</v>
      </c>
      <c r="K787" s="90">
        <f>SUM(K788:K792)</f>
        <v>825102</v>
      </c>
      <c r="L787" s="389"/>
      <c r="M787" s="389"/>
      <c r="N787" s="389"/>
    </row>
    <row r="788" spans="1:14" s="383" customFormat="1" hidden="1" outlineLevel="2" x14ac:dyDescent="0.25">
      <c r="A788" s="95"/>
      <c r="B788" s="381"/>
      <c r="C788" s="390" t="s">
        <v>367</v>
      </c>
      <c r="D788" s="100"/>
      <c r="E788" s="100"/>
      <c r="F788" s="149"/>
      <c r="G788" s="145"/>
      <c r="H788" s="146"/>
      <c r="I788" s="145">
        <f>Дефляторы!$D$25</f>
        <v>1.052</v>
      </c>
      <c r="J788" s="146"/>
      <c r="K788" s="146"/>
      <c r="L788" s="382"/>
      <c r="M788" s="382"/>
      <c r="N788" s="382"/>
    </row>
    <row r="789" spans="1:14" s="383" customFormat="1" ht="31.5" hidden="1" outlineLevel="2" x14ac:dyDescent="0.25">
      <c r="A789" s="363" t="s">
        <v>446</v>
      </c>
      <c r="B789" s="381" t="s">
        <v>1200</v>
      </c>
      <c r="C789" s="381" t="s">
        <v>356</v>
      </c>
      <c r="D789" s="100" t="s">
        <v>300</v>
      </c>
      <c r="E789" s="100">
        <f>225.74</f>
        <v>225.74</v>
      </c>
      <c r="F789" s="220">
        <f>(45014)*(1.023*1.005-2.3%*15%)*6.99+0*4.09+14</f>
        <v>322423</v>
      </c>
      <c r="G789" s="145">
        <f t="shared" ref="G789:G795" si="1398">$G$831</f>
        <v>1.1279999999999999</v>
      </c>
      <c r="H789" s="146">
        <f t="shared" ref="H789" si="1399">F789*G789</f>
        <v>363693</v>
      </c>
      <c r="I789" s="145">
        <f>Дефляторы!$D$25</f>
        <v>1.052</v>
      </c>
      <c r="J789" s="146">
        <f t="shared" ref="J789" si="1400">H789*I789</f>
        <v>382605</v>
      </c>
      <c r="K789" s="146">
        <f t="shared" ref="K789" si="1401">H789+(J789-H789)*(1-30/100)</f>
        <v>376931</v>
      </c>
      <c r="L789" s="382"/>
      <c r="M789" s="382"/>
      <c r="N789" s="382"/>
    </row>
    <row r="790" spans="1:14" s="383" customFormat="1" hidden="1" outlineLevel="2" x14ac:dyDescent="0.25">
      <c r="A790" s="363" t="s">
        <v>447</v>
      </c>
      <c r="B790" s="381" t="s">
        <v>1201</v>
      </c>
      <c r="C790" s="381" t="s">
        <v>373</v>
      </c>
      <c r="D790" s="100" t="s">
        <v>300</v>
      </c>
      <c r="E790" s="100">
        <f>225.74</f>
        <v>225.74</v>
      </c>
      <c r="F790" s="220">
        <f>(19753)*(1.023*1.005-2.3%*15%)*6.99+0*4.09</f>
        <v>141479</v>
      </c>
      <c r="G790" s="145">
        <f t="shared" si="1398"/>
        <v>1.1279999999999999</v>
      </c>
      <c r="H790" s="146">
        <f t="shared" ref="H790" si="1402">F790*G790</f>
        <v>159588</v>
      </c>
      <c r="I790" s="145">
        <f>Дефляторы!$D$25</f>
        <v>1.052</v>
      </c>
      <c r="J790" s="146">
        <f t="shared" ref="J790" si="1403">H790*I790</f>
        <v>167887</v>
      </c>
      <c r="K790" s="146">
        <f t="shared" ref="K790" si="1404">H790+(J790-H790)*(1-30/100)</f>
        <v>165397</v>
      </c>
      <c r="L790" s="382"/>
      <c r="M790" s="382"/>
      <c r="N790" s="382"/>
    </row>
    <row r="791" spans="1:14" s="383" customFormat="1" ht="31.5" hidden="1" outlineLevel="2" x14ac:dyDescent="0.25">
      <c r="A791" s="363" t="s">
        <v>448</v>
      </c>
      <c r="B791" s="381" t="s">
        <v>1202</v>
      </c>
      <c r="C791" s="381" t="s">
        <v>750</v>
      </c>
      <c r="D791" s="100" t="s">
        <v>300</v>
      </c>
      <c r="E791" s="100">
        <f>225.74</f>
        <v>225.74</v>
      </c>
      <c r="F791" s="220">
        <f>(3052)*(1.023*1.005-2.3%*15%)*6.99+0*4.09</f>
        <v>21860</v>
      </c>
      <c r="G791" s="145">
        <f t="shared" si="1398"/>
        <v>1.1279999999999999</v>
      </c>
      <c r="H791" s="146">
        <f t="shared" ref="H791" si="1405">F791*G791</f>
        <v>24658</v>
      </c>
      <c r="I791" s="145">
        <f>Дефляторы!$D$25</f>
        <v>1.052</v>
      </c>
      <c r="J791" s="146">
        <f t="shared" ref="J791" si="1406">H791*I791</f>
        <v>25940</v>
      </c>
      <c r="K791" s="146">
        <f t="shared" ref="K791" si="1407">H791+(J791-H791)*(1-30/100)</f>
        <v>25555</v>
      </c>
      <c r="L791" s="382"/>
      <c r="M791" s="382"/>
      <c r="N791" s="382"/>
    </row>
    <row r="792" spans="1:14" s="383" customFormat="1" hidden="1" outlineLevel="2" x14ac:dyDescent="0.25">
      <c r="A792" s="363" t="s">
        <v>1988</v>
      </c>
      <c r="B792" s="381" t="s">
        <v>1203</v>
      </c>
      <c r="C792" s="381" t="s">
        <v>379</v>
      </c>
      <c r="D792" s="100" t="s">
        <v>292</v>
      </c>
      <c r="E792" s="100">
        <v>1</v>
      </c>
      <c r="F792" s="220">
        <f>(30719)*(1.023*1.005-2.3%*15%)*6.99+0*4.09</f>
        <v>220022</v>
      </c>
      <c r="G792" s="145">
        <f t="shared" si="1398"/>
        <v>1.1279999999999999</v>
      </c>
      <c r="H792" s="146">
        <f t="shared" ref="H792" si="1408">F792*G792</f>
        <v>248185</v>
      </c>
      <c r="I792" s="145">
        <f>Дефляторы!$D$25</f>
        <v>1.052</v>
      </c>
      <c r="J792" s="146">
        <f t="shared" ref="J792" si="1409">H792*I792</f>
        <v>261091</v>
      </c>
      <c r="K792" s="146">
        <f t="shared" ref="K792" si="1410">H792+(J792-H792)*(1-30/100)</f>
        <v>257219</v>
      </c>
      <c r="L792" s="382"/>
      <c r="M792" s="382"/>
      <c r="N792" s="382"/>
    </row>
    <row r="793" spans="1:14" s="383" customFormat="1" outlineLevel="1" collapsed="1" x14ac:dyDescent="0.25">
      <c r="A793" s="132" t="s">
        <v>516</v>
      </c>
      <c r="B793" s="320" t="s">
        <v>150</v>
      </c>
      <c r="C793" s="320" t="s">
        <v>2765</v>
      </c>
      <c r="D793" s="134" t="s">
        <v>292</v>
      </c>
      <c r="E793" s="90">
        <v>1</v>
      </c>
      <c r="F793" s="90">
        <f>SUM(F794:F795)</f>
        <v>637281</v>
      </c>
      <c r="G793" s="135">
        <f t="shared" si="1398"/>
        <v>1.1279999999999999</v>
      </c>
      <c r="H793" s="90">
        <f>SUM(H794:H795)</f>
        <v>718853</v>
      </c>
      <c r="I793" s="135">
        <f>Дефляторы!$D$25</f>
        <v>1.052</v>
      </c>
      <c r="J793" s="90">
        <f>SUM(J794:J795)</f>
        <v>756233</v>
      </c>
      <c r="K793" s="90">
        <f>SUM(K794:K795)</f>
        <v>745019</v>
      </c>
      <c r="L793" s="382"/>
      <c r="M793" s="382"/>
      <c r="N793" s="382"/>
    </row>
    <row r="794" spans="1:14" s="383" customFormat="1" ht="31.5" hidden="1" outlineLevel="2" x14ac:dyDescent="0.25">
      <c r="A794" s="225" t="s">
        <v>2253</v>
      </c>
      <c r="B794" s="381" t="s">
        <v>795</v>
      </c>
      <c r="C794" s="381" t="s">
        <v>1823</v>
      </c>
      <c r="D794" s="100" t="s">
        <v>292</v>
      </c>
      <c r="E794" s="149">
        <v>1</v>
      </c>
      <c r="F794" s="220">
        <f>21939*(1.023*1.005-2.3%*15%)*6.99+6290*4.09</f>
        <v>182862</v>
      </c>
      <c r="G794" s="145">
        <f t="shared" si="1398"/>
        <v>1.1279999999999999</v>
      </c>
      <c r="H794" s="146">
        <f>F794*G794</f>
        <v>206268</v>
      </c>
      <c r="I794" s="145">
        <f>Дефляторы!$D$25</f>
        <v>1.052</v>
      </c>
      <c r="J794" s="146">
        <f>H794*I794</f>
        <v>216994</v>
      </c>
      <c r="K794" s="146">
        <f>H794+(J794-H794)*(1-30/100)</f>
        <v>213776</v>
      </c>
      <c r="L794" s="382"/>
      <c r="M794" s="382"/>
      <c r="N794" s="382"/>
    </row>
    <row r="795" spans="1:14" s="383" customFormat="1" ht="31.5" hidden="1" outlineLevel="2" x14ac:dyDescent="0.25">
      <c r="A795" s="225" t="s">
        <v>2254</v>
      </c>
      <c r="B795" s="381" t="s">
        <v>796</v>
      </c>
      <c r="C795" s="381" t="s">
        <v>1824</v>
      </c>
      <c r="D795" s="100" t="s">
        <v>292</v>
      </c>
      <c r="E795" s="149">
        <v>1</v>
      </c>
      <c r="F795" s="220">
        <f>20137*(1.023*1.005-2.3%*15%)*6.99+75841*4.09</f>
        <v>454419</v>
      </c>
      <c r="G795" s="145">
        <f t="shared" si="1398"/>
        <v>1.1279999999999999</v>
      </c>
      <c r="H795" s="146">
        <f>F795*G795</f>
        <v>512585</v>
      </c>
      <c r="I795" s="145">
        <f>Дефляторы!$D$25</f>
        <v>1.052</v>
      </c>
      <c r="J795" s="146">
        <f>H795*I795</f>
        <v>539239</v>
      </c>
      <c r="K795" s="146">
        <f>H795+(J795-H795)*(1-30/100)</f>
        <v>531243</v>
      </c>
      <c r="L795" s="382"/>
      <c r="M795" s="382"/>
      <c r="N795" s="382"/>
    </row>
    <row r="796" spans="1:14" s="385" customFormat="1" hidden="1" outlineLevel="1" x14ac:dyDescent="0.25">
      <c r="A796" s="364" t="s">
        <v>615</v>
      </c>
      <c r="B796" s="436"/>
      <c r="C796" s="437" t="s">
        <v>2378</v>
      </c>
      <c r="D796" s="438" t="s">
        <v>292</v>
      </c>
      <c r="E796" s="439">
        <v>1</v>
      </c>
      <c r="F796" s="439"/>
      <c r="G796" s="440"/>
      <c r="H796" s="441"/>
      <c r="I796" s="440"/>
      <c r="J796" s="441"/>
      <c r="K796" s="441"/>
    </row>
    <row r="797" spans="1:14" s="380" customFormat="1" ht="31.5" outlineLevel="1" x14ac:dyDescent="0.25">
      <c r="A797" s="132" t="s">
        <v>517</v>
      </c>
      <c r="B797" s="320" t="s">
        <v>65</v>
      </c>
      <c r="C797" s="320" t="s">
        <v>2921</v>
      </c>
      <c r="D797" s="134" t="s">
        <v>292</v>
      </c>
      <c r="E797" s="90">
        <v>1</v>
      </c>
      <c r="F797" s="90">
        <f>'Затраты подрядчика'!O97</f>
        <v>1044688</v>
      </c>
      <c r="G797" s="135">
        <f>$G$831</f>
        <v>1.1279999999999999</v>
      </c>
      <c r="H797" s="136">
        <f t="shared" ref="H797:H801" si="1411">F797*G797</f>
        <v>1178408</v>
      </c>
      <c r="I797" s="135">
        <f>Дефляторы!$D$25</f>
        <v>1.052</v>
      </c>
      <c r="J797" s="136">
        <f t="shared" ref="J797:J804" si="1412">H797*I797</f>
        <v>1239685</v>
      </c>
      <c r="K797" s="136">
        <f t="shared" ref="K797:K804" si="1413">H797+(J797-H797)*(1-30/100)</f>
        <v>1221302</v>
      </c>
      <c r="L797" s="379"/>
      <c r="M797" s="379"/>
      <c r="N797" s="379"/>
    </row>
    <row r="798" spans="1:14" s="380" customFormat="1" outlineLevel="1" x14ac:dyDescent="0.25">
      <c r="A798" s="132" t="s">
        <v>518</v>
      </c>
      <c r="B798" s="320" t="s">
        <v>67</v>
      </c>
      <c r="C798" s="320" t="s">
        <v>68</v>
      </c>
      <c r="D798" s="134" t="s">
        <v>292</v>
      </c>
      <c r="E798" s="90">
        <v>1</v>
      </c>
      <c r="F798" s="90">
        <f>'Затраты подрядчика'!O98</f>
        <v>625992</v>
      </c>
      <c r="G798" s="135">
        <f>$G$831</f>
        <v>1.1279999999999999</v>
      </c>
      <c r="H798" s="136">
        <f>F798*G798</f>
        <v>706119</v>
      </c>
      <c r="I798" s="135">
        <f>Дефляторы!$D$25</f>
        <v>1.052</v>
      </c>
      <c r="J798" s="136">
        <f>H798*I798</f>
        <v>742837</v>
      </c>
      <c r="K798" s="136">
        <f>H798+(J798-H798)*(1-30/100)</f>
        <v>731822</v>
      </c>
      <c r="L798" s="379"/>
      <c r="M798" s="379"/>
      <c r="N798" s="379"/>
    </row>
    <row r="799" spans="1:14" s="380" customFormat="1" outlineLevel="1" collapsed="1" x14ac:dyDescent="0.25">
      <c r="A799" s="132" t="s">
        <v>520</v>
      </c>
      <c r="B799" s="320" t="s">
        <v>71</v>
      </c>
      <c r="C799" s="320" t="s">
        <v>2922</v>
      </c>
      <c r="D799" s="134" t="s">
        <v>292</v>
      </c>
      <c r="E799" s="90">
        <v>1</v>
      </c>
      <c r="F799" s="90">
        <f>SUM(F800:F802)</f>
        <v>13109964</v>
      </c>
      <c r="G799" s="135"/>
      <c r="H799" s="90">
        <f>SUM(H800:H802)</f>
        <v>13487941</v>
      </c>
      <c r="I799" s="447"/>
      <c r="J799" s="90">
        <f>SUM(J800:J802)</f>
        <v>13595686</v>
      </c>
      <c r="K799" s="90">
        <f>SUM(K800:K802)</f>
        <v>13563363</v>
      </c>
      <c r="L799" s="379"/>
      <c r="M799" s="379"/>
      <c r="N799" s="379"/>
    </row>
    <row r="800" spans="1:14" s="421" customFormat="1" ht="31.5" hidden="1" outlineLevel="2" x14ac:dyDescent="0.25">
      <c r="A800" s="177" t="s">
        <v>2213</v>
      </c>
      <c r="B800" s="381" t="s">
        <v>1789</v>
      </c>
      <c r="C800" s="381" t="s">
        <v>1788</v>
      </c>
      <c r="D800" s="100" t="s">
        <v>292</v>
      </c>
      <c r="E800" s="149">
        <v>1</v>
      </c>
      <c r="F800" s="220">
        <f>103591*10.79-F819</f>
        <v>1116047</v>
      </c>
      <c r="G800" s="145">
        <f>$G$831</f>
        <v>1.1279999999999999</v>
      </c>
      <c r="H800" s="146">
        <f t="shared" si="1411"/>
        <v>1258901</v>
      </c>
      <c r="I800" s="145">
        <f>Дефляторы!$D$25</f>
        <v>1.052</v>
      </c>
      <c r="J800" s="146">
        <f>H800*I802</f>
        <v>1258901</v>
      </c>
      <c r="K800" s="146">
        <f t="shared" si="1413"/>
        <v>1258901</v>
      </c>
      <c r="L800" s="420"/>
      <c r="M800" s="420"/>
      <c r="N800" s="420"/>
    </row>
    <row r="801" spans="1:14" s="421" customFormat="1" ht="47.25" hidden="1" outlineLevel="2" x14ac:dyDescent="0.25">
      <c r="A801" s="177" t="s">
        <v>2214</v>
      </c>
      <c r="B801" s="381" t="s">
        <v>274</v>
      </c>
      <c r="C801" s="381" t="s">
        <v>1791</v>
      </c>
      <c r="D801" s="100" t="s">
        <v>292</v>
      </c>
      <c r="E801" s="149">
        <v>1</v>
      </c>
      <c r="F801" s="220">
        <f>'Затраты подрядчика'!O110-F820</f>
        <v>1836897</v>
      </c>
      <c r="G801" s="145">
        <f>$G$831</f>
        <v>1.1279999999999999</v>
      </c>
      <c r="H801" s="146">
        <f t="shared" si="1411"/>
        <v>2072020</v>
      </c>
      <c r="I801" s="145">
        <f>Дефляторы!$D$25</f>
        <v>1.052</v>
      </c>
      <c r="J801" s="146">
        <f>H801*I801</f>
        <v>2179765</v>
      </c>
      <c r="K801" s="146">
        <f t="shared" ref="K801" si="1414">H801+(J801-H801)*(1-30/100)</f>
        <v>2147442</v>
      </c>
      <c r="L801" s="420"/>
      <c r="M801" s="420"/>
      <c r="N801" s="420"/>
    </row>
    <row r="802" spans="1:14" s="421" customFormat="1" ht="31.5" hidden="1" outlineLevel="2" x14ac:dyDescent="0.25">
      <c r="A802" s="177" t="s">
        <v>2215</v>
      </c>
      <c r="B802" s="381" t="s">
        <v>1790</v>
      </c>
      <c r="C802" s="381" t="s">
        <v>685</v>
      </c>
      <c r="D802" s="100" t="s">
        <v>292</v>
      </c>
      <c r="E802" s="149">
        <v>1</v>
      </c>
      <c r="F802" s="220">
        <f>((100816+841948)*10.79+66)-F821</f>
        <v>10157020</v>
      </c>
      <c r="G802" s="145">
        <v>1</v>
      </c>
      <c r="H802" s="146">
        <f>F802*G802</f>
        <v>10157020</v>
      </c>
      <c r="I802" s="145">
        <v>1</v>
      </c>
      <c r="J802" s="146">
        <f>H802*I802</f>
        <v>10157020</v>
      </c>
      <c r="K802" s="146">
        <f>H802+(J802-H802)*(1-30/100)</f>
        <v>10157020</v>
      </c>
      <c r="L802" s="420"/>
      <c r="M802" s="420"/>
      <c r="N802" s="420"/>
    </row>
    <row r="803" spans="1:14" s="380" customFormat="1" hidden="1" outlineLevel="1" x14ac:dyDescent="0.25">
      <c r="A803" s="132" t="s">
        <v>521</v>
      </c>
      <c r="B803" s="320" t="s">
        <v>729</v>
      </c>
      <c r="C803" s="448" t="s">
        <v>728</v>
      </c>
      <c r="D803" s="449" t="s">
        <v>292</v>
      </c>
      <c r="E803" s="90">
        <v>1</v>
      </c>
      <c r="F803" s="90">
        <f>'Расчет стоимости шеф-монтажа'!D6</f>
        <v>0</v>
      </c>
      <c r="G803" s="135">
        <v>1</v>
      </c>
      <c r="H803" s="136">
        <f t="shared" ref="H803:H822" si="1415">F803*G803</f>
        <v>0</v>
      </c>
      <c r="I803" s="135">
        <v>1</v>
      </c>
      <c r="J803" s="136">
        <f t="shared" si="1412"/>
        <v>0</v>
      </c>
      <c r="K803" s="136">
        <f t="shared" si="1413"/>
        <v>0</v>
      </c>
      <c r="L803" s="379"/>
      <c r="M803" s="379"/>
      <c r="N803" s="379"/>
    </row>
    <row r="804" spans="1:14" s="380" customFormat="1" outlineLevel="1" x14ac:dyDescent="0.25">
      <c r="A804" s="132" t="s">
        <v>521</v>
      </c>
      <c r="B804" s="320"/>
      <c r="C804" s="320" t="s">
        <v>556</v>
      </c>
      <c r="D804" s="449" t="s">
        <v>292</v>
      </c>
      <c r="E804" s="90">
        <v>1</v>
      </c>
      <c r="F804" s="90">
        <f>'Затраты подрядчика'!P125-'НМЦК (с разбивкой по объектам)'!F14-'НМЦК (с разбивкой по объектам)'!F822-F825</f>
        <v>16191337</v>
      </c>
      <c r="G804" s="135">
        <f>$G$831</f>
        <v>1.1279999999999999</v>
      </c>
      <c r="H804" s="136">
        <f t="shared" si="1415"/>
        <v>18263828</v>
      </c>
      <c r="I804" s="135">
        <f>Дефляторы!$D$25</f>
        <v>1.052</v>
      </c>
      <c r="J804" s="136">
        <f t="shared" si="1412"/>
        <v>19213547</v>
      </c>
      <c r="K804" s="136">
        <f t="shared" si="1413"/>
        <v>18928631</v>
      </c>
      <c r="L804" s="379"/>
      <c r="M804" s="379"/>
      <c r="N804" s="379"/>
    </row>
    <row r="805" spans="1:14" s="426" customFormat="1" ht="54" customHeight="1" x14ac:dyDescent="0.25">
      <c r="A805" s="179" t="s">
        <v>524</v>
      </c>
      <c r="B805" s="422"/>
      <c r="C805" s="423" t="s">
        <v>70</v>
      </c>
      <c r="D805" s="125" t="s">
        <v>292</v>
      </c>
      <c r="E805" s="126">
        <v>1</v>
      </c>
      <c r="F805" s="126">
        <f>F806+F811+F818+F822</f>
        <v>978262</v>
      </c>
      <c r="G805" s="127"/>
      <c r="H805" s="126">
        <f>H806+H811+H818+H822</f>
        <v>1101501</v>
      </c>
      <c r="I805" s="350"/>
      <c r="J805" s="126">
        <f>J806+J811+J818+J822</f>
        <v>1188231</v>
      </c>
      <c r="K805" s="126">
        <f>K806+K811+K818+K822</f>
        <v>1162212</v>
      </c>
      <c r="L805" s="424"/>
      <c r="M805" s="183"/>
      <c r="N805" s="425"/>
    </row>
    <row r="806" spans="1:14" s="446" customFormat="1" collapsed="1" x14ac:dyDescent="0.25">
      <c r="A806" s="141" t="s">
        <v>525</v>
      </c>
      <c r="B806" s="450" t="s">
        <v>69</v>
      </c>
      <c r="C806" s="142" t="s">
        <v>646</v>
      </c>
      <c r="D806" s="134" t="s">
        <v>292</v>
      </c>
      <c r="E806" s="90">
        <v>1</v>
      </c>
      <c r="F806" s="90">
        <f>SUM(F807:F810)</f>
        <v>247199</v>
      </c>
      <c r="G806" s="135">
        <f t="shared" ref="G806:G817" si="1416">$G$831</f>
        <v>1.1279999999999999</v>
      </c>
      <c r="H806" s="90">
        <f>SUM(H807:H810)</f>
        <v>278841</v>
      </c>
      <c r="I806" s="135">
        <f>Дефляторы!$D$27</f>
        <v>1.08</v>
      </c>
      <c r="J806" s="90">
        <f>SUM(J807:J810)</f>
        <v>301148</v>
      </c>
      <c r="K806" s="90">
        <f>SUM(K807:K810)</f>
        <v>294456</v>
      </c>
      <c r="L806" s="445"/>
      <c r="M806" s="445"/>
      <c r="N806" s="445"/>
    </row>
    <row r="807" spans="1:14" s="383" customFormat="1" hidden="1" outlineLevel="1" x14ac:dyDescent="0.25">
      <c r="A807" s="95" t="s">
        <v>526</v>
      </c>
      <c r="B807" s="381" t="s">
        <v>248</v>
      </c>
      <c r="C807" s="381" t="s">
        <v>1794</v>
      </c>
      <c r="D807" s="100" t="s">
        <v>292</v>
      </c>
      <c r="E807" s="149">
        <v>1</v>
      </c>
      <c r="F807" s="220">
        <f>'Затраты подрядчика'!O100</f>
        <v>36956</v>
      </c>
      <c r="G807" s="145">
        <f t="shared" si="1416"/>
        <v>1.1279999999999999</v>
      </c>
      <c r="H807" s="146">
        <f t="shared" si="1415"/>
        <v>41686</v>
      </c>
      <c r="I807" s="145">
        <f>Дефляторы!$D$27</f>
        <v>1.08</v>
      </c>
      <c r="J807" s="146">
        <f t="shared" ref="J807:J809" si="1417">H807*I807</f>
        <v>45021</v>
      </c>
      <c r="K807" s="146">
        <f t="shared" ref="K807:K809" si="1418">H807+(J807-H807)*(1-30/100)</f>
        <v>44021</v>
      </c>
      <c r="L807" s="382"/>
      <c r="M807" s="382"/>
      <c r="N807" s="382"/>
    </row>
    <row r="808" spans="1:14" s="383" customFormat="1" hidden="1" outlineLevel="1" x14ac:dyDescent="0.25">
      <c r="A808" s="95" t="s">
        <v>527</v>
      </c>
      <c r="B808" s="381" t="s">
        <v>250</v>
      </c>
      <c r="C808" s="381" t="s">
        <v>1793</v>
      </c>
      <c r="D808" s="100" t="s">
        <v>292</v>
      </c>
      <c r="E808" s="149">
        <v>1</v>
      </c>
      <c r="F808" s="220">
        <f>'Затраты подрядчика'!O101</f>
        <v>109262</v>
      </c>
      <c r="G808" s="145">
        <f t="shared" si="1416"/>
        <v>1.1279999999999999</v>
      </c>
      <c r="H808" s="146">
        <f t="shared" si="1415"/>
        <v>123248</v>
      </c>
      <c r="I808" s="145">
        <f>Дефляторы!$D$27</f>
        <v>1.08</v>
      </c>
      <c r="J808" s="146">
        <f t="shared" si="1417"/>
        <v>133108</v>
      </c>
      <c r="K808" s="146">
        <f t="shared" si="1418"/>
        <v>130150</v>
      </c>
      <c r="L808" s="382"/>
      <c r="M808" s="382"/>
      <c r="N808" s="382"/>
    </row>
    <row r="809" spans="1:14" s="383" customFormat="1" hidden="1" outlineLevel="1" x14ac:dyDescent="0.25">
      <c r="A809" s="95" t="s">
        <v>528</v>
      </c>
      <c r="B809" s="381" t="s">
        <v>252</v>
      </c>
      <c r="C809" s="381" t="s">
        <v>1795</v>
      </c>
      <c r="D809" s="427" t="s">
        <v>292</v>
      </c>
      <c r="E809" s="149">
        <v>1</v>
      </c>
      <c r="F809" s="220">
        <f>'Затраты подрядчика'!O102</f>
        <v>47833</v>
      </c>
      <c r="G809" s="145">
        <f t="shared" si="1416"/>
        <v>1.1279999999999999</v>
      </c>
      <c r="H809" s="146">
        <f t="shared" si="1415"/>
        <v>53956</v>
      </c>
      <c r="I809" s="145">
        <f>Дефляторы!$D$27</f>
        <v>1.08</v>
      </c>
      <c r="J809" s="146">
        <f t="shared" si="1417"/>
        <v>58272</v>
      </c>
      <c r="K809" s="146">
        <f t="shared" si="1418"/>
        <v>56977</v>
      </c>
      <c r="L809" s="382"/>
      <c r="M809" s="382"/>
      <c r="N809" s="382"/>
    </row>
    <row r="810" spans="1:14" s="383" customFormat="1" hidden="1" outlineLevel="1" x14ac:dyDescent="0.25">
      <c r="A810" s="95" t="s">
        <v>529</v>
      </c>
      <c r="B810" s="381" t="s">
        <v>254</v>
      </c>
      <c r="C810" s="381" t="s">
        <v>1796</v>
      </c>
      <c r="D810" s="427" t="s">
        <v>292</v>
      </c>
      <c r="E810" s="149">
        <v>1</v>
      </c>
      <c r="F810" s="220">
        <f>'Затраты подрядчика'!O103</f>
        <v>53148</v>
      </c>
      <c r="G810" s="145">
        <f t="shared" si="1416"/>
        <v>1.1279999999999999</v>
      </c>
      <c r="H810" s="146">
        <f t="shared" ref="H810" si="1419">F810*G810</f>
        <v>59951</v>
      </c>
      <c r="I810" s="145">
        <f>Дефляторы!$D$27</f>
        <v>1.08</v>
      </c>
      <c r="J810" s="146">
        <f t="shared" ref="J810" si="1420">H810*I810</f>
        <v>64747</v>
      </c>
      <c r="K810" s="146">
        <f t="shared" ref="K810" si="1421">H810+(J810-H810)*(1-30/100)</f>
        <v>63308</v>
      </c>
      <c r="L810" s="382"/>
      <c r="M810" s="382"/>
      <c r="N810" s="382"/>
    </row>
    <row r="811" spans="1:14" s="380" customFormat="1" collapsed="1" x14ac:dyDescent="0.25">
      <c r="A811" s="132" t="s">
        <v>532</v>
      </c>
      <c r="B811" s="320" t="s">
        <v>69</v>
      </c>
      <c r="C811" s="320" t="s">
        <v>2216</v>
      </c>
      <c r="D811" s="134" t="s">
        <v>292</v>
      </c>
      <c r="E811" s="90">
        <v>1</v>
      </c>
      <c r="F811" s="90">
        <f>F812+F815+F816+F817</f>
        <v>691913</v>
      </c>
      <c r="G811" s="135">
        <f t="shared" si="1416"/>
        <v>1.1279999999999999</v>
      </c>
      <c r="H811" s="90">
        <f>H812+H815+H816+H817</f>
        <v>780479</v>
      </c>
      <c r="I811" s="135">
        <f>Дефляторы!$D$27</f>
        <v>1.08</v>
      </c>
      <c r="J811" s="90">
        <f>J812+J815+J816+J817</f>
        <v>842919</v>
      </c>
      <c r="K811" s="90">
        <f>K812+K815+K816+K817</f>
        <v>824187</v>
      </c>
      <c r="L811" s="379"/>
      <c r="M811" s="379"/>
      <c r="N811" s="379"/>
    </row>
    <row r="812" spans="1:14" s="383" customFormat="1" hidden="1" outlineLevel="1" x14ac:dyDescent="0.25">
      <c r="A812" s="95" t="s">
        <v>690</v>
      </c>
      <c r="B812" s="381" t="s">
        <v>256</v>
      </c>
      <c r="C812" s="381" t="s">
        <v>1800</v>
      </c>
      <c r="D812" s="427" t="s">
        <v>292</v>
      </c>
      <c r="E812" s="149">
        <v>1</v>
      </c>
      <c r="F812" s="149">
        <f>F813+F814</f>
        <v>120634</v>
      </c>
      <c r="G812" s="145">
        <f t="shared" si="1416"/>
        <v>1.1279999999999999</v>
      </c>
      <c r="H812" s="146">
        <f>H813+H814</f>
        <v>136076</v>
      </c>
      <c r="I812" s="145">
        <f>Дефляторы!$D$27</f>
        <v>1.08</v>
      </c>
      <c r="J812" s="146">
        <f>J813+J814</f>
        <v>146963</v>
      </c>
      <c r="K812" s="146">
        <f>K813+K814</f>
        <v>143697</v>
      </c>
      <c r="L812" s="382"/>
      <c r="M812" s="382"/>
      <c r="N812" s="382"/>
    </row>
    <row r="813" spans="1:14" s="399" customFormat="1" hidden="1" outlineLevel="1" x14ac:dyDescent="0.25">
      <c r="A813" s="93" t="s">
        <v>691</v>
      </c>
      <c r="B813" s="408" t="s">
        <v>1770</v>
      </c>
      <c r="C813" s="408" t="s">
        <v>530</v>
      </c>
      <c r="D813" s="428" t="s">
        <v>292</v>
      </c>
      <c r="E813" s="151">
        <v>1</v>
      </c>
      <c r="F813" s="151">
        <f>5705*0.8*12.36</f>
        <v>56411</v>
      </c>
      <c r="G813" s="152">
        <f t="shared" si="1416"/>
        <v>1.1279999999999999</v>
      </c>
      <c r="H813" s="153">
        <f t="shared" si="1415"/>
        <v>63632</v>
      </c>
      <c r="I813" s="145">
        <f>Дефляторы!$D$27</f>
        <v>1.08</v>
      </c>
      <c r="J813" s="153">
        <f t="shared" ref="J813:J825" si="1422">H813*I813</f>
        <v>68723</v>
      </c>
      <c r="K813" s="153">
        <f t="shared" ref="K813:K825" si="1423">H813+(J813-H813)*(1-30/100)</f>
        <v>67196</v>
      </c>
      <c r="L813" s="398"/>
      <c r="M813" s="398"/>
      <c r="N813" s="398"/>
    </row>
    <row r="814" spans="1:14" s="399" customFormat="1" hidden="1" outlineLevel="1" x14ac:dyDescent="0.25">
      <c r="A814" s="93" t="s">
        <v>692</v>
      </c>
      <c r="B814" s="408" t="s">
        <v>1771</v>
      </c>
      <c r="C814" s="408" t="s">
        <v>531</v>
      </c>
      <c r="D814" s="428" t="s">
        <v>292</v>
      </c>
      <c r="E814" s="151">
        <v>1</v>
      </c>
      <c r="F814" s="151">
        <f>6499*0.8*12.36-39</f>
        <v>64223</v>
      </c>
      <c r="G814" s="152">
        <f t="shared" si="1416"/>
        <v>1.1279999999999999</v>
      </c>
      <c r="H814" s="153">
        <f t="shared" si="1415"/>
        <v>72444</v>
      </c>
      <c r="I814" s="145">
        <f>Дефляторы!$D$27</f>
        <v>1.08</v>
      </c>
      <c r="J814" s="153">
        <f t="shared" si="1422"/>
        <v>78240</v>
      </c>
      <c r="K814" s="153">
        <f t="shared" si="1423"/>
        <v>76501</v>
      </c>
      <c r="L814" s="398"/>
      <c r="M814" s="398"/>
      <c r="N814" s="398"/>
    </row>
    <row r="815" spans="1:14" s="383" customFormat="1" ht="31.5" hidden="1" outlineLevel="1" x14ac:dyDescent="0.25">
      <c r="A815" s="95" t="s">
        <v>693</v>
      </c>
      <c r="B815" s="381" t="s">
        <v>258</v>
      </c>
      <c r="C815" s="381" t="s">
        <v>1798</v>
      </c>
      <c r="D815" s="427" t="s">
        <v>292</v>
      </c>
      <c r="E815" s="149">
        <v>1</v>
      </c>
      <c r="F815" s="149">
        <f>'Затраты подрядчика'!O105</f>
        <v>489580</v>
      </c>
      <c r="G815" s="145">
        <f t="shared" si="1416"/>
        <v>1.1279999999999999</v>
      </c>
      <c r="H815" s="146">
        <f t="shared" si="1415"/>
        <v>552246</v>
      </c>
      <c r="I815" s="145">
        <f>Дефляторы!$D$27</f>
        <v>1.08</v>
      </c>
      <c r="J815" s="146">
        <f t="shared" si="1422"/>
        <v>596426</v>
      </c>
      <c r="K815" s="146">
        <f t="shared" si="1423"/>
        <v>583172</v>
      </c>
      <c r="L815" s="382"/>
      <c r="M815" s="382"/>
      <c r="N815" s="382"/>
    </row>
    <row r="816" spans="1:14" s="383" customFormat="1" ht="31.5" hidden="1" outlineLevel="1" x14ac:dyDescent="0.25">
      <c r="A816" s="95" t="s">
        <v>694</v>
      </c>
      <c r="B816" s="381" t="s">
        <v>260</v>
      </c>
      <c r="C816" s="381" t="s">
        <v>1799</v>
      </c>
      <c r="D816" s="427" t="s">
        <v>292</v>
      </c>
      <c r="E816" s="149">
        <v>1</v>
      </c>
      <c r="F816" s="149">
        <f>'Затраты подрядчика'!O106</f>
        <v>34484</v>
      </c>
      <c r="G816" s="145">
        <f t="shared" si="1416"/>
        <v>1.1279999999999999</v>
      </c>
      <c r="H816" s="146">
        <f t="shared" si="1415"/>
        <v>38898</v>
      </c>
      <c r="I816" s="145">
        <f>Дефляторы!$D$27</f>
        <v>1.08</v>
      </c>
      <c r="J816" s="146">
        <f t="shared" si="1422"/>
        <v>42010</v>
      </c>
      <c r="K816" s="146">
        <f t="shared" si="1423"/>
        <v>41076</v>
      </c>
      <c r="L816" s="382"/>
      <c r="M816" s="382"/>
      <c r="N816" s="382"/>
    </row>
    <row r="817" spans="1:14" s="383" customFormat="1" ht="31.5" hidden="1" outlineLevel="1" x14ac:dyDescent="0.25">
      <c r="A817" s="95"/>
      <c r="B817" s="381" t="s">
        <v>262</v>
      </c>
      <c r="C817" s="381" t="s">
        <v>177</v>
      </c>
      <c r="D817" s="427" t="s">
        <v>292</v>
      </c>
      <c r="E817" s="149">
        <v>1</v>
      </c>
      <c r="F817" s="149">
        <f>'Затраты подрядчика'!O107</f>
        <v>47215</v>
      </c>
      <c r="G817" s="145">
        <f t="shared" si="1416"/>
        <v>1.1279999999999999</v>
      </c>
      <c r="H817" s="146">
        <f t="shared" ref="H817" si="1424">F817*G817</f>
        <v>53259</v>
      </c>
      <c r="I817" s="145">
        <f>Дефляторы!$D$27</f>
        <v>1.08</v>
      </c>
      <c r="J817" s="146">
        <f t="shared" ref="J817" si="1425">H817*I817</f>
        <v>57520</v>
      </c>
      <c r="K817" s="146">
        <f t="shared" ref="K817" si="1426">H817+(J817-H817)*(1-30/100)</f>
        <v>56242</v>
      </c>
      <c r="L817" s="382"/>
      <c r="M817" s="382"/>
      <c r="N817" s="382"/>
    </row>
    <row r="818" spans="1:14" s="380" customFormat="1" collapsed="1" x14ac:dyDescent="0.25">
      <c r="A818" s="132" t="s">
        <v>533</v>
      </c>
      <c r="B818" s="320" t="s">
        <v>71</v>
      </c>
      <c r="C818" s="320" t="s">
        <v>2922</v>
      </c>
      <c r="D818" s="134" t="s">
        <v>292</v>
      </c>
      <c r="E818" s="90">
        <v>1</v>
      </c>
      <c r="F818" s="90">
        <f>SUM(F819:F821)</f>
        <v>19968</v>
      </c>
      <c r="G818" s="135"/>
      <c r="H818" s="90">
        <f>SUM(H819:H821)</f>
        <v>20544</v>
      </c>
      <c r="I818" s="135"/>
      <c r="J818" s="90">
        <f>SUM(J819:J821)</f>
        <v>20796</v>
      </c>
      <c r="K818" s="90">
        <f>SUM(K819:K821)</f>
        <v>20720</v>
      </c>
      <c r="L818" s="379"/>
      <c r="M818" s="379"/>
      <c r="N818" s="379"/>
    </row>
    <row r="819" spans="1:14" s="421" customFormat="1" ht="31.5" hidden="1" outlineLevel="1" x14ac:dyDescent="0.25">
      <c r="A819" s="177" t="s">
        <v>695</v>
      </c>
      <c r="B819" s="381" t="s">
        <v>1789</v>
      </c>
      <c r="C819" s="381" t="s">
        <v>1788</v>
      </c>
      <c r="D819" s="100" t="s">
        <v>292</v>
      </c>
      <c r="E819" s="149">
        <v>1</v>
      </c>
      <c r="F819" s="220">
        <f>103591*10.79*'Затраты подрядчика'!T99</f>
        <v>1700</v>
      </c>
      <c r="G819" s="145">
        <f>$G$831</f>
        <v>1.1279999999999999</v>
      </c>
      <c r="H819" s="146">
        <f t="shared" ref="H819:H820" si="1427">F819*G819</f>
        <v>1918</v>
      </c>
      <c r="I819" s="145">
        <f>Дефляторы!$D$27</f>
        <v>1.08</v>
      </c>
      <c r="J819" s="146">
        <f>H819*I821</f>
        <v>1918</v>
      </c>
      <c r="K819" s="146">
        <f t="shared" ref="K819:K820" si="1428">H819+(J819-H819)*(1-30/100)</f>
        <v>1918</v>
      </c>
      <c r="L819" s="420"/>
      <c r="M819" s="420"/>
      <c r="N819" s="420"/>
    </row>
    <row r="820" spans="1:14" s="421" customFormat="1" ht="47.25" hidden="1" outlineLevel="1" x14ac:dyDescent="0.25">
      <c r="A820" s="177" t="s">
        <v>696</v>
      </c>
      <c r="B820" s="381" t="s">
        <v>274</v>
      </c>
      <c r="C820" s="381" t="s">
        <v>1791</v>
      </c>
      <c r="D820" s="100" t="s">
        <v>292</v>
      </c>
      <c r="E820" s="149">
        <v>1</v>
      </c>
      <c r="F820" s="220">
        <f>'Затраты подрядчика'!O110*'Затраты подрядчика'!T99</f>
        <v>2798</v>
      </c>
      <c r="G820" s="145">
        <f>$G$831</f>
        <v>1.1279999999999999</v>
      </c>
      <c r="H820" s="146">
        <f t="shared" si="1427"/>
        <v>3156</v>
      </c>
      <c r="I820" s="145">
        <f>Дефляторы!$D$27</f>
        <v>1.08</v>
      </c>
      <c r="J820" s="146">
        <f>H820*I820</f>
        <v>3408</v>
      </c>
      <c r="K820" s="146">
        <f t="shared" si="1428"/>
        <v>3332</v>
      </c>
      <c r="L820" s="420"/>
      <c r="M820" s="420"/>
      <c r="N820" s="420"/>
    </row>
    <row r="821" spans="1:14" s="421" customFormat="1" ht="31.5" hidden="1" outlineLevel="1" x14ac:dyDescent="0.25">
      <c r="A821" s="177" t="s">
        <v>2217</v>
      </c>
      <c r="B821" s="381" t="s">
        <v>1790</v>
      </c>
      <c r="C821" s="381" t="s">
        <v>685</v>
      </c>
      <c r="D821" s="100" t="s">
        <v>292</v>
      </c>
      <c r="E821" s="149">
        <v>1</v>
      </c>
      <c r="F821" s="220">
        <f>((100816+841948)*10.79+64)*'Затраты подрядчика'!T99</f>
        <v>15470</v>
      </c>
      <c r="G821" s="145">
        <v>1</v>
      </c>
      <c r="H821" s="146">
        <f>F821*G821</f>
        <v>15470</v>
      </c>
      <c r="I821" s="145">
        <v>1</v>
      </c>
      <c r="J821" s="146">
        <f>H821*I821</f>
        <v>15470</v>
      </c>
      <c r="K821" s="146">
        <f>H821+(J821-H821)*(1-30/100)</f>
        <v>15470</v>
      </c>
      <c r="L821" s="420"/>
      <c r="M821" s="420"/>
      <c r="N821" s="420"/>
    </row>
    <row r="822" spans="1:14" s="380" customFormat="1" x14ac:dyDescent="0.25">
      <c r="A822" s="132" t="s">
        <v>697</v>
      </c>
      <c r="B822" s="320"/>
      <c r="C822" s="320" t="s">
        <v>556</v>
      </c>
      <c r="D822" s="449" t="s">
        <v>292</v>
      </c>
      <c r="E822" s="90">
        <v>1</v>
      </c>
      <c r="F822" s="90">
        <f>(F806+F811+F818)*2%</f>
        <v>19182</v>
      </c>
      <c r="G822" s="135">
        <f>$G$831</f>
        <v>1.1279999999999999</v>
      </c>
      <c r="H822" s="136">
        <f t="shared" si="1415"/>
        <v>21637</v>
      </c>
      <c r="I822" s="135">
        <f>Дефляторы!$D$27</f>
        <v>1.08</v>
      </c>
      <c r="J822" s="136">
        <f t="shared" si="1422"/>
        <v>23368</v>
      </c>
      <c r="K822" s="136">
        <f t="shared" si="1423"/>
        <v>22849</v>
      </c>
      <c r="L822" s="379"/>
      <c r="M822" s="379"/>
      <c r="N822" s="379"/>
    </row>
    <row r="823" spans="1:14" s="378" customFormat="1" hidden="1" x14ac:dyDescent="0.25">
      <c r="A823" s="179" t="s">
        <v>2929</v>
      </c>
      <c r="B823" s="422"/>
      <c r="C823" s="422" t="s">
        <v>2930</v>
      </c>
      <c r="D823" s="460" t="s">
        <v>292</v>
      </c>
      <c r="E823" s="126">
        <v>1</v>
      </c>
      <c r="F823" s="126">
        <f>F824+F825</f>
        <v>0</v>
      </c>
      <c r="G823" s="135">
        <f>$G$831</f>
        <v>1.1279999999999999</v>
      </c>
      <c r="H823" s="126">
        <f>H824+H825</f>
        <v>0</v>
      </c>
      <c r="I823" s="135">
        <f>Дефляторы!$D$33</f>
        <v>1.054</v>
      </c>
      <c r="J823" s="126">
        <f>J824+J825</f>
        <v>0</v>
      </c>
      <c r="K823" s="126">
        <f>K824+K825</f>
        <v>0</v>
      </c>
      <c r="L823" s="464"/>
      <c r="M823" s="464"/>
      <c r="N823" s="464"/>
    </row>
    <row r="824" spans="1:14" s="380" customFormat="1" hidden="1" outlineLevel="1" x14ac:dyDescent="0.25">
      <c r="A824" s="132" t="s">
        <v>2932</v>
      </c>
      <c r="B824" s="320"/>
      <c r="C824" s="320" t="s">
        <v>2930</v>
      </c>
      <c r="D824" s="449" t="s">
        <v>292</v>
      </c>
      <c r="E824" s="90">
        <v>1</v>
      </c>
      <c r="F824" s="90">
        <f>'Затраты подрядчика'!O121</f>
        <v>0</v>
      </c>
      <c r="G824" s="135">
        <f>$G$831</f>
        <v>1.1279999999999999</v>
      </c>
      <c r="H824" s="136">
        <f>F824*G824</f>
        <v>0</v>
      </c>
      <c r="I824" s="135">
        <f>Дефляторы!$D$33</f>
        <v>1.054</v>
      </c>
      <c r="J824" s="136">
        <f t="shared" si="1422"/>
        <v>0</v>
      </c>
      <c r="K824" s="136">
        <f t="shared" si="1423"/>
        <v>0</v>
      </c>
      <c r="L824" s="463"/>
      <c r="M824" s="463"/>
      <c r="N824" s="463"/>
    </row>
    <row r="825" spans="1:14" s="380" customFormat="1" hidden="1" outlineLevel="1" x14ac:dyDescent="0.25">
      <c r="A825" s="132" t="s">
        <v>2933</v>
      </c>
      <c r="B825" s="320"/>
      <c r="C825" s="320" t="s">
        <v>556</v>
      </c>
      <c r="D825" s="449" t="s">
        <v>292</v>
      </c>
      <c r="E825" s="90">
        <v>1</v>
      </c>
      <c r="F825" s="90">
        <f>F824*2%</f>
        <v>0</v>
      </c>
      <c r="G825" s="135">
        <f>$G$831</f>
        <v>1.1279999999999999</v>
      </c>
      <c r="H825" s="136">
        <f>F825*G825</f>
        <v>0</v>
      </c>
      <c r="I825" s="135">
        <f>Дефляторы!$D$33</f>
        <v>1.054</v>
      </c>
      <c r="J825" s="136">
        <f t="shared" si="1422"/>
        <v>0</v>
      </c>
      <c r="K825" s="136">
        <f t="shared" si="1423"/>
        <v>0</v>
      </c>
      <c r="L825" s="463"/>
      <c r="M825" s="463"/>
      <c r="N825" s="463"/>
    </row>
    <row r="826" spans="1:14" x14ac:dyDescent="0.25">
      <c r="A826" s="187"/>
      <c r="B826" s="324"/>
      <c r="C826" s="189" t="s">
        <v>698</v>
      </c>
      <c r="D826" s="324"/>
      <c r="E826" s="326"/>
      <c r="F826" s="191">
        <f>F12+F15+F805+F823</f>
        <v>847362407</v>
      </c>
      <c r="G826" s="192"/>
      <c r="H826" s="191">
        <f>H12+H15+H805+H823</f>
        <v>954522720</v>
      </c>
      <c r="I826" s="192"/>
      <c r="J826" s="191">
        <f>J12+J15+J805+J823</f>
        <v>1002671857</v>
      </c>
      <c r="K826" s="191">
        <f>K12+K15+K805+K823</f>
        <v>988227146</v>
      </c>
    </row>
    <row r="827" spans="1:14" x14ac:dyDescent="0.25">
      <c r="A827" s="193"/>
      <c r="B827" s="324"/>
      <c r="C827" s="189" t="s">
        <v>699</v>
      </c>
      <c r="D827" s="324"/>
      <c r="E827" s="326"/>
      <c r="F827" s="194">
        <f>F826*0.2</f>
        <v>169472481.40000001</v>
      </c>
      <c r="G827" s="192"/>
      <c r="H827" s="194">
        <f>H826*0.2</f>
        <v>190904544</v>
      </c>
      <c r="I827" s="192"/>
      <c r="J827" s="194">
        <f>J826*0.2</f>
        <v>200534371.40000001</v>
      </c>
      <c r="K827" s="194">
        <f>K826*0.2</f>
        <v>197645429.19999999</v>
      </c>
    </row>
    <row r="828" spans="1:14" x14ac:dyDescent="0.25">
      <c r="A828" s="193"/>
      <c r="B828" s="324"/>
      <c r="C828" s="189" t="s">
        <v>700</v>
      </c>
      <c r="D828" s="324"/>
      <c r="E828" s="326"/>
      <c r="F828" s="194">
        <f>F826+F827</f>
        <v>1016834888.4</v>
      </c>
      <c r="G828" s="192"/>
      <c r="H828" s="194">
        <f>H826+H827</f>
        <v>1145427264</v>
      </c>
      <c r="I828" s="192"/>
      <c r="J828" s="194">
        <f>J826+J827</f>
        <v>1203206228.4000001</v>
      </c>
      <c r="K828" s="194">
        <f>K826+K827</f>
        <v>1185872575.2</v>
      </c>
    </row>
    <row r="829" spans="1:14" x14ac:dyDescent="0.25">
      <c r="A829" s="429"/>
      <c r="B829" s="198"/>
      <c r="C829" s="430"/>
      <c r="D829" s="431"/>
      <c r="E829" s="432"/>
      <c r="F829" s="432"/>
    </row>
    <row r="830" spans="1:14" x14ac:dyDescent="0.25">
      <c r="A830" s="429"/>
      <c r="B830" s="198"/>
      <c r="C830" s="430"/>
      <c r="D830" s="431"/>
      <c r="E830" s="432"/>
      <c r="F830" s="432"/>
    </row>
    <row r="831" spans="1:14" ht="76.150000000000006" customHeight="1" x14ac:dyDescent="0.25">
      <c r="A831" s="613" t="s">
        <v>2965</v>
      </c>
      <c r="B831" s="613"/>
      <c r="C831" s="613"/>
      <c r="D831" s="197"/>
      <c r="G831" s="199">
        <f>(1.0312*1.0258*1.0358*1.0253*1.0141*0.9939*0.9958*1)</f>
        <v>1.1279999999999999</v>
      </c>
      <c r="I831" s="199"/>
    </row>
    <row r="832" spans="1:14" x14ac:dyDescent="0.25">
      <c r="A832" s="198"/>
      <c r="B832" s="198"/>
      <c r="C832" s="198"/>
      <c r="D832" s="198"/>
      <c r="G832" s="117"/>
      <c r="I832" s="117"/>
    </row>
    <row r="833" spans="1:17" x14ac:dyDescent="0.25">
      <c r="A833" s="118" t="s">
        <v>703</v>
      </c>
      <c r="B833" s="118"/>
      <c r="C833" s="118"/>
      <c r="D833" s="118"/>
      <c r="E833" s="118"/>
      <c r="F833" s="118"/>
      <c r="G833" s="117"/>
      <c r="I833" s="117"/>
    </row>
    <row r="834" spans="1:17" ht="39" customHeight="1" x14ac:dyDescent="0.25">
      <c r="A834" s="614" t="s">
        <v>2964</v>
      </c>
      <c r="B834" s="614"/>
      <c r="C834" s="614"/>
      <c r="D834" s="614"/>
      <c r="E834" s="614"/>
      <c r="F834" s="614"/>
      <c r="G834" s="117"/>
      <c r="I834" s="117"/>
    </row>
    <row r="835" spans="1:17" ht="30.6" customHeight="1" x14ac:dyDescent="0.25">
      <c r="A835" s="614" t="s">
        <v>705</v>
      </c>
      <c r="B835" s="614"/>
      <c r="C835" s="614"/>
      <c r="D835" s="614"/>
      <c r="E835" s="614"/>
      <c r="F835" s="614"/>
      <c r="G835" s="117"/>
      <c r="I835" s="117"/>
    </row>
    <row r="836" spans="1:17" x14ac:dyDescent="0.25">
      <c r="A836" s="429"/>
      <c r="B836" s="198"/>
      <c r="C836" s="430"/>
      <c r="D836" s="431"/>
      <c r="E836" s="432"/>
      <c r="F836" s="432"/>
    </row>
    <row r="837" spans="1:17" s="198" customFormat="1" x14ac:dyDescent="0.25">
      <c r="A837" s="429"/>
      <c r="B837" s="117" t="s">
        <v>534</v>
      </c>
      <c r="C837" s="430"/>
      <c r="D837" s="431"/>
      <c r="E837" s="432"/>
      <c r="F837" s="432"/>
      <c r="H837" s="117"/>
      <c r="J837" s="117"/>
      <c r="K837" s="117"/>
      <c r="L837" s="117"/>
      <c r="M837" s="117"/>
      <c r="N837" s="117"/>
      <c r="O837" s="117"/>
      <c r="P837" s="117"/>
      <c r="Q837" s="117"/>
    </row>
    <row r="838" spans="1:17" s="198" customFormat="1" x14ac:dyDescent="0.25">
      <c r="A838" s="429"/>
      <c r="B838" s="117"/>
      <c r="C838" s="430"/>
      <c r="D838" s="431"/>
      <c r="E838" s="432"/>
      <c r="F838" s="432"/>
      <c r="H838" s="117"/>
      <c r="J838" s="117"/>
      <c r="K838" s="117"/>
      <c r="L838" s="117"/>
      <c r="M838" s="117"/>
      <c r="N838" s="117"/>
      <c r="O838" s="117"/>
      <c r="P838" s="117"/>
      <c r="Q838" s="117"/>
    </row>
    <row r="839" spans="1:17" s="198" customFormat="1" x14ac:dyDescent="0.25">
      <c r="A839" s="429"/>
      <c r="B839" s="117" t="s">
        <v>535</v>
      </c>
      <c r="C839" s="430"/>
      <c r="D839" s="431"/>
      <c r="E839" s="432"/>
      <c r="F839" s="432"/>
      <c r="H839" s="117"/>
      <c r="J839" s="117"/>
      <c r="K839" s="117"/>
      <c r="L839" s="117"/>
      <c r="M839" s="117"/>
      <c r="N839" s="117"/>
      <c r="O839" s="117"/>
      <c r="P839" s="117"/>
      <c r="Q839" s="117"/>
    </row>
  </sheetData>
  <autoFilter ref="B1:B839"/>
  <mergeCells count="8">
    <mergeCell ref="L510:L511"/>
    <mergeCell ref="A831:C831"/>
    <mergeCell ref="A834:F834"/>
    <mergeCell ref="A835:F835"/>
    <mergeCell ref="A1:H1"/>
    <mergeCell ref="B3:H3"/>
    <mergeCell ref="A7:H7"/>
    <mergeCell ref="A8:H8"/>
  </mergeCells>
  <pageMargins left="0.7" right="0.7" top="0.75" bottom="0.75" header="0.3" footer="0.3"/>
  <pageSetup paperSize="9" orientation="portrait" r:id="rId1"/>
  <ignoredErrors>
    <ignoredError sqref="G12 I12:I14" formula="1"/>
    <ignoredError sqref="A15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ГПР</vt:lpstr>
      <vt:lpstr>ПЗ</vt:lpstr>
      <vt:lpstr>НМЦ</vt:lpstr>
      <vt:lpstr>Протокол НМЦК</vt:lpstr>
      <vt:lpstr>Проект сметы контракта</vt:lpstr>
      <vt:lpstr>ВОР</vt:lpstr>
      <vt:lpstr>Дефляторы</vt:lpstr>
      <vt:lpstr>Расчет стоимости шеф-монтажа</vt:lpstr>
      <vt:lpstr>НМЦК (с разбивкой по объектам)</vt:lpstr>
      <vt:lpstr>Затраты подрядчика</vt:lpstr>
      <vt:lpstr>ССР EL6</vt:lpstr>
      <vt:lpstr>Земляные работы</vt:lpstr>
      <vt:lpstr>НМЦК (структура по ССР)</vt:lpstr>
      <vt:lpstr>ВОР(черновик)</vt:lpstr>
      <vt:lpstr>НМЦК (черновик)</vt:lpstr>
      <vt:lpstr>'Затраты подрядчика'!Заголовки_для_печати</vt:lpstr>
      <vt:lpstr>'ССР EL6'!Заголовки_для_печати</vt:lpstr>
      <vt:lpstr>ВОР!Область_печати</vt:lpstr>
      <vt:lpstr>'ВОР(черновик)'!Область_печати</vt:lpstr>
      <vt:lpstr>ГПР!Область_печати</vt:lpstr>
      <vt:lpstr>'Затраты подрядчика'!Область_печати</vt:lpstr>
      <vt:lpstr>НМЦ!Область_печати</vt:lpstr>
      <vt:lpstr>'НМЦК (с разбивкой по объектам)'!Область_печати</vt:lpstr>
      <vt:lpstr>'НМЦК (структура по ССР)'!Область_печати</vt:lpstr>
      <vt:lpstr>'НМЦК (черновик)'!Область_печати</vt:lpstr>
      <vt:lpstr>ПЗ!Область_печати</vt:lpstr>
      <vt:lpstr>'Проект сметы контракта'!Область_печати</vt:lpstr>
      <vt:lpstr>'Расчет стоимости шеф-монтажа'!Область_печати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Тукиш Марина Александровна</dc:creator>
  <cp:lastModifiedBy>Токарев Игорь Александрович</cp:lastModifiedBy>
  <cp:lastPrinted>2020-09-10T15:17:04Z</cp:lastPrinted>
  <dcterms:created xsi:type="dcterms:W3CDTF">2002-03-25T05:35:56Z</dcterms:created>
  <dcterms:modified xsi:type="dcterms:W3CDTF">2020-09-14T13:13:58Z</dcterms:modified>
</cp:coreProperties>
</file>