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ДИРИ\ДРИ\5. Рабочие папки сотрудников\1. ОФИС МОСКВА\ОФЭО\НМЦ\АРХЫЗ\КСБ\Добавлено ГРО\"/>
    </mc:Choice>
  </mc:AlternateContent>
  <bookViews>
    <workbookView xWindow="432" yWindow="0" windowWidth="15540" windowHeight="17400" activeTab="1"/>
  </bookViews>
  <sheets>
    <sheet name="ПЗ" sheetId="6" r:id="rId1"/>
    <sheet name="НМЦ" sheetId="8" r:id="rId2"/>
    <sheet name="Смета на реализацию" sheetId="5" r:id="rId3"/>
    <sheet name="Затраты Подрядчика" sheetId="3" r:id="rId4"/>
    <sheet name="Сводный сметный расчет" sheetId="2" r:id="rId5"/>
  </sheets>
  <definedNames>
    <definedName name="Print_Titles" localSheetId="3">'Затраты Подрядчика'!$10:$10</definedName>
    <definedName name="Print_Titles" localSheetId="1">НМЦ!$8:$8</definedName>
    <definedName name="Print_Titles" localSheetId="4">'Сводный сметный расчет'!$25:$25</definedName>
    <definedName name="Print_Titles" localSheetId="2">'Смета на реализацию'!$8:$8</definedName>
    <definedName name="_xlnm.Print_Titles" localSheetId="3">'Затраты Подрядчика'!$10:$10</definedName>
    <definedName name="_xlnm.Print_Titles" localSheetId="1">НМЦ!$8:$8</definedName>
    <definedName name="_xlnm.Print_Titles" localSheetId="4">'Сводный сметный расчет'!$25:$25</definedName>
    <definedName name="_xlnm.Print_Titles" localSheetId="2">'Смета на реализацию'!$8:$8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6" l="1"/>
  <c r="E49" i="8"/>
  <c r="F49" i="8" s="1"/>
  <c r="D49" i="8"/>
  <c r="D48" i="8"/>
  <c r="D47" i="8"/>
  <c r="E46" i="8"/>
  <c r="F46" i="8" s="1"/>
  <c r="D46" i="8"/>
  <c r="E45" i="8"/>
  <c r="D45" i="8"/>
  <c r="F45" i="8" s="1"/>
  <c r="D35" i="8"/>
  <c r="D34" i="8"/>
  <c r="E33" i="8"/>
  <c r="F33" i="8" s="1"/>
  <c r="D33" i="8"/>
  <c r="E32" i="8"/>
  <c r="F32" i="8" s="1"/>
  <c r="D32" i="8"/>
  <c r="D31" i="8"/>
  <c r="E31" i="8" s="1"/>
  <c r="D30" i="8"/>
  <c r="E30" i="8" s="1"/>
  <c r="F30" i="8" s="1"/>
  <c r="F29" i="8"/>
  <c r="E29" i="8"/>
  <c r="D29" i="8"/>
  <c r="D28" i="8"/>
  <c r="D27" i="8"/>
  <c r="D26" i="8"/>
  <c r="E25" i="8"/>
  <c r="F25" i="8" s="1"/>
  <c r="D25" i="8"/>
  <c r="E24" i="8"/>
  <c r="F24" i="8" s="1"/>
  <c r="D24" i="8"/>
  <c r="D23" i="8"/>
  <c r="E23" i="8" s="1"/>
  <c r="D22" i="8"/>
  <c r="E22" i="8" s="1"/>
  <c r="F22" i="8" s="1"/>
  <c r="F21" i="8"/>
  <c r="E21" i="8"/>
  <c r="D21" i="8"/>
  <c r="D20" i="8"/>
  <c r="D19" i="8"/>
  <c r="D15" i="8"/>
  <c r="E14" i="8"/>
  <c r="F14" i="8" s="1"/>
  <c r="D14" i="8"/>
  <c r="D13" i="8" s="1"/>
  <c r="D12" i="8"/>
  <c r="D10" i="8"/>
  <c r="E10" i="8" s="1"/>
  <c r="D49" i="5"/>
  <c r="D13" i="5" s="1"/>
  <c r="F14" i="5"/>
  <c r="E14" i="5"/>
  <c r="D14" i="5"/>
  <c r="V63" i="3"/>
  <c r="U63" i="3"/>
  <c r="V12" i="3"/>
  <c r="U12" i="3"/>
  <c r="T63" i="3"/>
  <c r="S63" i="3"/>
  <c r="S12" i="3"/>
  <c r="T12" i="3"/>
  <c r="Q63" i="3"/>
  <c r="Q12" i="3"/>
  <c r="P63" i="3"/>
  <c r="P12" i="3"/>
  <c r="H12" i="3"/>
  <c r="F10" i="8" l="1"/>
  <c r="F15" i="8"/>
  <c r="E28" i="8"/>
  <c r="F28" i="8" s="1"/>
  <c r="E12" i="8"/>
  <c r="F12" i="8" s="1"/>
  <c r="E48" i="8"/>
  <c r="F48" i="8" s="1"/>
  <c r="D9" i="8"/>
  <c r="D50" i="8" s="1"/>
  <c r="E15" i="8"/>
  <c r="F23" i="8"/>
  <c r="E26" i="8"/>
  <c r="F26" i="8" s="1"/>
  <c r="F31" i="8"/>
  <c r="E34" i="8"/>
  <c r="F34" i="8" s="1"/>
  <c r="E20" i="8"/>
  <c r="F20" i="8" s="1"/>
  <c r="E19" i="8"/>
  <c r="F19" i="8" s="1"/>
  <c r="E27" i="8"/>
  <c r="F27" i="8" s="1"/>
  <c r="E35" i="8"/>
  <c r="F35" i="8" s="1"/>
  <c r="E47" i="8"/>
  <c r="F47" i="8" s="1"/>
  <c r="S55" i="3"/>
  <c r="S46" i="3"/>
  <c r="S45" i="3"/>
  <c r="S44" i="3"/>
  <c r="S43" i="3"/>
  <c r="D127" i="3"/>
  <c r="E127" i="3" s="1"/>
  <c r="D124" i="3"/>
  <c r="E124" i="3" s="1"/>
  <c r="D121" i="3"/>
  <c r="E121" i="3" s="1"/>
  <c r="D97" i="3"/>
  <c r="E97" i="3" s="1"/>
  <c r="D94" i="3"/>
  <c r="E94" i="3" s="1"/>
  <c r="D91" i="3"/>
  <c r="E91" i="3" s="1"/>
  <c r="F13" i="8" l="1"/>
  <c r="F9" i="8"/>
  <c r="E9" i="8"/>
  <c r="E13" i="8"/>
  <c r="D99" i="3"/>
  <c r="E99" i="3" s="1"/>
  <c r="E100" i="3" s="1"/>
  <c r="E103" i="3" s="1"/>
  <c r="E128" i="3"/>
  <c r="E131" i="3" s="1"/>
  <c r="E50" i="8" l="1"/>
  <c r="F50" i="8"/>
  <c r="G72" i="3"/>
  <c r="H55" i="3"/>
  <c r="O55" i="3" l="1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3" i="3"/>
  <c r="J63" i="3" l="1"/>
  <c r="I63" i="3"/>
  <c r="O63" i="3"/>
  <c r="E102" i="3" s="1"/>
  <c r="E104" i="3" s="1"/>
  <c r="E105" i="3" s="1"/>
  <c r="Q55" i="3"/>
  <c r="T55" i="3" s="1"/>
  <c r="K19" i="3"/>
  <c r="K18" i="3"/>
  <c r="K17" i="3"/>
  <c r="K33" i="3"/>
  <c r="R33" i="3" s="1"/>
  <c r="K32" i="3"/>
  <c r="R32" i="3" s="1"/>
  <c r="K31" i="3"/>
  <c r="K30" i="3"/>
  <c r="K29" i="3"/>
  <c r="K28" i="3"/>
  <c r="R28" i="3" s="1"/>
  <c r="K27" i="3"/>
  <c r="R27" i="3" s="1"/>
  <c r="K26" i="3"/>
  <c r="R26" i="3" s="1"/>
  <c r="K25" i="3"/>
  <c r="R25" i="3" s="1"/>
  <c r="K24" i="3"/>
  <c r="R24" i="3" s="1"/>
  <c r="K23" i="3"/>
  <c r="K22" i="3"/>
  <c r="K21" i="3"/>
  <c r="K20" i="3"/>
  <c r="R20" i="3" s="1"/>
  <c r="K13" i="3"/>
  <c r="F105" i="3" l="1"/>
  <c r="E106" i="3"/>
  <c r="L26" i="3"/>
  <c r="L27" i="3"/>
  <c r="L23" i="3"/>
  <c r="R23" i="3"/>
  <c r="L31" i="3"/>
  <c r="R31" i="3"/>
  <c r="L28" i="3"/>
  <c r="L22" i="3"/>
  <c r="R22" i="3"/>
  <c r="L33" i="3"/>
  <c r="L21" i="3"/>
  <c r="R21" i="3"/>
  <c r="L20" i="3"/>
  <c r="L17" i="3"/>
  <c r="R17" i="3"/>
  <c r="L32" i="3"/>
  <c r="L13" i="3"/>
  <c r="R13" i="3"/>
  <c r="K63" i="3"/>
  <c r="L24" i="3"/>
  <c r="L18" i="3"/>
  <c r="R18" i="3"/>
  <c r="M26" i="3"/>
  <c r="S26" i="3" s="1"/>
  <c r="M18" i="3"/>
  <c r="S18" i="3" s="1"/>
  <c r="M33" i="3"/>
  <c r="S33" i="3" s="1"/>
  <c r="M25" i="3"/>
  <c r="S25" i="3" s="1"/>
  <c r="M17" i="3"/>
  <c r="S17" i="3" s="1"/>
  <c r="M19" i="3"/>
  <c r="S19" i="3" s="1"/>
  <c r="M32" i="3"/>
  <c r="S32" i="3" s="1"/>
  <c r="M24" i="3"/>
  <c r="S24" i="3" s="1"/>
  <c r="M13" i="3"/>
  <c r="S13" i="3" s="1"/>
  <c r="M27" i="3"/>
  <c r="M31" i="3"/>
  <c r="S31" i="3" s="1"/>
  <c r="M23" i="3"/>
  <c r="M30" i="3"/>
  <c r="S30" i="3" s="1"/>
  <c r="M22" i="3"/>
  <c r="S22" i="3" s="1"/>
  <c r="M29" i="3"/>
  <c r="S29" i="3" s="1"/>
  <c r="M21" i="3"/>
  <c r="M28" i="3"/>
  <c r="S28" i="3" s="1"/>
  <c r="M20" i="3"/>
  <c r="S20" i="3" s="1"/>
  <c r="L29" i="3"/>
  <c r="R29" i="3"/>
  <c r="L30" i="3"/>
  <c r="R30" i="3"/>
  <c r="L25" i="3"/>
  <c r="L19" i="3"/>
  <c r="Q19" i="3" s="1"/>
  <c r="R19" i="3"/>
  <c r="G44" i="3"/>
  <c r="H44" i="3" s="1"/>
  <c r="N44" i="3" s="1"/>
  <c r="G43" i="3"/>
  <c r="H43" i="3" s="1"/>
  <c r="N43" i="3" s="1"/>
  <c r="G46" i="3"/>
  <c r="H46" i="3" s="1"/>
  <c r="N46" i="3" s="1"/>
  <c r="G45" i="3"/>
  <c r="H45" i="3" s="1"/>
  <c r="N45" i="3" s="1"/>
  <c r="Q21" i="3" l="1"/>
  <c r="T21" i="3" s="1"/>
  <c r="S21" i="3"/>
  <c r="Q23" i="3"/>
  <c r="S23" i="3"/>
  <c r="Q27" i="3"/>
  <c r="S27" i="3"/>
  <c r="D12" i="5"/>
  <c r="E12" i="5" s="1"/>
  <c r="F12" i="5" s="1"/>
  <c r="U55" i="3"/>
  <c r="D10" i="5"/>
  <c r="V55" i="3"/>
  <c r="Q24" i="3"/>
  <c r="T24" i="3" s="1"/>
  <c r="Q31" i="3"/>
  <c r="T31" i="3" s="1"/>
  <c r="Q33" i="3"/>
  <c r="T33" i="3" s="1"/>
  <c r="Q32" i="3"/>
  <c r="T32" i="3" s="1"/>
  <c r="Q30" i="3"/>
  <c r="Q26" i="3"/>
  <c r="T26" i="3" s="1"/>
  <c r="Q18" i="3"/>
  <c r="Q17" i="3"/>
  <c r="Q25" i="3"/>
  <c r="T25" i="3" s="1"/>
  <c r="T23" i="3"/>
  <c r="T27" i="3"/>
  <c r="Q46" i="3"/>
  <c r="T46" i="3" s="1"/>
  <c r="Q20" i="3"/>
  <c r="T20" i="3" s="1"/>
  <c r="N63" i="3"/>
  <c r="Q43" i="3"/>
  <c r="T43" i="3" s="1"/>
  <c r="T19" i="3"/>
  <c r="Q28" i="3"/>
  <c r="T28" i="3" s="1"/>
  <c r="Q22" i="3"/>
  <c r="T22" i="3" s="1"/>
  <c r="Q45" i="3"/>
  <c r="T45" i="3" s="1"/>
  <c r="L63" i="3"/>
  <c r="T30" i="3"/>
  <c r="Q44" i="3"/>
  <c r="T44" i="3" s="1"/>
  <c r="Q13" i="3"/>
  <c r="T13" i="3" s="1"/>
  <c r="M63" i="3"/>
  <c r="Q29" i="3"/>
  <c r="T29" i="3" s="1"/>
  <c r="T17" i="3"/>
  <c r="T18" i="3"/>
  <c r="R63" i="3"/>
  <c r="E10" i="5" l="1"/>
  <c r="E9" i="5" s="1"/>
  <c r="D9" i="5"/>
  <c r="F10" i="5"/>
  <c r="F9" i="5" s="1"/>
  <c r="E130" i="3"/>
  <c r="E132" i="3" s="1"/>
  <c r="E133" i="3" s="1"/>
  <c r="E134" i="3" l="1"/>
  <c r="F133" i="3"/>
  <c r="V43" i="3" l="1"/>
  <c r="U43" i="3"/>
  <c r="U44" i="3"/>
  <c r="U46" i="3"/>
  <c r="V44" i="3"/>
  <c r="U45" i="3"/>
  <c r="V46" i="3"/>
  <c r="V45" i="3"/>
  <c r="U22" i="3"/>
  <c r="U18" i="3"/>
  <c r="U19" i="3"/>
  <c r="U25" i="3"/>
  <c r="U30" i="3"/>
  <c r="U32" i="3"/>
  <c r="U31" i="3"/>
  <c r="U13" i="3"/>
  <c r="U29" i="3"/>
  <c r="U20" i="3"/>
  <c r="U17" i="3"/>
  <c r="U33" i="3"/>
  <c r="U28" i="3"/>
  <c r="U24" i="3"/>
  <c r="U26" i="3"/>
  <c r="V31" i="3"/>
  <c r="V19" i="3"/>
  <c r="V26" i="3"/>
  <c r="U27" i="3"/>
  <c r="V25" i="3"/>
  <c r="V29" i="3"/>
  <c r="V22" i="3"/>
  <c r="U21" i="3"/>
  <c r="V13" i="3"/>
  <c r="V30" i="3"/>
  <c r="U23" i="3"/>
  <c r="V33" i="3"/>
  <c r="V20" i="3"/>
  <c r="V21" i="3"/>
  <c r="V17" i="3"/>
  <c r="V27" i="3"/>
  <c r="V28" i="3"/>
  <c r="V18" i="3"/>
  <c r="V24" i="3"/>
  <c r="V32" i="3"/>
  <c r="V23" i="3"/>
  <c r="E49" i="5"/>
  <c r="H17" i="3"/>
  <c r="F49" i="5" l="1"/>
  <c r="F13" i="5" s="1"/>
  <c r="E13" i="5"/>
  <c r="D24" i="5"/>
  <c r="E24" i="5" s="1"/>
  <c r="F24" i="5" s="1"/>
  <c r="D23" i="5"/>
  <c r="E23" i="5" s="1"/>
  <c r="F23" i="5" s="1"/>
  <c r="D31" i="5"/>
  <c r="E31" i="5" s="1"/>
  <c r="F31" i="5" s="1"/>
  <c r="D28" i="5"/>
  <c r="E28" i="5" s="1"/>
  <c r="F28" i="5" s="1"/>
  <c r="D26" i="5"/>
  <c r="D34" i="5"/>
  <c r="E34" i="5" s="1"/>
  <c r="F34" i="5" s="1"/>
  <c r="D47" i="5"/>
  <c r="E47" i="5" s="1"/>
  <c r="F47" i="5" s="1"/>
  <c r="D30" i="5"/>
  <c r="E30" i="5" s="1"/>
  <c r="F30" i="5" s="1"/>
  <c r="D32" i="5"/>
  <c r="E32" i="5" s="1"/>
  <c r="F32" i="5" s="1"/>
  <c r="D15" i="5"/>
  <c r="D33" i="5"/>
  <c r="E33" i="5" s="1"/>
  <c r="F33" i="5" s="1"/>
  <c r="D35" i="5"/>
  <c r="E35" i="5" s="1"/>
  <c r="F35" i="5" s="1"/>
  <c r="D27" i="5"/>
  <c r="E27" i="5" s="1"/>
  <c r="F27" i="5" s="1"/>
  <c r="D48" i="5"/>
  <c r="E48" i="5" s="1"/>
  <c r="F48" i="5" s="1"/>
  <c r="D29" i="5"/>
  <c r="E29" i="5" s="1"/>
  <c r="F29" i="5" s="1"/>
  <c r="D19" i="5"/>
  <c r="E19" i="5" s="1"/>
  <c r="F19" i="5" s="1"/>
  <c r="D21" i="5"/>
  <c r="E21" i="5" s="1"/>
  <c r="F21" i="5" s="1"/>
  <c r="D46" i="5"/>
  <c r="E46" i="5" s="1"/>
  <c r="F46" i="5" s="1"/>
  <c r="D25" i="5"/>
  <c r="E25" i="5" s="1"/>
  <c r="F25" i="5" s="1"/>
  <c r="D22" i="5"/>
  <c r="E22" i="5" s="1"/>
  <c r="F22" i="5" s="1"/>
  <c r="D20" i="5"/>
  <c r="E20" i="5" s="1"/>
  <c r="F20" i="5" s="1"/>
  <c r="D45" i="5"/>
  <c r="E45" i="5" s="1"/>
  <c r="F45" i="5" s="1"/>
  <c r="E77" i="3"/>
  <c r="D77" i="3"/>
  <c r="F61" i="3"/>
  <c r="F62" i="3" s="1"/>
  <c r="F63" i="3" s="1"/>
  <c r="E61" i="3"/>
  <c r="E62" i="3" s="1"/>
  <c r="E63" i="3" s="1"/>
  <c r="D61" i="3"/>
  <c r="D62" i="3" s="1"/>
  <c r="D63" i="3" s="1"/>
  <c r="D35" i="3"/>
  <c r="H14" i="3"/>
  <c r="H35" i="3" s="1"/>
  <c r="E15" i="5" l="1"/>
  <c r="F15" i="5"/>
  <c r="D50" i="5"/>
  <c r="E26" i="5"/>
  <c r="E50" i="5" s="1"/>
  <c r="H77" i="3"/>
  <c r="H39" i="3"/>
  <c r="F26" i="5" l="1"/>
  <c r="F50" i="5" s="1"/>
  <c r="G75" i="3"/>
  <c r="H75" i="3" s="1"/>
  <c r="H72" i="3"/>
  <c r="G69" i="3"/>
  <c r="H69" i="3" s="1"/>
  <c r="F68" i="3"/>
  <c r="H68" i="3" s="1"/>
  <c r="E67" i="3"/>
  <c r="H67" i="3" s="1"/>
  <c r="D66" i="3"/>
  <c r="D76" i="3" s="1"/>
  <c r="D78" i="3" s="1"/>
  <c r="H58" i="3"/>
  <c r="G58" i="3"/>
  <c r="H48" i="3"/>
  <c r="H49" i="3" s="1"/>
  <c r="G48" i="3"/>
  <c r="G49" i="3" s="1"/>
  <c r="G59" i="3" l="1"/>
  <c r="G76" i="3"/>
  <c r="G78" i="3" s="1"/>
  <c r="H59" i="3"/>
  <c r="H66" i="3"/>
  <c r="E76" i="3"/>
  <c r="E78" i="3" s="1"/>
  <c r="F76" i="3"/>
  <c r="F78" i="3" s="1"/>
  <c r="H52" i="2"/>
  <c r="H53" i="2" s="1"/>
  <c r="H57" i="2" s="1"/>
  <c r="G52" i="2"/>
  <c r="G53" i="2" s="1"/>
  <c r="G57" i="2" s="1"/>
  <c r="H42" i="2"/>
  <c r="H43" i="2"/>
  <c r="G43" i="2"/>
  <c r="G42" i="2"/>
  <c r="G61" i="3" l="1"/>
  <c r="H76" i="3"/>
  <c r="H78" i="3" s="1"/>
  <c r="E74" i="2"/>
  <c r="H74" i="2" s="1"/>
  <c r="D74" i="2"/>
  <c r="G63" i="2"/>
  <c r="G62" i="3" l="1"/>
  <c r="G63" i="3" s="1"/>
  <c r="H61" i="3"/>
  <c r="G59" i="2"/>
  <c r="G69" i="2"/>
  <c r="H69" i="2" s="1"/>
  <c r="G68" i="2"/>
  <c r="G64" i="2"/>
  <c r="H66" i="2"/>
  <c r="E81" i="2" s="1"/>
  <c r="H67" i="2"/>
  <c r="E80" i="2" s="1"/>
  <c r="H65" i="2"/>
  <c r="E79" i="2" s="1"/>
  <c r="H64" i="2"/>
  <c r="H63" i="2"/>
  <c r="H68" i="2"/>
  <c r="F62" i="2"/>
  <c r="F70" i="2" s="1"/>
  <c r="F71" i="2" s="1"/>
  <c r="F72" i="2" s="1"/>
  <c r="E61" i="2"/>
  <c r="H61" i="2" s="1"/>
  <c r="D60" i="2"/>
  <c r="D70" i="2" s="1"/>
  <c r="D71" i="2" s="1"/>
  <c r="D72" i="2" s="1"/>
  <c r="H62" i="3" l="1"/>
  <c r="H63" i="3" s="1"/>
  <c r="E70" i="2"/>
  <c r="E71" i="2" s="1"/>
  <c r="E72" i="2" s="1"/>
  <c r="H62" i="2"/>
  <c r="H60" i="2"/>
  <c r="G70" i="2"/>
  <c r="G71" i="2" s="1"/>
  <c r="H71" i="2" s="1"/>
  <c r="H59" i="2"/>
  <c r="H70" i="2" s="1"/>
  <c r="G72" i="2" l="1"/>
  <c r="H72" i="2"/>
</calcChain>
</file>

<file path=xl/sharedStrings.xml><?xml version="1.0" encoding="utf-8"?>
<sst xmlns="http://schemas.openxmlformats.org/spreadsheetml/2006/main" count="552" uniqueCount="267">
  <si>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</si>
  <si>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</si>
  <si>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</si>
  <si>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</si>
  <si>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</si>
  <si>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</si>
  <si>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</si>
  <si>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</si>
  <si>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</si>
  <si>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</si>
  <si>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</si>
  <si>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</si>
  <si>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</si>
  <si>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"Утвержден" «    »________________2019 г.</t>
  </si>
  <si>
    <t>«    »________________2019 г.</t>
  </si>
  <si>
    <t>Всесезонный туристско-рекреационный комплекс "Архыз", Карачаево-Черкесская Республика. "Комплексная система безопасности. Техническая подсистема."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</si>
  <si>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</si>
  <si>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</si>
  <si>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</si>
  <si>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01-01</t>
  </si>
  <si>
    <t>Разбивка основных осей зданий и сооружений, перенос их в натуру и закрепление пунктами и знаками.</t>
  </si>
  <si>
    <t>01-02</t>
  </si>
  <si>
    <t>Рекультивация земель.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</si>
  <si>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</si>
  <si>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</si>
  <si>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</si>
  <si>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КСБ ТП ВТРК "Архыз" - Строительно монтажные работы</t>
  </si>
  <si>
    <t>Итого по Главе 2. "Основные объекты строительства"</t>
  </si>
  <si>
    <t>Итого по Главам 1-7</t>
  </si>
  <si>
    <t>Глава 8. Временные здания и сооружения</t>
  </si>
  <si>
    <t>ГСН-81-05-01-2001, п. 4.9</t>
  </si>
  <si>
    <t>Временные здания и сооружения - 2,3%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</si>
  <si>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</si>
  <si>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</si>
  <si>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</si>
  <si>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ГСН-81-05-02-2007 п.8</t>
  </si>
  <si>
    <t>Производство работ в зимнее время, строительство зданий и сооружений связи I температурная зона (прил.1 п.9) - 0,6%*1,1</t>
  </si>
  <si>
    <t>09-01</t>
  </si>
  <si>
    <t>Пусконаладочные работы. Вхолостую 80%.</t>
  </si>
  <si>
    <t>09-02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</si>
  <si>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</si>
  <si>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</si>
  <si>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</si>
  <si>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Постановление Правительства РФ № 468 от 21.06.2010</t>
  </si>
  <si>
    <t>Строительный контроль 2,14% (от полной стоимости по итогам глав 1-9 и 12 ССР)</t>
  </si>
  <si>
    <t>Итого по Главе 10. "Содержание службы заказчика. Строительный контроль"</t>
  </si>
  <si>
    <t>Глава 12. Публичный технологический и ценовой аудит, проектные и изыскательские работы</t>
  </si>
  <si>
    <t>12-01</t>
  </si>
  <si>
    <t>Проетные работы. Стадия Проект.</t>
  </si>
  <si>
    <t>12-02</t>
  </si>
  <si>
    <t>Проектные работы. Стадия Рабочая документация.</t>
  </si>
  <si>
    <t>Изыскательские работы</t>
  </si>
  <si>
    <t>ПП РФ № 145 от 05.03.2007</t>
  </si>
  <si>
    <t>Затраты на проведение экспертизы проектно-сметной документации и результатов инженерных изысканий</t>
  </si>
  <si>
    <t>Итого по Главе 12. "Публичный технологический и ценовой аудит, проектные и изыскательские работы"</t>
  </si>
  <si>
    <t>Итого по Главам 1-12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</si>
  <si>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</si>
  <si>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</si>
  <si>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</si>
  <si>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</si>
  <si>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Итого по сводному расчету</t>
  </si>
  <si>
    <t>Итого в ценах  II квартала 2019 г.</t>
  </si>
  <si>
    <t>ИТОГО</t>
  </si>
  <si>
    <t>Часть вторая Налогового кодекса Российской Федерации подпунктом «в» пункта 3 статьи 1 Федерального закона от 03.08.2018 № 303-ФЗ, в части изменения налоговой ставки.</t>
  </si>
  <si>
    <t>НДС - 20%</t>
  </si>
  <si>
    <t>Справочно</t>
  </si>
  <si>
    <t>п. 29</t>
  </si>
  <si>
    <t>Составлена в ценах по состоянию на 01.01.2000г. с пересчетом в текущие цены  II квартала 2019 г.</t>
  </si>
  <si>
    <t>Справочная информация по проектным и изыскательским работам:</t>
  </si>
  <si>
    <t xml:space="preserve">Наименование работ </t>
  </si>
  <si>
    <t>Уровень цен, тыс. руб</t>
  </si>
  <si>
    <t>2000 г.</t>
  </si>
  <si>
    <t>2 кв. 2019г., без непредвиденных, с НДС 20%</t>
  </si>
  <si>
    <t>Проектные работы. Этап 1.</t>
  </si>
  <si>
    <t>Изыскательские работы. Этап 1.</t>
  </si>
  <si>
    <t>Проектные работы. Этап 2.</t>
  </si>
  <si>
    <t>Генеральный проектировщик:</t>
  </si>
  <si>
    <t>Генеральный директор ООО "ГРАНД"</t>
  </si>
  <si>
    <t>Ю.В. Харин</t>
  </si>
  <si>
    <t>Главный инженер проекта ООО "ГРАНД"</t>
  </si>
  <si>
    <t xml:space="preserve"> С.А. Романенко</t>
  </si>
  <si>
    <t>Инженер сметчик ООО "ГРАНД"</t>
  </si>
  <si>
    <t xml:space="preserve"> О.Б. Дьяконова</t>
  </si>
  <si>
    <t>Заказчик:</t>
  </si>
  <si>
    <t>Генеральный директор АО "КСК"</t>
  </si>
  <si>
    <t>Х. Х. Тимижев</t>
  </si>
  <si>
    <t xml:space="preserve">  Пересчет в текущие цены 2 квартала 2019г. : (Письмо Минстроя РФ № 12661-ДВ/09 от 10.04.2019г. по строке "Прочие объекты",  Письмо Минстроя РФ №  17798-ДВ/09 от 04.06.2019г.",  Письмо Минстроя РФ №20003-ДВ/09 от 04.06.2019г. ) СМР=7,00, Оборудование = 3,98,  Проектные работы = 4,15;   Изыскательские работы = 4,23,  Прочие затраты =10,51 </t>
  </si>
  <si>
    <t>Минстрой России Письмо № 12661-ДВ/09 от 10 апреля 2019 г.</t>
  </si>
  <si>
    <t>Строительные работы к=7</t>
  </si>
  <si>
    <t>Монтажные работы к=7</t>
  </si>
  <si>
    <t>Минстрой России Письмо № 20003-ДВ/09 от 04.06.2019г.</t>
  </si>
  <si>
    <t>оборудование к=3,98</t>
  </si>
  <si>
    <t>Расчет платежей за размещение отходов к=10,51. 0,03*10,51*1,02</t>
  </si>
  <si>
    <t>Строительный контроль к=10,51 458,69*10,51*1,02</t>
  </si>
  <si>
    <t>Минстрой РФ №17798-ДВ/09 от 17.05.2019г</t>
  </si>
  <si>
    <t>Проектная документация, К=1,19х 4,15  602,67*1,19*4,15*1,02</t>
  </si>
  <si>
    <t>Рабочая документация К=1,19х 4,15 927,14*1,19*4,15*1,02</t>
  </si>
  <si>
    <t>Изыскательские работы. , К=1,266х 4,23 318,68*1,266*4,23*1,02</t>
  </si>
  <si>
    <t>Затраты на проведение экспертизы проектной документации и результатов инженерных изысканий К=5,29 142,21*5,29*1,02</t>
  </si>
  <si>
    <t>Пусконаладочные работы "вхолостую", К=15,15 30,43*15,15*1,02</t>
  </si>
  <si>
    <t xml:space="preserve">Возврат от разборки временных зданий и сооружений (15% от ВЗиС) К=7,00 </t>
  </si>
  <si>
    <t>В том числе возвратных сумм 44,64 тыс. руб.</t>
  </si>
  <si>
    <t>Расчет платежей за загрязнение атмосферного воздуха</t>
  </si>
  <si>
    <t>Сводный сметный расчет в сумме 120 379,51 тыс. руб.</t>
  </si>
  <si>
    <t>Итого по сводному расчету в ценах 2000 года</t>
  </si>
  <si>
    <t>ЗАТРАТЫ ПОДРЯДЧИКА ПО ОБЪЕКТУ</t>
  </si>
  <si>
    <t>02-01-01</t>
  </si>
  <si>
    <t>Технологические и конструктивные решения линейного объекта. Искусственные сооружения. (ТКР)</t>
  </si>
  <si>
    <t>02-01-02</t>
  </si>
  <si>
    <t>Конструктивные и объемно-планировочные решения (КР)</t>
  </si>
  <si>
    <t>02-01-03</t>
  </si>
  <si>
    <t>Строительно монтажные работы. Система электроснабжения (СЭ)</t>
  </si>
  <si>
    <t>02-01-04</t>
  </si>
  <si>
    <t>Строительно монтажные работы. Подсистема сбора и обработки информации (ССОИ)</t>
  </si>
  <si>
    <t>02-01-05</t>
  </si>
  <si>
    <t>Строительно монтажные работы. Подсистема охранной и тревожной сигнализации (СОТС)</t>
  </si>
  <si>
    <t>02-01-06</t>
  </si>
  <si>
    <t>Строительно монтажные работы. Система охранного телевидения (СОТ)</t>
  </si>
  <si>
    <t>02-01-07</t>
  </si>
  <si>
    <t>Строительно монтажные работы. Подсистема контроля и управления доступом транспортных средств (СКУД ТС)</t>
  </si>
  <si>
    <t>02-01-08</t>
  </si>
  <si>
    <t>Строительно монтажные работы. Подсистема контроля и управления доступом обслуживающего персонала (СКУД ОП)</t>
  </si>
  <si>
    <t>02-01-09</t>
  </si>
  <si>
    <t>Строительно монтажные работы. Подсистема информирования и оповещения (СИО)</t>
  </si>
  <si>
    <t>02-01-10</t>
  </si>
  <si>
    <t>Строительно монтажные работы. Подсистема оперативной диспетчерской связи (СОДС)</t>
  </si>
  <si>
    <t>02-01-11</t>
  </si>
  <si>
    <t>Строительно монтажные работы. Подсистема экстренной связи (СЭС)</t>
  </si>
  <si>
    <t>02-01-12</t>
  </si>
  <si>
    <t>Строительно монтажные работы. Подсистема передачи данных (СПД)</t>
  </si>
  <si>
    <t>02-01-13</t>
  </si>
  <si>
    <t>Строительно монтажные работы. Структурированная кабельная система (СКС)</t>
  </si>
  <si>
    <t>02-01-14</t>
  </si>
  <si>
    <t>Строительно монтажные работы. Подсистема охранного освещения (СОО)</t>
  </si>
  <si>
    <t>02-01-15</t>
  </si>
  <si>
    <t>Строительно монтажные работы. Подсистема обеспечения информационной безопасности (СОИБ)</t>
  </si>
  <si>
    <t>02-01-16</t>
  </si>
  <si>
    <t>Строительно монтажные работы. Подсистема взаимодействия с силовыми структурами России (СВСС)</t>
  </si>
  <si>
    <t>02-01-17</t>
  </si>
  <si>
    <t>Строительно-монтажные работы. Система досмотра и поиска (СДрП)</t>
  </si>
  <si>
    <t>09-01-01</t>
  </si>
  <si>
    <t>Пуско-наладочные работы. Система электроснабжения (СЭ)</t>
  </si>
  <si>
    <t>09-01-02</t>
  </si>
  <si>
    <t>Пусконаладочные работы. Подсистема сбора и обработки информации (ССОИ)</t>
  </si>
  <si>
    <t>09-01-03</t>
  </si>
  <si>
    <t>Пусконаладочные работы. Подсистема экстренной связи (СЭС)</t>
  </si>
  <si>
    <t>09-01-04</t>
  </si>
  <si>
    <t>Пусконаладочные работы. Подсистема обеспечения информационной безопасности (СОИБ)</t>
  </si>
  <si>
    <t>СМР</t>
  </si>
  <si>
    <t>Оборудование</t>
  </si>
  <si>
    <t>ВЗИС</t>
  </si>
  <si>
    <t>ЗУ</t>
  </si>
  <si>
    <t xml:space="preserve">Платежи за загрязнение </t>
  </si>
  <si>
    <t>ПНР</t>
  </si>
  <si>
    <t>РД</t>
  </si>
  <si>
    <t>В текущих ценах</t>
  </si>
  <si>
    <t>Непредвиденные расходы</t>
  </si>
  <si>
    <t>Возврат от разборки ВЗИС</t>
  </si>
  <si>
    <t>Итого с учетом возврата в ценах II квартала 2019 г.</t>
  </si>
  <si>
    <r>
      <t xml:space="preserve">Проектные работы. Стадия Рабочая документация </t>
    </r>
    <r>
      <rPr>
        <sz val="10"/>
        <color rgb="FFFF0000"/>
        <rFont val="Arial"/>
        <family val="2"/>
        <charset val="204"/>
      </rPr>
      <t>(без учета сметной части).</t>
    </r>
  </si>
  <si>
    <r>
      <t xml:space="preserve">Рабочая документация </t>
    </r>
    <r>
      <rPr>
        <sz val="10"/>
        <color rgb="FFFF0000"/>
        <rFont val="Arial"/>
        <family val="2"/>
        <charset val="204"/>
      </rPr>
      <t>без учета сметной части</t>
    </r>
    <r>
      <rPr>
        <sz val="10"/>
        <rFont val="Arial"/>
        <family val="2"/>
        <charset val="204"/>
      </rPr>
      <t xml:space="preserve"> К=1,19х 4,15             865,77*1,19*4,15*1,02</t>
    </r>
  </si>
  <si>
    <t>Расчет стоимости работ с учетом индекса-дефлятора</t>
  </si>
  <si>
    <t xml:space="preserve">Продолжительность работ в соответствие с Графиком - </t>
  </si>
  <si>
    <t xml:space="preserve">Начало работ - </t>
  </si>
  <si>
    <t xml:space="preserve">Окончание работ - </t>
  </si>
  <si>
    <t>РАСЧЕТ ИНДЕКСА-ДЕФЛЯТОРА для разработки рабочей документации</t>
  </si>
  <si>
    <t>2019  год</t>
  </si>
  <si>
    <t xml:space="preserve">ИД1- индекс -дефлятор Минэкономразвития РФ на капвложения </t>
  </si>
  <si>
    <t>Т1 - Продолжительность периода  от момента формирования текущих цен до конца года , мес</t>
  </si>
  <si>
    <t>Рост цен                               Р1= (ИД1-100)/100*Т1/12</t>
  </si>
  <si>
    <t>Индекс роста цен                                     ИРт1=(1+Р1)</t>
  </si>
  <si>
    <t>2020  год</t>
  </si>
  <si>
    <t xml:space="preserve">ИД2- индекс -дефлятор Минэкономразвития РФ на капвложения </t>
  </si>
  <si>
    <t>Т2 - Продолжительность периода  от начала года до начала выполнения работ, мес</t>
  </si>
  <si>
    <t>Рост цен                               Р2= (ИД2-100)/100*Т2/12</t>
  </si>
  <si>
    <t>Индекс роста цен                                     ИРт3=(1+Р3)</t>
  </si>
  <si>
    <t>Т3 - Продолжительность периода  от начала выполнения работ до окончания выполнения работ , мес</t>
  </si>
  <si>
    <t>Рост цен                               Р3= (ИД3-100)/100*Т3/12</t>
  </si>
  <si>
    <t>Индекс роста цен                                     ИРт3=(1+0,5*Р3)</t>
  </si>
  <si>
    <t>Итого индекс роста цен</t>
  </si>
  <si>
    <t>ИРТ1*ИРТ2*ИРТ3</t>
  </si>
  <si>
    <t>РАСЧЕТ СТОИМОСТИ РАБОТ</t>
  </si>
  <si>
    <t xml:space="preserve">Стоимость работ </t>
  </si>
  <si>
    <t>Дефлятор</t>
  </si>
  <si>
    <t>Стоимость работ  с учетом дефлятора</t>
  </si>
  <si>
    <t>С учетом авансирования- 30%</t>
  </si>
  <si>
    <t xml:space="preserve"> Н(м)ЦД(1-1)А=СС1+(Н(м)ЦД1-1-СС1)*(1-А/100)                     </t>
  </si>
  <si>
    <t>Инфляционная составляющая</t>
  </si>
  <si>
    <t>месяца</t>
  </si>
  <si>
    <t>РАСЧЕТ ИНДЕКСА-ДЕФЛЯТОРА для строительства</t>
  </si>
  <si>
    <t>15 октября 2019 г.</t>
  </si>
  <si>
    <t>12 февраля 2020 г.</t>
  </si>
  <si>
    <t>Т1 - Продолжительность периода  от момента формирования текущих цен до начала выполнения работ , мес</t>
  </si>
  <si>
    <t>Т2 - Продолжительность периода  от начала выполнения работ  до конца года, мес</t>
  </si>
  <si>
    <t>Т3 - Продолжительность периода  от начала года до окончания выполнения работ , мес</t>
  </si>
  <si>
    <t>4,1 месяца</t>
  </si>
  <si>
    <t>Итого индекс роста цен за период выполнения работ</t>
  </si>
  <si>
    <t>Р4=(Р2+Р3)</t>
  </si>
  <si>
    <t>ИРт4=(1+0,5*Р4)</t>
  </si>
  <si>
    <t>ИРТ1*ИРТ4</t>
  </si>
  <si>
    <t>14 марта 2020 г.</t>
  </si>
  <si>
    <t>28 июня 2020 г.</t>
  </si>
  <si>
    <t>Стоимость работ</t>
  </si>
  <si>
    <t>СМЕТА НА РЕАЛИЗАЦИЮ ДОГОВОРА</t>
  </si>
  <si>
    <t>по объекту "Всесезонный туристско-рекреационный комплекс "Архыз", Карачаево-Черкесская Республика. Комплексная система безопасности. Техническая подсистема"</t>
  </si>
  <si>
    <t>Всесезонный туристско-рекреационный комплекс "Архыз", Карачаево-Черкесская Республика. Комплексная система безопасности. Техническая подсистема.</t>
  </si>
  <si>
    <t>Разработка рабочей документации (без сметной части)</t>
  </si>
  <si>
    <t>Рабочая документация</t>
  </si>
  <si>
    <t>1.1</t>
  </si>
  <si>
    <t>1.2</t>
  </si>
  <si>
    <t>Непредвиденные затраты для рабочей документации</t>
  </si>
  <si>
    <t>2</t>
  </si>
  <si>
    <t>Строительство (СМР, оборудование, ПНР, прочие)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</si>
  <si>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</si>
  <si>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</si>
  <si>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</si>
  <si>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</si>
  <si>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</si>
  <si>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</si>
  <si>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</si>
  <si>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</si>
  <si>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</si>
  <si>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</si>
  <si>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</si>
  <si>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</si>
  <si>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</si>
  <si>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</si>
  <si>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</si>
  <si>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</si>
  <si>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</si>
  <si>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</si>
  <si>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</si>
  <si>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</si>
  <si>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</si>
  <si>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</si>
  <si>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</si>
  <si>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Непредвиденные затраты для строительства объекта</t>
  </si>
  <si>
    <t>Сумма, руб.</t>
  </si>
  <si>
    <t>Налог на добавленную стоимость, 20%</t>
  </si>
  <si>
    <t>Всего с учетом налога, руб.</t>
  </si>
  <si>
    <t>С учетом дефлятора  с непредвиденными в рублях</t>
  </si>
  <si>
    <t>С учетом дефлятора  без непредвиденных в рублях</t>
  </si>
  <si>
    <t>Итого с непредвиденными</t>
  </si>
  <si>
    <t>Итого без непредвиденных</t>
  </si>
  <si>
    <t>ВСЕГО:</t>
  </si>
  <si>
    <t>ПОЯСНИТЕЛЬНАЯ ЗАПИСКА</t>
  </si>
  <si>
    <t>К РАСЧЕТУ НАЧАЛЬНОЙ МАКСИМАЛЬНОЙ ЦЕНЫ ДОГОВОРА</t>
  </si>
  <si>
    <r>
      <t>Начальная максимальная цена договора ( далее - НМЦД) определена в соответствии с требованием Федерального Закона  от</t>
    </r>
    <r>
      <rPr>
        <sz val="10"/>
        <rFont val="Calibri"/>
        <family val="2"/>
        <charset val="204"/>
      </rPr>
      <t xml:space="preserve">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  </r>
  </si>
  <si>
    <t>Расчет стоимости строительства выполнен проектно- сметным методом.</t>
  </si>
  <si>
    <t>Цена работ учитывает все затраты Подрядчика, включая разработку рабочей документации, стоимость приобретения материалов и оборудования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прибыли.</t>
  </si>
  <si>
    <t>Описание метода расчета стоимости проектных работ</t>
  </si>
  <si>
    <t>Индекс пересчета в текущие цены  на  2квартал 2019 г. принят согласно Письма Минстроя России  от 17.05.2019 г. № 17798-ДВ/09.</t>
  </si>
  <si>
    <t>Описание метода расчета стоимости строительства</t>
  </si>
  <si>
    <t>Индекс пересчета в текущие цены  на  2 квартал 2019 г. принят согласно Письмам Минстроя России РФ: № 12661-ДВ/09 от 10.04.2019г.,  №  1408-ЛС/09 от 22.01.2019г.</t>
  </si>
  <si>
    <t>В расчете учтены непредвиденные затраты в размере 2 %.</t>
  </si>
  <si>
    <t>Индекс-дефлятор на продолжительность строительства выполнен в соответствии с графиком и с учетом авансирования объекта в размере 30% от цены работ.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</si>
  <si>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</si>
  <si>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</si>
  <si>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</si>
  <si>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Для расчета цены проектных работ стадии "Рабочая документация" использован сводный сметный расчет, получивший положительное заключение   Северо-Кавказского филиала федерального автономного 
учреждения «Главное управление государственной экспертизы»  от 21.08.2019 № 00067-19/СКЭ-19423/1104№ в реестре 00-1-1741-19</t>
  </si>
  <si>
    <r>
      <t xml:space="preserve">Для расчета цены строительства  использован сводный сметный расчет, </t>
    </r>
    <r>
      <rPr>
        <sz val="10"/>
        <rFont val="Calibri"/>
        <family val="2"/>
        <charset val="204"/>
      </rPr>
      <t>получивший положительное заключение Северо-Кавказского филиала федерального автономного учреждения «Главное управление государственной экспертизы»  от 21.08.2019 № 00067-19/СКЭ-19423/1104№ в реестре 00-1-1741-19</t>
    </r>
  </si>
  <si>
    <t xml:space="preserve">Из суммы проектных работ стадии "Рабочая документация" исключены затраты на разработку сметной части. </t>
  </si>
  <si>
    <t>Индекс-дефлятор на продолжительность проектирования выполнен в соответствии с графиком и с учетом авансирования объекта в размере 30% от цены работ.</t>
  </si>
  <si>
    <t>Разбивка осей</t>
  </si>
  <si>
    <t>2.24</t>
  </si>
  <si>
    <t>НАЧАЛЬНАЯ МАКСИМАЛЬНАЯ ЦЕНА</t>
  </si>
  <si>
    <t>Строительство (Разбивка осей, СМР, оборудование, ПНР, прочие)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</si>
</sst>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6" formatCode="0.000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/>
    <xf numFmtId="0" fontId="2" fillId="0" borderId="0"/>
  </cellStyleXfs>
  <cellXfs count="285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top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/>
    </xf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0" fillId="0" borderId="0" xfId="0" applyAlignment="1"/>
    <xf numFmtId="4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/>
    </xf>
    <xf numFmtId="164" fontId="0" fillId="0" borderId="0" xfId="0" applyNumberFormat="1"/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/>
    </xf>
    <xf numFmtId="4" fontId="6" fillId="0" borderId="2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/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0" fontId="0" fillId="0" borderId="2" xfId="0" applyBorder="1" applyAlignment="1">
      <alignment wrapText="1"/>
    </xf>
    <xf numFmtId="4" fontId="2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justify"/>
    </xf>
    <xf numFmtId="0" fontId="3" fillId="0" borderId="0" xfId="0" applyFont="1"/>
    <xf numFmtId="49" fontId="2" fillId="0" borderId="2" xfId="0" applyNumberFormat="1" applyFont="1" applyBorder="1" applyAlignment="1">
      <alignment horizontal="left" wrapText="1"/>
    </xf>
    <xf numFmtId="2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/>
    </xf>
    <xf numFmtId="2" fontId="0" fillId="0" borderId="2" xfId="0" applyNumberFormat="1" applyBorder="1" applyAlignment="1">
      <alignment wrapText="1"/>
    </xf>
    <xf numFmtId="2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right" vertical="top"/>
    </xf>
    <xf numFmtId="2" fontId="3" fillId="3" borderId="2" xfId="0" applyNumberFormat="1" applyFont="1" applyFill="1" applyBorder="1" applyAlignment="1">
      <alignment horizontal="right" vertical="top" wrapText="1"/>
    </xf>
    <xf numFmtId="2" fontId="3" fillId="3" borderId="2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left" vertical="top" wrapText="1"/>
    </xf>
    <xf numFmtId="2" fontId="3" fillId="5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righ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/>
    </xf>
    <xf numFmtId="2" fontId="10" fillId="0" borderId="2" xfId="0" applyNumberFormat="1" applyFont="1" applyBorder="1" applyAlignment="1">
      <alignment horizontal="right" vertical="top" wrapText="1"/>
    </xf>
    <xf numFmtId="0" fontId="2" fillId="0" borderId="2" xfId="0" applyFont="1" applyBorder="1"/>
    <xf numFmtId="0" fontId="2" fillId="6" borderId="2" xfId="0" applyFont="1" applyFill="1" applyBorder="1"/>
    <xf numFmtId="0" fontId="2" fillId="6" borderId="2" xfId="0" applyFont="1" applyFill="1" applyBorder="1" applyAlignment="1">
      <alignment vertical="top"/>
    </xf>
    <xf numFmtId="2" fontId="2" fillId="6" borderId="2" xfId="0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vertical="top"/>
    </xf>
    <xf numFmtId="2" fontId="11" fillId="6" borderId="2" xfId="0" applyNumberFormat="1" applyFont="1" applyFill="1" applyBorder="1" applyAlignment="1">
      <alignment vertical="top"/>
    </xf>
    <xf numFmtId="0" fontId="0" fillId="0" borderId="2" xfId="0" applyBorder="1"/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2" fontId="11" fillId="0" borderId="2" xfId="0" applyNumberFormat="1" applyFont="1" applyBorder="1" applyAlignment="1">
      <alignment horizontal="right" wrapText="1"/>
    </xf>
    <xf numFmtId="2" fontId="12" fillId="0" borderId="2" xfId="0" applyNumberFormat="1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14" fillId="0" borderId="0" xfId="0" applyFont="1" applyAlignment="1">
      <alignment vertical="center"/>
    </xf>
    <xf numFmtId="0" fontId="16" fillId="0" borderId="0" xfId="1" applyFont="1" applyBorder="1"/>
    <xf numFmtId="0" fontId="17" fillId="0" borderId="0" xfId="0" applyFont="1" applyAlignment="1">
      <alignment vertical="center"/>
    </xf>
    <xf numFmtId="0" fontId="18" fillId="5" borderId="0" xfId="2" applyFont="1" applyFill="1"/>
    <xf numFmtId="0" fontId="15" fillId="0" borderId="0" xfId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3" fontId="0" fillId="0" borderId="0" xfId="0" applyNumberFormat="1"/>
    <xf numFmtId="0" fontId="0" fillId="0" borderId="2" xfId="0" applyBorder="1" applyAlignment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0" fillId="0" borderId="2" xfId="0" applyNumberForma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9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2" fontId="3" fillId="6" borderId="2" xfId="0" applyNumberFormat="1" applyFont="1" applyFill="1" applyBorder="1" applyAlignment="1">
      <alignment vertical="top"/>
    </xf>
    <xf numFmtId="0" fontId="3" fillId="6" borderId="2" xfId="0" applyFont="1" applyFill="1" applyBorder="1" applyAlignment="1">
      <alignment vertical="top"/>
    </xf>
    <xf numFmtId="3" fontId="2" fillId="6" borderId="2" xfId="0" applyNumberFormat="1" applyFont="1" applyFill="1" applyBorder="1"/>
    <xf numFmtId="3" fontId="2" fillId="6" borderId="2" xfId="0" applyNumberFormat="1" applyFont="1" applyFill="1" applyBorder="1" applyAlignment="1">
      <alignment vertical="top"/>
    </xf>
    <xf numFmtId="3" fontId="3" fillId="3" borderId="2" xfId="0" applyNumberFormat="1" applyFont="1" applyFill="1" applyBorder="1" applyAlignment="1">
      <alignment vertical="top"/>
    </xf>
    <xf numFmtId="4" fontId="2" fillId="0" borderId="0" xfId="0" applyNumberFormat="1" applyFont="1" applyAlignment="1">
      <alignment horizontal="right" vertical="top"/>
    </xf>
    <xf numFmtId="3" fontId="2" fillId="0" borderId="0" xfId="0" applyNumberFormat="1" applyFont="1"/>
    <xf numFmtId="0" fontId="3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/>
    </xf>
    <xf numFmtId="3" fontId="2" fillId="5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3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3" fontId="2" fillId="5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3" fillId="7" borderId="6" xfId="0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/>
    <xf numFmtId="4" fontId="20" fillId="0" borderId="0" xfId="0" applyNumberFormat="1" applyFont="1" applyBorder="1" applyAlignment="1">
      <alignment horizontal="right"/>
    </xf>
    <xf numFmtId="0" fontId="3" fillId="5" borderId="6" xfId="0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left" vertical="center"/>
    </xf>
    <xf numFmtId="3" fontId="3" fillId="5" borderId="2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left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20" fillId="0" borderId="0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right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horizontal="right" vertical="top" wrapText="1"/>
    </xf>
    <xf numFmtId="49" fontId="3" fillId="3" borderId="5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49" fontId="3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49" fontId="3" fillId="0" borderId="3" xfId="0" applyNumberFormat="1" applyFont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166" fontId="2" fillId="6" borderId="2" xfId="0" applyNumberFormat="1" applyFont="1" applyFill="1" applyBorder="1" applyAlignment="1">
      <alignment vertical="top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24" sqref="B24"/>
    </sheetView>
  </sheetViews>
  <sheetFormatPr defaultRowHeight="13.2" x14ac:dyDescent="0.25"/>
  <cols>
    <col min="1" max="1" width="31.88671875" customWidth="1"/>
    <col min="2" max="2" width="38.21875" customWidth="1"/>
    <col min="3" max="3" width="34.77734375" customWidth="1"/>
  </cols>
  <sheetData>
    <row r="1" spans="1:3" ht="13.8" x14ac:dyDescent="0.3">
      <c r="A1" s="195" t="s">
        <v>245</v>
      </c>
      <c r="B1" s="195"/>
      <c r="C1" s="195"/>
    </row>
    <row r="2" spans="1:3" ht="13.8" x14ac:dyDescent="0.3">
      <c r="A2" s="195" t="s">
        <v>246</v>
      </c>
      <c r="B2" s="195"/>
      <c r="C2" s="195"/>
    </row>
    <row r="3" spans="1:3" ht="30.6" customHeight="1" x14ac:dyDescent="0.25">
      <c r="A3" s="196" t="s">
        <v>204</v>
      </c>
      <c r="B3" s="197"/>
      <c r="C3" s="197"/>
    </row>
    <row r="4" spans="1:3" ht="55.2" customHeight="1" x14ac:dyDescent="0.25">
      <c r="A4" s="198" t="s">
        <v>247</v>
      </c>
      <c r="B4" s="198"/>
      <c r="C4" s="198"/>
    </row>
    <row r="5" spans="1:3" ht="21" customHeight="1" x14ac:dyDescent="0.25">
      <c r="A5" s="199" t="s">
        <v>248</v>
      </c>
      <c r="B5" s="199"/>
      <c r="C5" s="199"/>
    </row>
    <row r="6" spans="1:3" ht="52.2" customHeight="1" x14ac:dyDescent="0.25">
      <c r="A6" s="194" t="s">
        <v>249</v>
      </c>
      <c r="B6" s="194"/>
      <c r="C6" s="194"/>
    </row>
    <row r="7" spans="1:3" ht="13.8" x14ac:dyDescent="0.25">
      <c r="A7" s="200" t="s">
        <v>250</v>
      </c>
      <c r="B7" s="200"/>
      <c r="C7" s="200"/>
    </row>
    <row r="8" spans="1:3" ht="60" customHeight="1" x14ac:dyDescent="0.25">
      <c r="A8" s="198" t="s">
        <v>259</v>
      </c>
      <c r="B8" s="198"/>
      <c r="C8" s="198"/>
    </row>
    <row r="9" spans="1:3" s="61" customFormat="1" ht="28.8" customHeight="1" x14ac:dyDescent="0.25">
      <c r="A9" s="198" t="s">
        <v>261</v>
      </c>
      <c r="B9" s="198"/>
      <c r="C9" s="198"/>
    </row>
    <row r="10" spans="1:3" ht="34.200000000000003" customHeight="1" x14ac:dyDescent="0.25">
      <c r="A10" s="201" t="s">
        <v>251</v>
      </c>
      <c r="B10" s="201"/>
      <c r="C10" s="201"/>
    </row>
    <row r="11" spans="1:3" s="61" customFormat="1" ht="22.8" customHeight="1" x14ac:dyDescent="0.25">
      <c r="A11" s="203" t="s">
        <v>254</v>
      </c>
      <c r="B11" s="203"/>
      <c r="C11" s="203"/>
    </row>
    <row r="12" spans="1:3" ht="34.799999999999997" customHeight="1" x14ac:dyDescent="0.25">
      <c r="A12" s="198" t="s">
        <v>262</v>
      </c>
      <c r="B12" s="198"/>
      <c r="C12" s="198"/>
    </row>
    <row r="13" spans="1:3" ht="13.8" x14ac:dyDescent="0.25">
      <c r="A13" s="197" t="s">
        <v>252</v>
      </c>
      <c r="B13" s="197"/>
      <c r="C13" s="197"/>
    </row>
    <row r="14" spans="1:3" ht="60" customHeight="1" x14ac:dyDescent="0.25">
      <c r="A14" s="194" t="s">
        <v>260</v>
      </c>
      <c r="B14" s="194"/>
      <c r="C14" s="194"/>
    </row>
    <row r="15" spans="1:3" ht="27.6" customHeight="1" x14ac:dyDescent="0.25">
      <c r="A15" s="201" t="s">
        <v>253</v>
      </c>
      <c r="B15" s="201"/>
      <c r="C15" s="201"/>
    </row>
    <row r="16" spans="1:3" ht="7.2" customHeight="1" x14ac:dyDescent="0.25">
      <c r="A16" s="179"/>
      <c r="B16" s="179"/>
      <c r="C16" s="179"/>
    </row>
    <row r="17" spans="1:3" ht="13.8" x14ac:dyDescent="0.25">
      <c r="A17" s="203" t="s">
        <v>254</v>
      </c>
      <c r="B17" s="203"/>
      <c r="C17" s="203"/>
    </row>
    <row r="18" spans="1:3" ht="37.799999999999997" customHeight="1" x14ac:dyDescent="0.25">
      <c r="A18" s="198" t="s">
        <v>255</v>
      </c>
      <c r="B18" s="198"/>
      <c r="C18" s="198"/>
    </row>
    <row r="19" spans="1:3" ht="13.8" x14ac:dyDescent="0.25">
      <c r="A19" s="198" t="s">
        <v>256</v>
      </c>
      <c r="B19" s="198"/>
      <c r="C19" s="198"/>
    </row>
    <row r="20" spans="1:3" ht="13.8" x14ac:dyDescent="0.25">
      <c r="A20" s="179"/>
      <c r="B20" s="179"/>
      <c r="C20" s="179"/>
    </row>
    <row r="21" spans="1:3" ht="13.8" x14ac:dyDescent="0.3">
      <c r="A21" s="180" t="s">
        <v>257</v>
      </c>
      <c r="B21" s="181"/>
      <c r="C21" s="180"/>
    </row>
    <row r="22" spans="1:3" ht="13.8" x14ac:dyDescent="0.25">
      <c r="A22" s="202"/>
      <c r="B22" s="202"/>
      <c r="C22" s="202"/>
    </row>
    <row r="23" spans="1:3" ht="13.8" x14ac:dyDescent="0.3">
      <c r="A23" s="180"/>
      <c r="B23" s="181">
        <f>НМЦ!F50</f>
        <v>110707869.59999999</v>
      </c>
      <c r="C23" s="180" t="s">
        <v>258</v>
      </c>
    </row>
  </sheetData>
  <mergeCells count="19">
    <mergeCell ref="A22:C22"/>
    <mergeCell ref="A9:C9"/>
    <mergeCell ref="A11:C11"/>
    <mergeCell ref="A15:C15"/>
    <mergeCell ref="A17:C17"/>
    <mergeCell ref="A18:C18"/>
    <mergeCell ref="A19:C19"/>
    <mergeCell ref="A14:C14"/>
    <mergeCell ref="A7:C7"/>
    <mergeCell ref="A8:C8"/>
    <mergeCell ref="A10:C10"/>
    <mergeCell ref="A12:C12"/>
    <mergeCell ref="A13:C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50"/>
  <sheetViews>
    <sheetView showGridLines="0" tabSelected="1" zoomScale="85" zoomScaleNormal="85" workbookViewId="0">
      <selection activeCell="C54" sqref="C54"/>
    </sheetView>
  </sheetViews>
  <sheetFormatPr defaultColWidth="9.109375" defaultRowHeight="13.2" x14ac:dyDescent="0.25"/>
  <cols>
    <col min="1" max="1" width="5" style="1" customWidth="1"/>
    <col min="2" max="2" width="19.33203125" style="24" hidden="1" customWidth="1"/>
    <col min="3" max="3" width="51.33203125" style="24" customWidth="1"/>
    <col min="4" max="4" width="25.109375" style="62" customWidth="1"/>
    <col min="5" max="5" width="19.88671875" style="62" customWidth="1"/>
    <col min="6" max="6" width="23.6640625" style="62" customWidth="1"/>
    <col min="7" max="16384" width="9.109375" style="62"/>
  </cols>
  <sheetData>
    <row r="1" spans="1:7" ht="27.6" customHeight="1" x14ac:dyDescent="0.25">
      <c r="A1" s="204" t="s">
        <v>265</v>
      </c>
      <c r="B1" s="204"/>
      <c r="C1" s="204"/>
      <c r="D1" s="204"/>
      <c r="E1" s="204"/>
      <c r="F1" s="204"/>
    </row>
    <row r="2" spans="1:7" ht="27.9" customHeight="1" x14ac:dyDescent="0.25">
      <c r="A2" s="205" t="s">
        <v>204</v>
      </c>
      <c r="B2" s="205"/>
      <c r="C2" s="205"/>
      <c r="D2" s="205"/>
      <c r="E2" s="205"/>
      <c r="F2" s="205"/>
    </row>
    <row r="3" spans="1:7" x14ac:dyDescent="0.25">
      <c r="A3" s="206"/>
      <c r="B3" s="206"/>
      <c r="C3" s="206"/>
      <c r="D3" s="206"/>
      <c r="E3" s="206"/>
      <c r="F3" s="206"/>
    </row>
    <row r="4" spans="1:7" ht="12.75" customHeight="1" x14ac:dyDescent="0.25">
      <c r="A4" s="219" t="s">
        <v>1</v>
      </c>
      <c r="B4" s="220" t="s">
        <v>10</v>
      </c>
      <c r="C4" s="220" t="s">
        <v>11</v>
      </c>
      <c r="D4" s="216" t="s">
        <v>237</v>
      </c>
      <c r="E4" s="216" t="s">
        <v>238</v>
      </c>
      <c r="F4" s="216" t="s">
        <v>239</v>
      </c>
    </row>
    <row r="5" spans="1:7" ht="13.2" customHeight="1" x14ac:dyDescent="0.25">
      <c r="A5" s="219"/>
      <c r="B5" s="220"/>
      <c r="C5" s="220"/>
      <c r="D5" s="217"/>
      <c r="E5" s="217"/>
      <c r="F5" s="217"/>
    </row>
    <row r="6" spans="1:7" x14ac:dyDescent="0.25">
      <c r="A6" s="219"/>
      <c r="B6" s="220"/>
      <c r="C6" s="220"/>
      <c r="D6" s="217"/>
      <c r="E6" s="217"/>
      <c r="F6" s="217"/>
    </row>
    <row r="7" spans="1:7" x14ac:dyDescent="0.25">
      <c r="A7" s="219"/>
      <c r="B7" s="220"/>
      <c r="C7" s="220"/>
      <c r="D7" s="218"/>
      <c r="E7" s="218"/>
      <c r="F7" s="218"/>
    </row>
    <row r="8" spans="1:7" x14ac:dyDescent="0.25">
      <c r="A8" s="176">
        <v>1</v>
      </c>
      <c r="B8" s="177">
        <v>2</v>
      </c>
      <c r="C8" s="177" t="s">
        <v>211</v>
      </c>
      <c r="D8" s="178">
        <v>3</v>
      </c>
      <c r="E8" s="178">
        <v>4</v>
      </c>
      <c r="F8" s="178">
        <v>5</v>
      </c>
    </row>
    <row r="9" spans="1:7" ht="22.8" customHeight="1" x14ac:dyDescent="0.25">
      <c r="A9" s="182">
        <v>1</v>
      </c>
      <c r="B9" s="183"/>
      <c r="C9" s="184" t="s">
        <v>207</v>
      </c>
      <c r="D9" s="185">
        <f>D10+D12</f>
        <v>4434387</v>
      </c>
      <c r="E9" s="186">
        <f>E10+E12</f>
        <v>886877.4</v>
      </c>
      <c r="F9" s="186">
        <f>F10+F12</f>
        <v>5321264.4000000004</v>
      </c>
      <c r="G9" s="175"/>
    </row>
    <row r="10" spans="1:7" hidden="1" x14ac:dyDescent="0.25">
      <c r="A10" s="187" t="s">
        <v>208</v>
      </c>
      <c r="B10" s="188"/>
      <c r="C10" s="188" t="s">
        <v>206</v>
      </c>
      <c r="D10" s="157">
        <f>'Затраты Подрядчика'!O55*1000*'Затраты Подрядчика'!F105</f>
        <v>4347440</v>
      </c>
      <c r="E10" s="189">
        <f>D10*0.2</f>
        <v>869488</v>
      </c>
      <c r="F10" s="189">
        <f>D10+E10</f>
        <v>5216928</v>
      </c>
      <c r="G10" s="175"/>
    </row>
    <row r="11" spans="1:7" ht="26.4" hidden="1" x14ac:dyDescent="0.25">
      <c r="A11" s="187">
        <v>1</v>
      </c>
      <c r="B11" s="190" t="s">
        <v>19</v>
      </c>
      <c r="C11" s="190" t="s">
        <v>20</v>
      </c>
      <c r="D11" s="162"/>
      <c r="E11" s="166"/>
      <c r="F11" s="166"/>
      <c r="G11" s="175"/>
    </row>
    <row r="12" spans="1:7" hidden="1" x14ac:dyDescent="0.25">
      <c r="A12" s="187" t="s">
        <v>209</v>
      </c>
      <c r="B12" s="190"/>
      <c r="C12" s="190" t="s">
        <v>210</v>
      </c>
      <c r="D12" s="157">
        <f>'Затраты Подрядчика'!Q55*1000*'Затраты Подрядчика'!F105</f>
        <v>86947</v>
      </c>
      <c r="E12" s="189">
        <f>D12*0.2</f>
        <v>17389.400000000001</v>
      </c>
      <c r="F12" s="189">
        <f>D12+E12</f>
        <v>104336.4</v>
      </c>
      <c r="G12" s="175"/>
    </row>
    <row r="13" spans="1:7" ht="33" customHeight="1" x14ac:dyDescent="0.25">
      <c r="A13" s="191" t="s">
        <v>211</v>
      </c>
      <c r="B13" s="192"/>
      <c r="C13" s="192" t="s">
        <v>266</v>
      </c>
      <c r="D13" s="185">
        <f>D14+D15+D19+D20+D21+D22+D23+D24+D25+D26+D27+D28+D29+D30+D31+D32+D33+D34+D35+D45+D46+D47+D48+D49</f>
        <v>87822171</v>
      </c>
      <c r="E13" s="186">
        <f>E14+E15+E19+E20+E21+E22+E23+E24+E25+E26+E27+E28+E29+E30+E31+E32+E33+E34+E35+E45+E46+E47+E48+E49</f>
        <v>17564434.199999999</v>
      </c>
      <c r="F13" s="186">
        <f>F14+F15+F19+F20+F21+F22+F23+F24+F25+F26+F27+F28+F29+F30+F31+F32+F33+F34+F35+F45+F46+F47+F48+F49</f>
        <v>105386605.2</v>
      </c>
      <c r="G13" s="175"/>
    </row>
    <row r="14" spans="1:7" ht="26.4" hidden="1" customHeight="1" x14ac:dyDescent="0.25">
      <c r="A14" s="187" t="s">
        <v>213</v>
      </c>
      <c r="B14" s="192"/>
      <c r="C14" s="190" t="s">
        <v>20</v>
      </c>
      <c r="D14" s="157">
        <f>'Затраты Подрядчика'!U12</f>
        <v>160745</v>
      </c>
      <c r="E14" s="189">
        <f>D14*0.2</f>
        <v>32149</v>
      </c>
      <c r="F14" s="189">
        <f>D14+E14</f>
        <v>192894</v>
      </c>
      <c r="G14" s="175"/>
    </row>
    <row r="15" spans="1:7" hidden="1" x14ac:dyDescent="0.25">
      <c r="A15" s="193" t="s">
        <v>214</v>
      </c>
      <c r="B15" s="161" t="s">
        <v>21</v>
      </c>
      <c r="C15" s="161" t="s">
        <v>22</v>
      </c>
      <c r="D15" s="157">
        <f>'Затраты Подрядчика'!U13</f>
        <v>585160</v>
      </c>
      <c r="E15" s="173">
        <f>D15*0.2</f>
        <v>117032</v>
      </c>
      <c r="F15" s="173">
        <f>D15+E15</f>
        <v>702192</v>
      </c>
      <c r="G15" s="175"/>
    </row>
    <row r="16" spans="1:7" ht="27.9" hidden="1" customHeight="1" x14ac:dyDescent="0.25">
      <c r="A16" s="165"/>
      <c r="B16" s="207" t="s">
        <v>23</v>
      </c>
      <c r="C16" s="208"/>
      <c r="D16" s="166"/>
      <c r="E16" s="158"/>
      <c r="F16" s="158"/>
      <c r="G16" s="175"/>
    </row>
    <row r="17" spans="1:7" hidden="1" x14ac:dyDescent="0.25">
      <c r="A17" s="211" t="s">
        <v>24</v>
      </c>
      <c r="B17" s="213"/>
      <c r="C17" s="213"/>
      <c r="D17" s="166"/>
      <c r="E17" s="158"/>
      <c r="F17" s="158"/>
      <c r="G17" s="175"/>
    </row>
    <row r="18" spans="1:7" hidden="1" x14ac:dyDescent="0.25">
      <c r="A18" s="193"/>
      <c r="B18" s="161" t="s">
        <v>25</v>
      </c>
      <c r="C18" s="161" t="s">
        <v>26</v>
      </c>
      <c r="D18" s="166"/>
      <c r="E18" s="158"/>
      <c r="F18" s="158"/>
      <c r="G18" s="175"/>
    </row>
    <row r="19" spans="1:7" ht="26.4" hidden="1" x14ac:dyDescent="0.25">
      <c r="A19" s="193" t="s">
        <v>215</v>
      </c>
      <c r="B19" s="161" t="s">
        <v>106</v>
      </c>
      <c r="C19" s="161" t="s">
        <v>107</v>
      </c>
      <c r="D19" s="157">
        <f>'Затраты Подрядчика'!U17</f>
        <v>1306023</v>
      </c>
      <c r="E19" s="173">
        <f t="shared" ref="E19:E35" si="0">D19*0.2</f>
        <v>261204.6</v>
      </c>
      <c r="F19" s="173">
        <f t="shared" ref="F19:F35" si="1">D19+E19</f>
        <v>1567227.6</v>
      </c>
      <c r="G19" s="175"/>
    </row>
    <row r="20" spans="1:7" ht="26.4" hidden="1" x14ac:dyDescent="0.25">
      <c r="A20" s="193" t="s">
        <v>216</v>
      </c>
      <c r="B20" s="161" t="s">
        <v>108</v>
      </c>
      <c r="C20" s="161" t="s">
        <v>109</v>
      </c>
      <c r="D20" s="157">
        <f>'Затраты Подрядчика'!U18</f>
        <v>1933299</v>
      </c>
      <c r="E20" s="173">
        <f t="shared" si="0"/>
        <v>386659.8</v>
      </c>
      <c r="F20" s="173">
        <f t="shared" si="1"/>
        <v>2319958.7999999998</v>
      </c>
      <c r="G20" s="175"/>
    </row>
    <row r="21" spans="1:7" ht="26.4" hidden="1" x14ac:dyDescent="0.25">
      <c r="A21" s="193" t="s">
        <v>217</v>
      </c>
      <c r="B21" s="161" t="s">
        <v>110</v>
      </c>
      <c r="C21" s="161" t="s">
        <v>111</v>
      </c>
      <c r="D21" s="157">
        <f>'Затраты Подрядчика'!U19</f>
        <v>13575901</v>
      </c>
      <c r="E21" s="173">
        <f t="shared" si="0"/>
        <v>2715180.2</v>
      </c>
      <c r="F21" s="173">
        <f t="shared" si="1"/>
        <v>16291081.199999999</v>
      </c>
      <c r="G21" s="175"/>
    </row>
    <row r="22" spans="1:7" ht="26.4" hidden="1" x14ac:dyDescent="0.25">
      <c r="A22" s="193" t="s">
        <v>218</v>
      </c>
      <c r="B22" s="161" t="s">
        <v>112</v>
      </c>
      <c r="C22" s="161" t="s">
        <v>113</v>
      </c>
      <c r="D22" s="157">
        <f>'Затраты Подрядчика'!U20</f>
        <v>10432704</v>
      </c>
      <c r="E22" s="173">
        <f t="shared" si="0"/>
        <v>2086540.8</v>
      </c>
      <c r="F22" s="173">
        <f t="shared" si="1"/>
        <v>12519244.800000001</v>
      </c>
      <c r="G22" s="175"/>
    </row>
    <row r="23" spans="1:7" ht="26.4" hidden="1" x14ac:dyDescent="0.25">
      <c r="A23" s="193" t="s">
        <v>219</v>
      </c>
      <c r="B23" s="161" t="s">
        <v>114</v>
      </c>
      <c r="C23" s="161" t="s">
        <v>115</v>
      </c>
      <c r="D23" s="157">
        <f>'Затраты Подрядчика'!U21</f>
        <v>3131087</v>
      </c>
      <c r="E23" s="173">
        <f t="shared" si="0"/>
        <v>626217.4</v>
      </c>
      <c r="F23" s="173">
        <f t="shared" si="1"/>
        <v>3757304.4</v>
      </c>
      <c r="G23" s="175"/>
    </row>
    <row r="24" spans="1:7" ht="26.4" hidden="1" x14ac:dyDescent="0.25">
      <c r="A24" s="193" t="s">
        <v>220</v>
      </c>
      <c r="B24" s="161" t="s">
        <v>116</v>
      </c>
      <c r="C24" s="161" t="s">
        <v>117</v>
      </c>
      <c r="D24" s="157">
        <f>'Затраты Подрядчика'!U22</f>
        <v>6228238</v>
      </c>
      <c r="E24" s="173">
        <f t="shared" si="0"/>
        <v>1245647.6000000001</v>
      </c>
      <c r="F24" s="173">
        <f t="shared" si="1"/>
        <v>7473885.5999999996</v>
      </c>
      <c r="G24" s="175"/>
    </row>
    <row r="25" spans="1:7" ht="39.6" hidden="1" x14ac:dyDescent="0.25">
      <c r="A25" s="193" t="s">
        <v>221</v>
      </c>
      <c r="B25" s="161" t="s">
        <v>118</v>
      </c>
      <c r="C25" s="161" t="s">
        <v>119</v>
      </c>
      <c r="D25" s="157">
        <f>'Затраты Подрядчика'!U23</f>
        <v>1198335</v>
      </c>
      <c r="E25" s="173">
        <f t="shared" si="0"/>
        <v>239667</v>
      </c>
      <c r="F25" s="173">
        <f t="shared" si="1"/>
        <v>1438002</v>
      </c>
      <c r="G25" s="175"/>
    </row>
    <row r="26" spans="1:7" ht="39.6" hidden="1" x14ac:dyDescent="0.25">
      <c r="A26" s="193" t="s">
        <v>222</v>
      </c>
      <c r="B26" s="161" t="s">
        <v>120</v>
      </c>
      <c r="C26" s="161" t="s">
        <v>121</v>
      </c>
      <c r="D26" s="157">
        <f>'Затраты Подрядчика'!U24</f>
        <v>1237057</v>
      </c>
      <c r="E26" s="173">
        <f t="shared" si="0"/>
        <v>247411.4</v>
      </c>
      <c r="F26" s="173">
        <f t="shared" si="1"/>
        <v>1484468.4</v>
      </c>
      <c r="G26" s="175"/>
    </row>
    <row r="27" spans="1:7" ht="26.4" hidden="1" x14ac:dyDescent="0.25">
      <c r="A27" s="193" t="s">
        <v>223</v>
      </c>
      <c r="B27" s="161" t="s">
        <v>122</v>
      </c>
      <c r="C27" s="161" t="s">
        <v>123</v>
      </c>
      <c r="D27" s="157">
        <f>'Затраты Подрядчика'!U25</f>
        <v>939181</v>
      </c>
      <c r="E27" s="173">
        <f t="shared" si="0"/>
        <v>187836.2</v>
      </c>
      <c r="F27" s="173">
        <f t="shared" si="1"/>
        <v>1127017.2</v>
      </c>
      <c r="G27" s="175"/>
    </row>
    <row r="28" spans="1:7" ht="26.4" hidden="1" x14ac:dyDescent="0.25">
      <c r="A28" s="193" t="s">
        <v>224</v>
      </c>
      <c r="B28" s="161" t="s">
        <v>124</v>
      </c>
      <c r="C28" s="161" t="s">
        <v>125</v>
      </c>
      <c r="D28" s="157">
        <f>'Затраты Подрядчика'!U26</f>
        <v>14988</v>
      </c>
      <c r="E28" s="173">
        <f t="shared" si="0"/>
        <v>2997.6</v>
      </c>
      <c r="F28" s="173">
        <f t="shared" si="1"/>
        <v>17985.599999999999</v>
      </c>
      <c r="G28" s="175"/>
    </row>
    <row r="29" spans="1:7" ht="26.4" hidden="1" x14ac:dyDescent="0.25">
      <c r="A29" s="193" t="s">
        <v>225</v>
      </c>
      <c r="B29" s="161" t="s">
        <v>126</v>
      </c>
      <c r="C29" s="161" t="s">
        <v>127</v>
      </c>
      <c r="D29" s="157">
        <f>'Затраты Подрядчика'!U27</f>
        <v>1646408</v>
      </c>
      <c r="E29" s="173">
        <f t="shared" si="0"/>
        <v>329281.59999999998</v>
      </c>
      <c r="F29" s="173">
        <f t="shared" si="1"/>
        <v>1975689.6</v>
      </c>
      <c r="G29" s="175"/>
    </row>
    <row r="30" spans="1:7" ht="26.4" hidden="1" x14ac:dyDescent="0.25">
      <c r="A30" s="193" t="s">
        <v>226</v>
      </c>
      <c r="B30" s="161" t="s">
        <v>128</v>
      </c>
      <c r="C30" s="161" t="s">
        <v>129</v>
      </c>
      <c r="D30" s="157">
        <f>'Затраты Подрядчика'!U28</f>
        <v>31093102</v>
      </c>
      <c r="E30" s="173">
        <f t="shared" si="0"/>
        <v>6218620.4000000004</v>
      </c>
      <c r="F30" s="173">
        <f t="shared" si="1"/>
        <v>37311722.399999999</v>
      </c>
      <c r="G30" s="175"/>
    </row>
    <row r="31" spans="1:7" ht="26.4" hidden="1" x14ac:dyDescent="0.25">
      <c r="A31" s="193" t="s">
        <v>227</v>
      </c>
      <c r="B31" s="161" t="s">
        <v>130</v>
      </c>
      <c r="C31" s="161" t="s">
        <v>131</v>
      </c>
      <c r="D31" s="157">
        <f>'Затраты Подрядчика'!U29</f>
        <v>6051398</v>
      </c>
      <c r="E31" s="173">
        <f t="shared" si="0"/>
        <v>1210279.6000000001</v>
      </c>
      <c r="F31" s="173">
        <f t="shared" si="1"/>
        <v>7261677.5999999996</v>
      </c>
      <c r="G31" s="175"/>
    </row>
    <row r="32" spans="1:7" ht="26.4" hidden="1" x14ac:dyDescent="0.25">
      <c r="A32" s="193" t="s">
        <v>228</v>
      </c>
      <c r="B32" s="161" t="s">
        <v>132</v>
      </c>
      <c r="C32" s="161" t="s">
        <v>133</v>
      </c>
      <c r="D32" s="157">
        <f>'Затраты Подрядчика'!U30</f>
        <v>1457148</v>
      </c>
      <c r="E32" s="173">
        <f t="shared" si="0"/>
        <v>291429.59999999998</v>
      </c>
      <c r="F32" s="173">
        <f t="shared" si="1"/>
        <v>1748577.6</v>
      </c>
      <c r="G32" s="175"/>
    </row>
    <row r="33" spans="1:7" ht="26.4" hidden="1" x14ac:dyDescent="0.25">
      <c r="A33" s="193" t="s">
        <v>229</v>
      </c>
      <c r="B33" s="161" t="s">
        <v>134</v>
      </c>
      <c r="C33" s="161" t="s">
        <v>135</v>
      </c>
      <c r="D33" s="157">
        <f>'Затраты Подрядчика'!U31</f>
        <v>2637133</v>
      </c>
      <c r="E33" s="173">
        <f t="shared" si="0"/>
        <v>527426.6</v>
      </c>
      <c r="F33" s="173">
        <f t="shared" si="1"/>
        <v>3164559.6</v>
      </c>
      <c r="G33" s="175"/>
    </row>
    <row r="34" spans="1:7" ht="39.6" hidden="1" x14ac:dyDescent="0.25">
      <c r="A34" s="193" t="s">
        <v>230</v>
      </c>
      <c r="B34" s="161" t="s">
        <v>136</v>
      </c>
      <c r="C34" s="161" t="s">
        <v>137</v>
      </c>
      <c r="D34" s="157">
        <f>'Затраты Подрядчика'!U32</f>
        <v>145761</v>
      </c>
      <c r="E34" s="173">
        <f t="shared" si="0"/>
        <v>29152.2</v>
      </c>
      <c r="F34" s="173">
        <f t="shared" si="1"/>
        <v>174913.2</v>
      </c>
      <c r="G34" s="175"/>
    </row>
    <row r="35" spans="1:7" ht="26.4" hidden="1" x14ac:dyDescent="0.25">
      <c r="A35" s="193" t="s">
        <v>231</v>
      </c>
      <c r="B35" s="161" t="s">
        <v>138</v>
      </c>
      <c r="C35" s="161" t="s">
        <v>139</v>
      </c>
      <c r="D35" s="157">
        <f>'Затраты Подрядчика'!U33</f>
        <v>1850088</v>
      </c>
      <c r="E35" s="173">
        <f t="shared" si="0"/>
        <v>370017.6</v>
      </c>
      <c r="F35" s="173">
        <f t="shared" si="1"/>
        <v>2220105.6</v>
      </c>
      <c r="G35" s="175"/>
    </row>
    <row r="36" spans="1:7" ht="27.9" hidden="1" customHeight="1" x14ac:dyDescent="0.25">
      <c r="A36" s="167"/>
      <c r="B36" s="209" t="s">
        <v>27</v>
      </c>
      <c r="C36" s="210"/>
      <c r="D36" s="168"/>
      <c r="E36" s="158"/>
      <c r="F36" s="158"/>
      <c r="G36" s="175"/>
    </row>
    <row r="37" spans="1:7" hidden="1" x14ac:dyDescent="0.25">
      <c r="A37" s="167"/>
      <c r="B37" s="214" t="s">
        <v>28</v>
      </c>
      <c r="C37" s="215"/>
      <c r="D37" s="168"/>
      <c r="E37" s="158"/>
      <c r="F37" s="158"/>
      <c r="G37" s="175"/>
    </row>
    <row r="38" spans="1:7" hidden="1" x14ac:dyDescent="0.25">
      <c r="A38" s="211" t="s">
        <v>29</v>
      </c>
      <c r="B38" s="212"/>
      <c r="C38" s="212"/>
      <c r="D38" s="168"/>
      <c r="E38" s="158"/>
      <c r="F38" s="158"/>
      <c r="G38" s="175"/>
    </row>
    <row r="39" spans="1:7" ht="26.4" hidden="1" x14ac:dyDescent="0.25">
      <c r="A39" s="193">
        <v>4</v>
      </c>
      <c r="B39" s="161" t="s">
        <v>30</v>
      </c>
      <c r="C39" s="161" t="s">
        <v>31</v>
      </c>
      <c r="D39" s="168"/>
      <c r="E39" s="158"/>
      <c r="F39" s="158"/>
      <c r="G39" s="175"/>
    </row>
    <row r="40" spans="1:7" hidden="1" x14ac:dyDescent="0.25">
      <c r="A40" s="169"/>
      <c r="B40" s="209" t="s">
        <v>32</v>
      </c>
      <c r="C40" s="210"/>
      <c r="D40" s="168"/>
      <c r="E40" s="158"/>
      <c r="F40" s="158"/>
      <c r="G40" s="175"/>
    </row>
    <row r="41" spans="1:7" hidden="1" x14ac:dyDescent="0.25">
      <c r="A41" s="169"/>
      <c r="B41" s="209" t="s">
        <v>33</v>
      </c>
      <c r="C41" s="210"/>
      <c r="D41" s="168"/>
      <c r="E41" s="158"/>
      <c r="F41" s="158"/>
      <c r="G41" s="175"/>
    </row>
    <row r="42" spans="1:7" hidden="1" x14ac:dyDescent="0.25">
      <c r="A42" s="211" t="s">
        <v>34</v>
      </c>
      <c r="B42" s="212"/>
      <c r="C42" s="212"/>
      <c r="D42" s="168"/>
      <c r="E42" s="158"/>
      <c r="F42" s="158"/>
      <c r="G42" s="175"/>
    </row>
    <row r="43" spans="1:7" ht="39.6" hidden="1" x14ac:dyDescent="0.25">
      <c r="A43" s="193">
        <v>5</v>
      </c>
      <c r="B43" s="161" t="s">
        <v>35</v>
      </c>
      <c r="C43" s="161" t="s">
        <v>36</v>
      </c>
      <c r="D43" s="168"/>
      <c r="E43" s="158"/>
      <c r="F43" s="158"/>
      <c r="G43" s="175"/>
    </row>
    <row r="44" spans="1:7" hidden="1" x14ac:dyDescent="0.25">
      <c r="A44" s="193">
        <v>6</v>
      </c>
      <c r="B44" s="161" t="s">
        <v>37</v>
      </c>
      <c r="C44" s="161" t="s">
        <v>38</v>
      </c>
      <c r="D44" s="168"/>
      <c r="E44" s="158"/>
      <c r="F44" s="158"/>
      <c r="G44" s="175"/>
    </row>
    <row r="45" spans="1:7" ht="26.4" hidden="1" x14ac:dyDescent="0.25">
      <c r="A45" s="193" t="s">
        <v>232</v>
      </c>
      <c r="B45" s="161" t="s">
        <v>140</v>
      </c>
      <c r="C45" s="161" t="s">
        <v>141</v>
      </c>
      <c r="D45" s="157">
        <f>'Затраты Подрядчика'!U43</f>
        <v>99550</v>
      </c>
      <c r="E45" s="173">
        <f>D45*0.2</f>
        <v>19910</v>
      </c>
      <c r="F45" s="173">
        <f>D45+E45</f>
        <v>119460</v>
      </c>
      <c r="G45" s="175"/>
    </row>
    <row r="46" spans="1:7" ht="26.4" hidden="1" x14ac:dyDescent="0.25">
      <c r="A46" s="193" t="s">
        <v>233</v>
      </c>
      <c r="B46" s="161" t="s">
        <v>142</v>
      </c>
      <c r="C46" s="161" t="s">
        <v>143</v>
      </c>
      <c r="D46" s="157">
        <f>'Затраты Подрядчика'!U44</f>
        <v>342706</v>
      </c>
      <c r="E46" s="173">
        <f>D46*0.2</f>
        <v>68541.2</v>
      </c>
      <c r="F46" s="173">
        <f>D46+E46</f>
        <v>411247.2</v>
      </c>
      <c r="G46" s="175"/>
    </row>
    <row r="47" spans="1:7" ht="26.4" hidden="1" x14ac:dyDescent="0.25">
      <c r="A47" s="193" t="s">
        <v>234</v>
      </c>
      <c r="B47" s="161" t="s">
        <v>144</v>
      </c>
      <c r="C47" s="161" t="s">
        <v>145</v>
      </c>
      <c r="D47" s="157">
        <f>'Затраты Подрядчика'!U45</f>
        <v>6880</v>
      </c>
      <c r="E47" s="173">
        <f>D47*0.2</f>
        <v>1376</v>
      </c>
      <c r="F47" s="173">
        <f>D47+E47</f>
        <v>8256</v>
      </c>
      <c r="G47" s="175"/>
    </row>
    <row r="48" spans="1:7" ht="26.4" hidden="1" x14ac:dyDescent="0.25">
      <c r="A48" s="193" t="s">
        <v>235</v>
      </c>
      <c r="B48" s="161" t="s">
        <v>146</v>
      </c>
      <c r="C48" s="161" t="s">
        <v>147</v>
      </c>
      <c r="D48" s="157">
        <f>'Затраты Подрядчика'!U46</f>
        <v>26406</v>
      </c>
      <c r="E48" s="173">
        <f>D48*0.2</f>
        <v>5281.2</v>
      </c>
      <c r="F48" s="173">
        <f>D48+E48</f>
        <v>31687.200000000001</v>
      </c>
      <c r="G48" s="175"/>
    </row>
    <row r="49" spans="1:7" ht="22.2" hidden="1" customHeight="1" x14ac:dyDescent="0.25">
      <c r="A49" s="170" t="s">
        <v>264</v>
      </c>
      <c r="B49" s="156"/>
      <c r="C49" s="156" t="s">
        <v>236</v>
      </c>
      <c r="D49" s="157">
        <f>('Затраты Подрядчика'!Q63-'Затраты Подрядчика'!Q55)*1000*'Затраты Подрядчика'!F133</f>
        <v>1722873</v>
      </c>
      <c r="E49" s="173">
        <f>D49*0.2</f>
        <v>344574.6</v>
      </c>
      <c r="F49" s="173">
        <f>D49+E49</f>
        <v>2067447.6</v>
      </c>
      <c r="G49" s="175"/>
    </row>
    <row r="50" spans="1:7" ht="27.6" customHeight="1" x14ac:dyDescent="0.25">
      <c r="A50" s="171"/>
      <c r="B50" s="172"/>
      <c r="C50" s="172" t="s">
        <v>244</v>
      </c>
      <c r="D50" s="159">
        <f>D9+D13</f>
        <v>92256558</v>
      </c>
      <c r="E50" s="174">
        <f>E9+E13</f>
        <v>18451311.600000001</v>
      </c>
      <c r="F50" s="174">
        <f>F9+F13</f>
        <v>110707869.59999999</v>
      </c>
      <c r="G50" s="175"/>
    </row>
  </sheetData>
  <mergeCells count="16">
    <mergeCell ref="B41:C41"/>
    <mergeCell ref="A42:C42"/>
    <mergeCell ref="B16:C16"/>
    <mergeCell ref="A17:C17"/>
    <mergeCell ref="B36:C36"/>
    <mergeCell ref="B37:C37"/>
    <mergeCell ref="A38:C38"/>
    <mergeCell ref="B40:C40"/>
    <mergeCell ref="A1:F1"/>
    <mergeCell ref="A2:F3"/>
    <mergeCell ref="A4:A7"/>
    <mergeCell ref="B4:B7"/>
    <mergeCell ref="C4:C7"/>
    <mergeCell ref="D4:D7"/>
    <mergeCell ref="E4:E7"/>
    <mergeCell ref="F4:F7"/>
  </mergeCells>
  <pageMargins left="0.42" right="0.25" top="0.5" bottom="0.52" header="0.3" footer="0.3"/>
  <pageSetup paperSize="9" scale="89" fitToHeight="10000" orientation="landscape" r:id="rId1"/>
  <headerFooter alignWithMargins="0">
    <oddHeader>&amp;LГРАНД-Смета 2019</oddHeader>
    <oddFooter>&amp;LД-ДРП-18-002-3995&amp;C01&amp;RСтраница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50"/>
  <sheetViews>
    <sheetView showGridLines="0" topLeftCell="A22" zoomScale="85" zoomScaleNormal="85" workbookViewId="0">
      <selection activeCell="D49" sqref="D49"/>
    </sheetView>
  </sheetViews>
  <sheetFormatPr defaultColWidth="9.109375" defaultRowHeight="13.2" x14ac:dyDescent="0.25"/>
  <cols>
    <col min="1" max="1" width="5" style="1" customWidth="1"/>
    <col min="2" max="2" width="19.33203125" style="24" hidden="1" customWidth="1"/>
    <col min="3" max="3" width="51.33203125" style="24" customWidth="1"/>
    <col min="4" max="4" width="25.109375" style="62" customWidth="1"/>
    <col min="5" max="5" width="19.88671875" style="62" customWidth="1"/>
    <col min="6" max="6" width="23.6640625" style="62" customWidth="1"/>
    <col min="7" max="16384" width="9.109375" style="62"/>
  </cols>
  <sheetData>
    <row r="1" spans="1:7" ht="27.6" customHeight="1" x14ac:dyDescent="0.25">
      <c r="A1" s="204" t="s">
        <v>203</v>
      </c>
      <c r="B1" s="204"/>
      <c r="C1" s="204"/>
      <c r="D1" s="204"/>
      <c r="E1" s="204"/>
      <c r="F1" s="204"/>
    </row>
    <row r="2" spans="1:7" ht="27.9" customHeight="1" x14ac:dyDescent="0.25">
      <c r="A2" s="205" t="s">
        <v>204</v>
      </c>
      <c r="B2" s="205"/>
      <c r="C2" s="205"/>
      <c r="D2" s="205"/>
      <c r="E2" s="205"/>
      <c r="F2" s="205"/>
    </row>
    <row r="3" spans="1:7" x14ac:dyDescent="0.25">
      <c r="A3" s="206"/>
      <c r="B3" s="206"/>
      <c r="C3" s="206"/>
      <c r="D3" s="206"/>
      <c r="E3" s="206"/>
      <c r="F3" s="206"/>
    </row>
    <row r="4" spans="1:7" ht="12.75" customHeight="1" x14ac:dyDescent="0.25">
      <c r="A4" s="219" t="s">
        <v>1</v>
      </c>
      <c r="B4" s="220" t="s">
        <v>10</v>
      </c>
      <c r="C4" s="220" t="s">
        <v>11</v>
      </c>
      <c r="D4" s="216" t="s">
        <v>237</v>
      </c>
      <c r="E4" s="216" t="s">
        <v>238</v>
      </c>
      <c r="F4" s="216" t="s">
        <v>239</v>
      </c>
    </row>
    <row r="5" spans="1:7" ht="13.2" customHeight="1" x14ac:dyDescent="0.25">
      <c r="A5" s="219"/>
      <c r="B5" s="220"/>
      <c r="C5" s="220"/>
      <c r="D5" s="217"/>
      <c r="E5" s="217"/>
      <c r="F5" s="217"/>
    </row>
    <row r="6" spans="1:7" x14ac:dyDescent="0.25">
      <c r="A6" s="219"/>
      <c r="B6" s="220"/>
      <c r="C6" s="220"/>
      <c r="D6" s="217"/>
      <c r="E6" s="217"/>
      <c r="F6" s="217"/>
    </row>
    <row r="7" spans="1:7" x14ac:dyDescent="0.25">
      <c r="A7" s="219"/>
      <c r="B7" s="220"/>
      <c r="C7" s="220"/>
      <c r="D7" s="218"/>
      <c r="E7" s="218"/>
      <c r="F7" s="218"/>
    </row>
    <row r="8" spans="1:7" x14ac:dyDescent="0.25">
      <c r="A8" s="176">
        <v>1</v>
      </c>
      <c r="B8" s="177">
        <v>2</v>
      </c>
      <c r="C8" s="177" t="s">
        <v>211</v>
      </c>
      <c r="D8" s="178">
        <v>3</v>
      </c>
      <c r="E8" s="178">
        <v>4</v>
      </c>
      <c r="F8" s="178">
        <v>5</v>
      </c>
    </row>
    <row r="9" spans="1:7" ht="22.8" customHeight="1" x14ac:dyDescent="0.25">
      <c r="A9" s="152">
        <v>1</v>
      </c>
      <c r="B9" s="153"/>
      <c r="C9" s="154" t="s">
        <v>207</v>
      </c>
      <c r="D9" s="159">
        <f>D10+D12</f>
        <v>4434387</v>
      </c>
      <c r="E9" s="174">
        <f>E10+E12</f>
        <v>886877.4</v>
      </c>
      <c r="F9" s="174">
        <f>F10+F12</f>
        <v>5321264.4000000004</v>
      </c>
      <c r="G9" s="175"/>
    </row>
    <row r="10" spans="1:7" x14ac:dyDescent="0.25">
      <c r="A10" s="83" t="s">
        <v>208</v>
      </c>
      <c r="B10" s="160"/>
      <c r="C10" s="160" t="s">
        <v>206</v>
      </c>
      <c r="D10" s="157">
        <f>'Затраты Подрядчика'!O55*1000*'Затраты Подрядчика'!F105</f>
        <v>4347440</v>
      </c>
      <c r="E10" s="173">
        <f>D10*0.2</f>
        <v>869488</v>
      </c>
      <c r="F10" s="173">
        <f>D10+E10</f>
        <v>5216928</v>
      </c>
      <c r="G10" s="175"/>
    </row>
    <row r="11" spans="1:7" ht="26.4" hidden="1" x14ac:dyDescent="0.25">
      <c r="A11" s="83">
        <v>1</v>
      </c>
      <c r="B11" s="161" t="s">
        <v>19</v>
      </c>
      <c r="C11" s="161" t="s">
        <v>20</v>
      </c>
      <c r="D11" s="162"/>
      <c r="E11" s="158"/>
      <c r="F11" s="158"/>
      <c r="G11" s="175"/>
    </row>
    <row r="12" spans="1:7" x14ac:dyDescent="0.25">
      <c r="A12" s="83" t="s">
        <v>209</v>
      </c>
      <c r="B12" s="161"/>
      <c r="C12" s="161" t="s">
        <v>210</v>
      </c>
      <c r="D12" s="157">
        <f>'Затраты Подрядчика'!Q55*1000*'Затраты Подрядчика'!F105</f>
        <v>86947</v>
      </c>
      <c r="E12" s="173">
        <f>D12*0.2</f>
        <v>17389.400000000001</v>
      </c>
      <c r="F12" s="173">
        <f>D12+E12</f>
        <v>104336.4</v>
      </c>
      <c r="G12" s="175"/>
    </row>
    <row r="13" spans="1:7" ht="21.6" customHeight="1" x14ac:dyDescent="0.25">
      <c r="A13" s="163" t="s">
        <v>211</v>
      </c>
      <c r="B13" s="164"/>
      <c r="C13" s="164" t="s">
        <v>212</v>
      </c>
      <c r="D13" s="159">
        <f>D14+D15+D19+D20+D21+D22+D23+D24+D25+D26+D27+D28+D29+D30+D31+D32+D33+D34+D35+D45+D46+D47+D48+D49</f>
        <v>87822171</v>
      </c>
      <c r="E13" s="174">
        <f>E14+E15+E19+E20+E21+E22+E23+E24+E25+E26+E27+E28+E29+E30+E31+E32+E33+E34+E35+E45+E46+E47+E48+E49</f>
        <v>17564434.199999999</v>
      </c>
      <c r="F13" s="174">
        <f>F14+F15+F19+F20+F21+F22+F23+F24+F25+F26+F27+F28+F29+F30+F31+F32+F33+F34+F35+F45+F46+F47+F48+F49</f>
        <v>105386605.2</v>
      </c>
      <c r="G13" s="175"/>
    </row>
    <row r="14" spans="1:7" ht="26.4" customHeight="1" x14ac:dyDescent="0.25">
      <c r="A14" s="187" t="s">
        <v>213</v>
      </c>
      <c r="B14" s="192"/>
      <c r="C14" s="190" t="s">
        <v>20</v>
      </c>
      <c r="D14" s="157">
        <f>'Затраты Подрядчика'!U12</f>
        <v>160745</v>
      </c>
      <c r="E14" s="189">
        <f>D14*0.2</f>
        <v>32149</v>
      </c>
      <c r="F14" s="189">
        <f>D14+E14</f>
        <v>192894</v>
      </c>
      <c r="G14" s="175"/>
    </row>
    <row r="15" spans="1:7" x14ac:dyDescent="0.25">
      <c r="A15" s="83" t="s">
        <v>214</v>
      </c>
      <c r="B15" s="161" t="s">
        <v>21</v>
      </c>
      <c r="C15" s="161" t="s">
        <v>22</v>
      </c>
      <c r="D15" s="157">
        <f>'Затраты Подрядчика'!U13</f>
        <v>585160</v>
      </c>
      <c r="E15" s="173">
        <f>D15*0.2</f>
        <v>117032</v>
      </c>
      <c r="F15" s="173">
        <f>D15+E15</f>
        <v>702192</v>
      </c>
      <c r="G15" s="175"/>
    </row>
    <row r="16" spans="1:7" ht="27.9" hidden="1" customHeight="1" x14ac:dyDescent="0.25">
      <c r="A16" s="165"/>
      <c r="B16" s="207" t="s">
        <v>23</v>
      </c>
      <c r="C16" s="208"/>
      <c r="D16" s="166"/>
      <c r="E16" s="158"/>
      <c r="F16" s="158"/>
      <c r="G16" s="175"/>
    </row>
    <row r="17" spans="1:7" hidden="1" x14ac:dyDescent="0.25">
      <c r="A17" s="211" t="s">
        <v>24</v>
      </c>
      <c r="B17" s="213"/>
      <c r="C17" s="213"/>
      <c r="D17" s="166"/>
      <c r="E17" s="158"/>
      <c r="F17" s="158"/>
      <c r="G17" s="175"/>
    </row>
    <row r="18" spans="1:7" hidden="1" x14ac:dyDescent="0.25">
      <c r="A18" s="83"/>
      <c r="B18" s="161" t="s">
        <v>25</v>
      </c>
      <c r="C18" s="161" t="s">
        <v>26</v>
      </c>
      <c r="D18" s="166"/>
      <c r="E18" s="158"/>
      <c r="F18" s="158"/>
      <c r="G18" s="175"/>
    </row>
    <row r="19" spans="1:7" ht="26.4" x14ac:dyDescent="0.25">
      <c r="A19" s="83" t="s">
        <v>215</v>
      </c>
      <c r="B19" s="161" t="s">
        <v>106</v>
      </c>
      <c r="C19" s="161" t="s">
        <v>107</v>
      </c>
      <c r="D19" s="157">
        <f>'Затраты Подрядчика'!U17</f>
        <v>1306023</v>
      </c>
      <c r="E19" s="173">
        <f t="shared" ref="E19:E35" si="0">D19*0.2</f>
        <v>261204.6</v>
      </c>
      <c r="F19" s="173">
        <f t="shared" ref="F19:F35" si="1">D19+E19</f>
        <v>1567227.6</v>
      </c>
      <c r="G19" s="175"/>
    </row>
    <row r="20" spans="1:7" ht="26.4" x14ac:dyDescent="0.25">
      <c r="A20" s="83" t="s">
        <v>216</v>
      </c>
      <c r="B20" s="161" t="s">
        <v>108</v>
      </c>
      <c r="C20" s="161" t="s">
        <v>109</v>
      </c>
      <c r="D20" s="157">
        <f>'Затраты Подрядчика'!U18</f>
        <v>1933299</v>
      </c>
      <c r="E20" s="173">
        <f t="shared" si="0"/>
        <v>386659.8</v>
      </c>
      <c r="F20" s="173">
        <f t="shared" si="1"/>
        <v>2319958.7999999998</v>
      </c>
      <c r="G20" s="175"/>
    </row>
    <row r="21" spans="1:7" ht="26.4" x14ac:dyDescent="0.25">
      <c r="A21" s="83" t="s">
        <v>217</v>
      </c>
      <c r="B21" s="161" t="s">
        <v>110</v>
      </c>
      <c r="C21" s="161" t="s">
        <v>111</v>
      </c>
      <c r="D21" s="157">
        <f>'Затраты Подрядчика'!U19</f>
        <v>13575901</v>
      </c>
      <c r="E21" s="173">
        <f t="shared" si="0"/>
        <v>2715180.2</v>
      </c>
      <c r="F21" s="173">
        <f t="shared" si="1"/>
        <v>16291081.199999999</v>
      </c>
      <c r="G21" s="175"/>
    </row>
    <row r="22" spans="1:7" ht="26.4" x14ac:dyDescent="0.25">
      <c r="A22" s="83" t="s">
        <v>218</v>
      </c>
      <c r="B22" s="161" t="s">
        <v>112</v>
      </c>
      <c r="C22" s="161" t="s">
        <v>113</v>
      </c>
      <c r="D22" s="157">
        <f>'Затраты Подрядчика'!U20</f>
        <v>10432704</v>
      </c>
      <c r="E22" s="173">
        <f t="shared" si="0"/>
        <v>2086540.8</v>
      </c>
      <c r="F22" s="173">
        <f t="shared" si="1"/>
        <v>12519244.800000001</v>
      </c>
      <c r="G22" s="175"/>
    </row>
    <row r="23" spans="1:7" ht="26.4" x14ac:dyDescent="0.25">
      <c r="A23" s="83" t="s">
        <v>219</v>
      </c>
      <c r="B23" s="161" t="s">
        <v>114</v>
      </c>
      <c r="C23" s="161" t="s">
        <v>115</v>
      </c>
      <c r="D23" s="157">
        <f>'Затраты Подрядчика'!U21</f>
        <v>3131087</v>
      </c>
      <c r="E23" s="173">
        <f t="shared" si="0"/>
        <v>626217.4</v>
      </c>
      <c r="F23" s="173">
        <f t="shared" si="1"/>
        <v>3757304.4</v>
      </c>
      <c r="G23" s="175"/>
    </row>
    <row r="24" spans="1:7" ht="26.4" x14ac:dyDescent="0.25">
      <c r="A24" s="83" t="s">
        <v>220</v>
      </c>
      <c r="B24" s="161" t="s">
        <v>116</v>
      </c>
      <c r="C24" s="161" t="s">
        <v>117</v>
      </c>
      <c r="D24" s="157">
        <f>'Затраты Подрядчика'!U22</f>
        <v>6228238</v>
      </c>
      <c r="E24" s="173">
        <f t="shared" si="0"/>
        <v>1245647.6000000001</v>
      </c>
      <c r="F24" s="173">
        <f t="shared" si="1"/>
        <v>7473885.5999999996</v>
      </c>
      <c r="G24" s="175"/>
    </row>
    <row r="25" spans="1:7" ht="39.6" x14ac:dyDescent="0.25">
      <c r="A25" s="83" t="s">
        <v>221</v>
      </c>
      <c r="B25" s="161" t="s">
        <v>118</v>
      </c>
      <c r="C25" s="161" t="s">
        <v>119</v>
      </c>
      <c r="D25" s="157">
        <f>'Затраты Подрядчика'!U23</f>
        <v>1198335</v>
      </c>
      <c r="E25" s="173">
        <f t="shared" si="0"/>
        <v>239667</v>
      </c>
      <c r="F25" s="173">
        <f t="shared" si="1"/>
        <v>1438002</v>
      </c>
      <c r="G25" s="175"/>
    </row>
    <row r="26" spans="1:7" ht="39.6" x14ac:dyDescent="0.25">
      <c r="A26" s="83" t="s">
        <v>222</v>
      </c>
      <c r="B26" s="161" t="s">
        <v>120</v>
      </c>
      <c r="C26" s="161" t="s">
        <v>121</v>
      </c>
      <c r="D26" s="157">
        <f>'Затраты Подрядчика'!U24</f>
        <v>1237057</v>
      </c>
      <c r="E26" s="173">
        <f t="shared" si="0"/>
        <v>247411.4</v>
      </c>
      <c r="F26" s="173">
        <f t="shared" si="1"/>
        <v>1484468.4</v>
      </c>
      <c r="G26" s="175"/>
    </row>
    <row r="27" spans="1:7" ht="26.4" x14ac:dyDescent="0.25">
      <c r="A27" s="83" t="s">
        <v>223</v>
      </c>
      <c r="B27" s="161" t="s">
        <v>122</v>
      </c>
      <c r="C27" s="161" t="s">
        <v>123</v>
      </c>
      <c r="D27" s="157">
        <f>'Затраты Подрядчика'!U25</f>
        <v>939181</v>
      </c>
      <c r="E27" s="173">
        <f t="shared" si="0"/>
        <v>187836.2</v>
      </c>
      <c r="F27" s="173">
        <f t="shared" si="1"/>
        <v>1127017.2</v>
      </c>
      <c r="G27" s="175"/>
    </row>
    <row r="28" spans="1:7" ht="26.4" x14ac:dyDescent="0.25">
      <c r="A28" s="83" t="s">
        <v>224</v>
      </c>
      <c r="B28" s="161" t="s">
        <v>124</v>
      </c>
      <c r="C28" s="161" t="s">
        <v>125</v>
      </c>
      <c r="D28" s="157">
        <f>'Затраты Подрядчика'!U26</f>
        <v>14988</v>
      </c>
      <c r="E28" s="173">
        <f t="shared" si="0"/>
        <v>2997.6</v>
      </c>
      <c r="F28" s="173">
        <f t="shared" si="1"/>
        <v>17985.599999999999</v>
      </c>
      <c r="G28" s="175"/>
    </row>
    <row r="29" spans="1:7" ht="26.4" x14ac:dyDescent="0.25">
      <c r="A29" s="83" t="s">
        <v>225</v>
      </c>
      <c r="B29" s="161" t="s">
        <v>126</v>
      </c>
      <c r="C29" s="161" t="s">
        <v>127</v>
      </c>
      <c r="D29" s="157">
        <f>'Затраты Подрядчика'!U27</f>
        <v>1646408</v>
      </c>
      <c r="E29" s="173">
        <f t="shared" si="0"/>
        <v>329281.59999999998</v>
      </c>
      <c r="F29" s="173">
        <f t="shared" si="1"/>
        <v>1975689.6</v>
      </c>
      <c r="G29" s="175"/>
    </row>
    <row r="30" spans="1:7" ht="26.4" x14ac:dyDescent="0.25">
      <c r="A30" s="83" t="s">
        <v>226</v>
      </c>
      <c r="B30" s="161" t="s">
        <v>128</v>
      </c>
      <c r="C30" s="161" t="s">
        <v>129</v>
      </c>
      <c r="D30" s="157">
        <f>'Затраты Подрядчика'!U28</f>
        <v>31093102</v>
      </c>
      <c r="E30" s="173">
        <f t="shared" si="0"/>
        <v>6218620.4000000004</v>
      </c>
      <c r="F30" s="173">
        <f t="shared" si="1"/>
        <v>37311722.399999999</v>
      </c>
      <c r="G30" s="175"/>
    </row>
    <row r="31" spans="1:7" ht="26.4" x14ac:dyDescent="0.25">
      <c r="A31" s="83" t="s">
        <v>227</v>
      </c>
      <c r="B31" s="161" t="s">
        <v>130</v>
      </c>
      <c r="C31" s="161" t="s">
        <v>131</v>
      </c>
      <c r="D31" s="157">
        <f>'Затраты Подрядчика'!U29</f>
        <v>6051398</v>
      </c>
      <c r="E31" s="173">
        <f t="shared" si="0"/>
        <v>1210279.6000000001</v>
      </c>
      <c r="F31" s="173">
        <f t="shared" si="1"/>
        <v>7261677.5999999996</v>
      </c>
      <c r="G31" s="175"/>
    </row>
    <row r="32" spans="1:7" ht="26.4" x14ac:dyDescent="0.25">
      <c r="A32" s="83" t="s">
        <v>228</v>
      </c>
      <c r="B32" s="161" t="s">
        <v>132</v>
      </c>
      <c r="C32" s="161" t="s">
        <v>133</v>
      </c>
      <c r="D32" s="157">
        <f>'Затраты Подрядчика'!U30</f>
        <v>1457148</v>
      </c>
      <c r="E32" s="173">
        <f t="shared" si="0"/>
        <v>291429.59999999998</v>
      </c>
      <c r="F32" s="173">
        <f t="shared" si="1"/>
        <v>1748577.6</v>
      </c>
      <c r="G32" s="175"/>
    </row>
    <row r="33" spans="1:7" ht="26.4" x14ac:dyDescent="0.25">
      <c r="A33" s="83" t="s">
        <v>229</v>
      </c>
      <c r="B33" s="161" t="s">
        <v>134</v>
      </c>
      <c r="C33" s="161" t="s">
        <v>135</v>
      </c>
      <c r="D33" s="157">
        <f>'Затраты Подрядчика'!U31</f>
        <v>2637133</v>
      </c>
      <c r="E33" s="173">
        <f t="shared" si="0"/>
        <v>527426.6</v>
      </c>
      <c r="F33" s="173">
        <f t="shared" si="1"/>
        <v>3164559.6</v>
      </c>
      <c r="G33" s="175"/>
    </row>
    <row r="34" spans="1:7" ht="39.6" x14ac:dyDescent="0.25">
      <c r="A34" s="83" t="s">
        <v>230</v>
      </c>
      <c r="B34" s="161" t="s">
        <v>136</v>
      </c>
      <c r="C34" s="161" t="s">
        <v>137</v>
      </c>
      <c r="D34" s="157">
        <f>'Затраты Подрядчика'!U32</f>
        <v>145761</v>
      </c>
      <c r="E34" s="173">
        <f t="shared" si="0"/>
        <v>29152.2</v>
      </c>
      <c r="F34" s="173">
        <f t="shared" si="1"/>
        <v>174913.2</v>
      </c>
      <c r="G34" s="175"/>
    </row>
    <row r="35" spans="1:7" ht="26.4" x14ac:dyDescent="0.25">
      <c r="A35" s="83" t="s">
        <v>231</v>
      </c>
      <c r="B35" s="161" t="s">
        <v>138</v>
      </c>
      <c r="C35" s="161" t="s">
        <v>139</v>
      </c>
      <c r="D35" s="157">
        <f>'Затраты Подрядчика'!U33</f>
        <v>1850088</v>
      </c>
      <c r="E35" s="173">
        <f t="shared" si="0"/>
        <v>370017.6</v>
      </c>
      <c r="F35" s="173">
        <f t="shared" si="1"/>
        <v>2220105.6</v>
      </c>
      <c r="G35" s="175"/>
    </row>
    <row r="36" spans="1:7" ht="27.9" hidden="1" customHeight="1" x14ac:dyDescent="0.25">
      <c r="A36" s="167"/>
      <c r="B36" s="209" t="s">
        <v>27</v>
      </c>
      <c r="C36" s="210"/>
      <c r="D36" s="168"/>
      <c r="E36" s="158"/>
      <c r="F36" s="158"/>
      <c r="G36" s="175"/>
    </row>
    <row r="37" spans="1:7" hidden="1" x14ac:dyDescent="0.25">
      <c r="A37" s="167"/>
      <c r="B37" s="214" t="s">
        <v>28</v>
      </c>
      <c r="C37" s="215"/>
      <c r="D37" s="168"/>
      <c r="E37" s="158"/>
      <c r="F37" s="158"/>
      <c r="G37" s="175"/>
    </row>
    <row r="38" spans="1:7" hidden="1" x14ac:dyDescent="0.25">
      <c r="A38" s="211" t="s">
        <v>29</v>
      </c>
      <c r="B38" s="212"/>
      <c r="C38" s="212"/>
      <c r="D38" s="168"/>
      <c r="E38" s="158"/>
      <c r="F38" s="158"/>
      <c r="G38" s="175"/>
    </row>
    <row r="39" spans="1:7" ht="26.4" hidden="1" x14ac:dyDescent="0.25">
      <c r="A39" s="83">
        <v>4</v>
      </c>
      <c r="B39" s="161" t="s">
        <v>30</v>
      </c>
      <c r="C39" s="161" t="s">
        <v>31</v>
      </c>
      <c r="D39" s="168"/>
      <c r="E39" s="158"/>
      <c r="F39" s="158"/>
      <c r="G39" s="175"/>
    </row>
    <row r="40" spans="1:7" hidden="1" x14ac:dyDescent="0.25">
      <c r="A40" s="169"/>
      <c r="B40" s="209" t="s">
        <v>32</v>
      </c>
      <c r="C40" s="210"/>
      <c r="D40" s="168"/>
      <c r="E40" s="158"/>
      <c r="F40" s="158"/>
      <c r="G40" s="175"/>
    </row>
    <row r="41" spans="1:7" hidden="1" x14ac:dyDescent="0.25">
      <c r="A41" s="169"/>
      <c r="B41" s="209" t="s">
        <v>33</v>
      </c>
      <c r="C41" s="210"/>
      <c r="D41" s="168"/>
      <c r="E41" s="158"/>
      <c r="F41" s="158"/>
      <c r="G41" s="175"/>
    </row>
    <row r="42" spans="1:7" hidden="1" x14ac:dyDescent="0.25">
      <c r="A42" s="211" t="s">
        <v>34</v>
      </c>
      <c r="B42" s="212"/>
      <c r="C42" s="212"/>
      <c r="D42" s="168"/>
      <c r="E42" s="158"/>
      <c r="F42" s="158"/>
      <c r="G42" s="175"/>
    </row>
    <row r="43" spans="1:7" ht="39.6" hidden="1" x14ac:dyDescent="0.25">
      <c r="A43" s="83">
        <v>5</v>
      </c>
      <c r="B43" s="161" t="s">
        <v>35</v>
      </c>
      <c r="C43" s="161" t="s">
        <v>36</v>
      </c>
      <c r="D43" s="168"/>
      <c r="E43" s="158"/>
      <c r="F43" s="158"/>
      <c r="G43" s="175"/>
    </row>
    <row r="44" spans="1:7" hidden="1" x14ac:dyDescent="0.25">
      <c r="A44" s="83">
        <v>6</v>
      </c>
      <c r="B44" s="161" t="s">
        <v>37</v>
      </c>
      <c r="C44" s="161" t="s">
        <v>38</v>
      </c>
      <c r="D44" s="168"/>
      <c r="E44" s="158"/>
      <c r="F44" s="158"/>
      <c r="G44" s="175"/>
    </row>
    <row r="45" spans="1:7" ht="26.4" x14ac:dyDescent="0.25">
      <c r="A45" s="83" t="s">
        <v>232</v>
      </c>
      <c r="B45" s="161" t="s">
        <v>140</v>
      </c>
      <c r="C45" s="161" t="s">
        <v>141</v>
      </c>
      <c r="D45" s="157">
        <f>'Затраты Подрядчика'!U43</f>
        <v>99550</v>
      </c>
      <c r="E45" s="173">
        <f>D45*0.2</f>
        <v>19910</v>
      </c>
      <c r="F45" s="173">
        <f>D45+E45</f>
        <v>119460</v>
      </c>
      <c r="G45" s="175"/>
    </row>
    <row r="46" spans="1:7" ht="26.4" x14ac:dyDescent="0.25">
      <c r="A46" s="83" t="s">
        <v>233</v>
      </c>
      <c r="B46" s="161" t="s">
        <v>142</v>
      </c>
      <c r="C46" s="161" t="s">
        <v>143</v>
      </c>
      <c r="D46" s="157">
        <f>'Затраты Подрядчика'!U44</f>
        <v>342706</v>
      </c>
      <c r="E46" s="173">
        <f>D46*0.2</f>
        <v>68541.2</v>
      </c>
      <c r="F46" s="173">
        <f>D46+E46</f>
        <v>411247.2</v>
      </c>
      <c r="G46" s="175"/>
    </row>
    <row r="47" spans="1:7" ht="26.4" x14ac:dyDescent="0.25">
      <c r="A47" s="83" t="s">
        <v>234</v>
      </c>
      <c r="B47" s="161" t="s">
        <v>144</v>
      </c>
      <c r="C47" s="161" t="s">
        <v>145</v>
      </c>
      <c r="D47" s="157">
        <f>'Затраты Подрядчика'!U45</f>
        <v>6880</v>
      </c>
      <c r="E47" s="173">
        <f>D47*0.2</f>
        <v>1376</v>
      </c>
      <c r="F47" s="173">
        <f>D47+E47</f>
        <v>8256</v>
      </c>
      <c r="G47" s="175"/>
    </row>
    <row r="48" spans="1:7" ht="26.4" x14ac:dyDescent="0.25">
      <c r="A48" s="83" t="s">
        <v>235</v>
      </c>
      <c r="B48" s="161" t="s">
        <v>146</v>
      </c>
      <c r="C48" s="161" t="s">
        <v>147</v>
      </c>
      <c r="D48" s="157">
        <f>'Затраты Подрядчика'!U46</f>
        <v>26406</v>
      </c>
      <c r="E48" s="173">
        <f>D48*0.2</f>
        <v>5281.2</v>
      </c>
      <c r="F48" s="173">
        <f>D48+E48</f>
        <v>31687.200000000001</v>
      </c>
      <c r="G48" s="175"/>
    </row>
    <row r="49" spans="1:7" ht="22.2" customHeight="1" x14ac:dyDescent="0.25">
      <c r="A49" s="170" t="s">
        <v>264</v>
      </c>
      <c r="B49" s="156"/>
      <c r="C49" s="156" t="s">
        <v>236</v>
      </c>
      <c r="D49" s="157">
        <f>('Затраты Подрядчика'!Q63-'Затраты Подрядчика'!Q55)*1000*'Затраты Подрядчика'!F133</f>
        <v>1722873</v>
      </c>
      <c r="E49" s="173">
        <f>D49*0.2</f>
        <v>344574.6</v>
      </c>
      <c r="F49" s="173">
        <f>D49+E49</f>
        <v>2067447.6</v>
      </c>
      <c r="G49" s="175"/>
    </row>
    <row r="50" spans="1:7" ht="27.6" customHeight="1" x14ac:dyDescent="0.25">
      <c r="A50" s="171"/>
      <c r="B50" s="172"/>
      <c r="C50" s="172" t="s">
        <v>244</v>
      </c>
      <c r="D50" s="159">
        <f>D9+D13</f>
        <v>92256558</v>
      </c>
      <c r="E50" s="174">
        <f>E9+E13</f>
        <v>18451311.600000001</v>
      </c>
      <c r="F50" s="174">
        <f>F9+F13</f>
        <v>110707869.59999999</v>
      </c>
      <c r="G50" s="175"/>
    </row>
  </sheetData>
  <mergeCells count="16">
    <mergeCell ref="A1:F1"/>
    <mergeCell ref="A2:F3"/>
    <mergeCell ref="B40:C40"/>
    <mergeCell ref="B41:C41"/>
    <mergeCell ref="A42:C42"/>
    <mergeCell ref="B16:C16"/>
    <mergeCell ref="A17:C17"/>
    <mergeCell ref="B36:C36"/>
    <mergeCell ref="B37:C37"/>
    <mergeCell ref="A38:C38"/>
    <mergeCell ref="D4:D7"/>
    <mergeCell ref="E4:E7"/>
    <mergeCell ref="F4:F7"/>
    <mergeCell ref="A4:A7"/>
    <mergeCell ref="B4:B7"/>
    <mergeCell ref="C4:C7"/>
  </mergeCells>
  <pageMargins left="0.42" right="0.25" top="0.5" bottom="0.52" header="0.3" footer="0.3"/>
  <pageSetup paperSize="9" scale="89" fitToHeight="10000" orientation="landscape" r:id="rId1"/>
  <headerFooter alignWithMargins="0">
    <oddHeader>&amp;LГРАНД-Смета 2019</oddHeader>
    <oddFooter>&amp;LД-ДРП-18-002-3995&amp;C01&amp;RСтраница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139"/>
  <sheetViews>
    <sheetView showGridLines="0" topLeftCell="A37" zoomScale="85" zoomScaleNormal="85" workbookViewId="0">
      <selection activeCell="V63" sqref="V63"/>
    </sheetView>
  </sheetViews>
  <sheetFormatPr defaultColWidth="9.109375" defaultRowHeight="13.2" x14ac:dyDescent="0.25"/>
  <cols>
    <col min="1" max="1" width="5" style="1" customWidth="1"/>
    <col min="2" max="2" width="19.33203125" style="24" customWidth="1"/>
    <col min="3" max="3" width="51.33203125" style="24" customWidth="1"/>
    <col min="4" max="4" width="13.109375" style="29" customWidth="1"/>
    <col min="5" max="5" width="16.109375" style="29" customWidth="1"/>
    <col min="6" max="6" width="13.44140625" style="29" customWidth="1"/>
    <col min="7" max="7" width="12.5546875" style="29" customWidth="1"/>
    <col min="8" max="8" width="13.88671875" style="29" customWidth="1"/>
    <col min="9" max="9" width="12.77734375" style="62" customWidth="1"/>
    <col min="10" max="10" width="13.88671875" style="62" customWidth="1"/>
    <col min="11" max="11" width="12.21875" style="62" customWidth="1"/>
    <col min="12" max="12" width="11.21875" style="62" customWidth="1"/>
    <col min="13" max="14" width="9.109375" style="62"/>
    <col min="15" max="16" width="10.5546875" style="62" customWidth="1"/>
    <col min="17" max="17" width="10.88671875" style="62" customWidth="1"/>
    <col min="18" max="19" width="10" style="62" customWidth="1"/>
    <col min="20" max="20" width="10.33203125" style="62" customWidth="1"/>
    <col min="21" max="21" width="16.44140625" style="62" customWidth="1"/>
    <col min="22" max="22" width="14.88671875" style="62" customWidth="1"/>
    <col min="23" max="23" width="12.88671875" style="62" customWidth="1"/>
    <col min="24" max="16384" width="9.109375" style="62"/>
  </cols>
  <sheetData>
    <row r="1" spans="1:22" x14ac:dyDescent="0.25">
      <c r="G1" s="25"/>
      <c r="H1" s="25"/>
    </row>
    <row r="2" spans="1:22" x14ac:dyDescent="0.25">
      <c r="A2" s="204" t="s">
        <v>105</v>
      </c>
      <c r="B2" s="204"/>
      <c r="C2" s="204"/>
      <c r="D2" s="204"/>
      <c r="E2" s="204"/>
      <c r="F2" s="204"/>
      <c r="G2" s="204"/>
      <c r="H2" s="204"/>
    </row>
    <row r="3" spans="1:22" x14ac:dyDescent="0.25">
      <c r="D3" s="26"/>
      <c r="F3" s="25"/>
      <c r="G3" s="25"/>
      <c r="H3" s="25"/>
    </row>
    <row r="4" spans="1:22" ht="27.9" customHeight="1" x14ac:dyDescent="0.25">
      <c r="A4" s="205" t="s">
        <v>205</v>
      </c>
      <c r="B4" s="205"/>
      <c r="C4" s="205"/>
      <c r="D4" s="205"/>
      <c r="E4" s="205"/>
      <c r="F4" s="205"/>
      <c r="G4" s="205"/>
      <c r="H4" s="205"/>
    </row>
    <row r="5" spans="1:22" x14ac:dyDescent="0.25">
      <c r="D5" s="25"/>
      <c r="E5" s="25"/>
      <c r="F5" s="25"/>
      <c r="G5" s="25"/>
      <c r="H5" s="25"/>
      <c r="I5" s="230" t="s">
        <v>155</v>
      </c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155"/>
    </row>
    <row r="6" spans="1:22" ht="12.75" customHeight="1" x14ac:dyDescent="0.25">
      <c r="A6" s="223" t="s">
        <v>1</v>
      </c>
      <c r="B6" s="224" t="s">
        <v>10</v>
      </c>
      <c r="C6" s="224" t="s">
        <v>11</v>
      </c>
      <c r="D6" s="225" t="s">
        <v>16</v>
      </c>
      <c r="E6" s="225"/>
      <c r="F6" s="225"/>
      <c r="G6" s="225"/>
      <c r="H6" s="223" t="s">
        <v>17</v>
      </c>
      <c r="I6" s="238" t="s">
        <v>148</v>
      </c>
      <c r="J6" s="244" t="s">
        <v>149</v>
      </c>
      <c r="K6" s="238" t="s">
        <v>150</v>
      </c>
      <c r="L6" s="238" t="s">
        <v>151</v>
      </c>
      <c r="M6" s="247" t="s">
        <v>152</v>
      </c>
      <c r="N6" s="238" t="s">
        <v>153</v>
      </c>
      <c r="O6" s="238" t="s">
        <v>154</v>
      </c>
      <c r="P6" s="244" t="s">
        <v>263</v>
      </c>
      <c r="Q6" s="241" t="s">
        <v>156</v>
      </c>
      <c r="R6" s="244" t="s">
        <v>157</v>
      </c>
      <c r="S6" s="244" t="s">
        <v>243</v>
      </c>
      <c r="T6" s="244" t="s">
        <v>242</v>
      </c>
      <c r="U6" s="244" t="s">
        <v>241</v>
      </c>
      <c r="V6" s="244" t="s">
        <v>240</v>
      </c>
    </row>
    <row r="7" spans="1:22" x14ac:dyDescent="0.25">
      <c r="A7" s="223"/>
      <c r="B7" s="224"/>
      <c r="C7" s="224"/>
      <c r="D7" s="223" t="s">
        <v>12</v>
      </c>
      <c r="E7" s="223" t="s">
        <v>2</v>
      </c>
      <c r="F7" s="223" t="s">
        <v>3</v>
      </c>
      <c r="G7" s="223" t="s">
        <v>4</v>
      </c>
      <c r="H7" s="223"/>
      <c r="I7" s="239"/>
      <c r="J7" s="245"/>
      <c r="K7" s="239"/>
      <c r="L7" s="239"/>
      <c r="M7" s="248"/>
      <c r="N7" s="239"/>
      <c r="O7" s="239"/>
      <c r="P7" s="245"/>
      <c r="Q7" s="242"/>
      <c r="R7" s="245"/>
      <c r="S7" s="245"/>
      <c r="T7" s="245"/>
      <c r="U7" s="245"/>
      <c r="V7" s="245"/>
    </row>
    <row r="8" spans="1:22" x14ac:dyDescent="0.25">
      <c r="A8" s="223"/>
      <c r="B8" s="224"/>
      <c r="C8" s="224"/>
      <c r="D8" s="223"/>
      <c r="E8" s="223"/>
      <c r="F8" s="223"/>
      <c r="G8" s="223"/>
      <c r="H8" s="223"/>
      <c r="I8" s="239"/>
      <c r="J8" s="245"/>
      <c r="K8" s="239"/>
      <c r="L8" s="239"/>
      <c r="M8" s="248"/>
      <c r="N8" s="239"/>
      <c r="O8" s="239"/>
      <c r="P8" s="245"/>
      <c r="Q8" s="242"/>
      <c r="R8" s="245"/>
      <c r="S8" s="245"/>
      <c r="T8" s="245"/>
      <c r="U8" s="245"/>
      <c r="V8" s="245"/>
    </row>
    <row r="9" spans="1:22" ht="25.2" customHeight="1" x14ac:dyDescent="0.25">
      <c r="A9" s="223"/>
      <c r="B9" s="224"/>
      <c r="C9" s="224"/>
      <c r="D9" s="223"/>
      <c r="E9" s="223"/>
      <c r="F9" s="223"/>
      <c r="G9" s="223"/>
      <c r="H9" s="223"/>
      <c r="I9" s="240"/>
      <c r="J9" s="246"/>
      <c r="K9" s="240"/>
      <c r="L9" s="240"/>
      <c r="M9" s="249"/>
      <c r="N9" s="240"/>
      <c r="O9" s="240"/>
      <c r="P9" s="246"/>
      <c r="Q9" s="243"/>
      <c r="R9" s="246"/>
      <c r="S9" s="246"/>
      <c r="T9" s="246"/>
      <c r="U9" s="246"/>
      <c r="V9" s="246"/>
    </row>
    <row r="10" spans="1:22" x14ac:dyDescent="0.25">
      <c r="A10" s="16">
        <v>1</v>
      </c>
      <c r="B10" s="17">
        <v>2</v>
      </c>
      <c r="C10" s="17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4"/>
    </row>
    <row r="11" spans="1:22" x14ac:dyDescent="0.25">
      <c r="A11" s="221" t="s">
        <v>18</v>
      </c>
      <c r="B11" s="222"/>
      <c r="C11" s="222"/>
      <c r="D11" s="222"/>
      <c r="E11" s="222"/>
      <c r="F11" s="222"/>
      <c r="G11" s="222"/>
      <c r="H11" s="222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4"/>
    </row>
    <row r="12" spans="1:22" ht="26.4" x14ac:dyDescent="0.25">
      <c r="A12" s="64">
        <v>1</v>
      </c>
      <c r="B12" s="65" t="s">
        <v>19</v>
      </c>
      <c r="C12" s="65" t="s">
        <v>20</v>
      </c>
      <c r="D12" s="66"/>
      <c r="E12" s="66"/>
      <c r="F12" s="66"/>
      <c r="G12" s="74">
        <v>29.1</v>
      </c>
      <c r="H12" s="74">
        <f>G12</f>
        <v>29.1</v>
      </c>
      <c r="I12" s="105"/>
      <c r="J12" s="105"/>
      <c r="K12" s="105"/>
      <c r="L12" s="105"/>
      <c r="M12" s="105"/>
      <c r="N12" s="105"/>
      <c r="O12" s="105"/>
      <c r="P12" s="284">
        <f>G12*1.266*4.23</f>
        <v>155.83600000000001</v>
      </c>
      <c r="Q12" s="106">
        <f>P12*0.02</f>
        <v>3.12</v>
      </c>
      <c r="R12" s="105"/>
      <c r="S12" s="284">
        <f>P12</f>
        <v>155.83600000000001</v>
      </c>
      <c r="T12" s="284">
        <f>P12+Q12</f>
        <v>158.95599999999999</v>
      </c>
      <c r="U12" s="148">
        <f>S12*F133*1000</f>
        <v>160745</v>
      </c>
      <c r="V12" s="148">
        <f>T12*F133*1000</f>
        <v>163963</v>
      </c>
    </row>
    <row r="13" spans="1:22" x14ac:dyDescent="0.25">
      <c r="A13" s="64">
        <v>2</v>
      </c>
      <c r="B13" s="65" t="s">
        <v>21</v>
      </c>
      <c r="C13" s="65" t="s">
        <v>22</v>
      </c>
      <c r="D13" s="67">
        <v>78.95</v>
      </c>
      <c r="E13" s="66"/>
      <c r="F13" s="66"/>
      <c r="G13" s="66"/>
      <c r="H13" s="67">
        <v>78.95</v>
      </c>
      <c r="I13" s="105">
        <f>(D13+E13)*7</f>
        <v>552.65</v>
      </c>
      <c r="J13" s="105"/>
      <c r="K13" s="106">
        <f>I13*0.023</f>
        <v>12.71</v>
      </c>
      <c r="L13" s="106">
        <f>(I13+K13)*0.006*1.1</f>
        <v>3.73</v>
      </c>
      <c r="M13" s="106">
        <f>($H$47*10.51)/$I$63*I13</f>
        <v>0.11</v>
      </c>
      <c r="N13" s="105"/>
      <c r="O13" s="105"/>
      <c r="P13" s="105"/>
      <c r="Q13" s="106">
        <f>(I13+J13+K13+L13+M13+N13+O13)*0.02</f>
        <v>11.38</v>
      </c>
      <c r="R13" s="106">
        <f>-K13*0.15</f>
        <v>-1.91</v>
      </c>
      <c r="S13" s="106">
        <f>I13+J13+K13+L13+M13+N13+O13+R13</f>
        <v>567.29</v>
      </c>
      <c r="T13" s="106">
        <f>I13+J13+K13+L13+M13+N13+O13+Q13+R13</f>
        <v>578.66999999999996</v>
      </c>
      <c r="U13" s="148">
        <f>S13*1000*$F$133</f>
        <v>585160</v>
      </c>
      <c r="V13" s="147">
        <f>T13*1000*$F$133</f>
        <v>596898</v>
      </c>
    </row>
    <row r="14" spans="1:22" ht="27.9" customHeight="1" x14ac:dyDescent="0.25">
      <c r="A14" s="85"/>
      <c r="B14" s="226" t="s">
        <v>23</v>
      </c>
      <c r="C14" s="227"/>
      <c r="D14" s="86">
        <v>78.95</v>
      </c>
      <c r="E14" s="87"/>
      <c r="F14" s="87"/>
      <c r="G14" s="88"/>
      <c r="H14" s="86">
        <f>H13</f>
        <v>78.95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4"/>
    </row>
    <row r="15" spans="1:22" x14ac:dyDescent="0.25">
      <c r="A15" s="221" t="s">
        <v>24</v>
      </c>
      <c r="B15" s="222"/>
      <c r="C15" s="222"/>
      <c r="D15" s="222"/>
      <c r="E15" s="222"/>
      <c r="F15" s="222"/>
      <c r="G15" s="222"/>
      <c r="H15" s="222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4"/>
    </row>
    <row r="16" spans="1:22" x14ac:dyDescent="0.25">
      <c r="A16" s="64">
        <v>3</v>
      </c>
      <c r="B16" s="65" t="s">
        <v>25</v>
      </c>
      <c r="C16" s="65" t="s">
        <v>26</v>
      </c>
      <c r="D16" s="74">
        <v>537.80999999999995</v>
      </c>
      <c r="E16" s="74">
        <v>1231.3599999999999</v>
      </c>
      <c r="F16" s="74">
        <v>17480.759999999998</v>
      </c>
      <c r="G16" s="78"/>
      <c r="H16" s="74">
        <v>19249.93</v>
      </c>
      <c r="I16" s="106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4"/>
    </row>
    <row r="17" spans="1:22" ht="39.6" x14ac:dyDescent="0.25">
      <c r="A17" s="64"/>
      <c r="B17" s="99" t="s">
        <v>106</v>
      </c>
      <c r="C17" s="99" t="s">
        <v>107</v>
      </c>
      <c r="D17" s="100">
        <v>137.46</v>
      </c>
      <c r="E17" s="100">
        <v>38.75</v>
      </c>
      <c r="F17" s="101"/>
      <c r="G17" s="101"/>
      <c r="H17" s="100">
        <f>E17+D17</f>
        <v>176.21</v>
      </c>
      <c r="I17" s="105">
        <f t="shared" ref="I17:I33" si="0">(D17+E17)*7</f>
        <v>1233.47</v>
      </c>
      <c r="J17" s="106">
        <f>F17*3.98</f>
        <v>0</v>
      </c>
      <c r="K17" s="108">
        <f>I17*0.023-0.01</f>
        <v>28.36</v>
      </c>
      <c r="L17" s="108">
        <f>(I17+K17)*0.006*1.1-0.01</f>
        <v>8.32</v>
      </c>
      <c r="M17" s="106">
        <f t="shared" ref="M17:M32" si="1">($H$47*10.51)/$I$63*I17</f>
        <v>0.25</v>
      </c>
      <c r="N17" s="105"/>
      <c r="O17" s="105"/>
      <c r="P17" s="105"/>
      <c r="Q17" s="106">
        <f t="shared" ref="Q17:Q33" si="2">(I17+J17+K17+L17+M17+N17+O17)*0.02</f>
        <v>25.41</v>
      </c>
      <c r="R17" s="108">
        <f>-K17*0.15-0.01</f>
        <v>-4.26</v>
      </c>
      <c r="S17" s="106">
        <f>I17+J17+K17+L17+M17+N17+O17+R17</f>
        <v>1266.1400000000001</v>
      </c>
      <c r="T17" s="106">
        <f t="shared" ref="T17:T33" si="3">I17+J17+K17+L17+M17+N17+O17+Q17+R17</f>
        <v>1291.55</v>
      </c>
      <c r="U17" s="148">
        <f t="shared" ref="U17:U33" si="4">S17*1000*$F$133</f>
        <v>1306023</v>
      </c>
      <c r="V17" s="148">
        <f t="shared" ref="V17:V33" si="5">T17*1000*$F$133</f>
        <v>1332234</v>
      </c>
    </row>
    <row r="18" spans="1:22" ht="26.4" x14ac:dyDescent="0.25">
      <c r="A18" s="64"/>
      <c r="B18" s="99" t="s">
        <v>108</v>
      </c>
      <c r="C18" s="99" t="s">
        <v>109</v>
      </c>
      <c r="D18" s="100">
        <v>260.83999999999997</v>
      </c>
      <c r="E18" s="101"/>
      <c r="F18" s="101"/>
      <c r="G18" s="101"/>
      <c r="H18" s="100">
        <v>260.83999999999997</v>
      </c>
      <c r="I18" s="105">
        <f t="shared" si="0"/>
        <v>1825.88</v>
      </c>
      <c r="J18" s="106">
        <f t="shared" ref="J18:J33" si="6">F18*3.98</f>
        <v>0</v>
      </c>
      <c r="K18" s="108">
        <f>I18*0.023-0.01</f>
        <v>41.99</v>
      </c>
      <c r="L18" s="108">
        <f>(I18+K18)*0.006*1.1-0.01</f>
        <v>12.32</v>
      </c>
      <c r="M18" s="106">
        <f t="shared" si="1"/>
        <v>0.37</v>
      </c>
      <c r="N18" s="105"/>
      <c r="O18" s="105"/>
      <c r="P18" s="105"/>
      <c r="Q18" s="106">
        <f t="shared" si="2"/>
        <v>37.61</v>
      </c>
      <c r="R18" s="106">
        <f t="shared" ref="R18:R33" si="7">-K18*0.15</f>
        <v>-6.3</v>
      </c>
      <c r="S18" s="106">
        <f t="shared" ref="S18:S33" si="8">I18+J18+K18+L18+M18+N18+O18+R18</f>
        <v>1874.26</v>
      </c>
      <c r="T18" s="106">
        <f t="shared" si="3"/>
        <v>1911.87</v>
      </c>
      <c r="U18" s="148">
        <f t="shared" si="4"/>
        <v>1933299</v>
      </c>
      <c r="V18" s="148">
        <f t="shared" si="5"/>
        <v>1972094</v>
      </c>
    </row>
    <row r="19" spans="1:22" ht="26.4" x14ac:dyDescent="0.25">
      <c r="A19" s="64"/>
      <c r="B19" s="99" t="s">
        <v>110</v>
      </c>
      <c r="C19" s="99" t="s">
        <v>111</v>
      </c>
      <c r="D19" s="100">
        <v>28.2</v>
      </c>
      <c r="E19" s="100">
        <v>431.89</v>
      </c>
      <c r="F19" s="100">
        <v>2476.2199999999998</v>
      </c>
      <c r="G19" s="101"/>
      <c r="H19" s="100">
        <v>2936.31</v>
      </c>
      <c r="I19" s="105">
        <f t="shared" si="0"/>
        <v>3220.63</v>
      </c>
      <c r="J19" s="106">
        <f t="shared" si="6"/>
        <v>9855.36</v>
      </c>
      <c r="K19" s="108">
        <f>I19*0.023-0.01</f>
        <v>74.06</v>
      </c>
      <c r="L19" s="108">
        <f>(I19+K19)*0.006*1.1-0.01</f>
        <v>21.73</v>
      </c>
      <c r="M19" s="106">
        <f t="shared" si="1"/>
        <v>0.65</v>
      </c>
      <c r="N19" s="105"/>
      <c r="O19" s="105"/>
      <c r="P19" s="105"/>
      <c r="Q19" s="106">
        <f t="shared" si="2"/>
        <v>263.45</v>
      </c>
      <c r="R19" s="106">
        <f t="shared" si="7"/>
        <v>-11.11</v>
      </c>
      <c r="S19" s="106">
        <f t="shared" si="8"/>
        <v>13161.32</v>
      </c>
      <c r="T19" s="106">
        <f t="shared" si="3"/>
        <v>13424.77</v>
      </c>
      <c r="U19" s="148">
        <f t="shared" si="4"/>
        <v>13575901</v>
      </c>
      <c r="V19" s="148">
        <f t="shared" si="5"/>
        <v>13847650</v>
      </c>
    </row>
    <row r="20" spans="1:22" ht="26.4" x14ac:dyDescent="0.25">
      <c r="A20" s="64"/>
      <c r="B20" s="99" t="s">
        <v>112</v>
      </c>
      <c r="C20" s="99" t="s">
        <v>113</v>
      </c>
      <c r="D20" s="100">
        <v>1.03</v>
      </c>
      <c r="E20" s="100">
        <v>10.94</v>
      </c>
      <c r="F20" s="100">
        <v>2519.62</v>
      </c>
      <c r="G20" s="101"/>
      <c r="H20" s="100">
        <v>2531.59</v>
      </c>
      <c r="I20" s="105">
        <f t="shared" si="0"/>
        <v>83.79</v>
      </c>
      <c r="J20" s="106">
        <f t="shared" si="6"/>
        <v>10028.09</v>
      </c>
      <c r="K20" s="106">
        <f t="shared" ref="K20:K33" si="9">I20*0.023</f>
        <v>1.93</v>
      </c>
      <c r="L20" s="106">
        <f t="shared" ref="L20:L33" si="10">(I20+K20)*0.006*1.1</f>
        <v>0.56999999999999995</v>
      </c>
      <c r="M20" s="106">
        <f t="shared" si="1"/>
        <v>0.02</v>
      </c>
      <c r="N20" s="105"/>
      <c r="O20" s="105"/>
      <c r="P20" s="105"/>
      <c r="Q20" s="106">
        <f t="shared" si="2"/>
        <v>202.29</v>
      </c>
      <c r="R20" s="106">
        <f t="shared" si="7"/>
        <v>-0.28999999999999998</v>
      </c>
      <c r="S20" s="106">
        <f t="shared" si="8"/>
        <v>10114.11</v>
      </c>
      <c r="T20" s="106">
        <f t="shared" si="3"/>
        <v>10316.4</v>
      </c>
      <c r="U20" s="148">
        <f t="shared" si="4"/>
        <v>10432704</v>
      </c>
      <c r="V20" s="148">
        <f t="shared" si="5"/>
        <v>10641366</v>
      </c>
    </row>
    <row r="21" spans="1:22" ht="26.4" x14ac:dyDescent="0.25">
      <c r="A21" s="64"/>
      <c r="B21" s="99" t="s">
        <v>114</v>
      </c>
      <c r="C21" s="99" t="s">
        <v>115</v>
      </c>
      <c r="D21" s="101"/>
      <c r="E21" s="100">
        <v>176.01</v>
      </c>
      <c r="F21" s="100">
        <v>444.91</v>
      </c>
      <c r="G21" s="101"/>
      <c r="H21" s="100">
        <v>620.91999999999996</v>
      </c>
      <c r="I21" s="105">
        <f t="shared" si="0"/>
        <v>1232.07</v>
      </c>
      <c r="J21" s="106">
        <f t="shared" si="6"/>
        <v>1770.74</v>
      </c>
      <c r="K21" s="106">
        <f t="shared" si="9"/>
        <v>28.34</v>
      </c>
      <c r="L21" s="106">
        <f t="shared" si="10"/>
        <v>8.32</v>
      </c>
      <c r="M21" s="106">
        <f t="shared" si="1"/>
        <v>0.25</v>
      </c>
      <c r="N21" s="105"/>
      <c r="O21" s="105"/>
      <c r="P21" s="105"/>
      <c r="Q21" s="106">
        <f t="shared" si="2"/>
        <v>60.79</v>
      </c>
      <c r="R21" s="106">
        <f t="shared" si="7"/>
        <v>-4.25</v>
      </c>
      <c r="S21" s="106">
        <f t="shared" si="8"/>
        <v>3035.47</v>
      </c>
      <c r="T21" s="106">
        <f t="shared" si="3"/>
        <v>3096.26</v>
      </c>
      <c r="U21" s="148">
        <f t="shared" si="4"/>
        <v>3131087</v>
      </c>
      <c r="V21" s="148">
        <f t="shared" si="5"/>
        <v>3193792</v>
      </c>
    </row>
    <row r="22" spans="1:22" ht="26.4" x14ac:dyDescent="0.25">
      <c r="A22" s="64"/>
      <c r="B22" s="99" t="s">
        <v>116</v>
      </c>
      <c r="C22" s="99" t="s">
        <v>117</v>
      </c>
      <c r="D22" s="100">
        <v>7.72</v>
      </c>
      <c r="E22" s="100">
        <v>222.73</v>
      </c>
      <c r="F22" s="100">
        <v>1101.04</v>
      </c>
      <c r="G22" s="101"/>
      <c r="H22" s="100">
        <v>1331.49</v>
      </c>
      <c r="I22" s="105">
        <f t="shared" si="0"/>
        <v>1613.15</v>
      </c>
      <c r="J22" s="106">
        <f t="shared" si="6"/>
        <v>4382.1400000000003</v>
      </c>
      <c r="K22" s="106">
        <f t="shared" si="9"/>
        <v>37.1</v>
      </c>
      <c r="L22" s="106">
        <f t="shared" si="10"/>
        <v>10.89</v>
      </c>
      <c r="M22" s="106">
        <f t="shared" si="1"/>
        <v>0.33</v>
      </c>
      <c r="N22" s="105"/>
      <c r="O22" s="105"/>
      <c r="P22" s="105"/>
      <c r="Q22" s="106">
        <f t="shared" si="2"/>
        <v>120.87</v>
      </c>
      <c r="R22" s="106">
        <f t="shared" si="7"/>
        <v>-5.57</v>
      </c>
      <c r="S22" s="106">
        <f t="shared" si="8"/>
        <v>6038.04</v>
      </c>
      <c r="T22" s="106">
        <f t="shared" si="3"/>
        <v>6158.91</v>
      </c>
      <c r="U22" s="148">
        <f t="shared" si="4"/>
        <v>6228238</v>
      </c>
      <c r="V22" s="148">
        <f t="shared" si="5"/>
        <v>6352916</v>
      </c>
    </row>
    <row r="23" spans="1:22" ht="39.6" x14ac:dyDescent="0.25">
      <c r="A23" s="64"/>
      <c r="B23" s="99" t="s">
        <v>118</v>
      </c>
      <c r="C23" s="99" t="s">
        <v>119</v>
      </c>
      <c r="D23" s="100">
        <v>0.22</v>
      </c>
      <c r="E23" s="100">
        <v>40.94</v>
      </c>
      <c r="F23" s="100">
        <v>217.58</v>
      </c>
      <c r="G23" s="101"/>
      <c r="H23" s="100">
        <v>258.74</v>
      </c>
      <c r="I23" s="105">
        <f t="shared" si="0"/>
        <v>288.12</v>
      </c>
      <c r="J23" s="106">
        <f t="shared" si="6"/>
        <v>865.97</v>
      </c>
      <c r="K23" s="106">
        <f t="shared" si="9"/>
        <v>6.63</v>
      </c>
      <c r="L23" s="106">
        <f t="shared" si="10"/>
        <v>1.95</v>
      </c>
      <c r="M23" s="106">
        <f t="shared" si="1"/>
        <v>0.06</v>
      </c>
      <c r="N23" s="105"/>
      <c r="O23" s="105"/>
      <c r="P23" s="105"/>
      <c r="Q23" s="106">
        <f t="shared" si="2"/>
        <v>23.25</v>
      </c>
      <c r="R23" s="106">
        <f t="shared" si="7"/>
        <v>-0.99</v>
      </c>
      <c r="S23" s="106">
        <f t="shared" si="8"/>
        <v>1161.74</v>
      </c>
      <c r="T23" s="106">
        <f t="shared" si="3"/>
        <v>1184.99</v>
      </c>
      <c r="U23" s="148">
        <f t="shared" si="4"/>
        <v>1198335</v>
      </c>
      <c r="V23" s="148">
        <f t="shared" si="5"/>
        <v>1222317</v>
      </c>
    </row>
    <row r="24" spans="1:22" ht="39.6" x14ac:dyDescent="0.25">
      <c r="A24" s="64"/>
      <c r="B24" s="99" t="s">
        <v>120</v>
      </c>
      <c r="C24" s="99" t="s">
        <v>121</v>
      </c>
      <c r="D24" s="100">
        <v>2.06</v>
      </c>
      <c r="E24" s="100">
        <v>74.28</v>
      </c>
      <c r="F24" s="100">
        <v>163.5</v>
      </c>
      <c r="G24" s="101"/>
      <c r="H24" s="100">
        <v>239.84</v>
      </c>
      <c r="I24" s="105">
        <f t="shared" si="0"/>
        <v>534.38</v>
      </c>
      <c r="J24" s="106">
        <f t="shared" si="6"/>
        <v>650.73</v>
      </c>
      <c r="K24" s="106">
        <f t="shared" si="9"/>
        <v>12.29</v>
      </c>
      <c r="L24" s="106">
        <f t="shared" si="10"/>
        <v>3.61</v>
      </c>
      <c r="M24" s="106">
        <f t="shared" si="1"/>
        <v>0.11</v>
      </c>
      <c r="N24" s="105"/>
      <c r="O24" s="105"/>
      <c r="P24" s="105"/>
      <c r="Q24" s="106">
        <f t="shared" si="2"/>
        <v>24.02</v>
      </c>
      <c r="R24" s="106">
        <f t="shared" si="7"/>
        <v>-1.84</v>
      </c>
      <c r="S24" s="106">
        <f t="shared" si="8"/>
        <v>1199.28</v>
      </c>
      <c r="T24" s="106">
        <f t="shared" si="3"/>
        <v>1223.3</v>
      </c>
      <c r="U24" s="148">
        <f t="shared" si="4"/>
        <v>1237057</v>
      </c>
      <c r="V24" s="148">
        <f t="shared" si="5"/>
        <v>1261834</v>
      </c>
    </row>
    <row r="25" spans="1:22" ht="26.4" x14ac:dyDescent="0.25">
      <c r="A25" s="64"/>
      <c r="B25" s="99" t="s">
        <v>122</v>
      </c>
      <c r="C25" s="99" t="s">
        <v>123</v>
      </c>
      <c r="D25" s="100">
        <v>4.5599999999999996</v>
      </c>
      <c r="E25" s="100">
        <v>3.62</v>
      </c>
      <c r="F25" s="100">
        <v>214</v>
      </c>
      <c r="G25" s="101"/>
      <c r="H25" s="100">
        <v>222.18</v>
      </c>
      <c r="I25" s="105">
        <f t="shared" si="0"/>
        <v>57.26</v>
      </c>
      <c r="J25" s="106">
        <f t="shared" si="6"/>
        <v>851.72</v>
      </c>
      <c r="K25" s="106">
        <f t="shared" si="9"/>
        <v>1.32</v>
      </c>
      <c r="L25" s="106">
        <f t="shared" si="10"/>
        <v>0.39</v>
      </c>
      <c r="M25" s="106">
        <f t="shared" si="1"/>
        <v>0.01</v>
      </c>
      <c r="N25" s="105"/>
      <c r="O25" s="105"/>
      <c r="P25" s="105"/>
      <c r="Q25" s="106">
        <f t="shared" si="2"/>
        <v>18.21</v>
      </c>
      <c r="R25" s="106">
        <f t="shared" si="7"/>
        <v>-0.2</v>
      </c>
      <c r="S25" s="106">
        <f t="shared" si="8"/>
        <v>910.5</v>
      </c>
      <c r="T25" s="106">
        <f t="shared" si="3"/>
        <v>928.71</v>
      </c>
      <c r="U25" s="148">
        <f t="shared" si="4"/>
        <v>939181</v>
      </c>
      <c r="V25" s="148">
        <f t="shared" si="5"/>
        <v>957964</v>
      </c>
    </row>
    <row r="26" spans="1:22" ht="26.4" x14ac:dyDescent="0.25">
      <c r="A26" s="64"/>
      <c r="B26" s="99" t="s">
        <v>124</v>
      </c>
      <c r="C26" s="99" t="s">
        <v>125</v>
      </c>
      <c r="D26" s="101"/>
      <c r="E26" s="100">
        <v>0.16</v>
      </c>
      <c r="F26" s="100">
        <v>3.36</v>
      </c>
      <c r="G26" s="101"/>
      <c r="H26" s="100">
        <v>3.52</v>
      </c>
      <c r="I26" s="105">
        <f t="shared" si="0"/>
        <v>1.1200000000000001</v>
      </c>
      <c r="J26" s="106">
        <f t="shared" si="6"/>
        <v>13.37</v>
      </c>
      <c r="K26" s="106">
        <f t="shared" si="9"/>
        <v>0.03</v>
      </c>
      <c r="L26" s="106">
        <f t="shared" si="10"/>
        <v>0.01</v>
      </c>
      <c r="M26" s="106">
        <f t="shared" si="1"/>
        <v>0</v>
      </c>
      <c r="N26" s="105"/>
      <c r="O26" s="105"/>
      <c r="P26" s="105"/>
      <c r="Q26" s="106">
        <f t="shared" si="2"/>
        <v>0.28999999999999998</v>
      </c>
      <c r="R26" s="106">
        <f t="shared" si="7"/>
        <v>0</v>
      </c>
      <c r="S26" s="106">
        <f t="shared" si="8"/>
        <v>14.53</v>
      </c>
      <c r="T26" s="106">
        <f t="shared" si="3"/>
        <v>14.82</v>
      </c>
      <c r="U26" s="148">
        <f t="shared" si="4"/>
        <v>14988</v>
      </c>
      <c r="V26" s="148">
        <f t="shared" si="5"/>
        <v>15287</v>
      </c>
    </row>
    <row r="27" spans="1:22" ht="26.4" x14ac:dyDescent="0.25">
      <c r="A27" s="64"/>
      <c r="B27" s="99" t="s">
        <v>126</v>
      </c>
      <c r="C27" s="99" t="s">
        <v>127</v>
      </c>
      <c r="D27" s="100">
        <v>0.61</v>
      </c>
      <c r="E27" s="100">
        <v>3.17</v>
      </c>
      <c r="F27" s="100">
        <v>394.21</v>
      </c>
      <c r="G27" s="101"/>
      <c r="H27" s="100">
        <v>397.99</v>
      </c>
      <c r="I27" s="105">
        <f t="shared" si="0"/>
        <v>26.46</v>
      </c>
      <c r="J27" s="106">
        <f t="shared" si="6"/>
        <v>1568.96</v>
      </c>
      <c r="K27" s="106">
        <f t="shared" si="9"/>
        <v>0.61</v>
      </c>
      <c r="L27" s="106">
        <f t="shared" si="10"/>
        <v>0.18</v>
      </c>
      <c r="M27" s="106">
        <f t="shared" si="1"/>
        <v>0.01</v>
      </c>
      <c r="N27" s="105"/>
      <c r="O27" s="105"/>
      <c r="P27" s="105"/>
      <c r="Q27" s="106">
        <f t="shared" si="2"/>
        <v>31.92</v>
      </c>
      <c r="R27" s="106">
        <f t="shared" si="7"/>
        <v>-0.09</v>
      </c>
      <c r="S27" s="106">
        <f t="shared" si="8"/>
        <v>1596.13</v>
      </c>
      <c r="T27" s="106">
        <f t="shared" si="3"/>
        <v>1628.05</v>
      </c>
      <c r="U27" s="148">
        <f t="shared" si="4"/>
        <v>1646408</v>
      </c>
      <c r="V27" s="148">
        <f t="shared" si="5"/>
        <v>1679334</v>
      </c>
    </row>
    <row r="28" spans="1:22" ht="26.4" x14ac:dyDescent="0.25">
      <c r="A28" s="64"/>
      <c r="B28" s="99" t="s">
        <v>128</v>
      </c>
      <c r="C28" s="99" t="s">
        <v>129</v>
      </c>
      <c r="D28" s="101"/>
      <c r="E28" s="100">
        <v>62.47</v>
      </c>
      <c r="F28" s="100">
        <v>7460.98</v>
      </c>
      <c r="G28" s="101"/>
      <c r="H28" s="100">
        <v>7523.45</v>
      </c>
      <c r="I28" s="105">
        <f t="shared" si="0"/>
        <v>437.29</v>
      </c>
      <c r="J28" s="106">
        <f t="shared" si="6"/>
        <v>29694.7</v>
      </c>
      <c r="K28" s="106">
        <f t="shared" si="9"/>
        <v>10.06</v>
      </c>
      <c r="L28" s="106">
        <f t="shared" si="10"/>
        <v>2.95</v>
      </c>
      <c r="M28" s="106">
        <f t="shared" si="1"/>
        <v>0.09</v>
      </c>
      <c r="N28" s="105"/>
      <c r="O28" s="105"/>
      <c r="P28" s="105"/>
      <c r="Q28" s="106">
        <f t="shared" si="2"/>
        <v>602.9</v>
      </c>
      <c r="R28" s="106">
        <f t="shared" si="7"/>
        <v>-1.51</v>
      </c>
      <c r="S28" s="106">
        <f t="shared" si="8"/>
        <v>30143.58</v>
      </c>
      <c r="T28" s="106">
        <f t="shared" si="3"/>
        <v>30746.48</v>
      </c>
      <c r="U28" s="148">
        <f t="shared" si="4"/>
        <v>31093102</v>
      </c>
      <c r="V28" s="148">
        <f t="shared" si="5"/>
        <v>31714993</v>
      </c>
    </row>
    <row r="29" spans="1:22" ht="26.4" x14ac:dyDescent="0.25">
      <c r="A29" s="64"/>
      <c r="B29" s="99" t="s">
        <v>130</v>
      </c>
      <c r="C29" s="99" t="s">
        <v>131</v>
      </c>
      <c r="D29" s="100">
        <v>95.07</v>
      </c>
      <c r="E29" s="100">
        <v>108.23</v>
      </c>
      <c r="F29" s="100">
        <v>1106.98</v>
      </c>
      <c r="G29" s="101"/>
      <c r="H29" s="100">
        <v>1310.28</v>
      </c>
      <c r="I29" s="105">
        <f t="shared" si="0"/>
        <v>1423.1</v>
      </c>
      <c r="J29" s="106">
        <f t="shared" si="6"/>
        <v>4405.78</v>
      </c>
      <c r="K29" s="106">
        <f t="shared" si="9"/>
        <v>32.729999999999997</v>
      </c>
      <c r="L29" s="106">
        <f t="shared" si="10"/>
        <v>9.61</v>
      </c>
      <c r="M29" s="106">
        <f t="shared" si="1"/>
        <v>0.28999999999999998</v>
      </c>
      <c r="N29" s="105"/>
      <c r="O29" s="105"/>
      <c r="P29" s="105"/>
      <c r="Q29" s="106">
        <f t="shared" si="2"/>
        <v>117.43</v>
      </c>
      <c r="R29" s="106">
        <f t="shared" si="7"/>
        <v>-4.91</v>
      </c>
      <c r="S29" s="106">
        <f t="shared" si="8"/>
        <v>5866.6</v>
      </c>
      <c r="T29" s="106">
        <f t="shared" si="3"/>
        <v>5984.03</v>
      </c>
      <c r="U29" s="148">
        <f t="shared" si="4"/>
        <v>6051398</v>
      </c>
      <c r="V29" s="148">
        <f t="shared" si="5"/>
        <v>6172527</v>
      </c>
    </row>
    <row r="30" spans="1:22" ht="26.4" x14ac:dyDescent="0.25">
      <c r="A30" s="64"/>
      <c r="B30" s="99" t="s">
        <v>132</v>
      </c>
      <c r="C30" s="99" t="s">
        <v>133</v>
      </c>
      <c r="D30" s="101"/>
      <c r="E30" s="100">
        <v>51.55</v>
      </c>
      <c r="F30" s="100">
        <v>261.87</v>
      </c>
      <c r="G30" s="101"/>
      <c r="H30" s="100">
        <v>313.42</v>
      </c>
      <c r="I30" s="105">
        <f t="shared" si="0"/>
        <v>360.85</v>
      </c>
      <c r="J30" s="106">
        <f t="shared" si="6"/>
        <v>1042.24</v>
      </c>
      <c r="K30" s="106">
        <f t="shared" si="9"/>
        <v>8.3000000000000007</v>
      </c>
      <c r="L30" s="106">
        <f t="shared" si="10"/>
        <v>2.44</v>
      </c>
      <c r="M30" s="106">
        <f t="shared" si="1"/>
        <v>7.0000000000000007E-2</v>
      </c>
      <c r="N30" s="105"/>
      <c r="O30" s="105"/>
      <c r="P30" s="105"/>
      <c r="Q30" s="106">
        <f t="shared" si="2"/>
        <v>28.28</v>
      </c>
      <c r="R30" s="106">
        <f t="shared" si="7"/>
        <v>-1.25</v>
      </c>
      <c r="S30" s="106">
        <f t="shared" si="8"/>
        <v>1412.65</v>
      </c>
      <c r="T30" s="106">
        <f t="shared" si="3"/>
        <v>1440.93</v>
      </c>
      <c r="U30" s="148">
        <f t="shared" si="4"/>
        <v>1457148</v>
      </c>
      <c r="V30" s="148">
        <f t="shared" si="5"/>
        <v>1486319</v>
      </c>
    </row>
    <row r="31" spans="1:22" ht="26.4" x14ac:dyDescent="0.25">
      <c r="A31" s="64"/>
      <c r="B31" s="99" t="s">
        <v>134</v>
      </c>
      <c r="C31" s="99" t="s">
        <v>135</v>
      </c>
      <c r="D31" s="101"/>
      <c r="E31" s="100">
        <v>2.87</v>
      </c>
      <c r="F31" s="100">
        <v>637.17999999999995</v>
      </c>
      <c r="G31" s="101"/>
      <c r="H31" s="100">
        <v>640.04999999999995</v>
      </c>
      <c r="I31" s="105">
        <f t="shared" si="0"/>
        <v>20.09</v>
      </c>
      <c r="J31" s="106">
        <f t="shared" si="6"/>
        <v>2535.98</v>
      </c>
      <c r="K31" s="106">
        <f t="shared" si="9"/>
        <v>0.46</v>
      </c>
      <c r="L31" s="106">
        <f t="shared" si="10"/>
        <v>0.14000000000000001</v>
      </c>
      <c r="M31" s="106">
        <f t="shared" si="1"/>
        <v>0</v>
      </c>
      <c r="N31" s="105"/>
      <c r="O31" s="105"/>
      <c r="P31" s="105"/>
      <c r="Q31" s="106">
        <f t="shared" si="2"/>
        <v>51.13</v>
      </c>
      <c r="R31" s="106">
        <f t="shared" si="7"/>
        <v>-7.0000000000000007E-2</v>
      </c>
      <c r="S31" s="106">
        <f t="shared" si="8"/>
        <v>2556.6</v>
      </c>
      <c r="T31" s="106">
        <f t="shared" si="3"/>
        <v>2607.73</v>
      </c>
      <c r="U31" s="148">
        <f t="shared" si="4"/>
        <v>2637133</v>
      </c>
      <c r="V31" s="148">
        <f t="shared" si="5"/>
        <v>2689873</v>
      </c>
    </row>
    <row r="32" spans="1:22" ht="39.6" x14ac:dyDescent="0.25">
      <c r="A32" s="64"/>
      <c r="B32" s="99" t="s">
        <v>136</v>
      </c>
      <c r="C32" s="99" t="s">
        <v>137</v>
      </c>
      <c r="D32" s="100">
        <v>0.04</v>
      </c>
      <c r="E32" s="100">
        <v>3.75</v>
      </c>
      <c r="F32" s="100">
        <v>28.66</v>
      </c>
      <c r="G32" s="101"/>
      <c r="H32" s="100">
        <v>32.450000000000003</v>
      </c>
      <c r="I32" s="105">
        <f t="shared" si="0"/>
        <v>26.53</v>
      </c>
      <c r="J32" s="106">
        <f t="shared" si="6"/>
        <v>114.07</v>
      </c>
      <c r="K32" s="106">
        <f t="shared" si="9"/>
        <v>0.61</v>
      </c>
      <c r="L32" s="106">
        <f t="shared" si="10"/>
        <v>0.18</v>
      </c>
      <c r="M32" s="106">
        <f t="shared" si="1"/>
        <v>0.01</v>
      </c>
      <c r="N32" s="105"/>
      <c r="O32" s="105"/>
      <c r="P32" s="105"/>
      <c r="Q32" s="106">
        <f t="shared" si="2"/>
        <v>2.83</v>
      </c>
      <c r="R32" s="106">
        <f t="shared" si="7"/>
        <v>-0.09</v>
      </c>
      <c r="S32" s="106">
        <f t="shared" si="8"/>
        <v>141.31</v>
      </c>
      <c r="T32" s="106">
        <f t="shared" si="3"/>
        <v>144.13999999999999</v>
      </c>
      <c r="U32" s="148">
        <f t="shared" si="4"/>
        <v>145761</v>
      </c>
      <c r="V32" s="148">
        <f t="shared" si="5"/>
        <v>148680</v>
      </c>
    </row>
    <row r="33" spans="1:22" ht="26.4" x14ac:dyDescent="0.25">
      <c r="A33" s="64"/>
      <c r="B33" s="99" t="s">
        <v>138</v>
      </c>
      <c r="C33" s="99" t="s">
        <v>139</v>
      </c>
      <c r="D33" s="101"/>
      <c r="E33" s="101"/>
      <c r="F33" s="100">
        <v>450.65</v>
      </c>
      <c r="G33" s="101"/>
      <c r="H33" s="100">
        <v>450.65</v>
      </c>
      <c r="I33" s="105">
        <f t="shared" si="0"/>
        <v>0</v>
      </c>
      <c r="J33" s="106">
        <f t="shared" si="6"/>
        <v>1793.59</v>
      </c>
      <c r="K33" s="106">
        <f t="shared" si="9"/>
        <v>0</v>
      </c>
      <c r="L33" s="106">
        <f t="shared" si="10"/>
        <v>0</v>
      </c>
      <c r="M33" s="106">
        <f>($H$47*10.51)/$I$63*I33</f>
        <v>0</v>
      </c>
      <c r="N33" s="105"/>
      <c r="O33" s="105"/>
      <c r="P33" s="105"/>
      <c r="Q33" s="106">
        <f t="shared" si="2"/>
        <v>35.869999999999997</v>
      </c>
      <c r="R33" s="106">
        <f t="shared" si="7"/>
        <v>0</v>
      </c>
      <c r="S33" s="106">
        <f t="shared" si="8"/>
        <v>1793.59</v>
      </c>
      <c r="T33" s="106">
        <f t="shared" si="3"/>
        <v>1829.46</v>
      </c>
      <c r="U33" s="148">
        <f t="shared" si="4"/>
        <v>1850088</v>
      </c>
      <c r="V33" s="148">
        <f t="shared" si="5"/>
        <v>1887088</v>
      </c>
    </row>
    <row r="34" spans="1:22" ht="27.9" customHeight="1" x14ac:dyDescent="0.25">
      <c r="A34" s="85"/>
      <c r="B34" s="226" t="s">
        <v>27</v>
      </c>
      <c r="C34" s="227"/>
      <c r="D34" s="88">
        <v>537.80999999999995</v>
      </c>
      <c r="E34" s="88">
        <v>1231.3599999999999</v>
      </c>
      <c r="F34" s="88">
        <v>17480.759999999998</v>
      </c>
      <c r="G34" s="89"/>
      <c r="H34" s="88">
        <v>19249.93</v>
      </c>
      <c r="I34" s="105"/>
      <c r="J34" s="145"/>
      <c r="K34" s="145"/>
      <c r="L34" s="145"/>
      <c r="M34" s="145"/>
      <c r="N34" s="145"/>
      <c r="O34" s="145"/>
      <c r="P34" s="145"/>
      <c r="Q34" s="145"/>
      <c r="R34" s="146"/>
      <c r="S34" s="146"/>
      <c r="T34" s="146"/>
      <c r="U34" s="146"/>
      <c r="V34" s="104"/>
    </row>
    <row r="35" spans="1:22" x14ac:dyDescent="0.25">
      <c r="A35" s="85"/>
      <c r="B35" s="228" t="s">
        <v>28</v>
      </c>
      <c r="C35" s="229"/>
      <c r="D35" s="88">
        <f>D14+D34</f>
        <v>616.76</v>
      </c>
      <c r="E35" s="88">
        <v>1231.3599999999999</v>
      </c>
      <c r="F35" s="88">
        <v>17480.759999999998</v>
      </c>
      <c r="G35" s="88"/>
      <c r="H35" s="88">
        <f>H14+H34</f>
        <v>19328.88</v>
      </c>
      <c r="I35" s="106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4"/>
    </row>
    <row r="36" spans="1:22" x14ac:dyDescent="0.25">
      <c r="A36" s="221" t="s">
        <v>29</v>
      </c>
      <c r="B36" s="222"/>
      <c r="C36" s="222"/>
      <c r="D36" s="222"/>
      <c r="E36" s="222"/>
      <c r="F36" s="222"/>
      <c r="G36" s="222"/>
      <c r="H36" s="222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4"/>
    </row>
    <row r="37" spans="1:22" ht="26.4" x14ac:dyDescent="0.25">
      <c r="A37" s="64">
        <v>4</v>
      </c>
      <c r="B37" s="65" t="s">
        <v>30</v>
      </c>
      <c r="C37" s="65" t="s">
        <v>31</v>
      </c>
      <c r="D37" s="74">
        <v>14.19</v>
      </c>
      <c r="E37" s="74">
        <v>28.32</v>
      </c>
      <c r="F37" s="78"/>
      <c r="G37" s="78"/>
      <c r="H37" s="74">
        <v>42.51</v>
      </c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4"/>
    </row>
    <row r="38" spans="1:22" x14ac:dyDescent="0.25">
      <c r="A38" s="85"/>
      <c r="B38" s="226" t="s">
        <v>32</v>
      </c>
      <c r="C38" s="227"/>
      <c r="D38" s="88">
        <v>14.19</v>
      </c>
      <c r="E38" s="88">
        <v>28.32</v>
      </c>
      <c r="F38" s="89"/>
      <c r="G38" s="89"/>
      <c r="H38" s="88">
        <v>42.51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4"/>
    </row>
    <row r="39" spans="1:22" x14ac:dyDescent="0.25">
      <c r="A39" s="85"/>
      <c r="B39" s="226" t="s">
        <v>33</v>
      </c>
      <c r="C39" s="227"/>
      <c r="D39" s="88">
        <v>630.95000000000005</v>
      </c>
      <c r="E39" s="88">
        <v>1259.68</v>
      </c>
      <c r="F39" s="88">
        <v>17480.759999999998</v>
      </c>
      <c r="G39" s="88"/>
      <c r="H39" s="88">
        <f>H35+H38</f>
        <v>19371.39</v>
      </c>
      <c r="I39" s="106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4"/>
    </row>
    <row r="40" spans="1:22" x14ac:dyDescent="0.25">
      <c r="A40" s="221" t="s">
        <v>34</v>
      </c>
      <c r="B40" s="222"/>
      <c r="C40" s="222"/>
      <c r="D40" s="222"/>
      <c r="E40" s="222"/>
      <c r="F40" s="222"/>
      <c r="G40" s="222"/>
      <c r="H40" s="222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4"/>
    </row>
    <row r="41" spans="1:22" ht="39.6" x14ac:dyDescent="0.25">
      <c r="A41" s="64">
        <v>5</v>
      </c>
      <c r="B41" s="65" t="s">
        <v>35</v>
      </c>
      <c r="C41" s="65" t="s">
        <v>36</v>
      </c>
      <c r="D41" s="74">
        <v>4.16</v>
      </c>
      <c r="E41" s="74">
        <v>8.31</v>
      </c>
      <c r="F41" s="78"/>
      <c r="G41" s="78"/>
      <c r="H41" s="74">
        <v>12.47</v>
      </c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4"/>
    </row>
    <row r="42" spans="1:22" x14ac:dyDescent="0.25">
      <c r="A42" s="64">
        <v>6</v>
      </c>
      <c r="B42" s="65" t="s">
        <v>37</v>
      </c>
      <c r="C42" s="65" t="s">
        <v>38</v>
      </c>
      <c r="D42" s="78"/>
      <c r="E42" s="78"/>
      <c r="F42" s="78"/>
      <c r="G42" s="74">
        <v>30.43</v>
      </c>
      <c r="H42" s="74">
        <v>30.43</v>
      </c>
      <c r="I42" s="106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4"/>
    </row>
    <row r="43" spans="1:22" ht="26.4" x14ac:dyDescent="0.25">
      <c r="A43" s="64"/>
      <c r="B43" s="99" t="s">
        <v>140</v>
      </c>
      <c r="C43" s="99" t="s">
        <v>141</v>
      </c>
      <c r="D43" s="101"/>
      <c r="E43" s="101"/>
      <c r="F43" s="101"/>
      <c r="G43" s="102">
        <f>7.96*0.8</f>
        <v>6.37</v>
      </c>
      <c r="H43" s="102">
        <f>G43</f>
        <v>6.37</v>
      </c>
      <c r="I43" s="105"/>
      <c r="J43" s="105"/>
      <c r="K43" s="105"/>
      <c r="L43" s="105"/>
      <c r="M43" s="105"/>
      <c r="N43" s="106">
        <f>H43*15.15</f>
        <v>96.51</v>
      </c>
      <c r="O43" s="105"/>
      <c r="P43" s="105"/>
      <c r="Q43" s="106">
        <f>N43*0.02</f>
        <v>1.93</v>
      </c>
      <c r="R43" s="105"/>
      <c r="S43" s="106">
        <f t="shared" ref="S43:S46" si="11">I43+J43+K43+L43+M43+N43+O43+R43</f>
        <v>96.51</v>
      </c>
      <c r="T43" s="106">
        <f>I43+J43+K43+L43+M43+N43+O43+Q43+R43</f>
        <v>98.44</v>
      </c>
      <c r="U43" s="148">
        <f t="shared" ref="U43:U46" si="12">S43*1000*$F$133</f>
        <v>99550</v>
      </c>
      <c r="V43" s="148">
        <f t="shared" ref="V43:V46" si="13">T43*1000*$F$133</f>
        <v>101541</v>
      </c>
    </row>
    <row r="44" spans="1:22" ht="26.4" x14ac:dyDescent="0.25">
      <c r="A44" s="64"/>
      <c r="B44" s="99" t="s">
        <v>142</v>
      </c>
      <c r="C44" s="99" t="s">
        <v>143</v>
      </c>
      <c r="D44" s="101"/>
      <c r="E44" s="101"/>
      <c r="F44" s="101"/>
      <c r="G44" s="102">
        <f>27.42*0.8-0.01</f>
        <v>21.93</v>
      </c>
      <c r="H44" s="102">
        <f>G44</f>
        <v>21.93</v>
      </c>
      <c r="I44" s="105"/>
      <c r="J44" s="105"/>
      <c r="K44" s="105"/>
      <c r="L44" s="105"/>
      <c r="M44" s="105"/>
      <c r="N44" s="106">
        <f>H44*15.15</f>
        <v>332.24</v>
      </c>
      <c r="O44" s="105"/>
      <c r="P44" s="105"/>
      <c r="Q44" s="106">
        <f>N44*0.02</f>
        <v>6.64</v>
      </c>
      <c r="R44" s="105"/>
      <c r="S44" s="106">
        <f t="shared" si="11"/>
        <v>332.24</v>
      </c>
      <c r="T44" s="106">
        <f>I44+J44+K44+L44+M44+N44+O44+Q44+R44</f>
        <v>338.88</v>
      </c>
      <c r="U44" s="148">
        <f t="shared" si="12"/>
        <v>342706</v>
      </c>
      <c r="V44" s="148">
        <f t="shared" si="13"/>
        <v>349555</v>
      </c>
    </row>
    <row r="45" spans="1:22" ht="26.4" x14ac:dyDescent="0.25">
      <c r="A45" s="64"/>
      <c r="B45" s="99" t="s">
        <v>144</v>
      </c>
      <c r="C45" s="99" t="s">
        <v>145</v>
      </c>
      <c r="D45" s="101"/>
      <c r="E45" s="101"/>
      <c r="F45" s="101"/>
      <c r="G45" s="100">
        <f>0.55*0.8</f>
        <v>0.44</v>
      </c>
      <c r="H45" s="100">
        <f>G45</f>
        <v>0.44</v>
      </c>
      <c r="I45" s="105"/>
      <c r="J45" s="105"/>
      <c r="K45" s="105"/>
      <c r="L45" s="105"/>
      <c r="M45" s="105"/>
      <c r="N45" s="106">
        <f>H45*15.15</f>
        <v>6.67</v>
      </c>
      <c r="O45" s="105"/>
      <c r="P45" s="105"/>
      <c r="Q45" s="106">
        <f>N45*0.02</f>
        <v>0.13</v>
      </c>
      <c r="R45" s="105"/>
      <c r="S45" s="106">
        <f t="shared" si="11"/>
        <v>6.67</v>
      </c>
      <c r="T45" s="106">
        <f>I45+J45+K45+L45+M45+N45+O45+Q45+R45</f>
        <v>6.8</v>
      </c>
      <c r="U45" s="148">
        <f t="shared" si="12"/>
        <v>6880</v>
      </c>
      <c r="V45" s="148">
        <f t="shared" si="13"/>
        <v>7014</v>
      </c>
    </row>
    <row r="46" spans="1:22" ht="26.4" x14ac:dyDescent="0.25">
      <c r="A46" s="64"/>
      <c r="B46" s="99" t="s">
        <v>146</v>
      </c>
      <c r="C46" s="99" t="s">
        <v>147</v>
      </c>
      <c r="D46" s="101"/>
      <c r="E46" s="101"/>
      <c r="F46" s="101"/>
      <c r="G46" s="102">
        <f>2.11*0.8</f>
        <v>1.69</v>
      </c>
      <c r="H46" s="102">
        <f>G46</f>
        <v>1.69</v>
      </c>
      <c r="I46" s="105"/>
      <c r="J46" s="105"/>
      <c r="K46" s="105"/>
      <c r="L46" s="105"/>
      <c r="M46" s="105"/>
      <c r="N46" s="106">
        <f>H46*15.15</f>
        <v>25.6</v>
      </c>
      <c r="O46" s="105"/>
      <c r="P46" s="105"/>
      <c r="Q46" s="106">
        <f>N46*0.02</f>
        <v>0.51</v>
      </c>
      <c r="R46" s="105"/>
      <c r="S46" s="106">
        <f t="shared" si="11"/>
        <v>25.6</v>
      </c>
      <c r="T46" s="106">
        <f>I46+J46+K46+L46+M46+N46+O46+Q46+R46</f>
        <v>26.11</v>
      </c>
      <c r="U46" s="148">
        <f t="shared" si="12"/>
        <v>26406</v>
      </c>
      <c r="V46" s="148">
        <f t="shared" si="13"/>
        <v>26932</v>
      </c>
    </row>
    <row r="47" spans="1:22" x14ac:dyDescent="0.25">
      <c r="A47" s="64">
        <v>7</v>
      </c>
      <c r="B47" s="65" t="s">
        <v>39</v>
      </c>
      <c r="C47" s="65" t="s">
        <v>102</v>
      </c>
      <c r="D47" s="78"/>
      <c r="E47" s="78"/>
      <c r="F47" s="78"/>
      <c r="G47" s="74">
        <v>0.25</v>
      </c>
      <c r="H47" s="74">
        <v>0.25</v>
      </c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4"/>
    </row>
    <row r="48" spans="1:22" x14ac:dyDescent="0.25">
      <c r="A48" s="85"/>
      <c r="B48" s="226" t="s">
        <v>40</v>
      </c>
      <c r="C48" s="227"/>
      <c r="D48" s="88">
        <v>4.16</v>
      </c>
      <c r="E48" s="88">
        <v>8.31</v>
      </c>
      <c r="F48" s="89"/>
      <c r="G48" s="88">
        <f>G47+G42</f>
        <v>30.68</v>
      </c>
      <c r="H48" s="88">
        <f>H47+H42+H41</f>
        <v>43.15</v>
      </c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4"/>
    </row>
    <row r="49" spans="1:22" x14ac:dyDescent="0.25">
      <c r="A49" s="85"/>
      <c r="B49" s="226" t="s">
        <v>41</v>
      </c>
      <c r="C49" s="227"/>
      <c r="D49" s="88">
        <v>635.11</v>
      </c>
      <c r="E49" s="88">
        <v>1267.99</v>
      </c>
      <c r="F49" s="88">
        <v>17480.759999999998</v>
      </c>
      <c r="G49" s="88">
        <f>G48+G39</f>
        <v>30.68</v>
      </c>
      <c r="H49" s="88">
        <f>H48+H39</f>
        <v>19414.54</v>
      </c>
      <c r="I49" s="106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4"/>
    </row>
    <row r="50" spans="1:22" x14ac:dyDescent="0.25">
      <c r="A50" s="221" t="s">
        <v>42</v>
      </c>
      <c r="B50" s="222"/>
      <c r="C50" s="222"/>
      <c r="D50" s="222"/>
      <c r="E50" s="222"/>
      <c r="F50" s="222"/>
      <c r="G50" s="222"/>
      <c r="H50" s="222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4"/>
    </row>
    <row r="51" spans="1:22" ht="39.6" x14ac:dyDescent="0.25">
      <c r="A51" s="64">
        <v>8</v>
      </c>
      <c r="B51" s="65" t="s">
        <v>43</v>
      </c>
      <c r="C51" s="65" t="s">
        <v>44</v>
      </c>
      <c r="D51" s="66"/>
      <c r="E51" s="66"/>
      <c r="F51" s="66"/>
      <c r="G51" s="67"/>
      <c r="H51" s="67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4"/>
    </row>
    <row r="52" spans="1:22" ht="27.9" customHeight="1" x14ac:dyDescent="0.25">
      <c r="A52" s="85"/>
      <c r="B52" s="226" t="s">
        <v>45</v>
      </c>
      <c r="C52" s="227"/>
      <c r="D52" s="87"/>
      <c r="E52" s="87"/>
      <c r="F52" s="87"/>
      <c r="G52" s="86"/>
      <c r="H52" s="86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4"/>
    </row>
    <row r="53" spans="1:22" x14ac:dyDescent="0.25">
      <c r="A53" s="221" t="s">
        <v>46</v>
      </c>
      <c r="B53" s="222"/>
      <c r="C53" s="222"/>
      <c r="D53" s="222"/>
      <c r="E53" s="222"/>
      <c r="F53" s="222"/>
      <c r="G53" s="222"/>
      <c r="H53" s="222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4"/>
    </row>
    <row r="54" spans="1:22" x14ac:dyDescent="0.25">
      <c r="A54" s="64">
        <v>9</v>
      </c>
      <c r="B54" s="65" t="s">
        <v>47</v>
      </c>
      <c r="C54" s="65" t="s">
        <v>48</v>
      </c>
      <c r="D54" s="66"/>
      <c r="E54" s="66"/>
      <c r="F54" s="66"/>
      <c r="G54" s="74"/>
      <c r="H54" s="74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4"/>
    </row>
    <row r="55" spans="1:22" ht="26.4" x14ac:dyDescent="0.25">
      <c r="A55" s="64">
        <v>10</v>
      </c>
      <c r="B55" s="65" t="s">
        <v>49</v>
      </c>
      <c r="C55" s="65" t="s">
        <v>159</v>
      </c>
      <c r="D55" s="66"/>
      <c r="E55" s="66"/>
      <c r="F55" s="66"/>
      <c r="G55" s="74">
        <v>865.77</v>
      </c>
      <c r="H55" s="74">
        <f>G55</f>
        <v>865.77</v>
      </c>
      <c r="I55" s="105"/>
      <c r="J55" s="105"/>
      <c r="K55" s="105"/>
      <c r="L55" s="105"/>
      <c r="M55" s="105"/>
      <c r="N55" s="105"/>
      <c r="O55" s="106">
        <f>H55*1.19*4.15</f>
        <v>4275.6099999999997</v>
      </c>
      <c r="P55" s="106"/>
      <c r="Q55" s="106">
        <f>O55*0.02</f>
        <v>85.51</v>
      </c>
      <c r="R55" s="105"/>
      <c r="S55" s="106">
        <f>I55+J55+K55+L55+M55+N55+O55+R55</f>
        <v>4275.6099999999997</v>
      </c>
      <c r="T55" s="106">
        <f>I55+J55+K55+L55+M55+N55+O55+Q55+R55</f>
        <v>4361.12</v>
      </c>
      <c r="U55" s="148">
        <f>S55*1000*$F$105</f>
        <v>4347440</v>
      </c>
      <c r="V55" s="148">
        <f>T55*1000*F105</f>
        <v>4434387</v>
      </c>
    </row>
    <row r="56" spans="1:22" x14ac:dyDescent="0.25">
      <c r="A56" s="64">
        <v>11</v>
      </c>
      <c r="B56" s="65" t="s">
        <v>47</v>
      </c>
      <c r="C56" s="65" t="s">
        <v>51</v>
      </c>
      <c r="D56" s="66"/>
      <c r="E56" s="66"/>
      <c r="F56" s="66"/>
      <c r="G56" s="74"/>
      <c r="H56" s="74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4"/>
    </row>
    <row r="57" spans="1:22" ht="26.4" x14ac:dyDescent="0.25">
      <c r="A57" s="64">
        <v>12</v>
      </c>
      <c r="B57" s="65" t="s">
        <v>52</v>
      </c>
      <c r="C57" s="65" t="s">
        <v>53</v>
      </c>
      <c r="D57" s="66"/>
      <c r="E57" s="66"/>
      <c r="F57" s="66"/>
      <c r="G57" s="74"/>
      <c r="H57" s="74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4"/>
    </row>
    <row r="58" spans="1:22" ht="27.9" customHeight="1" x14ac:dyDescent="0.25">
      <c r="A58" s="85"/>
      <c r="B58" s="226" t="s">
        <v>54</v>
      </c>
      <c r="C58" s="227"/>
      <c r="D58" s="87"/>
      <c r="E58" s="87"/>
      <c r="F58" s="87"/>
      <c r="G58" s="88">
        <f>SUM(G54:G57)</f>
        <v>865.77</v>
      </c>
      <c r="H58" s="88">
        <f>SUM(H54:H57)</f>
        <v>865.77</v>
      </c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4"/>
    </row>
    <row r="59" spans="1:22" ht="27.6" customHeight="1" x14ac:dyDescent="0.25">
      <c r="A59" s="85"/>
      <c r="B59" s="226" t="s">
        <v>55</v>
      </c>
      <c r="C59" s="227"/>
      <c r="D59" s="86">
        <v>635.11</v>
      </c>
      <c r="E59" s="86">
        <v>1267.99</v>
      </c>
      <c r="F59" s="86">
        <v>17480.759999999998</v>
      </c>
      <c r="G59" s="88">
        <f>G58+G52++G49</f>
        <v>896.45</v>
      </c>
      <c r="H59" s="88">
        <f>H58+H52++H49</f>
        <v>20280.310000000001</v>
      </c>
      <c r="I59" s="106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4"/>
    </row>
    <row r="60" spans="1:22" x14ac:dyDescent="0.25">
      <c r="A60" s="221" t="s">
        <v>56</v>
      </c>
      <c r="B60" s="222"/>
      <c r="C60" s="222"/>
      <c r="D60" s="222"/>
      <c r="E60" s="222"/>
      <c r="F60" s="222"/>
      <c r="G60" s="222"/>
      <c r="H60" s="222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4"/>
    </row>
    <row r="61" spans="1:22" ht="26.4" x14ac:dyDescent="0.25">
      <c r="A61" s="64">
        <v>13</v>
      </c>
      <c r="B61" s="65" t="s">
        <v>57</v>
      </c>
      <c r="C61" s="65" t="s">
        <v>58</v>
      </c>
      <c r="D61" s="74">
        <f>D59*0.02</f>
        <v>12.7</v>
      </c>
      <c r="E61" s="74">
        <f>E59*0.02</f>
        <v>25.36</v>
      </c>
      <c r="F61" s="74">
        <f>F59*0.02</f>
        <v>349.62</v>
      </c>
      <c r="G61" s="74">
        <f>G59*0.02</f>
        <v>17.93</v>
      </c>
      <c r="H61" s="74">
        <f>G61+F61+E61+D61</f>
        <v>405.61</v>
      </c>
      <c r="I61" s="106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4"/>
    </row>
    <row r="62" spans="1:22" ht="22.2" customHeight="1" x14ac:dyDescent="0.25">
      <c r="A62" s="85"/>
      <c r="B62" s="226" t="s">
        <v>59</v>
      </c>
      <c r="C62" s="227"/>
      <c r="D62" s="88">
        <f>D61</f>
        <v>12.7</v>
      </c>
      <c r="E62" s="88">
        <f>E61</f>
        <v>25.36</v>
      </c>
      <c r="F62" s="88">
        <f>F61</f>
        <v>349.62</v>
      </c>
      <c r="G62" s="88">
        <f>G61</f>
        <v>17.93</v>
      </c>
      <c r="H62" s="88">
        <f>H61</f>
        <v>405.61</v>
      </c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4"/>
    </row>
    <row r="63" spans="1:22" ht="20.399999999999999" customHeight="1" x14ac:dyDescent="0.25">
      <c r="A63" s="85"/>
      <c r="B63" s="226" t="s">
        <v>104</v>
      </c>
      <c r="C63" s="227"/>
      <c r="D63" s="88">
        <f>D59+D62</f>
        <v>647.80999999999995</v>
      </c>
      <c r="E63" s="88">
        <f>E59+E62</f>
        <v>1293.3499999999999</v>
      </c>
      <c r="F63" s="88">
        <f>F59+F62</f>
        <v>17830.38</v>
      </c>
      <c r="G63" s="88">
        <f>G59+G62</f>
        <v>914.38</v>
      </c>
      <c r="H63" s="88">
        <f>H59+H62</f>
        <v>20685.919999999998</v>
      </c>
      <c r="I63" s="107">
        <f t="shared" ref="I63:U63" si="14">SUM(I13:I62)</f>
        <v>12936.84</v>
      </c>
      <c r="J63" s="107">
        <f t="shared" si="14"/>
        <v>69573.440000000002</v>
      </c>
      <c r="K63" s="107">
        <f t="shared" si="14"/>
        <v>297.52999999999997</v>
      </c>
      <c r="L63" s="107">
        <f t="shared" si="14"/>
        <v>87.34</v>
      </c>
      <c r="M63" s="107">
        <f t="shared" si="14"/>
        <v>2.63</v>
      </c>
      <c r="N63" s="107">
        <f t="shared" si="14"/>
        <v>461.02</v>
      </c>
      <c r="O63" s="107">
        <f t="shared" si="14"/>
        <v>4275.6099999999997</v>
      </c>
      <c r="P63" s="107">
        <f>P12</f>
        <v>155.84</v>
      </c>
      <c r="Q63" s="107">
        <f>SUM(Q12:Q62)</f>
        <v>1755.77</v>
      </c>
      <c r="R63" s="107">
        <f t="shared" si="14"/>
        <v>-44.64</v>
      </c>
      <c r="S63" s="107">
        <f>SUM(S12:S62)</f>
        <v>87745.61</v>
      </c>
      <c r="T63" s="107">
        <f>SUM(T12:T62)</f>
        <v>89501.38</v>
      </c>
      <c r="U63" s="149">
        <f>SUM(U12:U62)</f>
        <v>90446738</v>
      </c>
      <c r="V63" s="149">
        <f>SUM(V12:V62)</f>
        <v>92256558</v>
      </c>
    </row>
    <row r="64" spans="1:22" ht="40.5" customHeight="1" x14ac:dyDescent="0.25">
      <c r="A64" s="250" t="s">
        <v>86</v>
      </c>
      <c r="B64" s="251"/>
      <c r="C64" s="251"/>
      <c r="D64" s="251"/>
      <c r="E64" s="251"/>
      <c r="F64" s="251"/>
      <c r="G64" s="251"/>
      <c r="H64" s="252"/>
      <c r="I64" s="82"/>
      <c r="J64" s="82"/>
      <c r="K64" s="110"/>
      <c r="L64" s="110"/>
      <c r="M64" s="110"/>
      <c r="N64" s="110"/>
      <c r="O64" s="110"/>
      <c r="P64" s="110"/>
      <c r="Q64" s="110"/>
      <c r="R64" s="110"/>
      <c r="S64" s="112"/>
      <c r="T64" s="110"/>
      <c r="U64" s="110"/>
      <c r="V64" s="103"/>
    </row>
    <row r="65" spans="1:22" ht="58.5" customHeight="1" x14ac:dyDescent="0.25">
      <c r="A65" s="81">
        <v>14</v>
      </c>
      <c r="B65" s="84" t="s">
        <v>87</v>
      </c>
      <c r="C65" s="84" t="s">
        <v>20</v>
      </c>
      <c r="D65" s="84"/>
      <c r="E65" s="84"/>
      <c r="F65" s="84"/>
      <c r="G65" s="84"/>
      <c r="H65" s="79"/>
      <c r="I65" s="82"/>
      <c r="J65" s="82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03"/>
    </row>
    <row r="66" spans="1:22" ht="49.5" customHeight="1" x14ac:dyDescent="0.25">
      <c r="A66" s="81">
        <v>15</v>
      </c>
      <c r="B66" s="84" t="s">
        <v>87</v>
      </c>
      <c r="C66" s="84" t="s">
        <v>88</v>
      </c>
      <c r="D66" s="84">
        <f>ROUND(D63*7,2)</f>
        <v>4534.67</v>
      </c>
      <c r="E66" s="84"/>
      <c r="F66" s="84"/>
      <c r="G66" s="84"/>
      <c r="H66" s="79">
        <f t="shared" ref="H66:H75" si="15">ROUND(G66+F66+E66+D66,2)</f>
        <v>4534.67</v>
      </c>
      <c r="I66" s="82"/>
      <c r="J66" s="82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03"/>
    </row>
    <row r="67" spans="1:22" ht="52.8" x14ac:dyDescent="0.25">
      <c r="A67" s="81">
        <v>16</v>
      </c>
      <c r="B67" s="84" t="s">
        <v>87</v>
      </c>
      <c r="C67" s="84" t="s">
        <v>89</v>
      </c>
      <c r="D67" s="84"/>
      <c r="E67" s="84">
        <f>ROUND(E63*7,2)</f>
        <v>9053.4500000000007</v>
      </c>
      <c r="F67" s="84"/>
      <c r="G67" s="84"/>
      <c r="H67" s="79">
        <f t="shared" si="15"/>
        <v>9053.4500000000007</v>
      </c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03"/>
    </row>
    <row r="68" spans="1:22" ht="52.8" x14ac:dyDescent="0.25">
      <c r="A68" s="81">
        <v>17</v>
      </c>
      <c r="B68" s="65" t="s">
        <v>90</v>
      </c>
      <c r="C68" s="84" t="s">
        <v>91</v>
      </c>
      <c r="D68" s="84"/>
      <c r="E68" s="84"/>
      <c r="F68" s="79">
        <f>ROUND(F63*3.98,2)</f>
        <v>70964.91</v>
      </c>
      <c r="G68" s="84"/>
      <c r="H68" s="79">
        <f t="shared" si="15"/>
        <v>70964.91</v>
      </c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03"/>
    </row>
    <row r="69" spans="1:22" ht="12.75" customHeight="1" x14ac:dyDescent="0.25">
      <c r="A69" s="81">
        <v>18</v>
      </c>
      <c r="B69" s="65" t="s">
        <v>90</v>
      </c>
      <c r="C69" s="65" t="s">
        <v>92</v>
      </c>
      <c r="D69" s="58"/>
      <c r="E69" s="58"/>
      <c r="F69" s="58"/>
      <c r="G69" s="79">
        <f>ROUND(G47*10.51*1.02,2)</f>
        <v>2.68</v>
      </c>
      <c r="H69" s="79">
        <f t="shared" si="15"/>
        <v>2.68</v>
      </c>
      <c r="I69" s="82"/>
      <c r="J69" s="82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03"/>
    </row>
    <row r="70" spans="1:22" ht="52.8" x14ac:dyDescent="0.25">
      <c r="A70" s="81">
        <v>19</v>
      </c>
      <c r="B70" s="65" t="s">
        <v>90</v>
      </c>
      <c r="C70" s="73" t="s">
        <v>93</v>
      </c>
      <c r="D70" s="58"/>
      <c r="E70" s="58"/>
      <c r="F70" s="58"/>
      <c r="G70" s="80"/>
      <c r="H70" s="79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03"/>
    </row>
    <row r="71" spans="1:22" ht="39.6" x14ac:dyDescent="0.25">
      <c r="A71" s="81">
        <v>20</v>
      </c>
      <c r="B71" s="65" t="s">
        <v>94</v>
      </c>
      <c r="C71" s="73" t="s">
        <v>95</v>
      </c>
      <c r="D71" s="58"/>
      <c r="E71" s="58"/>
      <c r="F71" s="58"/>
      <c r="G71" s="80"/>
      <c r="H71" s="79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03"/>
    </row>
    <row r="72" spans="1:22" ht="28.2" customHeight="1" x14ac:dyDescent="0.25">
      <c r="A72" s="81">
        <v>21</v>
      </c>
      <c r="B72" s="65" t="s">
        <v>94</v>
      </c>
      <c r="C72" s="73" t="s">
        <v>160</v>
      </c>
      <c r="D72" s="58"/>
      <c r="E72" s="58"/>
      <c r="F72" s="58"/>
      <c r="G72" s="113">
        <f>G55*1.19*4.15*1.02</f>
        <v>4361.12</v>
      </c>
      <c r="H72" s="114">
        <f t="shared" si="15"/>
        <v>4361.12</v>
      </c>
      <c r="I72" s="82"/>
      <c r="J72" s="82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03"/>
    </row>
    <row r="73" spans="1:22" ht="39.6" x14ac:dyDescent="0.25">
      <c r="A73" s="81">
        <v>22</v>
      </c>
      <c r="B73" s="65" t="s">
        <v>94</v>
      </c>
      <c r="C73" s="73" t="s">
        <v>97</v>
      </c>
      <c r="D73" s="58"/>
      <c r="E73" s="58"/>
      <c r="F73" s="58"/>
      <c r="G73" s="80"/>
      <c r="H73" s="79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03"/>
    </row>
    <row r="74" spans="1:22" ht="12.75" customHeight="1" x14ac:dyDescent="0.25">
      <c r="A74" s="81">
        <v>23</v>
      </c>
      <c r="B74" s="65" t="s">
        <v>52</v>
      </c>
      <c r="C74" s="73" t="s">
        <v>98</v>
      </c>
      <c r="D74" s="58"/>
      <c r="E74" s="58"/>
      <c r="F74" s="58"/>
      <c r="G74" s="80"/>
      <c r="H74" s="79"/>
      <c r="I74" s="82"/>
      <c r="J74" s="82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03"/>
    </row>
    <row r="75" spans="1:22" ht="52.8" x14ac:dyDescent="0.25">
      <c r="A75" s="81">
        <v>24</v>
      </c>
      <c r="B75" s="65" t="s">
        <v>87</v>
      </c>
      <c r="C75" s="73" t="s">
        <v>99</v>
      </c>
      <c r="D75" s="58"/>
      <c r="E75" s="58"/>
      <c r="F75" s="58"/>
      <c r="G75" s="80">
        <f>ROUND(30.43*15.15*1.02,2)</f>
        <v>470.23</v>
      </c>
      <c r="H75" s="79">
        <f t="shared" si="15"/>
        <v>470.23</v>
      </c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03"/>
    </row>
    <row r="76" spans="1:22" ht="28.2" customHeight="1" x14ac:dyDescent="0.25">
      <c r="A76" s="90">
        <v>25</v>
      </c>
      <c r="B76" s="91" t="s">
        <v>62</v>
      </c>
      <c r="C76" s="91" t="s">
        <v>61</v>
      </c>
      <c r="D76" s="88">
        <f>SUM(D65:D75)</f>
        <v>4534.67</v>
      </c>
      <c r="E76" s="88">
        <f t="shared" ref="E76:F76" si="16">SUM(E65:E75)</f>
        <v>9053.4500000000007</v>
      </c>
      <c r="F76" s="88">
        <f t="shared" si="16"/>
        <v>70964.91</v>
      </c>
      <c r="G76" s="88">
        <f>SUM(G65:G75)</f>
        <v>4834.03</v>
      </c>
      <c r="H76" s="88">
        <f>SUM(H65:H75)</f>
        <v>89387.06</v>
      </c>
      <c r="I76" s="111"/>
      <c r="J76" s="111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03"/>
    </row>
    <row r="77" spans="1:22" ht="28.2" customHeight="1" x14ac:dyDescent="0.25">
      <c r="A77" s="94"/>
      <c r="B77" s="95"/>
      <c r="C77" s="65" t="s">
        <v>100</v>
      </c>
      <c r="D77" s="98">
        <f>-D37*0.15*7</f>
        <v>-14.9</v>
      </c>
      <c r="E77" s="98">
        <f>-E37*0.15*7</f>
        <v>-29.74</v>
      </c>
      <c r="F77" s="96"/>
      <c r="G77" s="96"/>
      <c r="H77" s="98">
        <f>D77+E77</f>
        <v>-44.64</v>
      </c>
      <c r="I77" s="111"/>
      <c r="J77" s="111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03"/>
    </row>
    <row r="78" spans="1:22" ht="28.2" customHeight="1" x14ac:dyDescent="0.25">
      <c r="A78" s="97"/>
      <c r="B78" s="92"/>
      <c r="C78" s="92" t="s">
        <v>158</v>
      </c>
      <c r="D78" s="93">
        <f>D76+D77</f>
        <v>4519.7700000000004</v>
      </c>
      <c r="E78" s="93">
        <f>E76+E77</f>
        <v>9023.7099999999991</v>
      </c>
      <c r="F78" s="93">
        <f>F76</f>
        <v>70964.91</v>
      </c>
      <c r="G78" s="93">
        <f>G76</f>
        <v>4834.03</v>
      </c>
      <c r="H78" s="93">
        <f>H76+H77</f>
        <v>89342.42</v>
      </c>
      <c r="I78" s="112"/>
      <c r="J78" s="111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03"/>
    </row>
    <row r="79" spans="1:22" x14ac:dyDescent="0.25">
      <c r="A79" s="62"/>
      <c r="B79" s="62"/>
      <c r="C79" s="62"/>
      <c r="D79" s="62"/>
      <c r="E79" s="62"/>
      <c r="F79" s="62"/>
      <c r="G79" s="62"/>
      <c r="H79" s="62"/>
    </row>
    <row r="80" spans="1:22" x14ac:dyDescent="0.25">
      <c r="A80" s="62"/>
      <c r="B80" s="62"/>
      <c r="C80" s="62"/>
      <c r="D80" s="62"/>
      <c r="E80" s="62"/>
      <c r="F80" s="62"/>
      <c r="G80" s="62"/>
      <c r="H80" s="62"/>
    </row>
    <row r="81" spans="1:8" ht="13.2" customHeight="1" x14ac:dyDescent="0.25">
      <c r="A81" s="62"/>
      <c r="B81" s="62"/>
      <c r="C81" s="62"/>
      <c r="D81" s="62"/>
      <c r="E81" s="62"/>
      <c r="F81" s="62"/>
      <c r="G81" s="62"/>
      <c r="H81" s="62"/>
    </row>
    <row r="82" spans="1:8" ht="15.6" x14ac:dyDescent="0.25">
      <c r="A82" s="231" t="s">
        <v>161</v>
      </c>
      <c r="B82" s="231"/>
      <c r="C82" s="231"/>
      <c r="D82" s="231"/>
      <c r="E82" s="231"/>
      <c r="F82" s="231"/>
      <c r="G82" s="231"/>
      <c r="H82" s="231"/>
    </row>
    <row r="83" spans="1:8" x14ac:dyDescent="0.25">
      <c r="A83" s="115"/>
      <c r="B83" s="116"/>
      <c r="C83" s="116"/>
      <c r="D83" s="117"/>
      <c r="E83" s="117"/>
      <c r="F83" s="117"/>
      <c r="G83" s="117"/>
      <c r="H83" s="117"/>
    </row>
    <row r="84" spans="1:8" ht="15.6" x14ac:dyDescent="0.3">
      <c r="A84" s="118" t="s">
        <v>162</v>
      </c>
      <c r="B84" s="118"/>
      <c r="C84" s="118"/>
      <c r="D84" s="118" t="s">
        <v>195</v>
      </c>
      <c r="E84" s="118"/>
      <c r="F84" s="119"/>
      <c r="G84" s="117"/>
      <c r="H84" s="117"/>
    </row>
    <row r="85" spans="1:8" ht="15.6" x14ac:dyDescent="0.3">
      <c r="A85" s="118" t="s">
        <v>163</v>
      </c>
      <c r="B85" s="118"/>
      <c r="C85" s="118"/>
      <c r="D85" s="120" t="s">
        <v>190</v>
      </c>
      <c r="E85" s="118"/>
      <c r="F85" s="119"/>
      <c r="G85" s="117"/>
      <c r="H85" s="117"/>
    </row>
    <row r="86" spans="1:8" ht="15.6" x14ac:dyDescent="0.3">
      <c r="A86" s="118" t="s">
        <v>164</v>
      </c>
      <c r="B86" s="118"/>
      <c r="C86" s="118"/>
      <c r="D86" s="120" t="s">
        <v>191</v>
      </c>
      <c r="E86" s="120"/>
      <c r="F86" s="119"/>
      <c r="G86" s="117"/>
      <c r="H86" s="117"/>
    </row>
    <row r="87" spans="1:8" ht="14.4" x14ac:dyDescent="0.3">
      <c r="A87" s="121"/>
      <c r="B87" s="121"/>
      <c r="C87" s="121"/>
      <c r="D87" s="121"/>
      <c r="E87" s="121"/>
      <c r="F87" s="119"/>
      <c r="G87" s="117"/>
      <c r="H87" s="117"/>
    </row>
    <row r="88" spans="1:8" ht="14.4" x14ac:dyDescent="0.3">
      <c r="A88" s="232" t="s">
        <v>165</v>
      </c>
      <c r="B88" s="233"/>
      <c r="C88" s="233"/>
      <c r="D88" s="233"/>
      <c r="E88" s="234"/>
      <c r="F88" s="119"/>
      <c r="G88" s="117"/>
      <c r="H88" s="117"/>
    </row>
    <row r="89" spans="1:8" ht="14.4" x14ac:dyDescent="0.3">
      <c r="A89" s="235" t="s">
        <v>166</v>
      </c>
      <c r="B89" s="236"/>
      <c r="C89" s="236"/>
      <c r="D89" s="236"/>
      <c r="E89" s="237"/>
      <c r="F89" s="122"/>
      <c r="G89" s="117"/>
      <c r="H89" s="117"/>
    </row>
    <row r="90" spans="1:8" ht="57.6" x14ac:dyDescent="0.3">
      <c r="A90" s="123"/>
      <c r="B90" s="124" t="s">
        <v>167</v>
      </c>
      <c r="C90" s="125" t="s">
        <v>192</v>
      </c>
      <c r="D90" s="125" t="s">
        <v>169</v>
      </c>
      <c r="E90" s="124" t="s">
        <v>170</v>
      </c>
      <c r="F90" s="122"/>
      <c r="G90" s="117"/>
      <c r="H90" s="117"/>
    </row>
    <row r="91" spans="1:8" ht="14.4" x14ac:dyDescent="0.3">
      <c r="A91" s="126">
        <v>1</v>
      </c>
      <c r="B91" s="126">
        <v>105</v>
      </c>
      <c r="C91" s="127">
        <v>3.5</v>
      </c>
      <c r="D91" s="128">
        <f>(B91-100)/100*C91/12</f>
        <v>1.4999999999999999E-2</v>
      </c>
      <c r="E91" s="129">
        <f>1+D91</f>
        <v>1.0149999999999999</v>
      </c>
      <c r="F91" s="122"/>
      <c r="G91" s="117"/>
      <c r="H91" s="117"/>
    </row>
    <row r="92" spans="1:8" ht="14.4" x14ac:dyDescent="0.3">
      <c r="A92" s="235" t="s">
        <v>166</v>
      </c>
      <c r="B92" s="236"/>
      <c r="C92" s="236"/>
      <c r="D92" s="236"/>
      <c r="E92" s="237"/>
      <c r="F92" s="122"/>
      <c r="G92" s="117"/>
      <c r="H92" s="117"/>
    </row>
    <row r="93" spans="1:8" ht="57.6" x14ac:dyDescent="0.3">
      <c r="A93" s="123"/>
      <c r="B93" s="124" t="s">
        <v>172</v>
      </c>
      <c r="C93" s="125" t="s">
        <v>193</v>
      </c>
      <c r="D93" s="125" t="s">
        <v>174</v>
      </c>
      <c r="E93" s="124" t="s">
        <v>175</v>
      </c>
      <c r="F93" s="122"/>
      <c r="G93" s="117"/>
      <c r="H93" s="117"/>
    </row>
    <row r="94" spans="1:8" ht="14.4" x14ac:dyDescent="0.3">
      <c r="A94" s="126">
        <v>2</v>
      </c>
      <c r="B94" s="126">
        <v>105</v>
      </c>
      <c r="C94" s="127">
        <v>2.5</v>
      </c>
      <c r="D94" s="128">
        <f>(B94-100)/100*C94/12</f>
        <v>0.01</v>
      </c>
      <c r="E94" s="129">
        <f>1+D94</f>
        <v>1.01</v>
      </c>
      <c r="F94" s="122"/>
      <c r="G94" s="117"/>
      <c r="H94" s="117"/>
    </row>
    <row r="95" spans="1:8" ht="14.4" x14ac:dyDescent="0.3">
      <c r="A95" s="235" t="s">
        <v>171</v>
      </c>
      <c r="B95" s="236"/>
      <c r="C95" s="236"/>
      <c r="D95" s="236"/>
      <c r="E95" s="237"/>
      <c r="F95" s="122"/>
      <c r="G95" s="117"/>
      <c r="H95" s="117"/>
    </row>
    <row r="96" spans="1:8" ht="57.6" x14ac:dyDescent="0.3">
      <c r="A96" s="123"/>
      <c r="B96" s="124" t="s">
        <v>172</v>
      </c>
      <c r="C96" s="125" t="s">
        <v>194</v>
      </c>
      <c r="D96" s="125" t="s">
        <v>177</v>
      </c>
      <c r="E96" s="130" t="s">
        <v>178</v>
      </c>
      <c r="F96" s="122"/>
      <c r="G96" s="117"/>
      <c r="H96" s="117"/>
    </row>
    <row r="97" spans="1:8" ht="14.4" x14ac:dyDescent="0.3">
      <c r="A97" s="126">
        <v>3</v>
      </c>
      <c r="B97" s="126">
        <v>105.1</v>
      </c>
      <c r="C97" s="127">
        <v>1.6</v>
      </c>
      <c r="D97" s="128">
        <f>(B97-100)/100*C97/12</f>
        <v>7.0000000000000001E-3</v>
      </c>
      <c r="E97" s="129">
        <f>1+0.5*D97</f>
        <v>1.004</v>
      </c>
      <c r="F97" s="122"/>
      <c r="G97" s="117"/>
      <c r="H97" s="117"/>
    </row>
    <row r="98" spans="1:8" ht="33" customHeight="1" x14ac:dyDescent="0.3">
      <c r="A98" s="126">
        <v>4</v>
      </c>
      <c r="B98" s="137" t="s">
        <v>196</v>
      </c>
      <c r="C98" s="132"/>
      <c r="D98" s="124" t="s">
        <v>197</v>
      </c>
      <c r="E98" s="133" t="s">
        <v>198</v>
      </c>
      <c r="F98" s="122"/>
      <c r="G98" s="117"/>
      <c r="H98" s="117"/>
    </row>
    <row r="99" spans="1:8" ht="14.4" x14ac:dyDescent="0.3">
      <c r="A99" s="138"/>
      <c r="B99" s="139"/>
      <c r="C99" s="132"/>
      <c r="D99" s="140">
        <f>D94+D97</f>
        <v>1.7000000000000001E-2</v>
      </c>
      <c r="E99" s="133">
        <f>1+0.5*D99</f>
        <v>1.0089999999999999</v>
      </c>
      <c r="F99" s="122"/>
      <c r="G99" s="117"/>
      <c r="H99" s="117"/>
    </row>
    <row r="100" spans="1:8" ht="14.4" x14ac:dyDescent="0.3">
      <c r="A100" s="131">
        <v>5</v>
      </c>
      <c r="B100" s="132" t="s">
        <v>179</v>
      </c>
      <c r="C100" s="132"/>
      <c r="D100" s="130" t="s">
        <v>199</v>
      </c>
      <c r="E100" s="133">
        <f>E91*E99</f>
        <v>1.024</v>
      </c>
      <c r="F100" s="122"/>
      <c r="G100" s="117"/>
      <c r="H100" s="117"/>
    </row>
    <row r="101" spans="1:8" ht="14.4" x14ac:dyDescent="0.3">
      <c r="A101" s="261" t="s">
        <v>181</v>
      </c>
      <c r="B101" s="262"/>
      <c r="C101" s="262"/>
      <c r="D101" s="262"/>
      <c r="E101" s="263"/>
      <c r="F101" s="122"/>
      <c r="G101" s="117"/>
      <c r="H101" s="117"/>
    </row>
    <row r="102" spans="1:8" ht="14.4" x14ac:dyDescent="0.3">
      <c r="A102" s="267" t="s">
        <v>182</v>
      </c>
      <c r="B102" s="268"/>
      <c r="C102" s="269"/>
      <c r="D102" s="134"/>
      <c r="E102" s="141">
        <f>O63</f>
        <v>4275.6099999999997</v>
      </c>
      <c r="F102" s="122"/>
      <c r="G102" s="117"/>
      <c r="H102" s="117"/>
    </row>
    <row r="103" spans="1:8" ht="14.4" x14ac:dyDescent="0.3">
      <c r="A103" s="264" t="s">
        <v>183</v>
      </c>
      <c r="B103" s="265"/>
      <c r="C103" s="266"/>
      <c r="D103" s="134"/>
      <c r="E103" s="135">
        <f>E100</f>
        <v>1.024</v>
      </c>
      <c r="F103" s="122"/>
      <c r="G103" s="117"/>
      <c r="H103" s="117"/>
    </row>
    <row r="104" spans="1:8" ht="14.4" x14ac:dyDescent="0.3">
      <c r="A104" s="253" t="s">
        <v>184</v>
      </c>
      <c r="B104" s="254"/>
      <c r="C104" s="255"/>
      <c r="D104" s="109"/>
      <c r="E104" s="142">
        <f>E102*E103</f>
        <v>4378.22</v>
      </c>
      <c r="F104" s="122"/>
      <c r="G104" s="117"/>
      <c r="H104" s="117"/>
    </row>
    <row r="105" spans="1:8" ht="14.4" x14ac:dyDescent="0.3">
      <c r="A105" s="256" t="s">
        <v>185</v>
      </c>
      <c r="B105" s="257"/>
      <c r="C105" s="258" t="s">
        <v>186</v>
      </c>
      <c r="D105" s="258"/>
      <c r="E105" s="143">
        <f>E102+(E104-E102)*(1-30/100)</f>
        <v>4347.4399999999996</v>
      </c>
      <c r="F105" s="122">
        <f>E105/E102</f>
        <v>1.0167999419965801</v>
      </c>
      <c r="G105" s="117"/>
      <c r="H105" s="117"/>
    </row>
    <row r="106" spans="1:8" x14ac:dyDescent="0.25">
      <c r="A106" s="61"/>
      <c r="B106" s="61"/>
      <c r="C106" s="259" t="s">
        <v>187</v>
      </c>
      <c r="D106" s="260"/>
      <c r="E106" s="144">
        <f>E105-E102</f>
        <v>71.83</v>
      </c>
      <c r="F106" s="136"/>
      <c r="G106" s="117"/>
      <c r="H106" s="117"/>
    </row>
    <row r="107" spans="1:8" x14ac:dyDescent="0.25">
      <c r="A107" s="115"/>
      <c r="B107" s="116"/>
      <c r="C107" s="116"/>
      <c r="D107" s="117"/>
      <c r="E107" s="117"/>
      <c r="F107" s="117"/>
      <c r="G107" s="117"/>
      <c r="H107" s="117"/>
    </row>
    <row r="108" spans="1:8" x14ac:dyDescent="0.25">
      <c r="A108" s="115"/>
      <c r="B108" s="116"/>
      <c r="C108" s="116"/>
      <c r="D108" s="117"/>
      <c r="E108" s="117"/>
      <c r="F108" s="117"/>
      <c r="G108" s="117"/>
      <c r="H108" s="117"/>
    </row>
    <row r="109" spans="1:8" x14ac:dyDescent="0.25">
      <c r="A109" s="115"/>
      <c r="B109" s="116"/>
      <c r="C109" s="116"/>
      <c r="D109" s="117"/>
      <c r="E109" s="117"/>
      <c r="F109" s="117"/>
      <c r="G109" s="117"/>
      <c r="H109" s="117"/>
    </row>
    <row r="110" spans="1:8" x14ac:dyDescent="0.25">
      <c r="A110" s="115"/>
      <c r="B110" s="116"/>
      <c r="C110" s="116"/>
      <c r="D110" s="117"/>
      <c r="E110" s="117"/>
      <c r="F110" s="117"/>
      <c r="G110" s="117"/>
      <c r="H110" s="117"/>
    </row>
    <row r="111" spans="1:8" x14ac:dyDescent="0.25">
      <c r="A111" s="115"/>
      <c r="B111" s="116"/>
      <c r="C111" s="116"/>
      <c r="D111" s="117"/>
      <c r="E111" s="117"/>
      <c r="F111" s="117"/>
      <c r="G111" s="117"/>
      <c r="H111" s="117"/>
    </row>
    <row r="112" spans="1:8" x14ac:dyDescent="0.25">
      <c r="A112" s="115"/>
      <c r="B112" s="116"/>
      <c r="C112" s="116"/>
      <c r="D112" s="117"/>
      <c r="E112" s="117"/>
      <c r="F112" s="117"/>
      <c r="G112" s="117"/>
      <c r="H112" s="117"/>
    </row>
    <row r="113" spans="1:8" x14ac:dyDescent="0.25">
      <c r="A113" s="115"/>
      <c r="B113" s="116"/>
      <c r="C113" s="116"/>
      <c r="D113" s="117"/>
      <c r="E113" s="117"/>
      <c r="F113" s="117"/>
      <c r="G113" s="117"/>
      <c r="H113" s="117"/>
    </row>
    <row r="114" spans="1:8" ht="15.6" x14ac:dyDescent="0.3">
      <c r="A114" s="118" t="s">
        <v>162</v>
      </c>
      <c r="B114" s="118"/>
      <c r="C114" s="118"/>
      <c r="D114" s="118">
        <v>3.5</v>
      </c>
      <c r="E114" s="118" t="s">
        <v>188</v>
      </c>
      <c r="F114" s="119"/>
      <c r="G114" s="117"/>
      <c r="H114" s="117"/>
    </row>
    <row r="115" spans="1:8" ht="15.6" x14ac:dyDescent="0.3">
      <c r="A115" s="118" t="s">
        <v>163</v>
      </c>
      <c r="B115" s="118"/>
      <c r="C115" s="118"/>
      <c r="D115" s="120" t="s">
        <v>200</v>
      </c>
      <c r="E115" s="118"/>
      <c r="F115" s="119"/>
      <c r="G115" s="117"/>
      <c r="H115" s="117"/>
    </row>
    <row r="116" spans="1:8" ht="15.6" x14ac:dyDescent="0.3">
      <c r="A116" s="118" t="s">
        <v>164</v>
      </c>
      <c r="B116" s="118"/>
      <c r="C116" s="118"/>
      <c r="D116" s="120" t="s">
        <v>201</v>
      </c>
      <c r="E116" s="120"/>
      <c r="F116" s="119"/>
      <c r="G116" s="117"/>
      <c r="H116" s="117"/>
    </row>
    <row r="117" spans="1:8" ht="14.4" x14ac:dyDescent="0.3">
      <c r="A117" s="121"/>
      <c r="B117" s="121"/>
      <c r="C117" s="121"/>
      <c r="D117" s="121"/>
      <c r="E117" s="121"/>
      <c r="F117" s="119"/>
      <c r="G117" s="117"/>
      <c r="H117" s="117"/>
    </row>
    <row r="118" spans="1:8" ht="14.4" x14ac:dyDescent="0.3">
      <c r="A118" s="232" t="s">
        <v>189</v>
      </c>
      <c r="B118" s="233"/>
      <c r="C118" s="233"/>
      <c r="D118" s="233"/>
      <c r="E118" s="234"/>
      <c r="F118" s="119"/>
      <c r="G118" s="117"/>
      <c r="H118" s="117"/>
    </row>
    <row r="119" spans="1:8" ht="14.4" x14ac:dyDescent="0.3">
      <c r="A119" s="235" t="s">
        <v>166</v>
      </c>
      <c r="B119" s="236"/>
      <c r="C119" s="236"/>
      <c r="D119" s="236"/>
      <c r="E119" s="237"/>
      <c r="F119" s="122"/>
      <c r="G119" s="117"/>
      <c r="H119" s="117"/>
    </row>
    <row r="120" spans="1:8" ht="57.6" x14ac:dyDescent="0.3">
      <c r="A120" s="123"/>
      <c r="B120" s="124" t="s">
        <v>167</v>
      </c>
      <c r="C120" s="125" t="s">
        <v>168</v>
      </c>
      <c r="D120" s="125" t="s">
        <v>169</v>
      </c>
      <c r="E120" s="124" t="s">
        <v>170</v>
      </c>
      <c r="F120" s="122"/>
      <c r="G120" s="117"/>
      <c r="H120" s="117"/>
    </row>
    <row r="121" spans="1:8" ht="14.4" x14ac:dyDescent="0.3">
      <c r="A121" s="126">
        <v>1</v>
      </c>
      <c r="B121" s="126">
        <v>105</v>
      </c>
      <c r="C121" s="127">
        <v>6</v>
      </c>
      <c r="D121" s="128">
        <f>(B121-100)/100*C121/12</f>
        <v>2.5000000000000001E-2</v>
      </c>
      <c r="E121" s="129">
        <f>1+D121</f>
        <v>1.0249999999999999</v>
      </c>
      <c r="F121" s="122"/>
      <c r="G121" s="117"/>
      <c r="H121" s="117"/>
    </row>
    <row r="122" spans="1:8" ht="14.4" x14ac:dyDescent="0.3">
      <c r="A122" s="235" t="s">
        <v>171</v>
      </c>
      <c r="B122" s="236"/>
      <c r="C122" s="236"/>
      <c r="D122" s="236"/>
      <c r="E122" s="237"/>
      <c r="F122" s="122"/>
      <c r="G122" s="117"/>
      <c r="H122" s="117"/>
    </row>
    <row r="123" spans="1:8" ht="57.6" x14ac:dyDescent="0.3">
      <c r="A123" s="123"/>
      <c r="B123" s="124" t="s">
        <v>172</v>
      </c>
      <c r="C123" s="125" t="s">
        <v>173</v>
      </c>
      <c r="D123" s="125" t="s">
        <v>174</v>
      </c>
      <c r="E123" s="124" t="s">
        <v>175</v>
      </c>
      <c r="F123" s="122"/>
      <c r="G123" s="117"/>
      <c r="H123" s="117"/>
    </row>
    <row r="124" spans="1:8" ht="14.4" x14ac:dyDescent="0.3">
      <c r="A124" s="126">
        <v>2</v>
      </c>
      <c r="B124" s="126">
        <v>105.1</v>
      </c>
      <c r="C124" s="127">
        <v>2.5</v>
      </c>
      <c r="D124" s="128">
        <f>(B124-100)/100*C124/12</f>
        <v>1.0999999999999999E-2</v>
      </c>
      <c r="E124" s="129">
        <f>1+D124</f>
        <v>1.0109999999999999</v>
      </c>
      <c r="F124" s="122"/>
      <c r="G124" s="117"/>
      <c r="H124" s="117"/>
    </row>
    <row r="125" spans="1:8" ht="14.4" x14ac:dyDescent="0.3">
      <c r="A125" s="235" t="s">
        <v>171</v>
      </c>
      <c r="B125" s="236"/>
      <c r="C125" s="236"/>
      <c r="D125" s="236"/>
      <c r="E125" s="237"/>
      <c r="F125" s="122"/>
      <c r="G125" s="117"/>
      <c r="H125" s="117"/>
    </row>
    <row r="126" spans="1:8" ht="57.6" x14ac:dyDescent="0.3">
      <c r="A126" s="123"/>
      <c r="B126" s="124" t="s">
        <v>172</v>
      </c>
      <c r="C126" s="125" t="s">
        <v>176</v>
      </c>
      <c r="D126" s="125" t="s">
        <v>177</v>
      </c>
      <c r="E126" s="130" t="s">
        <v>178</v>
      </c>
      <c r="F126" s="122"/>
      <c r="G126" s="117"/>
      <c r="H126" s="117"/>
    </row>
    <row r="127" spans="1:8" ht="14.4" x14ac:dyDescent="0.3">
      <c r="A127" s="126">
        <v>3</v>
      </c>
      <c r="B127" s="126">
        <v>105.1</v>
      </c>
      <c r="C127" s="127">
        <v>3.5</v>
      </c>
      <c r="D127" s="128">
        <f>(B127-100)/100*C127/12</f>
        <v>1.4999999999999999E-2</v>
      </c>
      <c r="E127" s="129">
        <f>1+0.5*D127</f>
        <v>1.008</v>
      </c>
      <c r="F127" s="122"/>
      <c r="G127" s="117"/>
      <c r="H127" s="117"/>
    </row>
    <row r="128" spans="1:8" ht="28.8" x14ac:dyDescent="0.3">
      <c r="A128" s="131">
        <v>5</v>
      </c>
      <c r="B128" s="132" t="s">
        <v>179</v>
      </c>
      <c r="C128" s="132"/>
      <c r="D128" s="130" t="s">
        <v>180</v>
      </c>
      <c r="E128" s="133">
        <f>E121*E124*E127</f>
        <v>1.0449999999999999</v>
      </c>
      <c r="F128" s="122"/>
      <c r="G128" s="117"/>
      <c r="H128" s="117"/>
    </row>
    <row r="129" spans="1:9" ht="14.4" x14ac:dyDescent="0.3">
      <c r="A129" s="261" t="s">
        <v>181</v>
      </c>
      <c r="B129" s="262"/>
      <c r="C129" s="262"/>
      <c r="D129" s="262"/>
      <c r="E129" s="263"/>
      <c r="F129" s="122"/>
      <c r="G129" s="117"/>
      <c r="H129" s="117"/>
    </row>
    <row r="130" spans="1:9" ht="14.4" x14ac:dyDescent="0.3">
      <c r="A130" s="264" t="s">
        <v>202</v>
      </c>
      <c r="B130" s="265"/>
      <c r="C130" s="266"/>
      <c r="D130" s="134"/>
      <c r="E130" s="141">
        <f>T63-O63</f>
        <v>85225.77</v>
      </c>
      <c r="F130" s="122"/>
      <c r="G130" s="117"/>
      <c r="H130" s="117"/>
    </row>
    <row r="131" spans="1:9" ht="14.4" x14ac:dyDescent="0.3">
      <c r="A131" s="264" t="s">
        <v>183</v>
      </c>
      <c r="B131" s="265"/>
      <c r="C131" s="266"/>
      <c r="D131" s="134"/>
      <c r="E131" s="135">
        <f>E128</f>
        <v>1.0449999999999999</v>
      </c>
      <c r="F131" s="122"/>
      <c r="G131" s="117"/>
      <c r="H131" s="117"/>
    </row>
    <row r="132" spans="1:9" ht="14.4" x14ac:dyDescent="0.3">
      <c r="A132" s="253" t="s">
        <v>184</v>
      </c>
      <c r="B132" s="254"/>
      <c r="C132" s="255"/>
      <c r="D132" s="109"/>
      <c r="E132" s="142">
        <f>E130*E131</f>
        <v>89060.93</v>
      </c>
      <c r="F132" s="122"/>
      <c r="G132" s="117"/>
      <c r="H132" s="117"/>
    </row>
    <row r="133" spans="1:9" ht="14.4" x14ac:dyDescent="0.3">
      <c r="A133" s="256" t="s">
        <v>185</v>
      </c>
      <c r="B133" s="257"/>
      <c r="C133" s="258" t="s">
        <v>186</v>
      </c>
      <c r="D133" s="258"/>
      <c r="E133" s="143">
        <f>E130+(E132-E130)*(1-30/100)</f>
        <v>87910.38</v>
      </c>
      <c r="F133" s="122">
        <f>E133/E130</f>
        <v>1.03149997940764</v>
      </c>
      <c r="G133" s="117"/>
      <c r="H133" s="117"/>
    </row>
    <row r="134" spans="1:9" x14ac:dyDescent="0.25">
      <c r="A134" s="61"/>
      <c r="B134" s="61"/>
      <c r="C134" s="259" t="s">
        <v>187</v>
      </c>
      <c r="D134" s="260"/>
      <c r="E134" s="144">
        <f>E133-E130</f>
        <v>2684.61</v>
      </c>
      <c r="F134" s="136"/>
      <c r="G134" s="117"/>
      <c r="H134" s="117"/>
    </row>
    <row r="139" spans="1:9" x14ac:dyDescent="0.25">
      <c r="G139" s="150"/>
      <c r="I139" s="151"/>
    </row>
  </sheetData>
  <mergeCells count="69">
    <mergeCell ref="P6:P9"/>
    <mergeCell ref="V6:V9"/>
    <mergeCell ref="U6:U9"/>
    <mergeCell ref="S6:S9"/>
    <mergeCell ref="A130:C130"/>
    <mergeCell ref="A131:C131"/>
    <mergeCell ref="A95:E95"/>
    <mergeCell ref="A101:E101"/>
    <mergeCell ref="A102:C102"/>
    <mergeCell ref="A103:C103"/>
    <mergeCell ref="A104:C104"/>
    <mergeCell ref="A105:B105"/>
    <mergeCell ref="C105:D105"/>
    <mergeCell ref="A60:H60"/>
    <mergeCell ref="B62:C62"/>
    <mergeCell ref="B63:C63"/>
    <mergeCell ref="B38:C38"/>
    <mergeCell ref="A132:C132"/>
    <mergeCell ref="A133:B133"/>
    <mergeCell ref="C133:D133"/>
    <mergeCell ref="C134:D134"/>
    <mergeCell ref="C106:D106"/>
    <mergeCell ref="A118:E118"/>
    <mergeCell ref="A119:E119"/>
    <mergeCell ref="A122:E122"/>
    <mergeCell ref="A125:E125"/>
    <mergeCell ref="A129:E129"/>
    <mergeCell ref="I5:T5"/>
    <mergeCell ref="A82:H82"/>
    <mergeCell ref="A88:E88"/>
    <mergeCell ref="A89:E89"/>
    <mergeCell ref="A92:E92"/>
    <mergeCell ref="O6:O9"/>
    <mergeCell ref="Q6:Q9"/>
    <mergeCell ref="R6:R9"/>
    <mergeCell ref="T6:T9"/>
    <mergeCell ref="I6:I9"/>
    <mergeCell ref="J6:J9"/>
    <mergeCell ref="K6:K9"/>
    <mergeCell ref="L6:L9"/>
    <mergeCell ref="M6:M9"/>
    <mergeCell ref="N6:N9"/>
    <mergeCell ref="A64:H64"/>
    <mergeCell ref="A2:H2"/>
    <mergeCell ref="A4:H4"/>
    <mergeCell ref="A53:H53"/>
    <mergeCell ref="B58:C58"/>
    <mergeCell ref="B59:C59"/>
    <mergeCell ref="B39:C39"/>
    <mergeCell ref="A40:H40"/>
    <mergeCell ref="B48:C48"/>
    <mergeCell ref="B49:C49"/>
    <mergeCell ref="A50:H50"/>
    <mergeCell ref="B52:C52"/>
    <mergeCell ref="B14:C14"/>
    <mergeCell ref="A15:H15"/>
    <mergeCell ref="B34:C34"/>
    <mergeCell ref="B35:C35"/>
    <mergeCell ref="A36:H36"/>
    <mergeCell ref="A11:H11"/>
    <mergeCell ref="A6:A9"/>
    <mergeCell ref="B6:B9"/>
    <mergeCell ref="C6:C9"/>
    <mergeCell ref="D6:G6"/>
    <mergeCell ref="H6:H9"/>
    <mergeCell ref="D7:D9"/>
    <mergeCell ref="E7:E9"/>
    <mergeCell ref="F7:F9"/>
    <mergeCell ref="G7:G9"/>
  </mergeCells>
  <pageMargins left="0.42" right="0.25" top="0.5" bottom="0.52" header="0.3" footer="0.3"/>
  <pageSetup paperSize="9" scale="89" fitToHeight="10000" orientation="landscape" r:id="rId1"/>
  <headerFooter alignWithMargins="0">
    <oddHeader>&amp;LГРАНД-Смета 2019</oddHeader>
    <oddFooter>&amp;LД-ДРП-18-002-3995&amp;C01&amp;RСтраница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99"/>
  <sheetViews>
    <sheetView showGridLines="0" topLeftCell="A55" zoomScale="85" zoomScaleNormal="85" workbookViewId="0">
      <selection activeCell="G59" sqref="G59"/>
    </sheetView>
  </sheetViews>
  <sheetFormatPr defaultColWidth="9.109375" defaultRowHeight="13.2" x14ac:dyDescent="0.25"/>
  <cols>
    <col min="1" max="1" width="5" style="1" customWidth="1"/>
    <col min="2" max="2" width="19.33203125" style="2" customWidth="1"/>
    <col min="3" max="3" width="51.33203125" style="2" customWidth="1"/>
    <col min="4" max="4" width="13.109375" style="7" customWidth="1"/>
    <col min="5" max="5" width="13" style="7" customWidth="1"/>
    <col min="6" max="6" width="13.44140625" style="7" customWidth="1"/>
    <col min="7" max="7" width="12.5546875" style="7" customWidth="1"/>
    <col min="8" max="8" width="13.88671875" style="7" customWidth="1"/>
    <col min="9" max="16384" width="9.109375" style="5"/>
  </cols>
  <sheetData>
    <row r="1" spans="2:8" x14ac:dyDescent="0.25">
      <c r="D1" s="3"/>
      <c r="E1" s="3"/>
      <c r="F1" s="3"/>
      <c r="G1" s="3"/>
      <c r="H1" s="4" t="s">
        <v>5</v>
      </c>
    </row>
    <row r="2" spans="2:8" x14ac:dyDescent="0.25">
      <c r="B2" s="2" t="s">
        <v>7</v>
      </c>
      <c r="C2" s="280"/>
      <c r="D2" s="281"/>
      <c r="E2" s="281"/>
      <c r="F2" s="281"/>
      <c r="G2" s="281"/>
      <c r="H2" s="3"/>
    </row>
    <row r="3" spans="2:8" x14ac:dyDescent="0.25">
      <c r="C3" s="12"/>
      <c r="D3" s="13" t="s">
        <v>8</v>
      </c>
      <c r="E3" s="14"/>
      <c r="F3" s="15"/>
      <c r="G3" s="15"/>
      <c r="H3" s="3"/>
    </row>
    <row r="4" spans="2:8" x14ac:dyDescent="0.25">
      <c r="B4" s="2" t="s">
        <v>13</v>
      </c>
      <c r="C4" s="11"/>
      <c r="D4" s="3"/>
      <c r="E4" s="6"/>
      <c r="F4" s="3"/>
      <c r="G4" s="3"/>
      <c r="H4" s="3"/>
    </row>
    <row r="5" spans="2:8" x14ac:dyDescent="0.25">
      <c r="D5" s="3"/>
      <c r="E5" s="6"/>
      <c r="F5" s="3"/>
      <c r="G5" s="3"/>
      <c r="H5" s="77"/>
    </row>
    <row r="6" spans="2:8" x14ac:dyDescent="0.25">
      <c r="B6" s="2" t="s">
        <v>103</v>
      </c>
      <c r="D6" s="3"/>
      <c r="E6" s="6"/>
      <c r="F6" s="3"/>
      <c r="G6" s="3"/>
      <c r="H6" s="3"/>
    </row>
    <row r="7" spans="2:8" x14ac:dyDescent="0.25">
      <c r="B7" s="2" t="s">
        <v>101</v>
      </c>
      <c r="D7" s="3"/>
      <c r="E7" s="3"/>
      <c r="F7" s="3"/>
      <c r="G7" s="3"/>
      <c r="H7" s="3"/>
    </row>
    <row r="8" spans="2:8" x14ac:dyDescent="0.25">
      <c r="C8" s="282"/>
      <c r="D8" s="283"/>
      <c r="E8" s="283"/>
      <c r="F8" s="283"/>
      <c r="G8" s="283"/>
      <c r="H8" s="3"/>
    </row>
    <row r="9" spans="2:8" x14ac:dyDescent="0.25">
      <c r="D9" s="6" t="s">
        <v>9</v>
      </c>
      <c r="F9" s="3"/>
      <c r="G9" s="3"/>
      <c r="H9" s="3"/>
    </row>
    <row r="10" spans="2:8" x14ac:dyDescent="0.25">
      <c r="D10" s="3"/>
      <c r="E10" s="6"/>
      <c r="F10" s="3"/>
      <c r="G10" s="3"/>
      <c r="H10" s="3"/>
    </row>
    <row r="11" spans="2:8" x14ac:dyDescent="0.25">
      <c r="B11" s="2" t="s">
        <v>14</v>
      </c>
      <c r="H11" s="3"/>
    </row>
    <row r="12" spans="2:8" x14ac:dyDescent="0.25">
      <c r="G12" s="3"/>
      <c r="H12" s="3"/>
    </row>
    <row r="13" spans="2:8" x14ac:dyDescent="0.25">
      <c r="D13" s="8" t="s">
        <v>6</v>
      </c>
      <c r="F13" s="3"/>
      <c r="G13" s="3"/>
      <c r="H13" s="3"/>
    </row>
    <row r="14" spans="2:8" x14ac:dyDescent="0.25">
      <c r="D14" s="9"/>
      <c r="F14" s="3"/>
      <c r="G14" s="3"/>
      <c r="H14" s="3"/>
    </row>
    <row r="15" spans="2:8" ht="27.9" customHeight="1" x14ac:dyDescent="0.25">
      <c r="C15" s="282" t="s">
        <v>15</v>
      </c>
      <c r="D15" s="283"/>
      <c r="E15" s="283"/>
      <c r="F15" s="283"/>
      <c r="G15" s="283"/>
      <c r="H15" s="3"/>
    </row>
    <row r="16" spans="2:8" x14ac:dyDescent="0.25">
      <c r="D16" s="10" t="s">
        <v>0</v>
      </c>
      <c r="F16" s="3"/>
      <c r="G16" s="3"/>
      <c r="H16" s="3"/>
    </row>
    <row r="17" spans="1:8" x14ac:dyDescent="0.25">
      <c r="H17" s="3"/>
    </row>
    <row r="18" spans="1:8" x14ac:dyDescent="0.25">
      <c r="A18" s="23"/>
      <c r="B18" s="24" t="s">
        <v>67</v>
      </c>
      <c r="C18" s="23"/>
      <c r="D18" s="26"/>
      <c r="E18" s="25"/>
      <c r="F18" s="25"/>
      <c r="G18" s="25"/>
      <c r="H18" s="25"/>
    </row>
    <row r="19" spans="1:8" x14ac:dyDescent="0.25">
      <c r="D19" s="9"/>
      <c r="E19" s="3"/>
      <c r="F19" s="3"/>
      <c r="G19" s="3"/>
      <c r="H19" s="3"/>
    </row>
    <row r="20" spans="1:8" x14ac:dyDescent="0.25">
      <c r="D20" s="3"/>
      <c r="E20" s="3"/>
      <c r="F20" s="3"/>
      <c r="G20" s="3"/>
      <c r="H20" s="3"/>
    </row>
    <row r="21" spans="1:8" ht="12.75" customHeight="1" x14ac:dyDescent="0.25">
      <c r="A21" s="223" t="s">
        <v>1</v>
      </c>
      <c r="B21" s="224" t="s">
        <v>10</v>
      </c>
      <c r="C21" s="224" t="s">
        <v>11</v>
      </c>
      <c r="D21" s="225" t="s">
        <v>16</v>
      </c>
      <c r="E21" s="225"/>
      <c r="F21" s="225"/>
      <c r="G21" s="225"/>
      <c r="H21" s="223" t="s">
        <v>17</v>
      </c>
    </row>
    <row r="22" spans="1:8" x14ac:dyDescent="0.25">
      <c r="A22" s="223"/>
      <c r="B22" s="224"/>
      <c r="C22" s="224"/>
      <c r="D22" s="223" t="s">
        <v>12</v>
      </c>
      <c r="E22" s="223" t="s">
        <v>2</v>
      </c>
      <c r="F22" s="223" t="s">
        <v>3</v>
      </c>
      <c r="G22" s="223" t="s">
        <v>4</v>
      </c>
      <c r="H22" s="223"/>
    </row>
    <row r="23" spans="1:8" x14ac:dyDescent="0.25">
      <c r="A23" s="223"/>
      <c r="B23" s="224"/>
      <c r="C23" s="224"/>
      <c r="D23" s="223"/>
      <c r="E23" s="223"/>
      <c r="F23" s="223"/>
      <c r="G23" s="223"/>
      <c r="H23" s="223"/>
    </row>
    <row r="24" spans="1:8" x14ac:dyDescent="0.25">
      <c r="A24" s="223"/>
      <c r="B24" s="224"/>
      <c r="C24" s="224"/>
      <c r="D24" s="223"/>
      <c r="E24" s="223"/>
      <c r="F24" s="223"/>
      <c r="G24" s="223"/>
      <c r="H24" s="223"/>
    </row>
    <row r="25" spans="1:8" x14ac:dyDescent="0.25">
      <c r="A25" s="16">
        <v>1</v>
      </c>
      <c r="B25" s="17">
        <v>2</v>
      </c>
      <c r="C25" s="17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x14ac:dyDescent="0.25">
      <c r="A26" s="221" t="s">
        <v>18</v>
      </c>
      <c r="B26" s="222"/>
      <c r="C26" s="222"/>
      <c r="D26" s="222"/>
      <c r="E26" s="222"/>
      <c r="F26" s="222"/>
      <c r="G26" s="222"/>
      <c r="H26" s="222"/>
    </row>
    <row r="27" spans="1:8" ht="26.4" x14ac:dyDescent="0.25">
      <c r="A27" s="18">
        <v>1</v>
      </c>
      <c r="B27" s="19" t="s">
        <v>19</v>
      </c>
      <c r="C27" s="19" t="s">
        <v>20</v>
      </c>
      <c r="D27" s="20"/>
      <c r="E27" s="20"/>
      <c r="F27" s="20"/>
      <c r="G27" s="74">
        <v>29.1</v>
      </c>
      <c r="H27" s="74">
        <v>29.1</v>
      </c>
    </row>
    <row r="28" spans="1:8" x14ac:dyDescent="0.25">
      <c r="A28" s="18">
        <v>2</v>
      </c>
      <c r="B28" s="19" t="s">
        <v>21</v>
      </c>
      <c r="C28" s="19" t="s">
        <v>22</v>
      </c>
      <c r="D28" s="21">
        <v>78.95</v>
      </c>
      <c r="E28" s="20"/>
      <c r="F28" s="20"/>
      <c r="G28" s="20"/>
      <c r="H28" s="21">
        <v>78.95</v>
      </c>
    </row>
    <row r="29" spans="1:8" ht="27.9" customHeight="1" x14ac:dyDescent="0.25">
      <c r="A29" s="22"/>
      <c r="B29" s="270" t="s">
        <v>23</v>
      </c>
      <c r="C29" s="271"/>
      <c r="D29" s="21">
        <v>78.95</v>
      </c>
      <c r="E29" s="20"/>
      <c r="F29" s="20"/>
      <c r="G29" s="74">
        <v>29.1</v>
      </c>
      <c r="H29" s="21">
        <v>108.05</v>
      </c>
    </row>
    <row r="30" spans="1:8" x14ac:dyDescent="0.25">
      <c r="A30" s="221" t="s">
        <v>24</v>
      </c>
      <c r="B30" s="222"/>
      <c r="C30" s="222"/>
      <c r="D30" s="222"/>
      <c r="E30" s="222"/>
      <c r="F30" s="222"/>
      <c r="G30" s="222"/>
      <c r="H30" s="222"/>
    </row>
    <row r="31" spans="1:8" x14ac:dyDescent="0.25">
      <c r="A31" s="18">
        <v>3</v>
      </c>
      <c r="B31" s="19" t="s">
        <v>25</v>
      </c>
      <c r="C31" s="19" t="s">
        <v>26</v>
      </c>
      <c r="D31" s="74">
        <v>537.80999999999995</v>
      </c>
      <c r="E31" s="74">
        <v>1231.3599999999999</v>
      </c>
      <c r="F31" s="74">
        <v>17480.759999999998</v>
      </c>
      <c r="G31" s="78"/>
      <c r="H31" s="74">
        <v>19249.93</v>
      </c>
    </row>
    <row r="32" spans="1:8" ht="27.9" customHeight="1" x14ac:dyDescent="0.25">
      <c r="A32" s="22"/>
      <c r="B32" s="270" t="s">
        <v>27</v>
      </c>
      <c r="C32" s="271"/>
      <c r="D32" s="74">
        <v>537.80999999999995</v>
      </c>
      <c r="E32" s="74">
        <v>1231.3599999999999</v>
      </c>
      <c r="F32" s="74">
        <v>17480.759999999998</v>
      </c>
      <c r="G32" s="78"/>
      <c r="H32" s="74">
        <v>19249.93</v>
      </c>
    </row>
    <row r="33" spans="1:8" x14ac:dyDescent="0.25">
      <c r="A33" s="22"/>
      <c r="B33" s="278" t="s">
        <v>28</v>
      </c>
      <c r="C33" s="279"/>
      <c r="D33" s="74">
        <v>616.76</v>
      </c>
      <c r="E33" s="74">
        <v>1231.3599999999999</v>
      </c>
      <c r="F33" s="74">
        <v>17480.759999999998</v>
      </c>
      <c r="G33" s="74">
        <v>29.1</v>
      </c>
      <c r="H33" s="74">
        <v>19357.98</v>
      </c>
    </row>
    <row r="34" spans="1:8" x14ac:dyDescent="0.25">
      <c r="A34" s="221" t="s">
        <v>29</v>
      </c>
      <c r="B34" s="222"/>
      <c r="C34" s="222"/>
      <c r="D34" s="222"/>
      <c r="E34" s="222"/>
      <c r="F34" s="222"/>
      <c r="G34" s="222"/>
      <c r="H34" s="222"/>
    </row>
    <row r="35" spans="1:8" ht="26.4" x14ac:dyDescent="0.25">
      <c r="A35" s="18">
        <v>4</v>
      </c>
      <c r="B35" s="19" t="s">
        <v>30</v>
      </c>
      <c r="C35" s="19" t="s">
        <v>31</v>
      </c>
      <c r="D35" s="74">
        <v>14.19</v>
      </c>
      <c r="E35" s="74">
        <v>28.32</v>
      </c>
      <c r="F35" s="78"/>
      <c r="G35" s="78"/>
      <c r="H35" s="74">
        <v>42.51</v>
      </c>
    </row>
    <row r="36" spans="1:8" x14ac:dyDescent="0.25">
      <c r="A36" s="22"/>
      <c r="B36" s="270" t="s">
        <v>32</v>
      </c>
      <c r="C36" s="271"/>
      <c r="D36" s="74">
        <v>14.19</v>
      </c>
      <c r="E36" s="74">
        <v>28.32</v>
      </c>
      <c r="F36" s="78"/>
      <c r="G36" s="78"/>
      <c r="H36" s="74">
        <v>42.51</v>
      </c>
    </row>
    <row r="37" spans="1:8" x14ac:dyDescent="0.25">
      <c r="A37" s="22"/>
      <c r="B37" s="270" t="s">
        <v>33</v>
      </c>
      <c r="C37" s="271"/>
      <c r="D37" s="74">
        <v>630.95000000000005</v>
      </c>
      <c r="E37" s="74">
        <v>1259.68</v>
      </c>
      <c r="F37" s="74">
        <v>17480.759999999998</v>
      </c>
      <c r="G37" s="74">
        <v>29.1</v>
      </c>
      <c r="H37" s="74">
        <v>19400.490000000002</v>
      </c>
    </row>
    <row r="38" spans="1:8" x14ac:dyDescent="0.25">
      <c r="A38" s="221" t="s">
        <v>34</v>
      </c>
      <c r="B38" s="222"/>
      <c r="C38" s="222"/>
      <c r="D38" s="222"/>
      <c r="E38" s="222"/>
      <c r="F38" s="222"/>
      <c r="G38" s="222"/>
      <c r="H38" s="222"/>
    </row>
    <row r="39" spans="1:8" ht="39.6" x14ac:dyDescent="0.25">
      <c r="A39" s="18">
        <v>5</v>
      </c>
      <c r="B39" s="19" t="s">
        <v>35</v>
      </c>
      <c r="C39" s="19" t="s">
        <v>36</v>
      </c>
      <c r="D39" s="74">
        <v>4.16</v>
      </c>
      <c r="E39" s="74">
        <v>8.31</v>
      </c>
      <c r="F39" s="78"/>
      <c r="G39" s="78"/>
      <c r="H39" s="74">
        <v>12.47</v>
      </c>
    </row>
    <row r="40" spans="1:8" x14ac:dyDescent="0.25">
      <c r="A40" s="18">
        <v>6</v>
      </c>
      <c r="B40" s="19" t="s">
        <v>37</v>
      </c>
      <c r="C40" s="19" t="s">
        <v>38</v>
      </c>
      <c r="D40" s="78"/>
      <c r="E40" s="78"/>
      <c r="F40" s="78"/>
      <c r="G40" s="74">
        <v>30.43</v>
      </c>
      <c r="H40" s="74">
        <v>30.43</v>
      </c>
    </row>
    <row r="41" spans="1:8" x14ac:dyDescent="0.25">
      <c r="A41" s="18">
        <v>7</v>
      </c>
      <c r="B41" s="19" t="s">
        <v>39</v>
      </c>
      <c r="C41" s="19" t="s">
        <v>102</v>
      </c>
      <c r="D41" s="78"/>
      <c r="E41" s="78"/>
      <c r="F41" s="78"/>
      <c r="G41" s="74">
        <v>0.25</v>
      </c>
      <c r="H41" s="74">
        <v>0.25</v>
      </c>
    </row>
    <row r="42" spans="1:8" x14ac:dyDescent="0.25">
      <c r="A42" s="22"/>
      <c r="B42" s="270" t="s">
        <v>40</v>
      </c>
      <c r="C42" s="271"/>
      <c r="D42" s="74">
        <v>4.16</v>
      </c>
      <c r="E42" s="74">
        <v>8.31</v>
      </c>
      <c r="F42" s="78"/>
      <c r="G42" s="74">
        <f>G41+G40</f>
        <v>30.68</v>
      </c>
      <c r="H42" s="74">
        <f>H41+H40+H39</f>
        <v>43.15</v>
      </c>
    </row>
    <row r="43" spans="1:8" x14ac:dyDescent="0.25">
      <c r="A43" s="22"/>
      <c r="B43" s="270" t="s">
        <v>41</v>
      </c>
      <c r="C43" s="271"/>
      <c r="D43" s="74">
        <v>635.11</v>
      </c>
      <c r="E43" s="74">
        <v>1267.99</v>
      </c>
      <c r="F43" s="74">
        <v>17480.759999999998</v>
      </c>
      <c r="G43" s="74">
        <f>G42+G37</f>
        <v>59.78</v>
      </c>
      <c r="H43" s="74">
        <f>H42+H37</f>
        <v>19443.64</v>
      </c>
    </row>
    <row r="44" spans="1:8" x14ac:dyDescent="0.25">
      <c r="A44" s="221" t="s">
        <v>42</v>
      </c>
      <c r="B44" s="222"/>
      <c r="C44" s="222"/>
      <c r="D44" s="222"/>
      <c r="E44" s="222"/>
      <c r="F44" s="222"/>
      <c r="G44" s="222"/>
      <c r="H44" s="222"/>
    </row>
    <row r="45" spans="1:8" ht="39.6" x14ac:dyDescent="0.25">
      <c r="A45" s="18">
        <v>8</v>
      </c>
      <c r="B45" s="19" t="s">
        <v>43</v>
      </c>
      <c r="C45" s="19" t="s">
        <v>44</v>
      </c>
      <c r="D45" s="20"/>
      <c r="E45" s="20"/>
      <c r="F45" s="20"/>
      <c r="G45" s="21">
        <v>458.69</v>
      </c>
      <c r="H45" s="21">
        <v>458.69</v>
      </c>
    </row>
    <row r="46" spans="1:8" ht="27.9" customHeight="1" x14ac:dyDescent="0.25">
      <c r="A46" s="22"/>
      <c r="B46" s="270" t="s">
        <v>45</v>
      </c>
      <c r="C46" s="271"/>
      <c r="D46" s="20"/>
      <c r="E46" s="20"/>
      <c r="F46" s="20"/>
      <c r="G46" s="21">
        <v>458.69</v>
      </c>
      <c r="H46" s="21">
        <v>458.69</v>
      </c>
    </row>
    <row r="47" spans="1:8" x14ac:dyDescent="0.25">
      <c r="A47" s="221" t="s">
        <v>46</v>
      </c>
      <c r="B47" s="222"/>
      <c r="C47" s="222"/>
      <c r="D47" s="222"/>
      <c r="E47" s="222"/>
      <c r="F47" s="222"/>
      <c r="G47" s="222"/>
      <c r="H47" s="222"/>
    </row>
    <row r="48" spans="1:8" x14ac:dyDescent="0.25">
      <c r="A48" s="18">
        <v>9</v>
      </c>
      <c r="B48" s="19" t="s">
        <v>47</v>
      </c>
      <c r="C48" s="19" t="s">
        <v>48</v>
      </c>
      <c r="D48" s="20"/>
      <c r="E48" s="20"/>
      <c r="F48" s="20"/>
      <c r="G48" s="74">
        <v>602.66999999999996</v>
      </c>
      <c r="H48" s="74">
        <v>602.66999999999996</v>
      </c>
    </row>
    <row r="49" spans="1:10" x14ac:dyDescent="0.25">
      <c r="A49" s="18">
        <v>10</v>
      </c>
      <c r="B49" s="19" t="s">
        <v>49</v>
      </c>
      <c r="C49" s="19" t="s">
        <v>50</v>
      </c>
      <c r="D49" s="20"/>
      <c r="E49" s="20"/>
      <c r="F49" s="20"/>
      <c r="G49" s="74">
        <v>927.14</v>
      </c>
      <c r="H49" s="74">
        <v>927.14</v>
      </c>
    </row>
    <row r="50" spans="1:10" x14ac:dyDescent="0.25">
      <c r="A50" s="18">
        <v>11</v>
      </c>
      <c r="B50" s="19" t="s">
        <v>47</v>
      </c>
      <c r="C50" s="19" t="s">
        <v>51</v>
      </c>
      <c r="D50" s="20"/>
      <c r="E50" s="20"/>
      <c r="F50" s="20"/>
      <c r="G50" s="74">
        <v>318.68</v>
      </c>
      <c r="H50" s="74">
        <v>318.68</v>
      </c>
    </row>
    <row r="51" spans="1:10" ht="26.4" x14ac:dyDescent="0.25">
      <c r="A51" s="18">
        <v>12</v>
      </c>
      <c r="B51" s="19" t="s">
        <v>52</v>
      </c>
      <c r="C51" s="19" t="s">
        <v>53</v>
      </c>
      <c r="D51" s="20"/>
      <c r="E51" s="20"/>
      <c r="F51" s="20"/>
      <c r="G51" s="74">
        <v>142.21</v>
      </c>
      <c r="H51" s="74">
        <v>142.21</v>
      </c>
    </row>
    <row r="52" spans="1:10" ht="27.9" customHeight="1" x14ac:dyDescent="0.25">
      <c r="A52" s="22"/>
      <c r="B52" s="270" t="s">
        <v>54</v>
      </c>
      <c r="C52" s="271"/>
      <c r="D52" s="20"/>
      <c r="E52" s="20"/>
      <c r="F52" s="20"/>
      <c r="G52" s="74">
        <f>SUM(G48:G51)</f>
        <v>1990.7</v>
      </c>
      <c r="H52" s="74">
        <f>SUM(H48:H51)</f>
        <v>1990.7</v>
      </c>
    </row>
    <row r="53" spans="1:10" x14ac:dyDescent="0.25">
      <c r="A53" s="22"/>
      <c r="B53" s="270" t="s">
        <v>55</v>
      </c>
      <c r="C53" s="271"/>
      <c r="D53" s="21">
        <v>635.11</v>
      </c>
      <c r="E53" s="21">
        <v>1267.99</v>
      </c>
      <c r="F53" s="21">
        <v>17480.759999999998</v>
      </c>
      <c r="G53" s="74">
        <f>G52+G46++G43</f>
        <v>2509.17</v>
      </c>
      <c r="H53" s="74">
        <f>H52+H46++H43</f>
        <v>21893.03</v>
      </c>
    </row>
    <row r="54" spans="1:10" x14ac:dyDescent="0.25">
      <c r="A54" s="221" t="s">
        <v>56</v>
      </c>
      <c r="B54" s="222"/>
      <c r="C54" s="222"/>
      <c r="D54" s="222"/>
      <c r="E54" s="222"/>
      <c r="F54" s="222"/>
      <c r="G54" s="222"/>
      <c r="H54" s="222"/>
    </row>
    <row r="55" spans="1:10" ht="26.4" x14ac:dyDescent="0.25">
      <c r="A55" s="18">
        <v>13</v>
      </c>
      <c r="B55" s="19" t="s">
        <v>57</v>
      </c>
      <c r="C55" s="19" t="s">
        <v>58</v>
      </c>
      <c r="D55" s="74">
        <v>12.7</v>
      </c>
      <c r="E55" s="74">
        <v>25.36</v>
      </c>
      <c r="F55" s="74">
        <v>349.62</v>
      </c>
      <c r="G55" s="74">
        <v>50.18</v>
      </c>
      <c r="H55" s="74">
        <v>437.86</v>
      </c>
    </row>
    <row r="56" spans="1:10" x14ac:dyDescent="0.25">
      <c r="A56" s="22"/>
      <c r="B56" s="270" t="s">
        <v>59</v>
      </c>
      <c r="C56" s="271"/>
      <c r="D56" s="74">
        <v>12.7</v>
      </c>
      <c r="E56" s="74">
        <v>25.36</v>
      </c>
      <c r="F56" s="74">
        <v>349.62</v>
      </c>
      <c r="G56" s="74">
        <v>50.18</v>
      </c>
      <c r="H56" s="74">
        <v>437.86</v>
      </c>
    </row>
    <row r="57" spans="1:10" x14ac:dyDescent="0.25">
      <c r="A57" s="22"/>
      <c r="B57" s="270" t="s">
        <v>104</v>
      </c>
      <c r="C57" s="271"/>
      <c r="D57" s="74">
        <v>647.80999999999995</v>
      </c>
      <c r="E57" s="74">
        <v>1293.3499999999999</v>
      </c>
      <c r="F57" s="74">
        <v>17830.38</v>
      </c>
      <c r="G57" s="74">
        <f>G56+G53</f>
        <v>2559.35</v>
      </c>
      <c r="H57" s="74">
        <f>H56+H53</f>
        <v>22330.89</v>
      </c>
    </row>
    <row r="58" spans="1:10" ht="40.5" customHeight="1" x14ac:dyDescent="0.25">
      <c r="A58" s="250" t="s">
        <v>86</v>
      </c>
      <c r="B58" s="251"/>
      <c r="C58" s="251"/>
      <c r="D58" s="251"/>
      <c r="E58" s="251"/>
      <c r="F58" s="251"/>
      <c r="G58" s="251"/>
      <c r="H58" s="252"/>
      <c r="I58" s="54"/>
      <c r="J58" s="54"/>
    </row>
    <row r="59" spans="1:10" s="62" customFormat="1" ht="58.5" customHeight="1" x14ac:dyDescent="0.25">
      <c r="A59" s="75">
        <v>14</v>
      </c>
      <c r="B59" s="68" t="s">
        <v>87</v>
      </c>
      <c r="C59" s="68" t="s">
        <v>20</v>
      </c>
      <c r="D59" s="68"/>
      <c r="E59" s="68"/>
      <c r="F59" s="68"/>
      <c r="G59" s="68">
        <f>ROUND(G27*4.23*1.266*1.02,2)</f>
        <v>158.94999999999999</v>
      </c>
      <c r="H59" s="79">
        <f>ROUND(G59+F59+E59+D59,2)</f>
        <v>158.94999999999999</v>
      </c>
      <c r="I59" s="63"/>
      <c r="J59" s="63"/>
    </row>
    <row r="60" spans="1:10" ht="49.5" customHeight="1" x14ac:dyDescent="0.25">
      <c r="A60" s="75">
        <v>15</v>
      </c>
      <c r="B60" s="60" t="s">
        <v>87</v>
      </c>
      <c r="C60" s="60" t="s">
        <v>88</v>
      </c>
      <c r="D60" s="68">
        <f>ROUND(D57*7,2)</f>
        <v>4534.67</v>
      </c>
      <c r="E60" s="68"/>
      <c r="F60" s="68"/>
      <c r="G60" s="68"/>
      <c r="H60" s="79">
        <f t="shared" ref="H60:H69" si="0">ROUND(G60+F60+E60+D60,2)</f>
        <v>4534.67</v>
      </c>
      <c r="I60" s="56"/>
      <c r="J60" s="56"/>
    </row>
    <row r="61" spans="1:10" ht="52.8" x14ac:dyDescent="0.25">
      <c r="A61" s="75">
        <v>16</v>
      </c>
      <c r="B61" s="60" t="s">
        <v>87</v>
      </c>
      <c r="C61" s="60" t="s">
        <v>89</v>
      </c>
      <c r="D61" s="68"/>
      <c r="E61" s="68">
        <f>ROUND(E57*7,2)</f>
        <v>9053.4500000000007</v>
      </c>
      <c r="F61" s="68"/>
      <c r="G61" s="68"/>
      <c r="H61" s="79">
        <f t="shared" si="0"/>
        <v>9053.4500000000007</v>
      </c>
      <c r="I61" s="55"/>
      <c r="J61" s="55"/>
    </row>
    <row r="62" spans="1:10" ht="52.8" x14ac:dyDescent="0.25">
      <c r="A62" s="75">
        <v>17</v>
      </c>
      <c r="B62" s="59" t="s">
        <v>90</v>
      </c>
      <c r="C62" s="60" t="s">
        <v>91</v>
      </c>
      <c r="D62" s="68"/>
      <c r="E62" s="68"/>
      <c r="F62" s="79">
        <f>ROUND(F57*3.98,2)</f>
        <v>70964.91</v>
      </c>
      <c r="G62" s="68"/>
      <c r="H62" s="79">
        <f t="shared" si="0"/>
        <v>70964.91</v>
      </c>
      <c r="I62" s="57"/>
      <c r="J62" s="57"/>
    </row>
    <row r="63" spans="1:10" ht="12.75" customHeight="1" x14ac:dyDescent="0.25">
      <c r="A63" s="75">
        <v>18</v>
      </c>
      <c r="B63" s="59" t="s">
        <v>90</v>
      </c>
      <c r="C63" s="59" t="s">
        <v>92</v>
      </c>
      <c r="D63" s="58"/>
      <c r="E63" s="58"/>
      <c r="F63" s="58"/>
      <c r="G63" s="79">
        <f>ROUND(G41*10.51*1.02,2)</f>
        <v>2.68</v>
      </c>
      <c r="H63" s="79">
        <f t="shared" si="0"/>
        <v>2.68</v>
      </c>
      <c r="I63" s="56"/>
      <c r="J63" s="56"/>
    </row>
    <row r="64" spans="1:10" ht="52.8" x14ac:dyDescent="0.25">
      <c r="A64" s="75">
        <v>19</v>
      </c>
      <c r="B64" s="59" t="s">
        <v>90</v>
      </c>
      <c r="C64" s="73" t="s">
        <v>93</v>
      </c>
      <c r="D64" s="58"/>
      <c r="E64" s="58"/>
      <c r="F64" s="58"/>
      <c r="G64" s="80">
        <f>ROUND(G46*10.51*1.02,2)</f>
        <v>4917.25</v>
      </c>
      <c r="H64" s="79">
        <f t="shared" si="0"/>
        <v>4917.25</v>
      </c>
      <c r="I64" s="55"/>
      <c r="J64" s="55"/>
    </row>
    <row r="65" spans="1:10" ht="39.6" x14ac:dyDescent="0.25">
      <c r="A65" s="75">
        <v>20</v>
      </c>
      <c r="B65" s="59" t="s">
        <v>94</v>
      </c>
      <c r="C65" s="73" t="s">
        <v>95</v>
      </c>
      <c r="D65" s="58"/>
      <c r="E65" s="58"/>
      <c r="F65" s="58"/>
      <c r="G65" s="80">
        <v>3035.81</v>
      </c>
      <c r="H65" s="79">
        <f t="shared" si="0"/>
        <v>3035.81</v>
      </c>
      <c r="I65" s="55"/>
      <c r="J65" s="55"/>
    </row>
    <row r="66" spans="1:10" ht="12.75" customHeight="1" x14ac:dyDescent="0.25">
      <c r="A66" s="75">
        <v>21</v>
      </c>
      <c r="B66" s="59" t="s">
        <v>94</v>
      </c>
      <c r="C66" s="73" t="s">
        <v>96</v>
      </c>
      <c r="D66" s="58"/>
      <c r="E66" s="58"/>
      <c r="F66" s="58"/>
      <c r="G66" s="80">
        <v>4670.25</v>
      </c>
      <c r="H66" s="79">
        <f t="shared" si="0"/>
        <v>4670.25</v>
      </c>
      <c r="I66" s="56"/>
      <c r="J66" s="56"/>
    </row>
    <row r="67" spans="1:10" ht="39.6" x14ac:dyDescent="0.25">
      <c r="A67" s="75">
        <v>22</v>
      </c>
      <c r="B67" s="59" t="s">
        <v>94</v>
      </c>
      <c r="C67" s="73" t="s">
        <v>97</v>
      </c>
      <c r="D67" s="58"/>
      <c r="E67" s="58"/>
      <c r="F67" s="58"/>
      <c r="G67" s="80">
        <v>1740.72</v>
      </c>
      <c r="H67" s="79">
        <f t="shared" ref="H67" si="1">ROUND(G67+F67+E67+D67,2)</f>
        <v>1740.72</v>
      </c>
      <c r="I67" s="55"/>
      <c r="J67" s="55"/>
    </row>
    <row r="68" spans="1:10" ht="12.75" customHeight="1" x14ac:dyDescent="0.25">
      <c r="A68" s="75">
        <v>23</v>
      </c>
      <c r="B68" s="59" t="s">
        <v>52</v>
      </c>
      <c r="C68" s="73" t="s">
        <v>98</v>
      </c>
      <c r="D68" s="58"/>
      <c r="E68" s="58"/>
      <c r="F68" s="58"/>
      <c r="G68" s="80">
        <f>ROUND(142.21*5.29*1.02,2)</f>
        <v>767.34</v>
      </c>
      <c r="H68" s="79">
        <f t="shared" si="0"/>
        <v>767.34</v>
      </c>
      <c r="I68" s="56"/>
      <c r="J68" s="56"/>
    </row>
    <row r="69" spans="1:10" ht="52.8" x14ac:dyDescent="0.25">
      <c r="A69" s="75">
        <v>24</v>
      </c>
      <c r="B69" s="59" t="s">
        <v>87</v>
      </c>
      <c r="C69" s="73" t="s">
        <v>99</v>
      </c>
      <c r="D69" s="58"/>
      <c r="E69" s="58"/>
      <c r="F69" s="58"/>
      <c r="G69" s="80">
        <f>ROUND(30.43*15.15*1.02,2)</f>
        <v>470.23</v>
      </c>
      <c r="H69" s="79">
        <f t="shared" si="0"/>
        <v>470.23</v>
      </c>
      <c r="I69" s="55"/>
      <c r="J69" s="55"/>
    </row>
    <row r="70" spans="1:10" x14ac:dyDescent="0.25">
      <c r="A70" s="75">
        <v>25</v>
      </c>
      <c r="B70" s="70" t="s">
        <v>62</v>
      </c>
      <c r="C70" s="70" t="s">
        <v>61</v>
      </c>
      <c r="D70" s="76">
        <f>SUM(D59:D69)</f>
        <v>4534.67</v>
      </c>
      <c r="E70" s="76">
        <f t="shared" ref="E70:F70" si="2">SUM(E59:E69)</f>
        <v>9053.4500000000007</v>
      </c>
      <c r="F70" s="76">
        <f t="shared" si="2"/>
        <v>70964.91</v>
      </c>
      <c r="G70" s="76">
        <f>SUM(G59:G69)</f>
        <v>15763.23</v>
      </c>
      <c r="H70" s="76">
        <f>SUM(H59:H69)</f>
        <v>100316.26</v>
      </c>
      <c r="I70" s="71"/>
      <c r="J70" s="72"/>
    </row>
    <row r="71" spans="1:10" ht="145.19999999999999" x14ac:dyDescent="0.25">
      <c r="A71" s="75">
        <v>26</v>
      </c>
      <c r="B71" s="65" t="s">
        <v>63</v>
      </c>
      <c r="C71" s="65" t="s">
        <v>64</v>
      </c>
      <c r="D71" s="74">
        <f>ROUND(D70*0.2,2)</f>
        <v>906.93</v>
      </c>
      <c r="E71" s="74">
        <f t="shared" ref="E71:G71" si="3">ROUND(E70*0.2,2)</f>
        <v>1810.69</v>
      </c>
      <c r="F71" s="74">
        <f t="shared" si="3"/>
        <v>14192.98</v>
      </c>
      <c r="G71" s="74">
        <f t="shared" si="3"/>
        <v>3152.65</v>
      </c>
      <c r="H71" s="74">
        <f>G71+F71+E71+D71</f>
        <v>20063.25</v>
      </c>
      <c r="I71" s="61"/>
      <c r="J71" s="61"/>
    </row>
    <row r="72" spans="1:10" ht="12.75" customHeight="1" x14ac:dyDescent="0.25">
      <c r="A72" s="75">
        <v>27</v>
      </c>
      <c r="B72" s="65" t="s">
        <v>62</v>
      </c>
      <c r="C72" s="65" t="s">
        <v>60</v>
      </c>
      <c r="D72" s="74">
        <f>D71+D70</f>
        <v>5441.6</v>
      </c>
      <c r="E72" s="74">
        <f t="shared" ref="E72:H72" si="4">E71+E70</f>
        <v>10864.14</v>
      </c>
      <c r="F72" s="74">
        <f t="shared" si="4"/>
        <v>85157.89</v>
      </c>
      <c r="G72" s="74">
        <f t="shared" si="4"/>
        <v>18915.88</v>
      </c>
      <c r="H72" s="74">
        <f t="shared" si="4"/>
        <v>120379.51</v>
      </c>
      <c r="I72" s="61"/>
      <c r="J72" s="61"/>
    </row>
    <row r="73" spans="1:10" x14ac:dyDescent="0.25">
      <c r="A73" s="275" t="s">
        <v>65</v>
      </c>
      <c r="B73" s="276"/>
      <c r="C73" s="276"/>
      <c r="D73" s="276"/>
      <c r="E73" s="276"/>
      <c r="F73" s="276"/>
      <c r="G73" s="276"/>
      <c r="H73" s="276"/>
      <c r="I73" s="277"/>
      <c r="J73" s="277"/>
    </row>
    <row r="74" spans="1:10" ht="27" customHeight="1" x14ac:dyDescent="0.25">
      <c r="A74" s="64">
        <v>28</v>
      </c>
      <c r="B74" s="65" t="s">
        <v>66</v>
      </c>
      <c r="C74" s="65" t="s">
        <v>100</v>
      </c>
      <c r="D74" s="74">
        <f>ROUND(0.15*7*D35,2)</f>
        <v>14.9</v>
      </c>
      <c r="E74" s="67">
        <f>ROUND(0.15*7*E35,2)</f>
        <v>29.74</v>
      </c>
      <c r="F74" s="66"/>
      <c r="G74" s="66"/>
      <c r="H74" s="67">
        <f>E74+D74</f>
        <v>44.64</v>
      </c>
      <c r="I74" s="61"/>
      <c r="J74" s="61"/>
    </row>
    <row r="76" spans="1:10" x14ac:dyDescent="0.25">
      <c r="A76" s="40"/>
      <c r="B76" s="44" t="s">
        <v>68</v>
      </c>
      <c r="C76" s="41"/>
      <c r="D76" s="42"/>
      <c r="E76" s="43"/>
      <c r="F76" s="43"/>
      <c r="G76" s="43"/>
      <c r="H76" s="42"/>
      <c r="I76" s="27"/>
      <c r="J76" s="27"/>
    </row>
    <row r="77" spans="1:10" x14ac:dyDescent="0.25">
      <c r="A77" s="40"/>
      <c r="B77" s="30"/>
      <c r="C77" s="272" t="s">
        <v>69</v>
      </c>
      <c r="D77" s="274" t="s">
        <v>70</v>
      </c>
      <c r="E77" s="274"/>
      <c r="F77" s="43"/>
      <c r="G77" s="43"/>
      <c r="H77" s="42"/>
      <c r="I77" s="27"/>
      <c r="J77" s="27"/>
    </row>
    <row r="78" spans="1:10" ht="30.6" x14ac:dyDescent="0.25">
      <c r="A78" s="40"/>
      <c r="B78" s="30"/>
      <c r="C78" s="273"/>
      <c r="D78" s="33" t="s">
        <v>71</v>
      </c>
      <c r="E78" s="45" t="s">
        <v>72</v>
      </c>
      <c r="F78" s="43"/>
      <c r="G78" s="43"/>
      <c r="H78" s="42"/>
      <c r="I78" s="27"/>
      <c r="J78" s="27"/>
    </row>
    <row r="79" spans="1:10" x14ac:dyDescent="0.25">
      <c r="A79" s="40"/>
      <c r="B79" s="30"/>
      <c r="C79" s="31" t="s">
        <v>73</v>
      </c>
      <c r="D79" s="36">
        <v>602.66999999999996</v>
      </c>
      <c r="E79" s="37">
        <f>H65*1.2/1.02</f>
        <v>3571.54</v>
      </c>
      <c r="F79" s="43"/>
      <c r="G79" s="43"/>
      <c r="H79" s="42"/>
      <c r="I79" s="27"/>
      <c r="J79" s="27"/>
    </row>
    <row r="80" spans="1:10" x14ac:dyDescent="0.25">
      <c r="A80" s="40"/>
      <c r="B80" s="30"/>
      <c r="C80" s="31" t="s">
        <v>74</v>
      </c>
      <c r="D80" s="34">
        <v>436.55</v>
      </c>
      <c r="E80" s="37">
        <f>H67*1.2/1.02</f>
        <v>2047.91</v>
      </c>
      <c r="F80" s="43"/>
      <c r="G80" s="43"/>
      <c r="H80" s="42"/>
      <c r="I80" s="27"/>
      <c r="J80" s="27"/>
    </row>
    <row r="81" spans="1:10" x14ac:dyDescent="0.25">
      <c r="A81" s="40"/>
      <c r="B81" s="30"/>
      <c r="C81" s="31" t="s">
        <v>75</v>
      </c>
      <c r="D81" s="36">
        <v>927.14</v>
      </c>
      <c r="E81" s="69">
        <f>H66*1.2/1.02</f>
        <v>5494.41</v>
      </c>
      <c r="F81" s="43"/>
      <c r="G81" s="43"/>
      <c r="H81" s="42"/>
      <c r="I81" s="27"/>
      <c r="J81" s="27"/>
    </row>
    <row r="82" spans="1:10" x14ac:dyDescent="0.25">
      <c r="A82" s="40"/>
      <c r="B82" s="30"/>
      <c r="C82" s="32"/>
      <c r="D82" s="46"/>
      <c r="E82" s="43"/>
      <c r="F82" s="43"/>
      <c r="G82" s="43"/>
      <c r="H82" s="42"/>
      <c r="I82" s="27"/>
      <c r="J82" s="27"/>
    </row>
    <row r="83" spans="1:10" x14ac:dyDescent="0.25">
      <c r="A83" s="40"/>
      <c r="B83" s="30"/>
      <c r="C83" s="32"/>
      <c r="D83" s="46"/>
      <c r="E83" s="43"/>
      <c r="F83" s="43"/>
      <c r="G83" s="43"/>
      <c r="H83" s="42"/>
      <c r="I83" s="28"/>
      <c r="J83" s="28"/>
    </row>
    <row r="84" spans="1:10" x14ac:dyDescent="0.25">
      <c r="A84" s="40"/>
      <c r="B84" s="30"/>
      <c r="C84" s="32"/>
      <c r="D84" s="46"/>
      <c r="E84" s="43"/>
      <c r="F84" s="43"/>
      <c r="G84" s="43"/>
      <c r="H84" s="42"/>
      <c r="I84" s="28"/>
      <c r="J84" s="28"/>
    </row>
    <row r="85" spans="1:10" x14ac:dyDescent="0.25">
      <c r="A85" s="40"/>
      <c r="B85" s="47"/>
      <c r="C85" s="48"/>
      <c r="D85" s="49"/>
      <c r="E85" s="49"/>
      <c r="F85" s="49"/>
      <c r="G85" s="49"/>
      <c r="H85" s="49"/>
      <c r="I85" s="28"/>
      <c r="J85" s="28"/>
    </row>
    <row r="86" spans="1:10" x14ac:dyDescent="0.25">
      <c r="A86" s="35"/>
      <c r="B86" s="27"/>
      <c r="C86" s="50" t="s">
        <v>76</v>
      </c>
      <c r="D86" s="38"/>
      <c r="E86" s="38"/>
      <c r="F86" s="38"/>
      <c r="G86" s="38"/>
      <c r="H86" s="38"/>
      <c r="I86" s="28"/>
      <c r="J86" s="28"/>
    </row>
    <row r="87" spans="1:10" x14ac:dyDescent="0.25">
      <c r="A87" s="27"/>
      <c r="B87" s="27"/>
      <c r="C87" s="39"/>
      <c r="D87" s="38"/>
      <c r="E87" s="38"/>
      <c r="F87" s="38"/>
      <c r="G87" s="27"/>
      <c r="H87" s="38"/>
      <c r="I87" s="28"/>
      <c r="J87" s="28"/>
    </row>
    <row r="88" spans="1:10" x14ac:dyDescent="0.25">
      <c r="A88" s="35"/>
      <c r="B88" s="27"/>
      <c r="C88" s="39" t="s">
        <v>77</v>
      </c>
      <c r="D88" s="38"/>
      <c r="E88" s="38"/>
      <c r="F88" s="52"/>
      <c r="G88" s="38" t="s">
        <v>78</v>
      </c>
      <c r="H88" s="27"/>
      <c r="I88" s="28"/>
      <c r="J88" s="28"/>
    </row>
    <row r="89" spans="1:10" x14ac:dyDescent="0.25">
      <c r="A89" s="35"/>
      <c r="B89" s="27"/>
      <c r="C89" s="27"/>
      <c r="D89" s="38"/>
      <c r="E89" s="38"/>
      <c r="F89" s="38"/>
      <c r="G89" s="51"/>
      <c r="H89" s="27"/>
      <c r="I89" s="28"/>
      <c r="J89" s="28"/>
    </row>
    <row r="90" spans="1:10" x14ac:dyDescent="0.25">
      <c r="A90" s="35"/>
      <c r="B90" s="27"/>
      <c r="C90" s="27"/>
      <c r="D90" s="38"/>
      <c r="E90" s="38"/>
      <c r="F90" s="38"/>
      <c r="G90" s="51"/>
      <c r="H90" s="27"/>
      <c r="I90" s="28"/>
      <c r="J90" s="28"/>
    </row>
    <row r="91" spans="1:10" x14ac:dyDescent="0.25">
      <c r="A91" s="35"/>
      <c r="B91" s="27"/>
      <c r="C91" s="39" t="s">
        <v>79</v>
      </c>
      <c r="D91" s="38"/>
      <c r="E91" s="38"/>
      <c r="F91" s="52"/>
      <c r="G91" s="38" t="s">
        <v>80</v>
      </c>
      <c r="H91" s="27"/>
      <c r="I91" s="28"/>
      <c r="J91" s="28"/>
    </row>
    <row r="92" spans="1:10" x14ac:dyDescent="0.25">
      <c r="A92" s="35"/>
      <c r="B92" s="27"/>
      <c r="C92" s="27"/>
      <c r="D92" s="38"/>
      <c r="E92" s="38"/>
      <c r="F92" s="38"/>
      <c r="G92" s="51"/>
      <c r="H92" s="29"/>
      <c r="I92" s="28"/>
      <c r="J92" s="28"/>
    </row>
    <row r="93" spans="1:10" x14ac:dyDescent="0.25">
      <c r="A93" s="35"/>
      <c r="B93" s="27"/>
      <c r="C93" s="27"/>
      <c r="D93" s="38"/>
      <c r="E93" s="38"/>
      <c r="F93" s="38"/>
      <c r="G93" s="51"/>
      <c r="H93" s="29"/>
      <c r="I93" s="28"/>
      <c r="J93" s="28"/>
    </row>
    <row r="94" spans="1:10" x14ac:dyDescent="0.25">
      <c r="A94" s="35"/>
      <c r="B94" s="27"/>
      <c r="C94" s="39" t="s">
        <v>81</v>
      </c>
      <c r="D94" s="38"/>
      <c r="E94" s="38"/>
      <c r="F94" s="52"/>
      <c r="G94" s="38" t="s">
        <v>82</v>
      </c>
      <c r="H94" s="29"/>
      <c r="I94" s="28"/>
      <c r="J94" s="28"/>
    </row>
    <row r="95" spans="1:10" x14ac:dyDescent="0.25">
      <c r="A95" s="27"/>
      <c r="B95" s="27"/>
      <c r="C95" s="27"/>
      <c r="D95" s="38"/>
      <c r="E95" s="38"/>
      <c r="F95" s="51"/>
      <c r="G95" s="38"/>
      <c r="H95" s="27"/>
      <c r="I95" s="28"/>
      <c r="J95" s="28"/>
    </row>
    <row r="96" spans="1:10" x14ac:dyDescent="0.25">
      <c r="A96" s="27"/>
      <c r="B96" s="27"/>
      <c r="C96" s="27"/>
      <c r="D96" s="38"/>
      <c r="E96" s="38"/>
      <c r="F96" s="38"/>
      <c r="G96" s="51"/>
      <c r="H96" s="38"/>
      <c r="I96" s="28"/>
      <c r="J96" s="28"/>
    </row>
    <row r="97" spans="1:10" x14ac:dyDescent="0.25">
      <c r="A97" s="28"/>
      <c r="B97" s="27"/>
      <c r="C97" s="50" t="s">
        <v>83</v>
      </c>
      <c r="D97" s="38"/>
      <c r="E97" s="38"/>
      <c r="F97" s="38"/>
      <c r="G97" s="51"/>
      <c r="H97" s="38"/>
      <c r="I97" s="28"/>
      <c r="J97" s="28"/>
    </row>
    <row r="98" spans="1:10" x14ac:dyDescent="0.25">
      <c r="A98" s="28"/>
      <c r="B98" s="27"/>
      <c r="C98" s="27"/>
      <c r="D98" s="38"/>
      <c r="E98" s="38"/>
      <c r="F98" s="38"/>
      <c r="G98" s="51"/>
      <c r="H98" s="38"/>
      <c r="I98" s="28"/>
      <c r="J98" s="28"/>
    </row>
    <row r="99" spans="1:10" x14ac:dyDescent="0.25">
      <c r="A99" s="28"/>
      <c r="B99" s="27"/>
      <c r="C99" s="53" t="s">
        <v>84</v>
      </c>
      <c r="D99" s="53"/>
      <c r="E99" s="53"/>
      <c r="F99" s="52"/>
      <c r="G99" s="51" t="s">
        <v>85</v>
      </c>
      <c r="H99" s="38"/>
      <c r="I99" s="28"/>
      <c r="J99" s="28"/>
    </row>
  </sheetData>
  <mergeCells count="35">
    <mergeCell ref="C2:G2"/>
    <mergeCell ref="C8:G8"/>
    <mergeCell ref="C15:G15"/>
    <mergeCell ref="A26:H26"/>
    <mergeCell ref="B29:C29"/>
    <mergeCell ref="A21:A24"/>
    <mergeCell ref="B21:B24"/>
    <mergeCell ref="C21:C24"/>
    <mergeCell ref="D21:G21"/>
    <mergeCell ref="H21:H24"/>
    <mergeCell ref="D22:D24"/>
    <mergeCell ref="E22:E24"/>
    <mergeCell ref="F22:F24"/>
    <mergeCell ref="G22:G24"/>
    <mergeCell ref="A30:H30"/>
    <mergeCell ref="B36:C36"/>
    <mergeCell ref="B37:C37"/>
    <mergeCell ref="A38:H38"/>
    <mergeCell ref="B32:C32"/>
    <mergeCell ref="B33:C33"/>
    <mergeCell ref="A34:H34"/>
    <mergeCell ref="B42:C42"/>
    <mergeCell ref="B43:C43"/>
    <mergeCell ref="A44:H44"/>
    <mergeCell ref="B46:C46"/>
    <mergeCell ref="A47:H47"/>
    <mergeCell ref="B52:C52"/>
    <mergeCell ref="B53:C53"/>
    <mergeCell ref="C77:C78"/>
    <mergeCell ref="D77:E77"/>
    <mergeCell ref="A73:J73"/>
    <mergeCell ref="A54:H54"/>
    <mergeCell ref="B56:C56"/>
    <mergeCell ref="B57:C57"/>
    <mergeCell ref="A58:H58"/>
  </mergeCells>
  <phoneticPr fontId="7" type="noConversion"/>
  <pageMargins left="0.42" right="0.25" top="0.5" bottom="0.52" header="0.3" footer="0.3"/>
  <pageSetup paperSize="9" scale="89" fitToHeight="10000" orientation="landscape" r:id="rId1"/>
  <headerFooter alignWithMargins="0">
    <oddHeader>&amp;LГРАНД-Смета 2019</oddHeader>
    <oddFooter>&amp;LД-ДРП-18-002-3995&amp;C01&amp;RСтраница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ПЗ</vt:lpstr>
      <vt:lpstr>НМЦ</vt:lpstr>
      <vt:lpstr>Смета на реализацию</vt:lpstr>
      <vt:lpstr>Затраты Подрядчика</vt:lpstr>
      <vt:lpstr>Сводный сметный расчет</vt:lpstr>
      <vt:lpstr>'Затраты Подрядчика'!Print_Titles</vt:lpstr>
      <vt:lpstr>НМЦ!Print_Titles</vt:lpstr>
      <vt:lpstr>'Сводный сметный расчет'!Print_Titles</vt:lpstr>
      <vt:lpstr>'Смета на реализацию'!Print_Titles</vt:lpstr>
      <vt:lpstr>'Затраты Подрядчика'!Заголовки_для_печати</vt:lpstr>
      <vt:lpstr>НМЦ!Заголовки_для_печати</vt:lpstr>
      <vt:lpstr>'Сводный сметный расчет'!Заголовки_для_печати</vt:lpstr>
      <vt:lpstr>'Смета на реализацию'!Заголовки_для_печати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Дьяконова</dc:creator>
  <cp:lastModifiedBy>Татаринова Елена Александровна</cp:lastModifiedBy>
  <cp:lastPrinted>2019-08-20T11:43:38Z</cp:lastPrinted>
  <dcterms:created xsi:type="dcterms:W3CDTF">2002-03-25T05:35:56Z</dcterms:created>
  <dcterms:modified xsi:type="dcterms:W3CDTF">2019-09-09T09:21:43Z</dcterms:modified>
</cp:coreProperties>
</file>